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ink/ink1.xml" ContentType="application/inkml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3040" windowHeight="9180" firstSheet="1" activeTab="3"/>
  </bookViews>
  <sheets>
    <sheet name="Capital Allocation" sheetId="6" r:id="rId1"/>
    <sheet name="Asset Classes Allocation" sheetId="5" r:id="rId2"/>
    <sheet name="Security Allocation" sheetId="2" r:id="rId3"/>
    <sheet name="Data. Securities" sheetId="4" r:id="rId4"/>
    <sheet name="Data. Bond Duration &amp; Convexity" sheetId="7" r:id="rId5"/>
  </sheets>
  <externalReferences>
    <externalReference r:id="rId6"/>
    <externalReference r:id="rId7"/>
  </externalReferences>
  <definedNames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Div1" localSheetId="3">#REF!</definedName>
    <definedName name="_Div1">#REF!</definedName>
    <definedName name="_Div2" localSheetId="3">#REF!</definedName>
    <definedName name="_Div2">#REF!</definedName>
    <definedName name="_Div3" localSheetId="3">#REF!</definedName>
    <definedName name="_Div3">#REF!</definedName>
    <definedName name="_Div4" localSheetId="3">#REF!</definedName>
    <definedName name="_Div4">#REF!</definedName>
    <definedName name="_Regression_Int">1</definedName>
    <definedName name="coup">[1]Convexity!$C$7</definedName>
    <definedName name="g_firm" localSheetId="4">#REF!</definedName>
    <definedName name="g_firm" localSheetId="3">#REF!</definedName>
    <definedName name="g_firm">#REF!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42436.8542824074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k" localSheetId="4">#REF!</definedName>
    <definedName name="k" localSheetId="3">#REF!</definedName>
    <definedName name="k">#REF!</definedName>
    <definedName name="k_eq" localSheetId="3">#REF!</definedName>
    <definedName name="k_eq">#REF!</definedName>
    <definedName name="mat">[1]Convexity!$C$9</definedName>
    <definedName name="price">[1]Convexity!$C$10</definedName>
    <definedName name="Price4" localSheetId="4">#REF!</definedName>
    <definedName name="Price4" localSheetId="3">#REF!</definedName>
    <definedName name="Price4">#REF!</definedName>
    <definedName name="_xlnm.Print_Area" localSheetId="1">'Asset Classes Allocation'!$B$2:$G$40</definedName>
    <definedName name="_xlnm.Print_Area" localSheetId="4">#REF!</definedName>
    <definedName name="_xlnm.Print_Area" localSheetId="3">#REF!</definedName>
    <definedName name="_xlnm.Print_Area">#REF!</definedName>
    <definedName name="Print_Area_MI" localSheetId="3">#REF!</definedName>
    <definedName name="Print_Area_MI">#REF!</definedName>
    <definedName name="rdebt" localSheetId="3">#REF!</definedName>
    <definedName name="rdebt">#REF!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Selling_Price">'[2]Base Case'!$B$11</definedName>
    <definedName name="solver_adj" localSheetId="1" hidden="1">'Asset Classes Allocation'!$B$26</definedName>
    <definedName name="solver_adj" localSheetId="0" hidden="1">'Capital Allocation'!$D$11</definedName>
    <definedName name="solver_adj" localSheetId="2" hidden="1">'Security Allocation'!$E$54</definedName>
    <definedName name="solver_cvg" localSheetId="1" hidden="1">0.0001</definedName>
    <definedName name="solver_cvg" localSheetId="0" hidden="1">0.0001</definedName>
    <definedName name="solver_cvg" localSheetId="2" hidden="1">0.0001</definedName>
    <definedName name="solver_drv" localSheetId="1" hidden="1">1</definedName>
    <definedName name="solver_drv" localSheetId="0" hidden="1">1</definedName>
    <definedName name="solver_drv" localSheetId="2" hidden="1">1</definedName>
    <definedName name="solver_eng" localSheetId="1" hidden="1">1</definedName>
    <definedName name="solver_eng" localSheetId="0" hidden="1">1</definedName>
    <definedName name="solver_eng" localSheetId="2" hidden="1">1</definedName>
    <definedName name="solver_est" localSheetId="1" hidden="1">1</definedName>
    <definedName name="solver_itr" localSheetId="1" hidden="1">2147483647</definedName>
    <definedName name="solver_itr" localSheetId="0" hidden="1">2147483647</definedName>
    <definedName name="solver_itr" localSheetId="2" hidden="1">2147483647</definedName>
    <definedName name="solver_lhs1" localSheetId="1" hidden="1">'Asset Classes Allocation'!$B$26</definedName>
    <definedName name="solver_lhs1" localSheetId="0" hidden="1">'Capital Allocation'!$D$11</definedName>
    <definedName name="solver_lhs1" localSheetId="2" hidden="1">'Security Allocation'!$E$54</definedName>
    <definedName name="solver_lhs10" localSheetId="2" hidden="1">'Security Allocation'!$I$54</definedName>
    <definedName name="solver_lhs11" localSheetId="2" hidden="1">'Security Allocation'!$J$54</definedName>
    <definedName name="solver_lhs12" localSheetId="2" hidden="1">'Security Allocation'!$J$54</definedName>
    <definedName name="solver_lhs2" localSheetId="1" hidden="1">'Asset Classes Allocation'!$B$26</definedName>
    <definedName name="solver_lhs2" localSheetId="0" hidden="1">'Capital Allocation'!$D$11</definedName>
    <definedName name="solver_lhs2" localSheetId="2" hidden="1">'Security Allocation'!$E$54</definedName>
    <definedName name="solver_lhs3" localSheetId="2" hidden="1">'Security Allocation'!$F$54</definedName>
    <definedName name="solver_lhs4" localSheetId="2" hidden="1">'Security Allocation'!$F$54</definedName>
    <definedName name="solver_lhs5" localSheetId="2" hidden="1">'Security Allocation'!$G$54</definedName>
    <definedName name="solver_lhs6" localSheetId="2" hidden="1">'Security Allocation'!$G$54</definedName>
    <definedName name="solver_lhs7" localSheetId="2" hidden="1">'Security Allocation'!$H$54</definedName>
    <definedName name="solver_lhs8" localSheetId="2" hidden="1">'Security Allocation'!$H$54</definedName>
    <definedName name="solver_lhs9" localSheetId="2" hidden="1">'Security Allocation'!$I$54</definedName>
    <definedName name="solver_lin" localSheetId="1" hidden="1">2</definedName>
    <definedName name="solver_lin" localSheetId="0" hidden="1">2</definedName>
    <definedName name="solver_lin" localSheetId="2" hidden="1">2</definedName>
    <definedName name="solver_mip" localSheetId="1" hidden="1">2147483647</definedName>
    <definedName name="solver_mip" localSheetId="0" hidden="1">2147483647</definedName>
    <definedName name="solver_mip" localSheetId="2" hidden="1">2147483647</definedName>
    <definedName name="solver_mni" localSheetId="1" hidden="1">30</definedName>
    <definedName name="solver_mni" localSheetId="0" hidden="1">30</definedName>
    <definedName name="solver_mni" localSheetId="2" hidden="1">30</definedName>
    <definedName name="solver_mrt" localSheetId="1" hidden="1">0.075</definedName>
    <definedName name="solver_mrt" localSheetId="0" hidden="1">0.075</definedName>
    <definedName name="solver_mrt" localSheetId="2" hidden="1">0.075</definedName>
    <definedName name="solver_msl" localSheetId="1" hidden="1">2</definedName>
    <definedName name="solver_msl" localSheetId="0" hidden="1">2</definedName>
    <definedName name="solver_msl" localSheetId="2" hidden="1">2</definedName>
    <definedName name="solver_neg" localSheetId="1" hidden="1">1</definedName>
    <definedName name="solver_neg" localSheetId="0" hidden="1">1</definedName>
    <definedName name="solver_neg" localSheetId="2" hidden="1">1</definedName>
    <definedName name="solver_nod" localSheetId="1" hidden="1">2147483647</definedName>
    <definedName name="solver_nod" localSheetId="0" hidden="1">2147483647</definedName>
    <definedName name="solver_nod" localSheetId="2" hidden="1">2147483647</definedName>
    <definedName name="solver_num" localSheetId="1" hidden="1">2</definedName>
    <definedName name="solver_num" localSheetId="0" hidden="1">2</definedName>
    <definedName name="solver_num" localSheetId="2" hidden="1">2</definedName>
    <definedName name="solver_nwt" localSheetId="1" hidden="1">1</definedName>
    <definedName name="solver_opt" localSheetId="1" hidden="1">'Asset Classes Allocation'!$F$26</definedName>
    <definedName name="solver_opt" localSheetId="0" hidden="1">'Capital Allocation'!$D$18</definedName>
    <definedName name="solver_opt" localSheetId="2" hidden="1">'Security Allocation'!$C$58</definedName>
    <definedName name="solver_pre" localSheetId="1" hidden="1">0.000001</definedName>
    <definedName name="solver_pre" localSheetId="0" hidden="1">0.000001</definedName>
    <definedName name="solver_pre" localSheetId="2" hidden="1">0.000001</definedName>
    <definedName name="solver_rbv" localSheetId="1" hidden="1">1</definedName>
    <definedName name="solver_rbv" localSheetId="0" hidden="1">1</definedName>
    <definedName name="solver_rbv" localSheetId="2" hidden="1">1</definedName>
    <definedName name="solver_rel1" localSheetId="1" hidden="1">1</definedName>
    <definedName name="solver_rel1" localSheetId="0" hidden="1">1</definedName>
    <definedName name="solver_rel1" localSheetId="2" hidden="1">1</definedName>
    <definedName name="solver_rel10" localSheetId="2" hidden="1">3</definedName>
    <definedName name="solver_rel11" localSheetId="2" hidden="1">1</definedName>
    <definedName name="solver_rel12" localSheetId="2" hidden="1">3</definedName>
    <definedName name="solver_rel2" localSheetId="1" hidden="1">3</definedName>
    <definedName name="solver_rel2" localSheetId="0" hidden="1">3</definedName>
    <definedName name="solver_rel2" localSheetId="2" hidden="1">3</definedName>
    <definedName name="solver_rel3" localSheetId="2" hidden="1">1</definedName>
    <definedName name="solver_rel4" localSheetId="2" hidden="1">3</definedName>
    <definedName name="solver_rel5" localSheetId="2" hidden="1">1</definedName>
    <definedName name="solver_rel6" localSheetId="2" hidden="1">3</definedName>
    <definedName name="solver_rel7" localSheetId="2" hidden="1">1</definedName>
    <definedName name="solver_rel8" localSheetId="2" hidden="1">3</definedName>
    <definedName name="solver_rel9" localSheetId="2" hidden="1">1</definedName>
    <definedName name="solver_rhs1" localSheetId="1" hidden="1">1</definedName>
    <definedName name="solver_rhs1" localSheetId="0" hidden="1">1</definedName>
    <definedName name="solver_rhs1" localSheetId="2" hidden="1">1</definedName>
    <definedName name="solver_rhs10" localSheetId="2" hidden="1">0</definedName>
    <definedName name="solver_rhs11" localSheetId="2" hidden="1">1</definedName>
    <definedName name="solver_rhs12" localSheetId="2" hidden="1">0</definedName>
    <definedName name="solver_rhs2" localSheetId="1" hidden="1">0</definedName>
    <definedName name="solver_rhs2" localSheetId="0" hidden="1">0</definedName>
    <definedName name="solver_rhs2" localSheetId="2" hidden="1">0</definedName>
    <definedName name="solver_rhs3" localSheetId="2" hidden="1">1</definedName>
    <definedName name="solver_rhs4" localSheetId="2" hidden="1">0</definedName>
    <definedName name="solver_rhs5" localSheetId="2" hidden="1">1</definedName>
    <definedName name="solver_rhs6" localSheetId="2" hidden="1">0</definedName>
    <definedName name="solver_rhs7" localSheetId="2" hidden="1">1</definedName>
    <definedName name="solver_rhs8" localSheetId="2" hidden="1">0</definedName>
    <definedName name="solver_rhs9" localSheetId="2" hidden="1">1</definedName>
    <definedName name="solver_rlx" localSheetId="1" hidden="1">2</definedName>
    <definedName name="solver_rlx" localSheetId="0" hidden="1">2</definedName>
    <definedName name="solver_rlx" localSheetId="2" hidden="1">2</definedName>
    <definedName name="solver_rsd" localSheetId="1" hidden="1">0</definedName>
    <definedName name="solver_rsd" localSheetId="0" hidden="1">0</definedName>
    <definedName name="solver_rsd" localSheetId="2" hidden="1">0</definedName>
    <definedName name="solver_scl" localSheetId="1" hidden="1">1</definedName>
    <definedName name="solver_scl" localSheetId="0" hidden="1">1</definedName>
    <definedName name="solver_scl" localSheetId="2" hidden="1">1</definedName>
    <definedName name="solver_sho" localSheetId="1" hidden="1">2</definedName>
    <definedName name="solver_sho" localSheetId="0" hidden="1">2</definedName>
    <definedName name="solver_sho" localSheetId="2" hidden="1">2</definedName>
    <definedName name="solver_ssz" localSheetId="1" hidden="1">100</definedName>
    <definedName name="solver_ssz" localSheetId="0" hidden="1">100</definedName>
    <definedName name="solver_ssz" localSheetId="2" hidden="1">100</definedName>
    <definedName name="solver_tim" localSheetId="1" hidden="1">2147483647</definedName>
    <definedName name="solver_tim" localSheetId="0" hidden="1">2147483647</definedName>
    <definedName name="solver_tim" localSheetId="2" hidden="1">2147483647</definedName>
    <definedName name="solver_tol" localSheetId="1" hidden="1">0.01</definedName>
    <definedName name="solver_tol" localSheetId="0" hidden="1">0.01</definedName>
    <definedName name="solver_tol" localSheetId="2" hidden="1">0.01</definedName>
    <definedName name="solver_typ" localSheetId="1" hidden="1">1</definedName>
    <definedName name="solver_typ" localSheetId="0" hidden="1">1</definedName>
    <definedName name="solver_typ" localSheetId="2" hidden="1">1</definedName>
    <definedName name="solver_val" localSheetId="1" hidden="1">0</definedName>
    <definedName name="solver_val" localSheetId="0" hidden="1">0</definedName>
    <definedName name="solver_val" localSheetId="2" hidden="1">0.5</definedName>
    <definedName name="solver_ver" localSheetId="1" hidden="1">3</definedName>
    <definedName name="solver_ver" localSheetId="0" hidden="1">2</definedName>
    <definedName name="solver_ver" localSheetId="2" hidden="1">2</definedName>
    <definedName name="tax_rate" localSheetId="4">#REF!</definedName>
    <definedName name="tax_rate" localSheetId="3">#REF!</definedName>
    <definedName name="tax_rate">#REF!</definedName>
    <definedName name="taxtable" localSheetId="1">#REF!</definedName>
    <definedName name="taxtable" localSheetId="0">#REF!</definedName>
    <definedName name="taxtable" localSheetId="3">#REF!</definedName>
    <definedName name="taxtable" localSheetId="2">#REF!</definedName>
    <definedName name="taxtable">#REF!</definedName>
    <definedName name="term_g" localSheetId="3">#REF!</definedName>
    <definedName name="term_g">#REF!</definedName>
    <definedName name="Variable_Cost_per_unit">'[2]Base Case'!$B$12</definedName>
    <definedName name="WACC_5" localSheetId="4">#REF!</definedName>
    <definedName name="WACC_5" localSheetId="3">#REF!</definedName>
    <definedName name="WACC_5">#REF!</definedName>
    <definedName name="ytm">[1]Convexity!$C$8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" i="6" l="1"/>
  <c r="C39" i="2"/>
  <c r="J15" i="4"/>
  <c r="L18" i="4"/>
  <c r="D36" i="2" l="1"/>
  <c r="D17" i="6"/>
  <c r="C6" i="5" l="1"/>
  <c r="C6" i="2"/>
  <c r="L7" i="4"/>
  <c r="H36" i="2"/>
  <c r="G36" i="2"/>
  <c r="F36" i="2"/>
  <c r="E36" i="2"/>
  <c r="D27" i="4" l="1"/>
  <c r="AZ11" i="4" l="1"/>
  <c r="BA11" i="4" s="1"/>
  <c r="BB11" i="4" s="1"/>
  <c r="AY11" i="4"/>
  <c r="AX11" i="4"/>
  <c r="AW11" i="4"/>
  <c r="AV11" i="4"/>
  <c r="C11" i="7"/>
  <c r="C14" i="7" s="1"/>
  <c r="C16" i="7" s="1"/>
  <c r="C10" i="7"/>
  <c r="D10" i="7"/>
  <c r="D11" i="7"/>
  <c r="D15" i="7"/>
  <c r="D14" i="7"/>
  <c r="D17" i="7"/>
  <c r="D16" i="7"/>
  <c r="C15" i="7" l="1"/>
  <c r="F14" i="4"/>
  <c r="C17" i="7" l="1"/>
  <c r="AE38" i="4"/>
  <c r="F16" i="4"/>
  <c r="C36" i="2"/>
  <c r="AH97" i="4" l="1"/>
  <c r="AI97" i="4" s="1"/>
  <c r="AH96" i="4"/>
  <c r="AI96" i="4" s="1"/>
  <c r="AH95" i="4"/>
  <c r="AI95" i="4" s="1"/>
  <c r="AH94" i="4"/>
  <c r="AI94" i="4" s="1"/>
  <c r="AH93" i="4"/>
  <c r="AI93" i="4" s="1"/>
  <c r="AH92" i="4"/>
  <c r="AI92" i="4" s="1"/>
  <c r="AH91" i="4"/>
  <c r="AI91" i="4" s="1"/>
  <c r="AH90" i="4"/>
  <c r="AI90" i="4" s="1"/>
  <c r="AH89" i="4"/>
  <c r="AI89" i="4" s="1"/>
  <c r="AH88" i="4"/>
  <c r="AI88" i="4" s="1"/>
  <c r="AH87" i="4"/>
  <c r="AI87" i="4" s="1"/>
  <c r="AH86" i="4"/>
  <c r="AI86" i="4" s="1"/>
  <c r="AH85" i="4"/>
  <c r="AI85" i="4" s="1"/>
  <c r="AH84" i="4"/>
  <c r="AI84" i="4" s="1"/>
  <c r="AH83" i="4"/>
  <c r="AI83" i="4" s="1"/>
  <c r="AH82" i="4"/>
  <c r="AI82" i="4" s="1"/>
  <c r="AH81" i="4"/>
  <c r="AI81" i="4" s="1"/>
  <c r="AH80" i="4"/>
  <c r="AI80" i="4" s="1"/>
  <c r="AH79" i="4"/>
  <c r="AI79" i="4" s="1"/>
  <c r="AH78" i="4"/>
  <c r="AI78" i="4" s="1"/>
  <c r="AH77" i="4"/>
  <c r="AI77" i="4" s="1"/>
  <c r="AH76" i="4"/>
  <c r="AI76" i="4" s="1"/>
  <c r="AH75" i="4"/>
  <c r="AI75" i="4" s="1"/>
  <c r="AH74" i="4"/>
  <c r="AI74" i="4" s="1"/>
  <c r="AH73" i="4"/>
  <c r="AI73" i="4" s="1"/>
  <c r="AH72" i="4"/>
  <c r="AI72" i="4" s="1"/>
  <c r="AH71" i="4"/>
  <c r="AI71" i="4" s="1"/>
  <c r="AH70" i="4"/>
  <c r="AI70" i="4" s="1"/>
  <c r="AH69" i="4"/>
  <c r="AI69" i="4" s="1"/>
  <c r="AH68" i="4"/>
  <c r="AI68" i="4" s="1"/>
  <c r="AH67" i="4"/>
  <c r="AI67" i="4" s="1"/>
  <c r="AH66" i="4"/>
  <c r="AI66" i="4" s="1"/>
  <c r="AH65" i="4"/>
  <c r="AI65" i="4" s="1"/>
  <c r="AH64" i="4"/>
  <c r="AI64" i="4" s="1"/>
  <c r="AH63" i="4"/>
  <c r="AI63" i="4" s="1"/>
  <c r="AH62" i="4"/>
  <c r="AI62" i="4" s="1"/>
  <c r="AH61" i="4"/>
  <c r="AI61" i="4" s="1"/>
  <c r="AH60" i="4"/>
  <c r="AI60" i="4" s="1"/>
  <c r="AH59" i="4"/>
  <c r="AI59" i="4" s="1"/>
  <c r="AH58" i="4"/>
  <c r="AI58" i="4" s="1"/>
  <c r="AH57" i="4"/>
  <c r="AI57" i="4" s="1"/>
  <c r="AH56" i="4"/>
  <c r="AI56" i="4" s="1"/>
  <c r="AH55" i="4"/>
  <c r="AI55" i="4" s="1"/>
  <c r="AH54" i="4"/>
  <c r="AI54" i="4" s="1"/>
  <c r="AH53" i="4"/>
  <c r="AI53" i="4" s="1"/>
  <c r="AH52" i="4"/>
  <c r="AI52" i="4" s="1"/>
  <c r="AH51" i="4"/>
  <c r="AI51" i="4" s="1"/>
  <c r="AH50" i="4"/>
  <c r="AI50" i="4" s="1"/>
  <c r="AH49" i="4"/>
  <c r="AI49" i="4" s="1"/>
  <c r="AH48" i="4"/>
  <c r="AI48" i="4" s="1"/>
  <c r="AH47" i="4"/>
  <c r="AI47" i="4" s="1"/>
  <c r="AH46" i="4"/>
  <c r="AI46" i="4" s="1"/>
  <c r="AH45" i="4"/>
  <c r="AI45" i="4" s="1"/>
  <c r="AH44" i="4"/>
  <c r="AI44" i="4" s="1"/>
  <c r="AH43" i="4"/>
  <c r="AI43" i="4" s="1"/>
  <c r="AH42" i="4"/>
  <c r="AI42" i="4" s="1"/>
  <c r="AH41" i="4"/>
  <c r="AI41" i="4" s="1"/>
  <c r="AH40" i="4"/>
  <c r="AI40" i="4" s="1"/>
  <c r="AH39" i="4"/>
  <c r="AI39" i="4" s="1"/>
  <c r="L8" i="4" l="1"/>
  <c r="L9" i="4" l="1"/>
  <c r="D6" i="5"/>
  <c r="Q6" i="4"/>
  <c r="Q15" i="4" s="1"/>
  <c r="R6" i="4"/>
  <c r="R24" i="4" s="1"/>
  <c r="S6" i="4"/>
  <c r="S24" i="4" s="1"/>
  <c r="T6" i="4"/>
  <c r="T15" i="4" s="1"/>
  <c r="U6" i="4"/>
  <c r="U15" i="4" s="1"/>
  <c r="P6" i="4"/>
  <c r="P24" i="4" s="1"/>
  <c r="U24" i="4" l="1"/>
  <c r="Q24" i="4"/>
  <c r="T24" i="4"/>
  <c r="O29" i="4" s="1"/>
  <c r="S15" i="4"/>
  <c r="O19" i="4" s="1"/>
  <c r="R15" i="4"/>
  <c r="O18" i="4" s="1"/>
  <c r="P15" i="4"/>
  <c r="H33" i="2"/>
  <c r="G32" i="2"/>
  <c r="F31" i="2"/>
  <c r="E30" i="2"/>
  <c r="D29" i="2"/>
  <c r="H17" i="2"/>
  <c r="G16" i="2"/>
  <c r="F15" i="2"/>
  <c r="E14" i="2"/>
  <c r="D13" i="2"/>
  <c r="C12" i="2"/>
  <c r="C7" i="2"/>
  <c r="C5" i="2"/>
  <c r="C37" i="2" s="1"/>
  <c r="D4" i="2"/>
  <c r="E4" i="2"/>
  <c r="F4" i="2"/>
  <c r="G4" i="2"/>
  <c r="H4" i="2"/>
  <c r="C4" i="2"/>
  <c r="AB97" i="4"/>
  <c r="W97" i="4"/>
  <c r="R97" i="4"/>
  <c r="M97" i="4"/>
  <c r="H97" i="4"/>
  <c r="D97" i="4"/>
  <c r="E97" i="4" s="1"/>
  <c r="AB96" i="4"/>
  <c r="W96" i="4"/>
  <c r="R96" i="4"/>
  <c r="M96" i="4"/>
  <c r="H96" i="4"/>
  <c r="D96" i="4"/>
  <c r="E96" i="4" s="1"/>
  <c r="AB95" i="4"/>
  <c r="W95" i="4"/>
  <c r="R95" i="4"/>
  <c r="M95" i="4"/>
  <c r="H95" i="4"/>
  <c r="D95" i="4"/>
  <c r="E95" i="4" s="1"/>
  <c r="AB94" i="4"/>
  <c r="W94" i="4"/>
  <c r="R94" i="4"/>
  <c r="M94" i="4"/>
  <c r="H94" i="4"/>
  <c r="D94" i="4"/>
  <c r="E94" i="4" s="1"/>
  <c r="AB93" i="4"/>
  <c r="W93" i="4"/>
  <c r="R93" i="4"/>
  <c r="M93" i="4"/>
  <c r="H93" i="4"/>
  <c r="D93" i="4"/>
  <c r="E93" i="4" s="1"/>
  <c r="AB92" i="4"/>
  <c r="W92" i="4"/>
  <c r="R92" i="4"/>
  <c r="M92" i="4"/>
  <c r="H92" i="4"/>
  <c r="D92" i="4"/>
  <c r="E92" i="4" s="1"/>
  <c r="AB91" i="4"/>
  <c r="W91" i="4"/>
  <c r="R91" i="4"/>
  <c r="M91" i="4"/>
  <c r="H91" i="4"/>
  <c r="D91" i="4"/>
  <c r="E91" i="4" s="1"/>
  <c r="AB90" i="4"/>
  <c r="W90" i="4"/>
  <c r="R90" i="4"/>
  <c r="M90" i="4"/>
  <c r="H90" i="4"/>
  <c r="D90" i="4"/>
  <c r="E90" i="4" s="1"/>
  <c r="AB89" i="4"/>
  <c r="W89" i="4"/>
  <c r="R89" i="4"/>
  <c r="M89" i="4"/>
  <c r="H89" i="4"/>
  <c r="D89" i="4"/>
  <c r="E89" i="4" s="1"/>
  <c r="AB88" i="4"/>
  <c r="W88" i="4"/>
  <c r="R88" i="4"/>
  <c r="M88" i="4"/>
  <c r="H88" i="4"/>
  <c r="D88" i="4"/>
  <c r="E88" i="4" s="1"/>
  <c r="AB87" i="4"/>
  <c r="W87" i="4"/>
  <c r="R87" i="4"/>
  <c r="M87" i="4"/>
  <c r="H87" i="4"/>
  <c r="D87" i="4"/>
  <c r="E87" i="4" s="1"/>
  <c r="AB86" i="4"/>
  <c r="W86" i="4"/>
  <c r="R86" i="4"/>
  <c r="M86" i="4"/>
  <c r="H86" i="4"/>
  <c r="D86" i="4"/>
  <c r="E86" i="4" s="1"/>
  <c r="AB85" i="4"/>
  <c r="W85" i="4"/>
  <c r="R85" i="4"/>
  <c r="M85" i="4"/>
  <c r="H85" i="4"/>
  <c r="D85" i="4"/>
  <c r="E85" i="4" s="1"/>
  <c r="AB84" i="4"/>
  <c r="W84" i="4"/>
  <c r="R84" i="4"/>
  <c r="M84" i="4"/>
  <c r="H84" i="4"/>
  <c r="D84" i="4"/>
  <c r="E84" i="4" s="1"/>
  <c r="AB83" i="4"/>
  <c r="W83" i="4"/>
  <c r="R83" i="4"/>
  <c r="M83" i="4"/>
  <c r="H83" i="4"/>
  <c r="D83" i="4"/>
  <c r="E83" i="4" s="1"/>
  <c r="AB82" i="4"/>
  <c r="W82" i="4"/>
  <c r="R82" i="4"/>
  <c r="M82" i="4"/>
  <c r="H82" i="4"/>
  <c r="D82" i="4"/>
  <c r="E82" i="4" s="1"/>
  <c r="AB81" i="4"/>
  <c r="W81" i="4"/>
  <c r="R81" i="4"/>
  <c r="M81" i="4"/>
  <c r="H81" i="4"/>
  <c r="D81" i="4"/>
  <c r="E81" i="4" s="1"/>
  <c r="AB80" i="4"/>
  <c r="W80" i="4"/>
  <c r="R80" i="4"/>
  <c r="M80" i="4"/>
  <c r="H80" i="4"/>
  <c r="D80" i="4"/>
  <c r="E80" i="4" s="1"/>
  <c r="AB79" i="4"/>
  <c r="W79" i="4"/>
  <c r="R79" i="4"/>
  <c r="M79" i="4"/>
  <c r="H79" i="4"/>
  <c r="D79" i="4"/>
  <c r="E79" i="4" s="1"/>
  <c r="AB78" i="4"/>
  <c r="W78" i="4"/>
  <c r="R78" i="4"/>
  <c r="M78" i="4"/>
  <c r="H78" i="4"/>
  <c r="D78" i="4"/>
  <c r="E78" i="4" s="1"/>
  <c r="AB77" i="4"/>
  <c r="W77" i="4"/>
  <c r="R77" i="4"/>
  <c r="M77" i="4"/>
  <c r="H77" i="4"/>
  <c r="D77" i="4"/>
  <c r="E77" i="4" s="1"/>
  <c r="AB76" i="4"/>
  <c r="W76" i="4"/>
  <c r="R76" i="4"/>
  <c r="M76" i="4"/>
  <c r="H76" i="4"/>
  <c r="D76" i="4"/>
  <c r="E76" i="4" s="1"/>
  <c r="AB75" i="4"/>
  <c r="W75" i="4"/>
  <c r="R75" i="4"/>
  <c r="M75" i="4"/>
  <c r="H75" i="4"/>
  <c r="D75" i="4"/>
  <c r="E75" i="4" s="1"/>
  <c r="AB74" i="4"/>
  <c r="W74" i="4"/>
  <c r="R74" i="4"/>
  <c r="M74" i="4"/>
  <c r="H74" i="4"/>
  <c r="D74" i="4"/>
  <c r="E74" i="4" s="1"/>
  <c r="AB73" i="4"/>
  <c r="W73" i="4"/>
  <c r="R73" i="4"/>
  <c r="M73" i="4"/>
  <c r="H73" i="4"/>
  <c r="D73" i="4"/>
  <c r="E73" i="4" s="1"/>
  <c r="AB72" i="4"/>
  <c r="W72" i="4"/>
  <c r="R72" i="4"/>
  <c r="M72" i="4"/>
  <c r="H72" i="4"/>
  <c r="D72" i="4"/>
  <c r="E72" i="4" s="1"/>
  <c r="AB71" i="4"/>
  <c r="W71" i="4"/>
  <c r="R71" i="4"/>
  <c r="M71" i="4"/>
  <c r="H71" i="4"/>
  <c r="D71" i="4"/>
  <c r="E71" i="4" s="1"/>
  <c r="AB70" i="4"/>
  <c r="W70" i="4"/>
  <c r="R70" i="4"/>
  <c r="M70" i="4"/>
  <c r="H70" i="4"/>
  <c r="D70" i="4"/>
  <c r="E70" i="4" s="1"/>
  <c r="AB69" i="4"/>
  <c r="W69" i="4"/>
  <c r="R69" i="4"/>
  <c r="M69" i="4"/>
  <c r="H69" i="4"/>
  <c r="D69" i="4"/>
  <c r="E69" i="4" s="1"/>
  <c r="AB68" i="4"/>
  <c r="W68" i="4"/>
  <c r="R68" i="4"/>
  <c r="M68" i="4"/>
  <c r="H68" i="4"/>
  <c r="D68" i="4"/>
  <c r="E68" i="4" s="1"/>
  <c r="AB67" i="4"/>
  <c r="W67" i="4"/>
  <c r="R67" i="4"/>
  <c r="M67" i="4"/>
  <c r="H67" i="4"/>
  <c r="D67" i="4"/>
  <c r="E67" i="4" s="1"/>
  <c r="AB66" i="4"/>
  <c r="W66" i="4"/>
  <c r="R66" i="4"/>
  <c r="M66" i="4"/>
  <c r="H66" i="4"/>
  <c r="D66" i="4"/>
  <c r="E66" i="4" s="1"/>
  <c r="AB65" i="4"/>
  <c r="W65" i="4"/>
  <c r="R65" i="4"/>
  <c r="M65" i="4"/>
  <c r="H65" i="4"/>
  <c r="D65" i="4"/>
  <c r="E65" i="4" s="1"/>
  <c r="AB64" i="4"/>
  <c r="W64" i="4"/>
  <c r="R64" i="4"/>
  <c r="M64" i="4"/>
  <c r="H64" i="4"/>
  <c r="D64" i="4"/>
  <c r="E64" i="4" s="1"/>
  <c r="AB63" i="4"/>
  <c r="W63" i="4"/>
  <c r="R63" i="4"/>
  <c r="M63" i="4"/>
  <c r="H63" i="4"/>
  <c r="D63" i="4"/>
  <c r="E63" i="4" s="1"/>
  <c r="AB62" i="4"/>
  <c r="W62" i="4"/>
  <c r="R62" i="4"/>
  <c r="M62" i="4"/>
  <c r="H62" i="4"/>
  <c r="D62" i="4"/>
  <c r="E62" i="4" s="1"/>
  <c r="AB61" i="4"/>
  <c r="W61" i="4"/>
  <c r="R61" i="4"/>
  <c r="M61" i="4"/>
  <c r="H61" i="4"/>
  <c r="D61" i="4"/>
  <c r="E61" i="4" s="1"/>
  <c r="AB60" i="4"/>
  <c r="W60" i="4"/>
  <c r="R60" i="4"/>
  <c r="M60" i="4"/>
  <c r="H60" i="4"/>
  <c r="D60" i="4"/>
  <c r="E60" i="4" s="1"/>
  <c r="AB59" i="4"/>
  <c r="W59" i="4"/>
  <c r="R59" i="4"/>
  <c r="M59" i="4"/>
  <c r="H59" i="4"/>
  <c r="D59" i="4"/>
  <c r="E59" i="4" s="1"/>
  <c r="AB58" i="4"/>
  <c r="W58" i="4"/>
  <c r="R58" i="4"/>
  <c r="M58" i="4"/>
  <c r="H58" i="4"/>
  <c r="D58" i="4"/>
  <c r="E58" i="4" s="1"/>
  <c r="AB57" i="4"/>
  <c r="W57" i="4"/>
  <c r="R57" i="4"/>
  <c r="M57" i="4"/>
  <c r="H57" i="4"/>
  <c r="D57" i="4"/>
  <c r="E57" i="4" s="1"/>
  <c r="AB56" i="4"/>
  <c r="W56" i="4"/>
  <c r="R56" i="4"/>
  <c r="M56" i="4"/>
  <c r="H56" i="4"/>
  <c r="D56" i="4"/>
  <c r="E56" i="4" s="1"/>
  <c r="AB55" i="4"/>
  <c r="W55" i="4"/>
  <c r="R55" i="4"/>
  <c r="M55" i="4"/>
  <c r="H55" i="4"/>
  <c r="D55" i="4"/>
  <c r="E55" i="4" s="1"/>
  <c r="AB54" i="4"/>
  <c r="W54" i="4"/>
  <c r="R54" i="4"/>
  <c r="M54" i="4"/>
  <c r="H54" i="4"/>
  <c r="D54" i="4"/>
  <c r="E54" i="4" s="1"/>
  <c r="AB53" i="4"/>
  <c r="W53" i="4"/>
  <c r="R53" i="4"/>
  <c r="M53" i="4"/>
  <c r="H53" i="4"/>
  <c r="D53" i="4"/>
  <c r="E53" i="4" s="1"/>
  <c r="AB52" i="4"/>
  <c r="W52" i="4"/>
  <c r="R52" i="4"/>
  <c r="M52" i="4"/>
  <c r="H52" i="4"/>
  <c r="D52" i="4"/>
  <c r="E52" i="4" s="1"/>
  <c r="AB51" i="4"/>
  <c r="W51" i="4"/>
  <c r="R51" i="4"/>
  <c r="M51" i="4"/>
  <c r="H51" i="4"/>
  <c r="D51" i="4"/>
  <c r="E51" i="4" s="1"/>
  <c r="AB50" i="4"/>
  <c r="W50" i="4"/>
  <c r="R50" i="4"/>
  <c r="M50" i="4"/>
  <c r="H50" i="4"/>
  <c r="D50" i="4"/>
  <c r="E50" i="4" s="1"/>
  <c r="AB49" i="4"/>
  <c r="W49" i="4"/>
  <c r="R49" i="4"/>
  <c r="M49" i="4"/>
  <c r="H49" i="4"/>
  <c r="D49" i="4"/>
  <c r="E49" i="4" s="1"/>
  <c r="AB48" i="4"/>
  <c r="W48" i="4"/>
  <c r="R48" i="4"/>
  <c r="M48" i="4"/>
  <c r="H48" i="4"/>
  <c r="D48" i="4"/>
  <c r="E48" i="4" s="1"/>
  <c r="AB47" i="4"/>
  <c r="W47" i="4"/>
  <c r="R47" i="4"/>
  <c r="M47" i="4"/>
  <c r="H47" i="4"/>
  <c r="D47" i="4"/>
  <c r="E47" i="4" s="1"/>
  <c r="AB46" i="4"/>
  <c r="W46" i="4"/>
  <c r="R46" i="4"/>
  <c r="M46" i="4"/>
  <c r="H46" i="4"/>
  <c r="D46" i="4"/>
  <c r="E46" i="4" s="1"/>
  <c r="AB45" i="4"/>
  <c r="W45" i="4"/>
  <c r="R45" i="4"/>
  <c r="M45" i="4"/>
  <c r="H45" i="4"/>
  <c r="D45" i="4"/>
  <c r="E45" i="4" s="1"/>
  <c r="AB44" i="4"/>
  <c r="W44" i="4"/>
  <c r="R44" i="4"/>
  <c r="M44" i="4"/>
  <c r="H44" i="4"/>
  <c r="D44" i="4"/>
  <c r="E44" i="4" s="1"/>
  <c r="AB43" i="4"/>
  <c r="W43" i="4"/>
  <c r="R43" i="4"/>
  <c r="M43" i="4"/>
  <c r="H43" i="4"/>
  <c r="D43" i="4"/>
  <c r="E43" i="4" s="1"/>
  <c r="AB42" i="4"/>
  <c r="W42" i="4"/>
  <c r="R42" i="4"/>
  <c r="M42" i="4"/>
  <c r="H42" i="4"/>
  <c r="D42" i="4"/>
  <c r="E42" i="4" s="1"/>
  <c r="AB41" i="4"/>
  <c r="W41" i="4"/>
  <c r="R41" i="4"/>
  <c r="M41" i="4"/>
  <c r="H41" i="4"/>
  <c r="D41" i="4"/>
  <c r="E41" i="4" s="1"/>
  <c r="AB40" i="4"/>
  <c r="W40" i="4"/>
  <c r="R40" i="4"/>
  <c r="M40" i="4"/>
  <c r="H40" i="4"/>
  <c r="D40" i="4"/>
  <c r="E40" i="4" s="1"/>
  <c r="AB39" i="4"/>
  <c r="W39" i="4"/>
  <c r="R39" i="4"/>
  <c r="M39" i="4"/>
  <c r="H39" i="4"/>
  <c r="D39" i="4"/>
  <c r="E39" i="4" s="1"/>
  <c r="O30" i="4"/>
  <c r="O28" i="4"/>
  <c r="O27" i="4"/>
  <c r="O26" i="4"/>
  <c r="O21" i="4"/>
  <c r="O12" i="4"/>
  <c r="O20" i="4"/>
  <c r="O11" i="4"/>
  <c r="O10" i="4"/>
  <c r="O9" i="4"/>
  <c r="O17" i="4"/>
  <c r="O8" i="4"/>
  <c r="D55" i="2"/>
  <c r="J7" i="4" l="1"/>
  <c r="I7" i="4"/>
  <c r="F7" i="4"/>
  <c r="D19" i="2"/>
  <c r="D27" i="2" s="1"/>
  <c r="D11" i="2"/>
  <c r="G11" i="2"/>
  <c r="G19" i="2"/>
  <c r="G27" i="2" s="1"/>
  <c r="F11" i="2"/>
  <c r="F19" i="2"/>
  <c r="F27" i="2" s="1"/>
  <c r="E19" i="2"/>
  <c r="E27" i="2" s="1"/>
  <c r="E11" i="2"/>
  <c r="C19" i="2"/>
  <c r="C27" i="2" s="1"/>
  <c r="C11" i="2"/>
  <c r="H11" i="2"/>
  <c r="H19" i="2"/>
  <c r="H27" i="2" s="1"/>
  <c r="G13" i="4"/>
  <c r="G12" i="4"/>
  <c r="F35" i="2"/>
  <c r="H41" i="2" s="1"/>
  <c r="H53" i="2" s="1"/>
  <c r="G35" i="2"/>
  <c r="I41" i="2" s="1"/>
  <c r="I53" i="2" s="1"/>
  <c r="D35" i="2"/>
  <c r="F41" i="2" s="1"/>
  <c r="F53" i="2" s="1"/>
  <c r="E35" i="2"/>
  <c r="G41" i="2" s="1"/>
  <c r="G53" i="2" s="1"/>
  <c r="C35" i="2"/>
  <c r="D53" i="2" s="1"/>
  <c r="H35" i="2"/>
  <c r="J41" i="2" s="1"/>
  <c r="J53" i="2" s="1"/>
  <c r="J17" i="4"/>
  <c r="J13" i="4"/>
  <c r="J8" i="4"/>
  <c r="K12" i="4"/>
  <c r="K8" i="4"/>
  <c r="I17" i="4"/>
  <c r="F5" i="2" s="1"/>
  <c r="F37" i="2" s="1"/>
  <c r="K7" i="4"/>
  <c r="H7" i="4"/>
  <c r="I8" i="4"/>
  <c r="J12" i="4"/>
  <c r="H17" i="4"/>
  <c r="E5" i="2" s="1"/>
  <c r="E37" i="2" s="1"/>
  <c r="F8" i="4"/>
  <c r="C9" i="2" s="1"/>
  <c r="G18" i="4"/>
  <c r="I13" i="4"/>
  <c r="I14" i="4" s="1"/>
  <c r="K17" i="4"/>
  <c r="H5" i="2" s="1"/>
  <c r="H37" i="2" s="1"/>
  <c r="H18" i="4"/>
  <c r="G8" i="4"/>
  <c r="H12" i="4"/>
  <c r="K13" i="4"/>
  <c r="H13" i="4"/>
  <c r="H14" i="4" s="1"/>
  <c r="I18" i="4"/>
  <c r="J18" i="4"/>
  <c r="K18" i="4"/>
  <c r="G7" i="4"/>
  <c r="H8" i="4"/>
  <c r="I12" i="4"/>
  <c r="G17" i="4"/>
  <c r="D5" i="2" l="1"/>
  <c r="D37" i="2" s="1"/>
  <c r="G15" i="4"/>
  <c r="D64" i="2"/>
  <c r="G5" i="2"/>
  <c r="G37" i="2" s="1"/>
  <c r="J16" i="4"/>
  <c r="Q9" i="4"/>
  <c r="D14" i="2" s="1"/>
  <c r="G16" i="4"/>
  <c r="G14" i="4"/>
  <c r="D38" i="2" s="1"/>
  <c r="H15" i="4"/>
  <c r="H16" i="4" s="1"/>
  <c r="K15" i="4"/>
  <c r="K16" i="4" s="1"/>
  <c r="I15" i="4"/>
  <c r="I16" i="4" s="1"/>
  <c r="J14" i="4"/>
  <c r="K14" i="4"/>
  <c r="C38" i="2"/>
  <c r="F38" i="2"/>
  <c r="E38" i="2"/>
  <c r="B20" i="2" a="1"/>
  <c r="B20" i="2" s="1"/>
  <c r="B28" i="2" s="1"/>
  <c r="B12" i="2" a="1"/>
  <c r="B12" i="2" s="1"/>
  <c r="K9" i="4"/>
  <c r="D8" i="2"/>
  <c r="D57" i="2"/>
  <c r="D65" i="2" s="1"/>
  <c r="D66" i="2" s="1"/>
  <c r="H8" i="2"/>
  <c r="C8" i="2"/>
  <c r="F8" i="2"/>
  <c r="T20" i="4"/>
  <c r="G24" i="2" s="1"/>
  <c r="G6" i="2"/>
  <c r="E8" i="2"/>
  <c r="S19" i="4"/>
  <c r="F23" i="2" s="1"/>
  <c r="F6" i="2"/>
  <c r="F9" i="2" s="1"/>
  <c r="U21" i="4"/>
  <c r="H25" i="2" s="1"/>
  <c r="H6" i="2"/>
  <c r="H9" i="2" s="1"/>
  <c r="R18" i="4"/>
  <c r="E22" i="2" s="1"/>
  <c r="E6" i="2"/>
  <c r="E9" i="2" s="1"/>
  <c r="Q17" i="4"/>
  <c r="D21" i="2" s="1"/>
  <c r="D6" i="2"/>
  <c r="D9" i="2" s="1"/>
  <c r="J19" i="4"/>
  <c r="J20" i="4" s="1"/>
  <c r="T12" i="4"/>
  <c r="G17" i="2" s="1"/>
  <c r="P11" i="4"/>
  <c r="C16" i="2" s="1"/>
  <c r="K19" i="4"/>
  <c r="K20" i="4" s="1"/>
  <c r="P12" i="4"/>
  <c r="C17" i="2" s="1"/>
  <c r="AC95" i="4"/>
  <c r="AD95" i="4" s="1"/>
  <c r="AC91" i="4"/>
  <c r="AD91" i="4" s="1"/>
  <c r="AC87" i="4"/>
  <c r="AD87" i="4" s="1"/>
  <c r="AC83" i="4"/>
  <c r="AD83" i="4" s="1"/>
  <c r="AC79" i="4"/>
  <c r="AD79" i="4" s="1"/>
  <c r="AC75" i="4"/>
  <c r="AD75" i="4" s="1"/>
  <c r="AC94" i="4"/>
  <c r="AD94" i="4" s="1"/>
  <c r="AC90" i="4"/>
  <c r="AD90" i="4" s="1"/>
  <c r="AC86" i="4"/>
  <c r="AD86" i="4" s="1"/>
  <c r="AC82" i="4"/>
  <c r="AD82" i="4" s="1"/>
  <c r="AC85" i="4"/>
  <c r="AD85" i="4" s="1"/>
  <c r="AC77" i="4"/>
  <c r="AD77" i="4" s="1"/>
  <c r="AC73" i="4"/>
  <c r="AD73" i="4" s="1"/>
  <c r="AC84" i="4"/>
  <c r="AD84" i="4" s="1"/>
  <c r="AC70" i="4"/>
  <c r="AD70" i="4" s="1"/>
  <c r="AC66" i="4"/>
  <c r="AD66" i="4" s="1"/>
  <c r="AC62" i="4"/>
  <c r="AD62" i="4" s="1"/>
  <c r="AC58" i="4"/>
  <c r="AD58" i="4" s="1"/>
  <c r="AC54" i="4"/>
  <c r="AD54" i="4" s="1"/>
  <c r="AC50" i="4"/>
  <c r="AD50" i="4" s="1"/>
  <c r="AC46" i="4"/>
  <c r="AD46" i="4" s="1"/>
  <c r="AC42" i="4"/>
  <c r="AD42" i="4" s="1"/>
  <c r="AC97" i="4"/>
  <c r="AD97" i="4" s="1"/>
  <c r="AC81" i="4"/>
  <c r="AD81" i="4" s="1"/>
  <c r="AC76" i="4"/>
  <c r="AD76" i="4" s="1"/>
  <c r="AC96" i="4"/>
  <c r="AD96" i="4" s="1"/>
  <c r="AC80" i="4"/>
  <c r="AD80" i="4" s="1"/>
  <c r="AC72" i="4"/>
  <c r="AD72" i="4" s="1"/>
  <c r="AC69" i="4"/>
  <c r="AD69" i="4" s="1"/>
  <c r="AC93" i="4"/>
  <c r="AD93" i="4" s="1"/>
  <c r="AC92" i="4"/>
  <c r="AD92" i="4" s="1"/>
  <c r="AC88" i="4"/>
  <c r="AD88" i="4" s="1"/>
  <c r="AC71" i="4"/>
  <c r="AD71" i="4" s="1"/>
  <c r="AC67" i="4"/>
  <c r="AD67" i="4" s="1"/>
  <c r="AC63" i="4"/>
  <c r="AD63" i="4" s="1"/>
  <c r="AC59" i="4"/>
  <c r="AD59" i="4" s="1"/>
  <c r="AC55" i="4"/>
  <c r="AD55" i="4" s="1"/>
  <c r="AC51" i="4"/>
  <c r="AD51" i="4" s="1"/>
  <c r="AC47" i="4"/>
  <c r="AD47" i="4" s="1"/>
  <c r="AC43" i="4"/>
  <c r="AD43" i="4" s="1"/>
  <c r="AC39" i="4"/>
  <c r="AC61" i="4"/>
  <c r="AD61" i="4" s="1"/>
  <c r="AC89" i="4"/>
  <c r="AD89" i="4" s="1"/>
  <c r="AC60" i="4"/>
  <c r="AD60" i="4" s="1"/>
  <c r="AC45" i="4"/>
  <c r="AD45" i="4" s="1"/>
  <c r="AC56" i="4"/>
  <c r="AD56" i="4" s="1"/>
  <c r="AC68" i="4"/>
  <c r="AD68" i="4" s="1"/>
  <c r="AC44" i="4"/>
  <c r="AD44" i="4" s="1"/>
  <c r="AC53" i="4"/>
  <c r="AD53" i="4" s="1"/>
  <c r="AC52" i="4"/>
  <c r="AD52" i="4" s="1"/>
  <c r="AC57" i="4"/>
  <c r="AD57" i="4" s="1"/>
  <c r="AC41" i="4"/>
  <c r="AD41" i="4" s="1"/>
  <c r="AC40" i="4"/>
  <c r="AD40" i="4" s="1"/>
  <c r="AC64" i="4"/>
  <c r="AD64" i="4" s="1"/>
  <c r="AC48" i="4"/>
  <c r="AD48" i="4" s="1"/>
  <c r="AC49" i="4"/>
  <c r="AD49" i="4" s="1"/>
  <c r="AC74" i="4"/>
  <c r="AD74" i="4" s="1"/>
  <c r="AC78" i="4"/>
  <c r="AD78" i="4" s="1"/>
  <c r="AC65" i="4"/>
  <c r="AD65" i="4" s="1"/>
  <c r="N97" i="4"/>
  <c r="O97" i="4" s="1"/>
  <c r="S97" i="4" s="1"/>
  <c r="T97" i="4" s="1"/>
  <c r="N93" i="4"/>
  <c r="O93" i="4" s="1"/>
  <c r="S93" i="4" s="1"/>
  <c r="T93" i="4" s="1"/>
  <c r="N89" i="4"/>
  <c r="O89" i="4" s="1"/>
  <c r="S89" i="4" s="1"/>
  <c r="T89" i="4" s="1"/>
  <c r="N85" i="4"/>
  <c r="O85" i="4" s="1"/>
  <c r="S85" i="4" s="1"/>
  <c r="T85" i="4" s="1"/>
  <c r="N81" i="4"/>
  <c r="O81" i="4" s="1"/>
  <c r="S81" i="4" s="1"/>
  <c r="T81" i="4" s="1"/>
  <c r="N77" i="4"/>
  <c r="O77" i="4" s="1"/>
  <c r="S77" i="4" s="1"/>
  <c r="T77" i="4" s="1"/>
  <c r="N96" i="4"/>
  <c r="O96" i="4" s="1"/>
  <c r="S96" i="4" s="1"/>
  <c r="T96" i="4" s="1"/>
  <c r="N92" i="4"/>
  <c r="O92" i="4" s="1"/>
  <c r="S92" i="4" s="1"/>
  <c r="T92" i="4" s="1"/>
  <c r="N88" i="4"/>
  <c r="O88" i="4" s="1"/>
  <c r="S88" i="4" s="1"/>
  <c r="T88" i="4" s="1"/>
  <c r="N84" i="4"/>
  <c r="O84" i="4" s="1"/>
  <c r="S84" i="4" s="1"/>
  <c r="T84" i="4" s="1"/>
  <c r="N86" i="4"/>
  <c r="O86" i="4" s="1"/>
  <c r="S86" i="4" s="1"/>
  <c r="T86" i="4" s="1"/>
  <c r="N73" i="4"/>
  <c r="O73" i="4" s="1"/>
  <c r="S73" i="4" s="1"/>
  <c r="T73" i="4" s="1"/>
  <c r="N83" i="4"/>
  <c r="O83" i="4" s="1"/>
  <c r="S83" i="4" s="1"/>
  <c r="T83" i="4" s="1"/>
  <c r="N68" i="4"/>
  <c r="O68" i="4" s="1"/>
  <c r="S68" i="4" s="1"/>
  <c r="T68" i="4" s="1"/>
  <c r="N64" i="4"/>
  <c r="O64" i="4" s="1"/>
  <c r="S64" i="4" s="1"/>
  <c r="T64" i="4" s="1"/>
  <c r="N60" i="4"/>
  <c r="O60" i="4" s="1"/>
  <c r="S60" i="4" s="1"/>
  <c r="T60" i="4" s="1"/>
  <c r="N56" i="4"/>
  <c r="O56" i="4" s="1"/>
  <c r="S56" i="4" s="1"/>
  <c r="T56" i="4" s="1"/>
  <c r="N52" i="4"/>
  <c r="O52" i="4" s="1"/>
  <c r="S52" i="4" s="1"/>
  <c r="T52" i="4" s="1"/>
  <c r="N48" i="4"/>
  <c r="O48" i="4" s="1"/>
  <c r="S48" i="4" s="1"/>
  <c r="T48" i="4" s="1"/>
  <c r="N44" i="4"/>
  <c r="O44" i="4" s="1"/>
  <c r="S44" i="4" s="1"/>
  <c r="T44" i="4" s="1"/>
  <c r="N40" i="4"/>
  <c r="O40" i="4" s="1"/>
  <c r="S40" i="4" s="1"/>
  <c r="T40" i="4" s="1"/>
  <c r="N82" i="4"/>
  <c r="O82" i="4" s="1"/>
  <c r="S82" i="4" s="1"/>
  <c r="T82" i="4" s="1"/>
  <c r="N80" i="4"/>
  <c r="O80" i="4" s="1"/>
  <c r="S80" i="4" s="1"/>
  <c r="T80" i="4" s="1"/>
  <c r="N76" i="4"/>
  <c r="O76" i="4" s="1"/>
  <c r="S76" i="4" s="1"/>
  <c r="T76" i="4" s="1"/>
  <c r="N95" i="4"/>
  <c r="O95" i="4" s="1"/>
  <c r="S95" i="4" s="1"/>
  <c r="T95" i="4" s="1"/>
  <c r="N72" i="4"/>
  <c r="O72" i="4" s="1"/>
  <c r="S72" i="4" s="1"/>
  <c r="T72" i="4" s="1"/>
  <c r="N71" i="4"/>
  <c r="O71" i="4" s="1"/>
  <c r="S71" i="4" s="1"/>
  <c r="T71" i="4" s="1"/>
  <c r="N94" i="4"/>
  <c r="O94" i="4" s="1"/>
  <c r="S94" i="4" s="1"/>
  <c r="T94" i="4" s="1"/>
  <c r="N91" i="4"/>
  <c r="O91" i="4" s="1"/>
  <c r="S91" i="4" s="1"/>
  <c r="T91" i="4" s="1"/>
  <c r="N87" i="4"/>
  <c r="O87" i="4" s="1"/>
  <c r="S87" i="4" s="1"/>
  <c r="T87" i="4" s="1"/>
  <c r="N78" i="4"/>
  <c r="O78" i="4" s="1"/>
  <c r="S78" i="4" s="1"/>
  <c r="T78" i="4" s="1"/>
  <c r="N74" i="4"/>
  <c r="O74" i="4" s="1"/>
  <c r="S74" i="4" s="1"/>
  <c r="T74" i="4" s="1"/>
  <c r="N69" i="4"/>
  <c r="O69" i="4" s="1"/>
  <c r="S69" i="4" s="1"/>
  <c r="T69" i="4" s="1"/>
  <c r="N65" i="4"/>
  <c r="O65" i="4" s="1"/>
  <c r="S65" i="4" s="1"/>
  <c r="T65" i="4" s="1"/>
  <c r="N61" i="4"/>
  <c r="O61" i="4" s="1"/>
  <c r="S61" i="4" s="1"/>
  <c r="T61" i="4" s="1"/>
  <c r="N57" i="4"/>
  <c r="O57" i="4" s="1"/>
  <c r="S57" i="4" s="1"/>
  <c r="T57" i="4" s="1"/>
  <c r="N53" i="4"/>
  <c r="O53" i="4" s="1"/>
  <c r="S53" i="4" s="1"/>
  <c r="T53" i="4" s="1"/>
  <c r="N49" i="4"/>
  <c r="O49" i="4" s="1"/>
  <c r="S49" i="4" s="1"/>
  <c r="T49" i="4" s="1"/>
  <c r="N45" i="4"/>
  <c r="O45" i="4" s="1"/>
  <c r="S45" i="4" s="1"/>
  <c r="T45" i="4" s="1"/>
  <c r="N41" i="4"/>
  <c r="O41" i="4" s="1"/>
  <c r="S41" i="4" s="1"/>
  <c r="T41" i="4" s="1"/>
  <c r="N62" i="4"/>
  <c r="O62" i="4" s="1"/>
  <c r="S62" i="4" s="1"/>
  <c r="T62" i="4" s="1"/>
  <c r="N46" i="4"/>
  <c r="O46" i="4" s="1"/>
  <c r="S46" i="4" s="1"/>
  <c r="T46" i="4" s="1"/>
  <c r="N39" i="4"/>
  <c r="O39" i="4" s="1"/>
  <c r="N90" i="4"/>
  <c r="O90" i="4" s="1"/>
  <c r="S90" i="4" s="1"/>
  <c r="T90" i="4" s="1"/>
  <c r="N59" i="4"/>
  <c r="O59" i="4" s="1"/>
  <c r="S59" i="4" s="1"/>
  <c r="T59" i="4" s="1"/>
  <c r="N51" i="4"/>
  <c r="O51" i="4" s="1"/>
  <c r="S51" i="4" s="1"/>
  <c r="T51" i="4" s="1"/>
  <c r="N42" i="4"/>
  <c r="O42" i="4" s="1"/>
  <c r="S42" i="4" s="1"/>
  <c r="T42" i="4" s="1"/>
  <c r="N55" i="4"/>
  <c r="O55" i="4" s="1"/>
  <c r="S55" i="4" s="1"/>
  <c r="T55" i="4" s="1"/>
  <c r="N50" i="4"/>
  <c r="O50" i="4" s="1"/>
  <c r="S50" i="4" s="1"/>
  <c r="T50" i="4" s="1"/>
  <c r="N67" i="4"/>
  <c r="O67" i="4" s="1"/>
  <c r="S67" i="4" s="1"/>
  <c r="T67" i="4" s="1"/>
  <c r="N75" i="4"/>
  <c r="O75" i="4" s="1"/>
  <c r="S75" i="4" s="1"/>
  <c r="T75" i="4" s="1"/>
  <c r="N58" i="4"/>
  <c r="O58" i="4" s="1"/>
  <c r="S58" i="4" s="1"/>
  <c r="T58" i="4" s="1"/>
  <c r="N54" i="4"/>
  <c r="O54" i="4" s="1"/>
  <c r="S54" i="4" s="1"/>
  <c r="T54" i="4" s="1"/>
  <c r="N70" i="4"/>
  <c r="O70" i="4" s="1"/>
  <c r="S70" i="4" s="1"/>
  <c r="T70" i="4" s="1"/>
  <c r="N79" i="4"/>
  <c r="O79" i="4" s="1"/>
  <c r="S79" i="4" s="1"/>
  <c r="T79" i="4" s="1"/>
  <c r="N63" i="4"/>
  <c r="O63" i="4" s="1"/>
  <c r="S63" i="4" s="1"/>
  <c r="T63" i="4" s="1"/>
  <c r="N47" i="4"/>
  <c r="O47" i="4" s="1"/>
  <c r="S47" i="4" s="1"/>
  <c r="T47" i="4" s="1"/>
  <c r="N43" i="4"/>
  <c r="O43" i="4" s="1"/>
  <c r="S43" i="4" s="1"/>
  <c r="T43" i="4" s="1"/>
  <c r="N66" i="4"/>
  <c r="O66" i="4" s="1"/>
  <c r="S66" i="4" s="1"/>
  <c r="T66" i="4" s="1"/>
  <c r="I95" i="4"/>
  <c r="J95" i="4" s="1"/>
  <c r="I91" i="4"/>
  <c r="J91" i="4" s="1"/>
  <c r="I87" i="4"/>
  <c r="J87" i="4" s="1"/>
  <c r="I83" i="4"/>
  <c r="J83" i="4" s="1"/>
  <c r="I79" i="4"/>
  <c r="J79" i="4" s="1"/>
  <c r="I75" i="4"/>
  <c r="J75" i="4" s="1"/>
  <c r="I94" i="4"/>
  <c r="J94" i="4" s="1"/>
  <c r="I90" i="4"/>
  <c r="J90" i="4" s="1"/>
  <c r="I86" i="4"/>
  <c r="J86" i="4" s="1"/>
  <c r="I82" i="4"/>
  <c r="J82" i="4" s="1"/>
  <c r="I89" i="4"/>
  <c r="J89" i="4" s="1"/>
  <c r="I88" i="4"/>
  <c r="J88" i="4" s="1"/>
  <c r="I78" i="4"/>
  <c r="J78" i="4" s="1"/>
  <c r="I74" i="4"/>
  <c r="J74" i="4" s="1"/>
  <c r="I70" i="4"/>
  <c r="J70" i="4" s="1"/>
  <c r="I66" i="4"/>
  <c r="J66" i="4" s="1"/>
  <c r="I62" i="4"/>
  <c r="J62" i="4" s="1"/>
  <c r="I58" i="4"/>
  <c r="J58" i="4" s="1"/>
  <c r="I54" i="4"/>
  <c r="J54" i="4" s="1"/>
  <c r="I50" i="4"/>
  <c r="J50" i="4" s="1"/>
  <c r="I46" i="4"/>
  <c r="J46" i="4" s="1"/>
  <c r="I42" i="4"/>
  <c r="J42" i="4" s="1"/>
  <c r="I85" i="4"/>
  <c r="J85" i="4" s="1"/>
  <c r="I77" i="4"/>
  <c r="J77" i="4" s="1"/>
  <c r="I84" i="4"/>
  <c r="J84" i="4" s="1"/>
  <c r="I73" i="4"/>
  <c r="J73" i="4" s="1"/>
  <c r="I69" i="4"/>
  <c r="J69" i="4" s="1"/>
  <c r="I97" i="4"/>
  <c r="J97" i="4" s="1"/>
  <c r="I96" i="4"/>
  <c r="J96" i="4" s="1"/>
  <c r="I92" i="4"/>
  <c r="J92" i="4" s="1"/>
  <c r="I72" i="4"/>
  <c r="J72" i="4" s="1"/>
  <c r="I71" i="4"/>
  <c r="J71" i="4" s="1"/>
  <c r="I67" i="4"/>
  <c r="J67" i="4" s="1"/>
  <c r="I63" i="4"/>
  <c r="J63" i="4" s="1"/>
  <c r="I59" i="4"/>
  <c r="J59" i="4" s="1"/>
  <c r="I55" i="4"/>
  <c r="J55" i="4" s="1"/>
  <c r="I51" i="4"/>
  <c r="J51" i="4" s="1"/>
  <c r="I47" i="4"/>
  <c r="J47" i="4" s="1"/>
  <c r="I43" i="4"/>
  <c r="J43" i="4" s="1"/>
  <c r="I39" i="4"/>
  <c r="J39" i="4" s="1"/>
  <c r="I65" i="4"/>
  <c r="J65" i="4" s="1"/>
  <c r="I52" i="4"/>
  <c r="J52" i="4" s="1"/>
  <c r="I49" i="4"/>
  <c r="J49" i="4" s="1"/>
  <c r="I64" i="4"/>
  <c r="J64" i="4" s="1"/>
  <c r="I48" i="4"/>
  <c r="J48" i="4" s="1"/>
  <c r="I45" i="4"/>
  <c r="J45" i="4" s="1"/>
  <c r="I80" i="4"/>
  <c r="J80" i="4" s="1"/>
  <c r="I68" i="4"/>
  <c r="J68" i="4" s="1"/>
  <c r="I41" i="4"/>
  <c r="J41" i="4" s="1"/>
  <c r="I93" i="4"/>
  <c r="J93" i="4" s="1"/>
  <c r="I61" i="4"/>
  <c r="J61" i="4" s="1"/>
  <c r="I60" i="4"/>
  <c r="J60" i="4" s="1"/>
  <c r="I57" i="4"/>
  <c r="J57" i="4" s="1"/>
  <c r="I76" i="4"/>
  <c r="J76" i="4" s="1"/>
  <c r="I56" i="4"/>
  <c r="J56" i="4" s="1"/>
  <c r="I81" i="4"/>
  <c r="J81" i="4" s="1"/>
  <c r="I53" i="4"/>
  <c r="J53" i="4" s="1"/>
  <c r="I40" i="4"/>
  <c r="J40" i="4" s="1"/>
  <c r="I44" i="4"/>
  <c r="J44" i="4" s="1"/>
  <c r="I19" i="4"/>
  <c r="I20" i="4" s="1"/>
  <c r="S12" i="4"/>
  <c r="F17" i="2" s="1"/>
  <c r="S11" i="4"/>
  <c r="F16" i="2" s="1"/>
  <c r="P10" i="4"/>
  <c r="C15" i="2" s="1"/>
  <c r="H9" i="4"/>
  <c r="I9" i="4"/>
  <c r="G9" i="4"/>
  <c r="F9" i="4"/>
  <c r="J9" i="4"/>
  <c r="Q12" i="4"/>
  <c r="D17" i="2" s="1"/>
  <c r="Q10" i="4"/>
  <c r="D15" i="2" s="1"/>
  <c r="P8" i="4"/>
  <c r="C13" i="2" s="1"/>
  <c r="G19" i="4"/>
  <c r="G20" i="4" s="1"/>
  <c r="Q11" i="4"/>
  <c r="D16" i="2" s="1"/>
  <c r="S39" i="4"/>
  <c r="T39" i="4" s="1"/>
  <c r="H19" i="4"/>
  <c r="H20" i="4" s="1"/>
  <c r="P9" i="4"/>
  <c r="C14" i="2" s="1"/>
  <c r="R11" i="4"/>
  <c r="E16" i="2" s="1"/>
  <c r="R12" i="4"/>
  <c r="E17" i="2" s="1"/>
  <c r="R10" i="4"/>
  <c r="E15" i="2" s="1"/>
  <c r="P16" i="4"/>
  <c r="Q18" i="4" s="1"/>
  <c r="D22" i="2" s="1"/>
  <c r="F12" i="4"/>
  <c r="F11" i="4"/>
  <c r="X97" i="4"/>
  <c r="Y97" i="4" s="1"/>
  <c r="X93" i="4"/>
  <c r="Y93" i="4" s="1"/>
  <c r="X89" i="4"/>
  <c r="Y89" i="4" s="1"/>
  <c r="X85" i="4"/>
  <c r="Y85" i="4" s="1"/>
  <c r="X81" i="4"/>
  <c r="Y81" i="4" s="1"/>
  <c r="X77" i="4"/>
  <c r="Y77" i="4" s="1"/>
  <c r="X73" i="4"/>
  <c r="Y73" i="4" s="1"/>
  <c r="X96" i="4"/>
  <c r="Y96" i="4" s="1"/>
  <c r="X92" i="4"/>
  <c r="Y92" i="4" s="1"/>
  <c r="X88" i="4"/>
  <c r="Y88" i="4" s="1"/>
  <c r="X84" i="4"/>
  <c r="Y84" i="4" s="1"/>
  <c r="X80" i="4"/>
  <c r="Y80" i="4" s="1"/>
  <c r="X91" i="4"/>
  <c r="Y91" i="4" s="1"/>
  <c r="X90" i="4"/>
  <c r="Y90" i="4" s="1"/>
  <c r="X78" i="4"/>
  <c r="Y78" i="4" s="1"/>
  <c r="X74" i="4"/>
  <c r="Y74" i="4" s="1"/>
  <c r="X68" i="4"/>
  <c r="Y68" i="4" s="1"/>
  <c r="X64" i="4"/>
  <c r="Y64" i="4" s="1"/>
  <c r="X60" i="4"/>
  <c r="Y60" i="4" s="1"/>
  <c r="X56" i="4"/>
  <c r="Y56" i="4" s="1"/>
  <c r="X52" i="4"/>
  <c r="Y52" i="4" s="1"/>
  <c r="X48" i="4"/>
  <c r="Y48" i="4" s="1"/>
  <c r="X44" i="4"/>
  <c r="Y44" i="4" s="1"/>
  <c r="X40" i="4"/>
  <c r="Y40" i="4" s="1"/>
  <c r="X87" i="4"/>
  <c r="Y87" i="4" s="1"/>
  <c r="X86" i="4"/>
  <c r="Y86" i="4" s="1"/>
  <c r="X71" i="4"/>
  <c r="Y71" i="4" s="1"/>
  <c r="X83" i="4"/>
  <c r="Y83" i="4" s="1"/>
  <c r="X94" i="4"/>
  <c r="Y94" i="4" s="1"/>
  <c r="X79" i="4"/>
  <c r="Y79" i="4" s="1"/>
  <c r="X75" i="4"/>
  <c r="Y75" i="4" s="1"/>
  <c r="X69" i="4"/>
  <c r="Y69" i="4" s="1"/>
  <c r="X65" i="4"/>
  <c r="Y65" i="4" s="1"/>
  <c r="X61" i="4"/>
  <c r="Y61" i="4" s="1"/>
  <c r="X57" i="4"/>
  <c r="Y57" i="4" s="1"/>
  <c r="X53" i="4"/>
  <c r="Y53" i="4" s="1"/>
  <c r="X49" i="4"/>
  <c r="Y49" i="4" s="1"/>
  <c r="X45" i="4"/>
  <c r="Y45" i="4" s="1"/>
  <c r="X41" i="4"/>
  <c r="Y41" i="4" s="1"/>
  <c r="X66" i="4"/>
  <c r="Y66" i="4" s="1"/>
  <c r="X54" i="4"/>
  <c r="Y54" i="4" s="1"/>
  <c r="X43" i="4"/>
  <c r="Y43" i="4" s="1"/>
  <c r="X51" i="4"/>
  <c r="Y51" i="4" s="1"/>
  <c r="X82" i="4"/>
  <c r="Y82" i="4" s="1"/>
  <c r="X42" i="4"/>
  <c r="Y42" i="4" s="1"/>
  <c r="X63" i="4"/>
  <c r="Y63" i="4" s="1"/>
  <c r="X47" i="4"/>
  <c r="Y47" i="4" s="1"/>
  <c r="X39" i="4"/>
  <c r="Y39" i="4" s="1"/>
  <c r="X46" i="4"/>
  <c r="Y46" i="4" s="1"/>
  <c r="X59" i="4"/>
  <c r="Y59" i="4" s="1"/>
  <c r="X58" i="4"/>
  <c r="Y58" i="4" s="1"/>
  <c r="X70" i="4"/>
  <c r="Y70" i="4" s="1"/>
  <c r="X55" i="4"/>
  <c r="Y55" i="4" s="1"/>
  <c r="X95" i="4"/>
  <c r="Y95" i="4" s="1"/>
  <c r="X62" i="4"/>
  <c r="Y62" i="4" s="1"/>
  <c r="X76" i="4"/>
  <c r="Y76" i="4" s="1"/>
  <c r="X72" i="4"/>
  <c r="Y72" i="4" s="1"/>
  <c r="X67" i="4"/>
  <c r="Y67" i="4" s="1"/>
  <c r="X50" i="4"/>
  <c r="Y50" i="4" s="1"/>
  <c r="G9" i="2" l="1"/>
  <c r="G10" i="4"/>
  <c r="G8" i="2"/>
  <c r="D68" i="2"/>
  <c r="H38" i="2"/>
  <c r="G38" i="2"/>
  <c r="E49" i="2"/>
  <c r="D56" i="2"/>
  <c r="R21" i="4"/>
  <c r="E25" i="2" s="1"/>
  <c r="Q21" i="4"/>
  <c r="D25" i="2" s="1"/>
  <c r="Q20" i="4"/>
  <c r="D24" i="2" s="1"/>
  <c r="P20" i="4"/>
  <c r="C24" i="2" s="1"/>
  <c r="S21" i="4"/>
  <c r="F25" i="2" s="1"/>
  <c r="Q19" i="4"/>
  <c r="D23" i="2" s="1"/>
  <c r="P17" i="4"/>
  <c r="C21" i="2" s="1"/>
  <c r="P21" i="4"/>
  <c r="C25" i="2" s="1"/>
  <c r="C20" i="2"/>
  <c r="R19" i="4"/>
  <c r="E23" i="2" s="1"/>
  <c r="P18" i="4"/>
  <c r="C22" i="2" s="1"/>
  <c r="R29" i="4"/>
  <c r="E32" i="2" s="1"/>
  <c r="R28" i="4"/>
  <c r="E31" i="2" s="1"/>
  <c r="H10" i="4"/>
  <c r="E7" i="2" s="1"/>
  <c r="G42" i="2" s="1"/>
  <c r="G43" i="2" s="1"/>
  <c r="H11" i="4"/>
  <c r="R20" i="4"/>
  <c r="E24" i="2" s="1"/>
  <c r="S20" i="4"/>
  <c r="F24" i="2" s="1"/>
  <c r="I10" i="4"/>
  <c r="F7" i="2" s="1"/>
  <c r="H42" i="2" s="1"/>
  <c r="H43" i="2" s="1"/>
  <c r="S29" i="4"/>
  <c r="F32" i="2" s="1"/>
  <c r="J11" i="4"/>
  <c r="P19" i="4"/>
  <c r="C23" i="2" s="1"/>
  <c r="G11" i="4"/>
  <c r="T21" i="4"/>
  <c r="G25" i="2" s="1"/>
  <c r="J10" i="4"/>
  <c r="G7" i="2" s="1"/>
  <c r="I42" i="2" s="1"/>
  <c r="I43" i="2" s="1"/>
  <c r="K11" i="4"/>
  <c r="I11" i="4"/>
  <c r="Q29" i="4"/>
  <c r="D32" i="2" s="1"/>
  <c r="Q28" i="4"/>
  <c r="D31" i="2" s="1"/>
  <c r="Q27" i="4"/>
  <c r="D30" i="2" s="1"/>
  <c r="D7" i="2"/>
  <c r="F42" i="2" s="1"/>
  <c r="F43" i="2" s="1"/>
  <c r="AD39" i="4"/>
  <c r="K10" i="4" s="1"/>
  <c r="H7" i="2" s="1"/>
  <c r="J42" i="2" s="1"/>
  <c r="J43" i="2" s="1"/>
  <c r="D58" i="2" l="1"/>
  <c r="D63" i="2"/>
  <c r="D67" i="2"/>
  <c r="D60" i="2"/>
  <c r="Q30" i="4"/>
  <c r="D33" i="2" s="1"/>
  <c r="T30" i="4"/>
  <c r="G33" i="2" s="1"/>
  <c r="E43" i="2"/>
  <c r="J44" i="2" s="1"/>
  <c r="R30" i="4"/>
  <c r="E33" i="2" s="1"/>
  <c r="S30" i="4"/>
  <c r="F33" i="2" s="1"/>
  <c r="D69" i="2" l="1"/>
  <c r="D70" i="2"/>
  <c r="H44" i="2"/>
  <c r="H45" i="2" s="1"/>
  <c r="G44" i="2"/>
  <c r="G45" i="2" s="1"/>
  <c r="J45" i="2"/>
  <c r="F44" i="2"/>
  <c r="I44" i="2"/>
  <c r="E46" i="2" l="1"/>
  <c r="E61" i="2" s="1"/>
  <c r="C61" i="2" s="1"/>
  <c r="I45" i="2"/>
  <c r="F45" i="2"/>
  <c r="E56" i="2"/>
  <c r="E44" i="2"/>
  <c r="E55" i="2"/>
  <c r="E51" i="2"/>
  <c r="E64" i="2" l="1"/>
  <c r="C64" i="2" s="1"/>
  <c r="E63" i="2"/>
  <c r="C63" i="2" s="1"/>
  <c r="E67" i="2"/>
  <c r="E60" i="2"/>
  <c r="E47" i="2"/>
  <c r="E48" i="2" s="1"/>
  <c r="E50" i="2" s="1"/>
  <c r="E70" i="2" l="1"/>
  <c r="C70" i="2" s="1"/>
  <c r="C67" i="2"/>
  <c r="E57" i="2"/>
  <c r="D54" i="2"/>
  <c r="J54" i="2"/>
  <c r="H54" i="2"/>
  <c r="G54" i="2"/>
  <c r="H32" i="4" s="1"/>
  <c r="F54" i="2"/>
  <c r="I54" i="2"/>
  <c r="E58" i="2" l="1"/>
  <c r="E65" i="2"/>
  <c r="E62" i="2"/>
  <c r="C62" i="2" s="1"/>
  <c r="F32" i="4"/>
  <c r="J32" i="4"/>
  <c r="G32" i="4"/>
  <c r="I32" i="4"/>
  <c r="K32" i="4"/>
  <c r="C55" i="2"/>
  <c r="C56" i="2"/>
  <c r="C57" i="2"/>
  <c r="D7" i="5" s="1"/>
  <c r="C60" i="2" l="1"/>
  <c r="E66" i="2"/>
  <c r="C65" i="2"/>
  <c r="AF39" i="4"/>
  <c r="AF47" i="4"/>
  <c r="AF69" i="4"/>
  <c r="AF52" i="4"/>
  <c r="AF56" i="4"/>
  <c r="AF80" i="4"/>
  <c r="AF46" i="4"/>
  <c r="AF78" i="4"/>
  <c r="AF67" i="4"/>
  <c r="AF89" i="4"/>
  <c r="AF48" i="4"/>
  <c r="AF79" i="4"/>
  <c r="AF66" i="4"/>
  <c r="AF51" i="4"/>
  <c r="AF63" i="4"/>
  <c r="AF73" i="4"/>
  <c r="AF76" i="4"/>
  <c r="AF64" i="4"/>
  <c r="AE39" i="4"/>
  <c r="AF50" i="4"/>
  <c r="AF82" i="4"/>
  <c r="AF83" i="4"/>
  <c r="AF91" i="4"/>
  <c r="AF45" i="4"/>
  <c r="AF77" i="4"/>
  <c r="AF84" i="4"/>
  <c r="AF88" i="4"/>
  <c r="AF43" i="4"/>
  <c r="AF54" i="4"/>
  <c r="AF86" i="4"/>
  <c r="AF41" i="4"/>
  <c r="AF49" i="4"/>
  <c r="AF81" i="4"/>
  <c r="AF96" i="4"/>
  <c r="AF92" i="4"/>
  <c r="AF71" i="4"/>
  <c r="AF58" i="4"/>
  <c r="AF90" i="4"/>
  <c r="AF53" i="4"/>
  <c r="AF85" i="4"/>
  <c r="AF72" i="4"/>
  <c r="AF95" i="4"/>
  <c r="AF75" i="4"/>
  <c r="AF62" i="4"/>
  <c r="AF94" i="4"/>
  <c r="AF57" i="4"/>
  <c r="AF61" i="4"/>
  <c r="AF93" i="4"/>
  <c r="AF40" i="4"/>
  <c r="AF60" i="4"/>
  <c r="AF87" i="4"/>
  <c r="AF70" i="4"/>
  <c r="AF55" i="4"/>
  <c r="AF65" i="4"/>
  <c r="AF97" i="4"/>
  <c r="AF44" i="4"/>
  <c r="AF68" i="4"/>
  <c r="AF42" i="4"/>
  <c r="AF74" i="4"/>
  <c r="AF59" i="4"/>
  <c r="C7" i="5"/>
  <c r="C58" i="2"/>
  <c r="E68" i="2" l="1"/>
  <c r="C66" i="2"/>
  <c r="AE40" i="4"/>
  <c r="AE41" i="4" s="1"/>
  <c r="AE42" i="4" s="1"/>
  <c r="AE43" i="4" s="1"/>
  <c r="AE44" i="4" s="1"/>
  <c r="AE45" i="4" s="1"/>
  <c r="AE46" i="4" s="1"/>
  <c r="AE47" i="4" s="1"/>
  <c r="AE48" i="4" s="1"/>
  <c r="AE49" i="4" s="1"/>
  <c r="AE50" i="4" s="1"/>
  <c r="AE51" i="4" s="1"/>
  <c r="AE52" i="4" s="1"/>
  <c r="AE53" i="4" s="1"/>
  <c r="AE54" i="4" s="1"/>
  <c r="AE55" i="4" s="1"/>
  <c r="AE56" i="4" s="1"/>
  <c r="AE57" i="4" s="1"/>
  <c r="AE58" i="4" s="1"/>
  <c r="AE59" i="4" s="1"/>
  <c r="AE60" i="4" s="1"/>
  <c r="AE61" i="4" s="1"/>
  <c r="AE62" i="4" s="1"/>
  <c r="AE63" i="4" s="1"/>
  <c r="AE64" i="4" s="1"/>
  <c r="AE65" i="4" s="1"/>
  <c r="AE66" i="4" s="1"/>
  <c r="AE67" i="4" s="1"/>
  <c r="AE68" i="4" s="1"/>
  <c r="AE69" i="4" s="1"/>
  <c r="AE70" i="4" s="1"/>
  <c r="AE71" i="4" s="1"/>
  <c r="AE72" i="4" s="1"/>
  <c r="AE73" i="4" s="1"/>
  <c r="AE74" i="4" s="1"/>
  <c r="AE75" i="4" s="1"/>
  <c r="AE76" i="4" s="1"/>
  <c r="AE77" i="4" s="1"/>
  <c r="AE78" i="4" s="1"/>
  <c r="AE79" i="4" s="1"/>
  <c r="AE80" i="4" s="1"/>
  <c r="AE81" i="4" s="1"/>
  <c r="AE82" i="4" s="1"/>
  <c r="AE83" i="4" s="1"/>
  <c r="AE84" i="4" s="1"/>
  <c r="AE85" i="4" s="1"/>
  <c r="AE86" i="4" s="1"/>
  <c r="AE87" i="4" s="1"/>
  <c r="AE88" i="4" s="1"/>
  <c r="AE89" i="4" s="1"/>
  <c r="AE90" i="4" s="1"/>
  <c r="AE91" i="4" s="1"/>
  <c r="AE92" i="4" s="1"/>
  <c r="AE93" i="4" s="1"/>
  <c r="AE94" i="4" s="1"/>
  <c r="AE95" i="4" s="1"/>
  <c r="AE96" i="4" s="1"/>
  <c r="AE97" i="4" s="1"/>
  <c r="E6" i="5"/>
  <c r="F6" i="5" s="1"/>
  <c r="E22" i="5" s="1"/>
  <c r="C26" i="5"/>
  <c r="D26" i="5" s="1"/>
  <c r="D7" i="6" s="1"/>
  <c r="D21" i="5"/>
  <c r="D22" i="5"/>
  <c r="D14" i="5"/>
  <c r="D20" i="5"/>
  <c r="D17" i="5"/>
  <c r="D12" i="5"/>
  <c r="D13" i="5"/>
  <c r="D15" i="5"/>
  <c r="D16" i="5"/>
  <c r="D18" i="5"/>
  <c r="D19" i="5"/>
  <c r="C68" i="2" l="1"/>
  <c r="E69" i="2"/>
  <c r="C69" i="2" s="1"/>
  <c r="E19" i="5"/>
  <c r="F19" i="5" s="1"/>
  <c r="E21" i="5"/>
  <c r="F21" i="5" s="1"/>
  <c r="E12" i="5"/>
  <c r="F12" i="5" s="1"/>
  <c r="E16" i="5"/>
  <c r="F16" i="5" s="1"/>
  <c r="E15" i="5"/>
  <c r="F15" i="5" s="1"/>
  <c r="E17" i="5"/>
  <c r="F17" i="5" s="1"/>
  <c r="E20" i="5"/>
  <c r="F20" i="5" s="1"/>
  <c r="E13" i="5"/>
  <c r="F13" i="5" s="1"/>
  <c r="E14" i="5"/>
  <c r="F14" i="5" s="1"/>
  <c r="F22" i="5"/>
  <c r="E18" i="5"/>
  <c r="F18" i="5" s="1"/>
  <c r="E26" i="5"/>
  <c r="C24" i="5"/>
  <c r="E24" i="5" s="1"/>
  <c r="D29" i="5" l="1"/>
  <c r="D30" i="5" s="1"/>
  <c r="D8" i="6"/>
  <c r="F26" i="5"/>
  <c r="D24" i="5"/>
  <c r="F24" i="5" s="1"/>
  <c r="D15" i="6" l="1"/>
  <c r="D14" i="6"/>
  <c r="D23" i="6" s="1"/>
  <c r="D33" i="5"/>
  <c r="D32" i="5"/>
  <c r="D31" i="5"/>
  <c r="D34" i="5"/>
  <c r="D35" i="5" l="1"/>
  <c r="D12" i="6"/>
  <c r="D13" i="6" s="1"/>
  <c r="D18" i="6" s="1"/>
  <c r="F21" i="6" s="1"/>
  <c r="C23" i="6" l="1"/>
  <c r="B25" i="2"/>
  <c r="B33" i="2" s="1"/>
  <c r="B24" i="2"/>
  <c r="B32" i="2" s="1"/>
  <c r="B23" i="2"/>
  <c r="B31" i="2" s="1"/>
  <c r="B22" i="2"/>
  <c r="B30" i="2" s="1"/>
  <c r="B21" i="2"/>
  <c r="B29" i="2" s="1"/>
  <c r="B17" i="2"/>
  <c r="B16" i="2"/>
  <c r="B15" i="2"/>
  <c r="B14" i="2"/>
  <c r="B13" i="2"/>
  <c r="E23" i="6" l="1"/>
  <c r="F24" i="6" l="1"/>
  <c r="F32" i="6"/>
  <c r="F25" i="6"/>
  <c r="F33" i="6"/>
  <c r="F26" i="6"/>
  <c r="F28" i="6"/>
  <c r="F29" i="6"/>
  <c r="F30" i="6"/>
  <c r="F31" i="6"/>
  <c r="F27" i="6"/>
  <c r="F23" i="6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<sst xmlns="http://schemas.openxmlformats.org/spreadsheetml/2006/main" count="354" uniqueCount="211">
  <si>
    <t>Panel A. Risk Parameters of Pf A (annualized)</t>
  </si>
  <si>
    <t>Beta</t>
  </si>
  <si>
    <t>SD of Excess Return</t>
  </si>
  <si>
    <t>SD of Residual (e), Firm specific Component</t>
  </si>
  <si>
    <t>SD of Systematic Component</t>
  </si>
  <si>
    <t>Correlation with the Market Index</t>
  </si>
  <si>
    <t>Panel B. Correlation Matrix</t>
  </si>
  <si>
    <t>Panel C. The Index Model Covariance Matrix</t>
  </si>
  <si>
    <t>Panel D. Correlation of Residuals in Pf A</t>
  </si>
  <si>
    <t>Panel F. Active Portfolio</t>
  </si>
  <si>
    <t xml:space="preserve">Active Pf </t>
  </si>
  <si>
    <t>Residual Variance of each security</t>
  </si>
  <si>
    <t>Initial position of each security</t>
  </si>
  <si>
    <t>Scaled initial position of each security</t>
  </si>
  <si>
    <t>Squared scaled initial position of each security</t>
  </si>
  <si>
    <t>Alpha of the Active Pf</t>
  </si>
  <si>
    <t>Residual Variance of Active Pf</t>
  </si>
  <si>
    <t>Active Pf information ratio (APIR)</t>
  </si>
  <si>
    <t>Index Pf information ratio (IPIR)</t>
  </si>
  <si>
    <t>Initial position in Active Pf (APIR/IPIR)</t>
  </si>
  <si>
    <t>Beta of the Active Pf</t>
  </si>
  <si>
    <t>Panel G. Optimal Risky Portfolios</t>
  </si>
  <si>
    <t>Overall Risky Pf</t>
  </si>
  <si>
    <t>Risk Premium</t>
  </si>
  <si>
    <t>Standard Deviation</t>
  </si>
  <si>
    <t>Sharpe Ratio</t>
  </si>
  <si>
    <t>Data. Security Index Model</t>
  </si>
  <si>
    <t>Panel 1. Risk &amp; Return Parameters in the Security Index Model</t>
  </si>
  <si>
    <t>Panel 2. Correlation and Covariance Matrixs in the Security Index Model</t>
  </si>
  <si>
    <t>Estimates annualized</t>
  </si>
  <si>
    <t>T-bill</t>
  </si>
  <si>
    <t>SPDR</t>
  </si>
  <si>
    <t>Correl (via Index)</t>
  </si>
  <si>
    <t>Covariance (via Index)</t>
  </si>
  <si>
    <t>SD of Residuals (e)</t>
  </si>
  <si>
    <t>SD of Systematic component</t>
  </si>
  <si>
    <t>Covariance</t>
  </si>
  <si>
    <t xml:space="preserve">Beta </t>
  </si>
  <si>
    <t>Correlation with Index</t>
  </si>
  <si>
    <t>R Squared (Market Determination)</t>
  </si>
  <si>
    <t>1-R Squared (Firms Specific)</t>
  </si>
  <si>
    <t>Correl of Residuals</t>
  </si>
  <si>
    <t>EPS (TTM)</t>
  </si>
  <si>
    <t>PE Ratio (TTM)</t>
  </si>
  <si>
    <t>1y Forward Dividend ($)</t>
  </si>
  <si>
    <t>1y Forward Dividend Yield (%)</t>
  </si>
  <si>
    <t>Panel 3. Price information. monthly rate of return and excess returns</t>
  </si>
  <si>
    <t>60 months</t>
  </si>
  <si>
    <t>Dates</t>
  </si>
  <si>
    <t>Prices</t>
  </si>
  <si>
    <t>Monthly
rate</t>
  </si>
  <si>
    <t>Exces 
return</t>
  </si>
  <si>
    <t>Mkt Prem. Systematic component</t>
  </si>
  <si>
    <t>Residuals. Unsystematic component</t>
  </si>
  <si>
    <t>Asset Classes Allocation Analysis: Optimal Complete Pf Model</t>
  </si>
  <si>
    <t>Capital Allocation &gt; Asset Classes Allocation &gt; Security Selection</t>
  </si>
  <si>
    <t>Securities</t>
  </si>
  <si>
    <t>Expected Return</t>
  </si>
  <si>
    <t>Corr. Coefficient B,E</t>
  </si>
  <si>
    <t>Covariance B,E</t>
  </si>
  <si>
    <t>T-Bill</t>
  </si>
  <si>
    <t>Risky Asset Portfolio: Weights</t>
  </si>
  <si>
    <t>Reward to Variability</t>
  </si>
  <si>
    <t>Bond weight</t>
  </si>
  <si>
    <t>Equity weight</t>
  </si>
  <si>
    <t>(Sharpe ratio)</t>
  </si>
  <si>
    <t>short-not allowed</t>
  </si>
  <si>
    <t>B. Optimal Risky Portfolio. Maximum of Sharpe ratio</t>
  </si>
  <si>
    <t>Max. of Sharpe Ratio</t>
  </si>
  <si>
    <t>Weight y: Optimal Risky Portfolio</t>
  </si>
  <si>
    <t>Weight (1-y): Risk-Free Asset</t>
  </si>
  <si>
    <t>Bond weight in the Optimal Complete Pf</t>
  </si>
  <si>
    <t>Equity weight in the Optimal Complete Pf</t>
  </si>
  <si>
    <t>E(rc): expected return of the Complete pf</t>
  </si>
  <si>
    <t>𝜎 c: SD of Complete pf</t>
  </si>
  <si>
    <t>Sharpe Ratio (Max. Slope of CAL)</t>
  </si>
  <si>
    <t xml:space="preserve"> </t>
  </si>
  <si>
    <t>Capital Allocation. Optimal Captial Allocation using Maixum Utility</t>
  </si>
  <si>
    <t>Risky Pf (P) only</t>
  </si>
  <si>
    <t>rf: rate of return of risk-free asset</t>
  </si>
  <si>
    <t>E(Rp): expected return of risky pf</t>
  </si>
  <si>
    <r>
      <rPr>
        <b/>
        <sz val="12"/>
        <rFont val="Times New Roman"/>
        <family val="1"/>
      </rPr>
      <t>𝜎 p</t>
    </r>
    <r>
      <rPr>
        <sz val="12"/>
        <rFont val="Times New Roman"/>
        <family val="1"/>
      </rPr>
      <t>: SD of risky pf</t>
    </r>
  </si>
  <si>
    <t>Complete Pf (C). Risk free + Risky Pf</t>
  </si>
  <si>
    <t>y: weight of risky pf</t>
  </si>
  <si>
    <t>1-y: weight of risk free asset</t>
  </si>
  <si>
    <t>Equity Pf (E)</t>
  </si>
  <si>
    <t>Bond Pf (B)</t>
  </si>
  <si>
    <t>Equity Pf</t>
  </si>
  <si>
    <t>Active Pf Weights* (Index model)</t>
  </si>
  <si>
    <t xml:space="preserve">Risk Tolerance Score </t>
  </si>
  <si>
    <t xml:space="preserve">Utility at the risk aversion level </t>
  </si>
  <si>
    <t>C. Optimal Complete Portfolio with U w/ Risk-Free Asset</t>
  </si>
  <si>
    <t>Risk Aversion Index (A: 1~20)*</t>
  </si>
  <si>
    <t xml:space="preserve">Expected excess return </t>
  </si>
  <si>
    <t>Alpha (Non-market risk premium in the index model)</t>
  </si>
  <si>
    <r>
      <t>s</t>
    </r>
    <r>
      <rPr>
        <vertAlign val="superscript"/>
        <sz val="12"/>
        <rFont val="Verdana"/>
        <family val="2"/>
      </rPr>
      <t>2</t>
    </r>
    <r>
      <rPr>
        <sz val="12"/>
        <rFont val="Verdana"/>
        <family val="2"/>
      </rPr>
      <t>(</t>
    </r>
    <r>
      <rPr>
        <i/>
        <sz val="12"/>
        <rFont val="Aptos Narrow"/>
        <family val="2"/>
        <scheme val="minor"/>
      </rPr>
      <t>e</t>
    </r>
    <r>
      <rPr>
        <sz val="12"/>
        <rFont val="Verdana"/>
        <family val="2"/>
      </rPr>
      <t>)</t>
    </r>
  </si>
  <si>
    <r>
      <rPr>
        <i/>
        <sz val="12"/>
        <rFont val="Aptos Narrow"/>
        <family val="2"/>
        <scheme val="minor"/>
      </rPr>
      <t>w</t>
    </r>
    <r>
      <rPr>
        <i/>
        <vertAlign val="subscript"/>
        <sz val="12"/>
        <rFont val="Aptos Narrow"/>
        <family val="2"/>
        <scheme val="minor"/>
      </rPr>
      <t>i</t>
    </r>
    <r>
      <rPr>
        <sz val="12"/>
        <rFont val="Symbol"/>
        <family val="1"/>
        <charset val="2"/>
      </rPr>
      <t>(</t>
    </r>
    <r>
      <rPr>
        <sz val="12"/>
        <rFont val="Aptos Narrow"/>
        <family val="2"/>
        <scheme val="minor"/>
      </rPr>
      <t>0</t>
    </r>
    <r>
      <rPr>
        <sz val="12"/>
        <rFont val="Symbol"/>
        <family val="1"/>
        <charset val="2"/>
      </rPr>
      <t>) = a</t>
    </r>
    <r>
      <rPr>
        <i/>
        <vertAlign val="subscript"/>
        <sz val="12"/>
        <rFont val="Aptos Narrow"/>
        <family val="2"/>
        <scheme val="minor"/>
      </rPr>
      <t>i</t>
    </r>
    <r>
      <rPr>
        <sz val="12"/>
        <rFont val="Symbol"/>
        <family val="1"/>
        <charset val="2"/>
      </rPr>
      <t>/s</t>
    </r>
    <r>
      <rPr>
        <vertAlign val="superscript"/>
        <sz val="12"/>
        <rFont val="Symbol"/>
        <family val="1"/>
        <charset val="2"/>
      </rPr>
      <t>2</t>
    </r>
    <r>
      <rPr>
        <sz val="12"/>
        <rFont val="Symbol"/>
        <family val="1"/>
        <charset val="2"/>
      </rPr>
      <t>(</t>
    </r>
    <r>
      <rPr>
        <i/>
        <sz val="12"/>
        <rFont val="Aptos Narrow"/>
        <family val="2"/>
        <scheme val="minor"/>
      </rPr>
      <t>e</t>
    </r>
    <r>
      <rPr>
        <sz val="12"/>
        <rFont val="Symbol"/>
        <family val="1"/>
        <charset val="2"/>
      </rPr>
      <t>)</t>
    </r>
  </si>
  <si>
    <r>
      <t>w</t>
    </r>
    <r>
      <rPr>
        <i/>
        <vertAlign val="subscript"/>
        <sz val="12"/>
        <rFont val="Aptos Narrow"/>
        <family val="2"/>
        <scheme val="minor"/>
      </rPr>
      <t>i</t>
    </r>
  </si>
  <si>
    <r>
      <t>[</t>
    </r>
    <r>
      <rPr>
        <i/>
        <sz val="12"/>
        <rFont val="Aptos Narrow"/>
        <family val="2"/>
        <scheme val="minor"/>
      </rPr>
      <t>w</t>
    </r>
    <r>
      <rPr>
        <i/>
        <vertAlign val="subscript"/>
        <sz val="12"/>
        <rFont val="Aptos Narrow"/>
        <family val="2"/>
        <scheme val="minor"/>
      </rPr>
      <t>i</t>
    </r>
    <r>
      <rPr>
        <sz val="12"/>
        <rFont val="Aptos Narrow"/>
        <family val="2"/>
        <scheme val="minor"/>
      </rPr>
      <t>(0)]</t>
    </r>
    <r>
      <rPr>
        <vertAlign val="superscript"/>
        <sz val="12"/>
        <rFont val="Aptos Narrow"/>
        <family val="2"/>
        <scheme val="minor"/>
      </rPr>
      <t>2</t>
    </r>
  </si>
  <si>
    <r>
      <t>a</t>
    </r>
    <r>
      <rPr>
        <i/>
        <vertAlign val="subscript"/>
        <sz val="12"/>
        <rFont val="Aptos Narrow"/>
        <family val="2"/>
        <scheme val="minor"/>
      </rPr>
      <t>A</t>
    </r>
    <r>
      <rPr>
        <sz val="12"/>
        <rFont val="Symbol"/>
        <family val="1"/>
        <charset val="2"/>
      </rPr>
      <t xml:space="preserve"> </t>
    </r>
  </si>
  <si>
    <r>
      <t>s</t>
    </r>
    <r>
      <rPr>
        <vertAlign val="superscript"/>
        <sz val="12"/>
        <rFont val="Symbol"/>
        <family val="1"/>
        <charset val="2"/>
      </rPr>
      <t>2</t>
    </r>
    <r>
      <rPr>
        <sz val="12"/>
        <rFont val="Verdana"/>
        <family val="2"/>
      </rPr>
      <t>(</t>
    </r>
    <r>
      <rPr>
        <i/>
        <sz val="12"/>
        <rFont val="Aptos Narrow"/>
        <family val="2"/>
        <scheme val="minor"/>
      </rPr>
      <t>e</t>
    </r>
    <r>
      <rPr>
        <i/>
        <vertAlign val="subscript"/>
        <sz val="12"/>
        <rFont val="Verdana"/>
        <family val="2"/>
      </rPr>
      <t>A</t>
    </r>
    <r>
      <rPr>
        <sz val="12"/>
        <rFont val="Verdana"/>
        <family val="2"/>
      </rPr>
      <t>)</t>
    </r>
  </si>
  <si>
    <r>
      <t>a</t>
    </r>
    <r>
      <rPr>
        <sz val="9"/>
        <rFont val="Symbol"/>
        <family val="1"/>
        <charset val="2"/>
      </rPr>
      <t>A</t>
    </r>
    <r>
      <rPr>
        <sz val="12"/>
        <rFont val="Symbol"/>
        <family val="1"/>
        <charset val="2"/>
      </rPr>
      <t xml:space="preserve">  / s</t>
    </r>
    <r>
      <rPr>
        <vertAlign val="superscript"/>
        <sz val="12"/>
        <rFont val="Symbol"/>
        <family val="1"/>
        <charset val="2"/>
      </rPr>
      <t>2</t>
    </r>
    <r>
      <rPr>
        <sz val="12"/>
        <rFont val="Verdana"/>
        <family val="2"/>
      </rPr>
      <t>(</t>
    </r>
    <r>
      <rPr>
        <i/>
        <sz val="12"/>
        <rFont val="Aptos Narrow"/>
        <family val="2"/>
        <scheme val="minor"/>
      </rPr>
      <t>e</t>
    </r>
    <r>
      <rPr>
        <i/>
        <vertAlign val="subscript"/>
        <sz val="12"/>
        <rFont val="Verdana"/>
        <family val="2"/>
      </rPr>
      <t>A</t>
    </r>
    <r>
      <rPr>
        <sz val="12"/>
        <rFont val="Verdana"/>
        <family val="2"/>
      </rPr>
      <t>)</t>
    </r>
  </si>
  <si>
    <r>
      <t>E(R</t>
    </r>
    <r>
      <rPr>
        <i/>
        <vertAlign val="subscript"/>
        <sz val="12"/>
        <color theme="1"/>
        <rFont val="Aptos Narrow"/>
        <family val="2"/>
        <scheme val="minor"/>
      </rPr>
      <t>M</t>
    </r>
    <r>
      <rPr>
        <i/>
        <sz val="12"/>
        <color theme="1"/>
        <rFont val="Aptos Narrow"/>
        <family val="2"/>
        <scheme val="minor"/>
      </rPr>
      <t>)</t>
    </r>
    <r>
      <rPr>
        <sz val="12"/>
        <color theme="1"/>
        <rFont val="TimesNewRomanPSMT"/>
        <family val="2"/>
      </rPr>
      <t>/</t>
    </r>
    <r>
      <rPr>
        <sz val="12"/>
        <color theme="1"/>
        <rFont val="Symbol"/>
        <family val="1"/>
        <charset val="2"/>
      </rPr>
      <t>s</t>
    </r>
    <r>
      <rPr>
        <i/>
        <vertAlign val="superscript"/>
        <sz val="12"/>
        <color theme="1"/>
        <rFont val="Aptos Narrow"/>
        <family val="2"/>
        <scheme val="minor"/>
      </rPr>
      <t>2</t>
    </r>
    <r>
      <rPr>
        <sz val="12"/>
        <color theme="1"/>
        <rFont val="TimesNewRomanPSMT"/>
        <family val="2"/>
      </rPr>
      <t>(</t>
    </r>
    <r>
      <rPr>
        <i/>
        <sz val="12"/>
        <color theme="1"/>
        <rFont val="Aptos Narrow"/>
        <family val="2"/>
        <scheme val="minor"/>
      </rPr>
      <t>M</t>
    </r>
    <r>
      <rPr>
        <sz val="12"/>
        <color theme="1"/>
        <rFont val="TimesNewRomanPSMT"/>
        <family val="2"/>
      </rPr>
      <t>)</t>
    </r>
  </si>
  <si>
    <r>
      <rPr>
        <i/>
        <sz val="12"/>
        <rFont val="Times New Roman"/>
        <family val="1"/>
      </rPr>
      <t>w</t>
    </r>
    <r>
      <rPr>
        <i/>
        <vertAlign val="subscript"/>
        <sz val="12"/>
        <rFont val="Times New Roman"/>
        <family val="1"/>
      </rPr>
      <t>A</t>
    </r>
    <r>
      <rPr>
        <sz val="12"/>
        <rFont val="Times New Roman"/>
        <family val="1"/>
      </rPr>
      <t>(0)</t>
    </r>
  </si>
  <si>
    <r>
      <t>b</t>
    </r>
    <r>
      <rPr>
        <i/>
        <vertAlign val="subscript"/>
        <sz val="12"/>
        <rFont val="Aptos Narrow"/>
        <family val="2"/>
        <scheme val="minor"/>
      </rPr>
      <t>A</t>
    </r>
  </si>
  <si>
    <t>w*(Optimal Pf): Short not allowed</t>
  </si>
  <si>
    <t>Min. Standard Deviation</t>
  </si>
  <si>
    <t>E(rc): expected return of the Overall Complete pf</t>
  </si>
  <si>
    <t>𝜎 c: SD of Overall Complete pf</t>
  </si>
  <si>
    <t>*Bear (1~5), Normal (1~10), Bull (1~20)</t>
  </si>
  <si>
    <t>Adjusted Alpha</t>
  </si>
  <si>
    <t xml:space="preserve">Adjusted Market risk premium = 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</si>
  <si>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</si>
  <si>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</si>
  <si>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</si>
  <si>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</si>
  <si>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</si>
  <si>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</si>
  <si>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</si>
  <si>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</si>
  <si>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</si>
  <si>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</si>
  <si>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</si>
  <si>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</si>
  <si>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</si>
  <si>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</si>
  <si>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</si>
  <si>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</si>
  <si>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Coefficients</t>
  </si>
  <si>
    <t>t Stat</t>
  </si>
  <si>
    <t>P-value</t>
  </si>
  <si>
    <t>X Variable 1</t>
  </si>
  <si>
    <t>Alpha in CAPM (10 yrs market premium)</t>
  </si>
  <si>
    <r>
      <t xml:space="preserve">Total Equity Risk Premium </t>
    </r>
    <r>
      <rPr>
        <b/>
        <i/>
        <sz val="12"/>
        <color theme="1"/>
        <rFont val="Times New Roman"/>
        <family val="1"/>
      </rPr>
      <t>E(R)</t>
    </r>
  </si>
  <si>
    <t>Adjusted Alpha (a x avg. Market PE / Stock PE)</t>
  </si>
  <si>
    <t>Adjusted Alpha in CAPM  (a x avg. Market PE / Stock PE)</t>
  </si>
  <si>
    <t>E(rc) on CAL</t>
  </si>
  <si>
    <t>𝜎 c</t>
  </si>
  <si>
    <t>E(rc) on Indiff.</t>
  </si>
  <si>
    <t>W of risky pf: y</t>
  </si>
  <si>
    <t>Utiliity</t>
  </si>
  <si>
    <t>Max. U</t>
  </si>
  <si>
    <t>Slope: Capital Allocation Line ( Sharpe)</t>
  </si>
  <si>
    <t xml:space="preserve">A. Minimum Variance Portfolio of Risky Assets </t>
  </si>
  <si>
    <t>Benchmark
 Exces 
return</t>
  </si>
  <si>
    <t>Adjusted Price of Equity Pf
(Back data)</t>
  </si>
  <si>
    <t>Active Pf Exces 
return 
(Back data)</t>
  </si>
  <si>
    <t>Efficient Frontier meets CAL with Optimal Risky Pf</t>
  </si>
  <si>
    <t>1y Target return `</t>
  </si>
  <si>
    <t>1y Target Est. (Consensus)</t>
  </si>
  <si>
    <t>Small / Medium / Large</t>
  </si>
  <si>
    <t>Value / Blend / Growth</t>
  </si>
  <si>
    <t>Large</t>
  </si>
  <si>
    <t>Large Growth</t>
  </si>
  <si>
    <t>Stock Info.</t>
  </si>
  <si>
    <t>Pf Style.</t>
  </si>
  <si>
    <t>Sector (industry)</t>
  </si>
  <si>
    <t>Themes</t>
  </si>
  <si>
    <t>Maturity</t>
  </si>
  <si>
    <t>Coupon ($100 par)</t>
  </si>
  <si>
    <t>Yield to maturity</t>
  </si>
  <si>
    <t>Coupon (frequency)</t>
  </si>
  <si>
    <t>Semiannual</t>
  </si>
  <si>
    <t xml:space="preserve">Convexity (C) </t>
  </si>
  <si>
    <t>Current Bond Price</t>
  </si>
  <si>
    <t>Modified Duration (D*)</t>
  </si>
  <si>
    <t>Changes in YTM</t>
  </si>
  <si>
    <t>with D* only</t>
  </si>
  <si>
    <t>Bond Price change</t>
  </si>
  <si>
    <t xml:space="preserve">with D* and Convexity </t>
  </si>
  <si>
    <t>YTM down 100bps</t>
  </si>
  <si>
    <t>Semi Dev.</t>
  </si>
  <si>
    <t>Selectivity (%)</t>
  </si>
  <si>
    <t>Diversification Effect (%)</t>
  </si>
  <si>
    <t>Net Selectivity (%)</t>
  </si>
  <si>
    <t>net Risk Premium of Pf</t>
  </si>
  <si>
    <t xml:space="preserve">Overall Performance </t>
  </si>
  <si>
    <t xml:space="preserve">CAPM </t>
  </si>
  <si>
    <t>Ratio of total risk (𝜎p/𝜎m)</t>
  </si>
  <si>
    <t>CML</t>
  </si>
  <si>
    <t>Performance Measures</t>
  </si>
  <si>
    <t xml:space="preserve">Panel E. Macro Forecast and Alpha Forecasts </t>
  </si>
  <si>
    <r>
      <t>Treynor Measure (</t>
    </r>
    <r>
      <rPr>
        <b/>
        <i/>
        <sz val="12"/>
        <color theme="1"/>
        <rFont val="Times New Roman"/>
        <family val="1"/>
      </rPr>
      <t>T</t>
    </r>
    <r>
      <rPr>
        <b/>
        <sz val="12"/>
        <color theme="1"/>
        <rFont val="Times New Roman"/>
        <family val="1"/>
      </rPr>
      <t>)</t>
    </r>
  </si>
  <si>
    <r>
      <t>Jensen Measure (</t>
    </r>
    <r>
      <rPr>
        <b/>
        <i/>
        <sz val="12"/>
        <color theme="1"/>
        <rFont val="Times New Roman"/>
        <family val="1"/>
      </rPr>
      <t>a</t>
    </r>
    <r>
      <rPr>
        <b/>
        <sz val="12"/>
        <color theme="1"/>
        <rFont val="Times New Roman"/>
        <family val="1"/>
      </rPr>
      <t>)</t>
    </r>
  </si>
  <si>
    <r>
      <t>Information Ratio Measure (</t>
    </r>
    <r>
      <rPr>
        <b/>
        <i/>
        <sz val="12"/>
        <color theme="1"/>
        <rFont val="Times New Roman"/>
        <family val="1"/>
      </rPr>
      <t>IR</t>
    </r>
    <r>
      <rPr>
        <b/>
        <sz val="12"/>
        <color theme="1"/>
        <rFont val="Times New Roman"/>
        <family val="1"/>
      </rPr>
      <t>)</t>
    </r>
  </si>
  <si>
    <r>
      <t>Sharpe Ratio (</t>
    </r>
    <r>
      <rPr>
        <b/>
        <i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>)</t>
    </r>
  </si>
  <si>
    <t xml:space="preserve">Vanguard Energy Index Fund ETF (VDE) </t>
  </si>
  <si>
    <t>Exxon Mobil Corporation (XOM)</t>
  </si>
  <si>
    <t>Chevron Corporation (CVX)</t>
  </si>
  <si>
    <t>ConocoPhillips (COP)</t>
  </si>
  <si>
    <t>Phillips 66 (PSX)</t>
  </si>
  <si>
    <t>EOG Resources, Inc. (EOG)</t>
  </si>
  <si>
    <t>AGG</t>
  </si>
  <si>
    <t>iShares Core U.S. Aggregate Bond Pf (AGG)</t>
  </si>
  <si>
    <t>Value</t>
  </si>
  <si>
    <t>Energy</t>
  </si>
  <si>
    <t>Oil &amp; Gas</t>
  </si>
  <si>
    <t>VDE</t>
  </si>
  <si>
    <t>XOM</t>
  </si>
  <si>
    <t>CVX</t>
  </si>
  <si>
    <t>COP</t>
  </si>
  <si>
    <t>PSX</t>
  </si>
  <si>
    <t>EOG</t>
  </si>
  <si>
    <t>Current Stock Price (as of March 29)</t>
  </si>
  <si>
    <t>Calculate the approximate price change for a AGG using only its D* and using D* and Convexity</t>
  </si>
  <si>
    <t>AGG has the following characteristics:</t>
  </si>
  <si>
    <t>Credit - Investment Grade</t>
  </si>
  <si>
    <t>Duration - medium 8 years</t>
  </si>
  <si>
    <t>Issuers - Mixed, Corporate/Government</t>
  </si>
  <si>
    <t>Sector</t>
  </si>
  <si>
    <t xml:space="preserve">Index Portfolio Model. VDE + Active Portfolio (Large Growth)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</si>
</sst>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8" formatCode="&quot;$&quot;#,##0.00_);[Red]\(&quot;$&quot;#,##0.00\)"/>
    <numFmt numFmtId="43" formatCode="_(* #,##0.00_);_(* \(#,##0.00\);_(* &quot;-&quot;??_);_(@_)"/>
    <numFmt numFmtId="164" formatCode="0.0000"/>
    <numFmt numFmtId="165" formatCode="0.000000"/>
    <numFmt numFmtId="166" formatCode="_(* #,##0.0000_);_(* \(#,##0.0000\);_(* &quot;-&quot;??_);_(@_)"/>
    <numFmt numFmtId="167" formatCode="_(* #,##0.000000_);_(* \(#,##0.000000\);_(* &quot;-&quot;??_);_(@_)"/>
    <numFmt numFmtId="168" formatCode="_(* #,##0.00000_);_(* \(#,##0.00000\);_(* &quot;-&quot;??_);_(@_)"/>
    <numFmt numFmtId="169" formatCode="0.0"/>
    <numFmt numFmtId="170" formatCode="0.00000"/>
    <numFmt numFmtId="171" formatCode="0.0000%"/>
  </numFmts>
  <fonts count="59">
    <font>
      <sz val="12"/>
      <color theme="1"/>
      <name val="TimesNewRomanPSMT"/>
      <family val="2"/>
    </font>
    <font>
      <sz val="12"/>
      <color theme="1"/>
      <name val="TimesNewRomanPSMT"/>
      <family val="2"/>
    </font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name val="Times New Roman"/>
      <family val="1"/>
    </font>
    <font>
      <i/>
      <sz val="12"/>
      <color rgb="FFC000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0"/>
      <name val="Times New Roman"/>
      <family val="1"/>
    </font>
    <font>
      <i/>
      <sz val="12"/>
      <color theme="1"/>
      <name val="Times New Roman"/>
      <family val="1"/>
    </font>
    <font>
      <sz val="12"/>
      <color rgb="FFC00000"/>
      <name val="Times New Roman"/>
      <family val="1"/>
    </font>
    <font>
      <b/>
      <i/>
      <sz val="12"/>
      <color theme="1"/>
      <name val="Times New Roman"/>
      <family val="1"/>
    </font>
    <font>
      <sz val="12"/>
      <name val="Symbol"/>
      <family val="1"/>
      <charset val="2"/>
    </font>
    <font>
      <i/>
      <sz val="12"/>
      <name val="Aptos Narrow"/>
      <family val="2"/>
      <scheme val="minor"/>
    </font>
    <font>
      <sz val="12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b/>
      <sz val="12"/>
      <color rgb="FFC00000"/>
      <name val="Times New Roman"/>
      <family val="1"/>
    </font>
    <font>
      <b/>
      <sz val="26"/>
      <color theme="1"/>
      <name val="Times New Roman"/>
      <family val="1"/>
    </font>
    <font>
      <sz val="12"/>
      <color theme="0"/>
      <name val="Times New Roman"/>
      <family val="1"/>
    </font>
    <font>
      <b/>
      <sz val="22"/>
      <color theme="1"/>
      <name val="Times New Roman"/>
      <family val="1"/>
    </font>
    <font>
      <b/>
      <sz val="16"/>
      <color theme="1"/>
      <name val="Times New Roman"/>
      <family val="1"/>
    </font>
    <font>
      <i/>
      <sz val="12"/>
      <color rgb="FF000000"/>
      <name val="Times New Roman"/>
      <family val="1"/>
    </font>
    <font>
      <b/>
      <sz val="14"/>
      <color theme="0"/>
      <name val="Times New Roman"/>
      <family val="1"/>
    </font>
    <font>
      <sz val="14"/>
      <color theme="1"/>
      <name val="Times New Roman"/>
      <family val="1"/>
    </font>
    <font>
      <b/>
      <sz val="10"/>
      <color theme="1"/>
      <name val="Times New Roman"/>
      <family val="1"/>
    </font>
    <font>
      <b/>
      <sz val="10"/>
      <color rgb="FF000000"/>
      <name val="Times New Roman"/>
      <family val="1"/>
    </font>
    <font>
      <sz val="12"/>
      <color rgb="FF000000"/>
      <name val="Times New Roman"/>
      <family val="1"/>
    </font>
    <font>
      <b/>
      <sz val="24"/>
      <color theme="3"/>
      <name val="Times New Roman"/>
      <family val="1"/>
    </font>
    <font>
      <sz val="8"/>
      <name val="Cambria"/>
      <family val="1"/>
    </font>
    <font>
      <sz val="10"/>
      <name val="Arial"/>
      <family val="2"/>
    </font>
    <font>
      <b/>
      <sz val="24"/>
      <color theme="4" tint="-0.499984740745262"/>
      <name val="Times New Roman"/>
      <family val="1"/>
    </font>
    <font>
      <b/>
      <sz val="16"/>
      <name val="Times New Roman"/>
      <family val="1"/>
    </font>
    <font>
      <b/>
      <sz val="14"/>
      <name val="Times New Roman"/>
      <family val="1"/>
    </font>
    <font>
      <b/>
      <sz val="12"/>
      <name val="Times New Roman"/>
      <family val="1"/>
    </font>
    <font>
      <b/>
      <i/>
      <sz val="12"/>
      <name val="Times New Roman"/>
      <family val="1"/>
    </font>
    <font>
      <b/>
      <i/>
      <sz val="12"/>
      <color rgb="FFC00000"/>
      <name val="Times New Roman"/>
      <family val="1"/>
    </font>
    <font>
      <b/>
      <i/>
      <sz val="12"/>
      <color theme="0"/>
      <name val="Times New Roman"/>
      <family val="1"/>
    </font>
    <font>
      <sz val="8"/>
      <name val="Times New Roman"/>
      <family val="1"/>
    </font>
    <font>
      <b/>
      <sz val="10"/>
      <color rgb="FFC00000"/>
      <name val="Times New Roman"/>
      <family val="1"/>
    </font>
    <font>
      <b/>
      <sz val="12"/>
      <color theme="5" tint="-0.249977111117893"/>
      <name val="Times New Roman"/>
      <family val="1"/>
    </font>
    <font>
      <vertAlign val="superscript"/>
      <sz val="12"/>
      <name val="Verdana"/>
      <family val="2"/>
    </font>
    <font>
      <sz val="12"/>
      <name val="Verdana"/>
      <family val="2"/>
    </font>
    <font>
      <i/>
      <vertAlign val="subscript"/>
      <sz val="12"/>
      <name val="Aptos Narrow"/>
      <family val="2"/>
      <scheme val="minor"/>
    </font>
    <font>
      <vertAlign val="superscript"/>
      <sz val="12"/>
      <name val="Symbol"/>
      <family val="1"/>
      <charset val="2"/>
    </font>
    <font>
      <vertAlign val="superscript"/>
      <sz val="12"/>
      <name val="Aptos Narrow"/>
      <family val="2"/>
      <scheme val="minor"/>
    </font>
    <font>
      <i/>
      <vertAlign val="subscript"/>
      <sz val="12"/>
      <name val="Verdana"/>
      <family val="2"/>
    </font>
    <font>
      <sz val="9"/>
      <name val="Symbol"/>
      <family val="1"/>
      <charset val="2"/>
    </font>
    <font>
      <i/>
      <vertAlign val="subscript"/>
      <sz val="12"/>
      <color theme="1"/>
      <name val="Aptos Narrow"/>
      <family val="2"/>
      <scheme val="minor"/>
    </font>
    <font>
      <sz val="12"/>
      <color theme="1"/>
      <name val="Symbol"/>
      <family val="1"/>
      <charset val="2"/>
    </font>
    <font>
      <i/>
      <vertAlign val="superscript"/>
      <sz val="12"/>
      <color theme="1"/>
      <name val="Aptos Narrow"/>
      <family val="2"/>
      <scheme val="minor"/>
    </font>
    <font>
      <i/>
      <sz val="12"/>
      <name val="Times New Roman"/>
      <family val="1"/>
    </font>
    <font>
      <i/>
      <vertAlign val="subscript"/>
      <sz val="12"/>
      <name val="Times New Roman"/>
      <family val="1"/>
    </font>
    <font>
      <i/>
      <sz val="10"/>
      <name val="Times New Roman"/>
      <family val="1"/>
    </font>
    <font>
      <i/>
      <sz val="12"/>
      <color theme="1"/>
      <name val="TimesNewRomanPSMT"/>
      <family val="2"/>
    </font>
    <font>
      <b/>
      <sz val="20"/>
      <color theme="4" tint="-0.499984740745262"/>
      <name val="Times New Roman"/>
      <family val="1"/>
    </font>
    <font>
      <b/>
      <sz val="14"/>
      <color theme="1"/>
      <name val="Times New Roman"/>
      <family val="1"/>
    </font>
    <font>
      <b/>
      <sz val="12"/>
      <color rgb="FF000000"/>
      <name val="Times New Roman"/>
      <family val="1"/>
    </font>
    <font>
      <b/>
      <sz val="12"/>
      <color theme="1"/>
      <name val="TimesNewRomanPSMT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2"/>
        <bgColor rgb="FF000000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15">
    <xf numFmtId="0" fontId="0" fillId="0" borderId="0"/>
    <xf numFmtId="9" fontId="1" fillId="0" borderId="0" applyFont="0" applyFill="0" applyBorder="0" applyAlignment="0" applyProtection="0"/>
    <xf numFmtId="0" fontId="2" fillId="0" borderId="0"/>
    <xf numFmtId="43" fontId="3" fillId="0" borderId="0" applyFont="0" applyFill="0" applyBorder="0" applyAlignment="0" applyProtection="0"/>
    <xf numFmtId="0" fontId="2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95">
    <xf numFmtId="0" fontId="0" fillId="0" borderId="0" xfId="0"/>
    <xf numFmtId="43" fontId="4" fillId="0" borderId="0" xfId="3" applyFont="1" applyBorder="1" applyAlignment="1">
      <alignment vertical="center"/>
    </xf>
    <xf numFmtId="43" fontId="5" fillId="0" borderId="0" xfId="3" applyFont="1" applyBorder="1" applyAlignment="1">
      <alignment vertical="center"/>
    </xf>
    <xf numFmtId="43" fontId="4" fillId="0" borderId="0" xfId="3" applyFont="1" applyAlignment="1">
      <alignment vertical="center"/>
    </xf>
    <xf numFmtId="0" fontId="7" fillId="0" borderId="0" xfId="4" applyFont="1" applyAlignment="1">
      <alignment vertical="center"/>
    </xf>
    <xf numFmtId="0" fontId="8" fillId="0" borderId="1" xfId="4" applyFont="1" applyBorder="1" applyAlignment="1">
      <alignment vertical="center"/>
    </xf>
    <xf numFmtId="0" fontId="7" fillId="0" borderId="1" xfId="4" applyFont="1" applyBorder="1" applyAlignment="1">
      <alignment vertical="center"/>
    </xf>
    <xf numFmtId="0" fontId="8" fillId="0" borderId="3" xfId="4" applyFont="1" applyBorder="1" applyAlignment="1">
      <alignment horizontal="left" vertical="center" wrapText="1"/>
    </xf>
    <xf numFmtId="164" fontId="7" fillId="0" borderId="0" xfId="4" applyNumberFormat="1" applyFont="1" applyAlignment="1">
      <alignment horizontal="right" vertical="center"/>
    </xf>
    <xf numFmtId="164" fontId="7" fillId="2" borderId="0" xfId="4" applyNumberFormat="1" applyFont="1" applyFill="1" applyAlignment="1">
      <alignment horizontal="right" vertical="center"/>
    </xf>
    <xf numFmtId="0" fontId="8" fillId="0" borderId="0" xfId="4" applyFont="1" applyAlignment="1">
      <alignment horizontal="left" vertical="center" wrapText="1"/>
    </xf>
    <xf numFmtId="164" fontId="7" fillId="0" borderId="1" xfId="4" applyNumberFormat="1" applyFont="1" applyBorder="1" applyAlignment="1">
      <alignment horizontal="right" vertical="center"/>
    </xf>
    <xf numFmtId="0" fontId="8" fillId="0" borderId="3" xfId="5" applyFont="1" applyBorder="1" applyAlignment="1">
      <alignment horizontal="left" vertical="center"/>
    </xf>
    <xf numFmtId="0" fontId="10" fillId="0" borderId="0" xfId="4" applyFont="1" applyAlignment="1">
      <alignment horizontal="center" vertical="center"/>
    </xf>
    <xf numFmtId="0" fontId="8" fillId="0" borderId="3" xfId="4" applyFont="1" applyBorder="1" applyAlignment="1">
      <alignment vertical="center"/>
    </xf>
    <xf numFmtId="0" fontId="11" fillId="0" borderId="0" xfId="4" applyFont="1" applyAlignment="1">
      <alignment vertical="center"/>
    </xf>
    <xf numFmtId="0" fontId="8" fillId="0" borderId="4" xfId="4" applyFont="1" applyBorder="1" applyAlignment="1">
      <alignment vertical="center"/>
    </xf>
    <xf numFmtId="0" fontId="8" fillId="0" borderId="0" xfId="4" applyFont="1" applyAlignment="1">
      <alignment horizontal="left" vertical="center"/>
    </xf>
    <xf numFmtId="165" fontId="7" fillId="0" borderId="0" xfId="4" applyNumberFormat="1" applyFont="1" applyAlignment="1">
      <alignment vertical="center"/>
    </xf>
    <xf numFmtId="0" fontId="13" fillId="0" borderId="3" xfId="5" applyFont="1" applyBorder="1" applyAlignment="1">
      <alignment vertical="center"/>
    </xf>
    <xf numFmtId="0" fontId="7" fillId="0" borderId="9" xfId="4" applyFont="1" applyBorder="1" applyAlignment="1">
      <alignment vertical="center"/>
    </xf>
    <xf numFmtId="0" fontId="7" fillId="0" borderId="3" xfId="4" applyFont="1" applyBorder="1" applyAlignment="1">
      <alignment horizontal="right" vertical="center"/>
    </xf>
    <xf numFmtId="0" fontId="14" fillId="0" borderId="3" xfId="5" applyFont="1" applyBorder="1" applyAlignment="1">
      <alignment vertical="center"/>
    </xf>
    <xf numFmtId="0" fontId="15" fillId="0" borderId="4" xfId="5" applyFont="1" applyBorder="1" applyAlignment="1">
      <alignment vertical="center"/>
    </xf>
    <xf numFmtId="0" fontId="7" fillId="0" borderId="10" xfId="4" applyFont="1" applyBorder="1" applyAlignment="1">
      <alignment vertical="center"/>
    </xf>
    <xf numFmtId="164" fontId="7" fillId="0" borderId="4" xfId="4" applyNumberFormat="1" applyFont="1" applyBorder="1" applyAlignment="1">
      <alignment vertical="center"/>
    </xf>
    <xf numFmtId="0" fontId="16" fillId="0" borderId="3" xfId="5" applyFont="1" applyBorder="1" applyAlignment="1">
      <alignment vertical="center"/>
    </xf>
    <xf numFmtId="0" fontId="4" fillId="0" borderId="3" xfId="5" applyFont="1" applyBorder="1" applyAlignment="1">
      <alignment vertical="center"/>
    </xf>
    <xf numFmtId="0" fontId="8" fillId="0" borderId="0" xfId="4" applyFont="1" applyAlignment="1">
      <alignment vertical="center"/>
    </xf>
    <xf numFmtId="164" fontId="7" fillId="0" borderId="0" xfId="4" applyNumberFormat="1" applyFont="1" applyAlignment="1">
      <alignment vertical="center"/>
    </xf>
    <xf numFmtId="0" fontId="7" fillId="0" borderId="1" xfId="4" applyFont="1" applyBorder="1" applyAlignment="1">
      <alignment horizontal="right" vertical="center"/>
    </xf>
    <xf numFmtId="0" fontId="18" fillId="0" borderId="0" xfId="6" applyFont="1" applyAlignment="1">
      <alignment vertical="center"/>
    </xf>
    <xf numFmtId="0" fontId="7" fillId="0" borderId="0" xfId="6" applyFont="1" applyAlignment="1">
      <alignment vertical="center"/>
    </xf>
    <xf numFmtId="0" fontId="19" fillId="0" borderId="0" xfId="6" applyFont="1" applyAlignment="1">
      <alignment vertical="center"/>
    </xf>
    <xf numFmtId="0" fontId="20" fillId="0" borderId="0" xfId="6" applyFont="1" applyAlignment="1">
      <alignment vertical="center"/>
    </xf>
    <xf numFmtId="0" fontId="6" fillId="0" borderId="0" xfId="5" applyFont="1" applyAlignment="1">
      <alignment vertical="center"/>
    </xf>
    <xf numFmtId="0" fontId="21" fillId="0" borderId="0" xfId="5" applyFont="1" applyAlignment="1">
      <alignment vertical="center"/>
    </xf>
    <xf numFmtId="0" fontId="22" fillId="0" borderId="0" xfId="5" applyFont="1" applyAlignment="1">
      <alignment horizontal="right" vertical="center"/>
    </xf>
    <xf numFmtId="0" fontId="7" fillId="0" borderId="1" xfId="6" applyFont="1" applyBorder="1" applyAlignment="1">
      <alignment vertical="center"/>
    </xf>
    <xf numFmtId="0" fontId="19" fillId="0" borderId="1" xfId="6" applyFont="1" applyBorder="1" applyAlignment="1">
      <alignment vertical="center"/>
    </xf>
    <xf numFmtId="0" fontId="23" fillId="3" borderId="1" xfId="6" applyFont="1" applyFill="1" applyBorder="1" applyAlignment="1">
      <alignment vertical="center"/>
    </xf>
    <xf numFmtId="0" fontId="9" fillId="3" borderId="1" xfId="6" applyFont="1" applyFill="1" applyBorder="1" applyAlignment="1">
      <alignment vertical="center"/>
    </xf>
    <xf numFmtId="0" fontId="9" fillId="3" borderId="4" xfId="6" applyFont="1" applyFill="1" applyBorder="1" applyAlignment="1">
      <alignment vertical="center"/>
    </xf>
    <xf numFmtId="0" fontId="9" fillId="3" borderId="1" xfId="6" applyFont="1" applyFill="1" applyBorder="1" applyAlignment="1">
      <alignment horizontal="right" vertical="center"/>
    </xf>
    <xf numFmtId="0" fontId="9" fillId="3" borderId="1" xfId="6" applyFont="1" applyFill="1" applyBorder="1" applyAlignment="1">
      <alignment horizontal="right" vertical="center" wrapText="1"/>
    </xf>
    <xf numFmtId="0" fontId="19" fillId="3" borderId="0" xfId="6" applyFont="1" applyFill="1" applyAlignment="1">
      <alignment vertical="center"/>
    </xf>
    <xf numFmtId="0" fontId="23" fillId="3" borderId="4" xfId="6" applyFont="1" applyFill="1" applyBorder="1" applyAlignment="1">
      <alignment horizontal="right" vertical="center"/>
    </xf>
    <xf numFmtId="0" fontId="8" fillId="0" borderId="0" xfId="6" applyFont="1" applyAlignment="1">
      <alignment vertical="center"/>
    </xf>
    <xf numFmtId="0" fontId="8" fillId="0" borderId="11" xfId="6" applyFont="1" applyBorder="1" applyAlignment="1">
      <alignment vertical="center"/>
    </xf>
    <xf numFmtId="164" fontId="7" fillId="2" borderId="0" xfId="3" applyNumberFormat="1" applyFont="1" applyFill="1" applyBorder="1" applyAlignment="1">
      <alignment vertical="center"/>
    </xf>
    <xf numFmtId="166" fontId="7" fillId="2" borderId="0" xfId="3" applyNumberFormat="1" applyFont="1" applyFill="1" applyAlignment="1">
      <alignment vertical="center"/>
    </xf>
    <xf numFmtId="166" fontId="8" fillId="0" borderId="0" xfId="3" applyNumberFormat="1" applyFont="1" applyFill="1" applyBorder="1" applyAlignment="1">
      <alignment horizontal="right" vertical="center" wrapText="1"/>
    </xf>
    <xf numFmtId="0" fontId="7" fillId="0" borderId="3" xfId="6" applyFont="1" applyBorder="1" applyAlignment="1">
      <alignment vertical="center"/>
    </xf>
    <xf numFmtId="166" fontId="7" fillId="2" borderId="0" xfId="3" applyNumberFormat="1" applyFont="1" applyFill="1" applyBorder="1" applyAlignment="1">
      <alignment vertical="center"/>
    </xf>
    <xf numFmtId="166" fontId="7" fillId="0" borderId="0" xfId="3" applyNumberFormat="1" applyFont="1" applyFill="1" applyBorder="1" applyAlignment="1">
      <alignment vertical="center"/>
    </xf>
    <xf numFmtId="0" fontId="8" fillId="0" borderId="1" xfId="6" applyFont="1" applyBorder="1" applyAlignment="1">
      <alignment vertical="center"/>
    </xf>
    <xf numFmtId="0" fontId="7" fillId="0" borderId="4" xfId="6" applyFont="1" applyBorder="1" applyAlignment="1">
      <alignment vertical="center"/>
    </xf>
    <xf numFmtId="164" fontId="7" fillId="0" borderId="1" xfId="3" applyNumberFormat="1" applyFont="1" applyBorder="1" applyAlignment="1">
      <alignment vertical="center"/>
    </xf>
    <xf numFmtId="164" fontId="7" fillId="2" borderId="1" xfId="3" applyNumberFormat="1" applyFont="1" applyFill="1" applyBorder="1" applyAlignment="1">
      <alignment vertical="center"/>
    </xf>
    <xf numFmtId="43" fontId="7" fillId="0" borderId="0" xfId="3" applyFont="1" applyAlignment="1">
      <alignment vertical="center"/>
    </xf>
    <xf numFmtId="166" fontId="7" fillId="0" borderId="0" xfId="3" applyNumberFormat="1" applyFont="1" applyAlignment="1">
      <alignment vertical="center"/>
    </xf>
    <xf numFmtId="164" fontId="7" fillId="0" borderId="0" xfId="3" applyNumberFormat="1" applyFont="1" applyBorder="1" applyAlignment="1">
      <alignment vertical="center"/>
    </xf>
    <xf numFmtId="164" fontId="7" fillId="2" borderId="0" xfId="3" applyNumberFormat="1" applyFont="1" applyFill="1" applyBorder="1" applyAlignment="1">
      <alignment horizontal="right" vertical="center"/>
    </xf>
    <xf numFmtId="166" fontId="7" fillId="2" borderId="0" xfId="3" applyNumberFormat="1" applyFont="1" applyFill="1" applyBorder="1" applyAlignment="1">
      <alignment horizontal="right" vertical="center"/>
    </xf>
    <xf numFmtId="166" fontId="7" fillId="0" borderId="0" xfId="3" applyNumberFormat="1" applyFont="1" applyFill="1" applyBorder="1" applyAlignment="1">
      <alignment horizontal="right" vertical="center"/>
    </xf>
    <xf numFmtId="43" fontId="8" fillId="0" borderId="0" xfId="3" applyFont="1" applyFill="1" applyBorder="1" applyAlignment="1">
      <alignment horizontal="right" vertical="center"/>
    </xf>
    <xf numFmtId="167" fontId="7" fillId="0" borderId="0" xfId="3" applyNumberFormat="1" applyFont="1" applyFill="1" applyBorder="1" applyAlignment="1">
      <alignment vertical="center"/>
    </xf>
    <xf numFmtId="0" fontId="24" fillId="0" borderId="1" xfId="6" applyFont="1" applyBorder="1" applyAlignment="1">
      <alignment vertical="center"/>
    </xf>
    <xf numFmtId="0" fontId="24" fillId="0" borderId="4" xfId="6" applyFont="1" applyBorder="1" applyAlignment="1">
      <alignment vertical="center"/>
    </xf>
    <xf numFmtId="0" fontId="7" fillId="0" borderId="12" xfId="6" applyFont="1" applyBorder="1" applyAlignment="1">
      <alignment vertical="center"/>
    </xf>
    <xf numFmtId="0" fontId="24" fillId="0" borderId="0" xfId="6" applyFont="1" applyAlignment="1">
      <alignment vertical="center"/>
    </xf>
    <xf numFmtId="168" fontId="7" fillId="0" borderId="0" xfId="6" applyNumberFormat="1" applyFont="1" applyAlignment="1">
      <alignment vertical="center"/>
    </xf>
    <xf numFmtId="0" fontId="23" fillId="3" borderId="3" xfId="6" applyFont="1" applyFill="1" applyBorder="1" applyAlignment="1">
      <alignment horizontal="right" vertical="center"/>
    </xf>
    <xf numFmtId="0" fontId="25" fillId="0" borderId="4" xfId="6" applyFont="1" applyBorder="1" applyAlignment="1">
      <alignment horizontal="right" vertical="center" wrapText="1"/>
    </xf>
    <xf numFmtId="0" fontId="26" fillId="0" borderId="6" xfId="6" applyFont="1" applyBorder="1" applyAlignment="1">
      <alignment horizontal="right" vertical="center" wrapText="1"/>
    </xf>
    <xf numFmtId="0" fontId="26" fillId="0" borderId="1" xfId="6" applyFont="1" applyBorder="1" applyAlignment="1">
      <alignment horizontal="right" vertical="center" wrapText="1"/>
    </xf>
    <xf numFmtId="0" fontId="26" fillId="0" borderId="4" xfId="6" applyFont="1" applyBorder="1" applyAlignment="1">
      <alignment horizontal="right" vertical="center" wrapText="1"/>
    </xf>
    <xf numFmtId="0" fontId="7" fillId="0" borderId="0" xfId="6" applyFont="1" applyAlignment="1">
      <alignment vertical="center" wrapText="1"/>
    </xf>
    <xf numFmtId="14" fontId="7" fillId="0" borderId="3" xfId="5" applyNumberFormat="1" applyFont="1" applyBorder="1" applyAlignment="1">
      <alignment vertical="center"/>
    </xf>
    <xf numFmtId="2" fontId="7" fillId="0" borderId="13" xfId="5" applyNumberFormat="1" applyFont="1" applyBorder="1" applyAlignment="1">
      <alignment vertical="center"/>
    </xf>
    <xf numFmtId="0" fontId="27" fillId="0" borderId="0" xfId="6" applyFont="1" applyAlignment="1">
      <alignment vertical="center"/>
    </xf>
    <xf numFmtId="0" fontId="27" fillId="0" borderId="3" xfId="6" applyFont="1" applyBorder="1" applyAlignment="1">
      <alignment vertical="center"/>
    </xf>
    <xf numFmtId="10" fontId="27" fillId="2" borderId="0" xfId="8" applyNumberFormat="1" applyFont="1" applyFill="1" applyBorder="1" applyAlignment="1">
      <alignment vertical="center"/>
    </xf>
    <xf numFmtId="10" fontId="27" fillId="2" borderId="3" xfId="8" applyNumberFormat="1" applyFont="1" applyFill="1" applyBorder="1" applyAlignment="1">
      <alignment vertical="center"/>
    </xf>
    <xf numFmtId="14" fontId="7" fillId="0" borderId="0" xfId="5" applyNumberFormat="1" applyFont="1" applyAlignment="1">
      <alignment vertical="center"/>
    </xf>
    <xf numFmtId="0" fontId="7" fillId="0" borderId="0" xfId="5" applyFont="1" applyAlignment="1">
      <alignment vertical="center"/>
    </xf>
    <xf numFmtId="164" fontId="7" fillId="2" borderId="0" xfId="5" applyNumberFormat="1" applyFont="1" applyFill="1" applyAlignment="1">
      <alignment horizontal="right" vertical="center"/>
    </xf>
    <xf numFmtId="166" fontId="8" fillId="2" borderId="0" xfId="5" applyNumberFormat="1" applyFont="1" applyFill="1" applyAlignment="1">
      <alignment horizontal="right" vertical="center"/>
    </xf>
    <xf numFmtId="166" fontId="7" fillId="2" borderId="0" xfId="5" applyNumberFormat="1" applyFont="1" applyFill="1" applyAlignment="1">
      <alignment horizontal="right" vertical="center"/>
    </xf>
    <xf numFmtId="164" fontId="8" fillId="2" borderId="0" xfId="4" applyNumberFormat="1" applyFont="1" applyFill="1" applyAlignment="1">
      <alignment vertical="center"/>
    </xf>
    <xf numFmtId="164" fontId="7" fillId="2" borderId="0" xfId="4" applyNumberFormat="1" applyFont="1" applyFill="1" applyAlignment="1">
      <alignment vertical="center"/>
    </xf>
    <xf numFmtId="164" fontId="7" fillId="2" borderId="1" xfId="4" applyNumberFormat="1" applyFont="1" applyFill="1" applyBorder="1" applyAlignment="1">
      <alignment vertical="center"/>
    </xf>
    <xf numFmtId="164" fontId="7" fillId="2" borderId="3" xfId="4" applyNumberFormat="1" applyFont="1" applyFill="1" applyBorder="1" applyAlignment="1">
      <alignment vertical="center"/>
    </xf>
    <xf numFmtId="164" fontId="8" fillId="2" borderId="10" xfId="4" applyNumberFormat="1" applyFont="1" applyFill="1" applyBorder="1" applyAlignment="1">
      <alignment vertical="center"/>
    </xf>
    <xf numFmtId="164" fontId="8" fillId="2" borderId="9" xfId="4" applyNumberFormat="1" applyFont="1" applyFill="1" applyBorder="1" applyAlignment="1">
      <alignment horizontal="right" vertical="center"/>
    </xf>
    <xf numFmtId="164" fontId="8" fillId="2" borderId="9" xfId="4" applyNumberFormat="1" applyFont="1" applyFill="1" applyBorder="1" applyAlignment="1">
      <alignment vertical="center"/>
    </xf>
    <xf numFmtId="164" fontId="8" fillId="2" borderId="3" xfId="4" applyNumberFormat="1" applyFont="1" applyFill="1" applyBorder="1" applyAlignment="1">
      <alignment vertical="center"/>
    </xf>
    <xf numFmtId="164" fontId="8" fillId="2" borderId="1" xfId="4" applyNumberFormat="1" applyFont="1" applyFill="1" applyBorder="1" applyAlignment="1">
      <alignment vertical="center"/>
    </xf>
    <xf numFmtId="0" fontId="28" fillId="0" borderId="0" xfId="2" applyFont="1" applyAlignment="1">
      <alignment vertical="center"/>
    </xf>
    <xf numFmtId="164" fontId="7" fillId="2" borderId="0" xfId="9" applyNumberFormat="1" applyFont="1" applyFill="1" applyBorder="1" applyAlignment="1">
      <alignment vertical="center"/>
    </xf>
    <xf numFmtId="0" fontId="9" fillId="0" borderId="0" xfId="6" applyFont="1" applyAlignment="1">
      <alignment horizontal="right" vertical="center" wrapText="1"/>
    </xf>
    <xf numFmtId="164" fontId="7" fillId="0" borderId="0" xfId="5" applyNumberFormat="1" applyFont="1" applyAlignment="1">
      <alignment horizontal="right" vertical="center"/>
    </xf>
    <xf numFmtId="0" fontId="9" fillId="0" borderId="0" xfId="5" applyFont="1" applyAlignment="1">
      <alignment horizontal="right" vertical="center"/>
    </xf>
    <xf numFmtId="166" fontId="7" fillId="0" borderId="0" xfId="5" applyNumberFormat="1" applyFont="1" applyAlignment="1">
      <alignment horizontal="right" vertical="center"/>
    </xf>
    <xf numFmtId="0" fontId="9" fillId="0" borderId="0" xfId="4" applyFont="1" applyAlignment="1">
      <alignment horizontal="right" vertical="center"/>
    </xf>
    <xf numFmtId="0" fontId="31" fillId="0" borderId="0" xfId="10" applyFont="1" applyAlignment="1">
      <alignment vertical="center"/>
    </xf>
    <xf numFmtId="0" fontId="4" fillId="0" borderId="0" xfId="10" applyFont="1" applyAlignment="1">
      <alignment vertical="center"/>
    </xf>
    <xf numFmtId="0" fontId="32" fillId="0" borderId="0" xfId="10" applyFont="1" applyAlignment="1">
      <alignment vertical="center"/>
    </xf>
    <xf numFmtId="0" fontId="33" fillId="0" borderId="0" xfId="10" applyFont="1" applyAlignment="1">
      <alignment vertical="center"/>
    </xf>
    <xf numFmtId="0" fontId="34" fillId="0" borderId="0" xfId="10" applyFont="1" applyAlignment="1">
      <alignment horizontal="right" vertical="center"/>
    </xf>
    <xf numFmtId="0" fontId="4" fillId="0" borderId="0" xfId="10" applyFont="1" applyAlignment="1">
      <alignment horizontal="right" vertical="center"/>
    </xf>
    <xf numFmtId="0" fontId="9" fillId="3" borderId="1" xfId="10" applyFont="1" applyFill="1" applyBorder="1" applyAlignment="1">
      <alignment horizontal="right" vertical="center"/>
    </xf>
    <xf numFmtId="164" fontId="4" fillId="0" borderId="0" xfId="10" applyNumberFormat="1" applyFont="1" applyAlignment="1">
      <alignment vertical="center"/>
    </xf>
    <xf numFmtId="0" fontId="34" fillId="0" borderId="1" xfId="10" applyFont="1" applyBorder="1" applyAlignment="1">
      <alignment vertical="center"/>
    </xf>
    <xf numFmtId="0" fontId="4" fillId="0" borderId="1" xfId="10" applyFont="1" applyBorder="1" applyAlignment="1">
      <alignment vertical="center"/>
    </xf>
    <xf numFmtId="0" fontId="4" fillId="0" borderId="1" xfId="10" applyFont="1" applyBorder="1" applyAlignment="1">
      <alignment horizontal="right" vertical="center"/>
    </xf>
    <xf numFmtId="0" fontId="9" fillId="3" borderId="0" xfId="10" applyFont="1" applyFill="1" applyAlignment="1">
      <alignment horizontal="right" vertical="center"/>
    </xf>
    <xf numFmtId="0" fontId="9" fillId="3" borderId="4" xfId="10" applyFont="1" applyFill="1" applyBorder="1" applyAlignment="1">
      <alignment horizontal="right" vertical="center"/>
    </xf>
    <xf numFmtId="169" fontId="4" fillId="0" borderId="0" xfId="10" applyNumberFormat="1" applyFont="1" applyAlignment="1">
      <alignment horizontal="right" vertical="center"/>
    </xf>
    <xf numFmtId="0" fontId="9" fillId="3" borderId="0" xfId="10" applyFont="1" applyFill="1" applyAlignment="1">
      <alignment vertical="center"/>
    </xf>
    <xf numFmtId="0" fontId="19" fillId="3" borderId="3" xfId="10" applyFont="1" applyFill="1" applyBorder="1" applyAlignment="1">
      <alignment vertical="center"/>
    </xf>
    <xf numFmtId="0" fontId="35" fillId="0" borderId="0" xfId="10" applyFont="1" applyAlignment="1">
      <alignment vertical="center"/>
    </xf>
    <xf numFmtId="0" fontId="4" fillId="0" borderId="0" xfId="10" applyFont="1" applyAlignment="1">
      <alignment horizontal="left" vertical="center"/>
    </xf>
    <xf numFmtId="170" fontId="4" fillId="0" borderId="0" xfId="10" applyNumberFormat="1" applyFont="1" applyAlignment="1">
      <alignment vertical="center"/>
    </xf>
    <xf numFmtId="0" fontId="36" fillId="0" borderId="0" xfId="10" applyFont="1" applyAlignment="1">
      <alignment vertical="center"/>
    </xf>
    <xf numFmtId="0" fontId="9" fillId="3" borderId="1" xfId="10" applyFont="1" applyFill="1" applyBorder="1" applyAlignment="1">
      <alignment vertical="center"/>
    </xf>
    <xf numFmtId="0" fontId="19" fillId="3" borderId="4" xfId="10" applyFont="1" applyFill="1" applyBorder="1" applyAlignment="1">
      <alignment vertical="center"/>
    </xf>
    <xf numFmtId="0" fontId="37" fillId="3" borderId="1" xfId="10" applyFont="1" applyFill="1" applyBorder="1" applyAlignment="1">
      <alignment horizontal="right" vertical="center"/>
    </xf>
    <xf numFmtId="2" fontId="17" fillId="0" borderId="0" xfId="10" applyNumberFormat="1" applyFont="1" applyAlignment="1">
      <alignment vertical="center"/>
    </xf>
    <xf numFmtId="2" fontId="4" fillId="0" borderId="0" xfId="10" applyNumberFormat="1" applyFont="1" applyAlignment="1">
      <alignment horizontal="right" vertical="center"/>
    </xf>
    <xf numFmtId="170" fontId="17" fillId="0" borderId="0" xfId="10" applyNumberFormat="1" applyFont="1" applyAlignment="1">
      <alignment vertical="center"/>
    </xf>
    <xf numFmtId="10" fontId="4" fillId="4" borderId="0" xfId="7" applyNumberFormat="1" applyFont="1" applyFill="1" applyAlignment="1">
      <alignment vertical="center"/>
    </xf>
    <xf numFmtId="0" fontId="4" fillId="0" borderId="1" xfId="10" applyFont="1" applyBorder="1" applyAlignment="1">
      <alignment horizontal="left" vertical="center"/>
    </xf>
    <xf numFmtId="10" fontId="4" fillId="4" borderId="1" xfId="7" applyNumberFormat="1" applyFont="1" applyFill="1" applyBorder="1" applyAlignment="1">
      <alignment vertical="center"/>
    </xf>
    <xf numFmtId="10" fontId="4" fillId="2" borderId="0" xfId="7" applyNumberFormat="1" applyFont="1" applyFill="1" applyAlignment="1">
      <alignment vertical="center"/>
    </xf>
    <xf numFmtId="10" fontId="4" fillId="2" borderId="1" xfId="7" applyNumberFormat="1" applyFont="1" applyFill="1" applyBorder="1" applyAlignment="1">
      <alignment vertical="center"/>
    </xf>
    <xf numFmtId="0" fontId="38" fillId="0" borderId="0" xfId="10" applyFont="1" applyAlignment="1">
      <alignment horizontal="right" vertical="center"/>
    </xf>
    <xf numFmtId="10" fontId="4" fillId="2" borderId="0" xfId="10" applyNumberFormat="1" applyFont="1" applyFill="1" applyAlignment="1">
      <alignment vertical="center"/>
    </xf>
    <xf numFmtId="164" fontId="4" fillId="2" borderId="0" xfId="10" applyNumberFormat="1" applyFont="1" applyFill="1" applyAlignment="1">
      <alignment vertical="center"/>
    </xf>
    <xf numFmtId="0" fontId="4" fillId="2" borderId="0" xfId="10" applyFont="1" applyFill="1" applyAlignment="1">
      <alignment vertical="center"/>
    </xf>
    <xf numFmtId="2" fontId="17" fillId="2" borderId="0" xfId="10" applyNumberFormat="1" applyFont="1" applyFill="1" applyAlignment="1">
      <alignment horizontal="right" vertical="center"/>
    </xf>
    <xf numFmtId="2" fontId="4" fillId="2" borderId="3" xfId="10" applyNumberFormat="1" applyFont="1" applyFill="1" applyBorder="1" applyAlignment="1">
      <alignment horizontal="right" vertical="center"/>
    </xf>
    <xf numFmtId="2" fontId="17" fillId="2" borderId="0" xfId="10" applyNumberFormat="1" applyFont="1" applyFill="1" applyAlignment="1">
      <alignment vertical="center"/>
    </xf>
    <xf numFmtId="2" fontId="4" fillId="2" borderId="3" xfId="10" applyNumberFormat="1" applyFont="1" applyFill="1" applyBorder="1" applyAlignment="1">
      <alignment vertical="center"/>
    </xf>
    <xf numFmtId="10" fontId="4" fillId="2" borderId="0" xfId="1" applyNumberFormat="1" applyFont="1" applyFill="1" applyAlignment="1">
      <alignment vertical="center"/>
    </xf>
    <xf numFmtId="9" fontId="4" fillId="2" borderId="0" xfId="10" applyNumberFormat="1" applyFont="1" applyFill="1" applyAlignment="1">
      <alignment vertical="center"/>
    </xf>
    <xf numFmtId="164" fontId="8" fillId="2" borderId="7" xfId="4" applyNumberFormat="1" applyFont="1" applyFill="1" applyBorder="1" applyAlignment="1">
      <alignment horizontal="right" vertical="center"/>
    </xf>
    <xf numFmtId="0" fontId="39" fillId="0" borderId="4" xfId="6" applyFont="1" applyBorder="1" applyAlignment="1">
      <alignment horizontal="right" vertical="center" wrapText="1"/>
    </xf>
    <xf numFmtId="0" fontId="40" fillId="0" borderId="11" xfId="6" applyFont="1" applyBorder="1" applyAlignment="1">
      <alignment vertical="center"/>
    </xf>
    <xf numFmtId="0" fontId="40" fillId="0" borderId="12" xfId="6" applyFont="1" applyBorder="1" applyAlignment="1">
      <alignment vertical="center"/>
    </xf>
    <xf numFmtId="164" fontId="8" fillId="2" borderId="0" xfId="3" applyNumberFormat="1" applyFont="1" applyFill="1" applyBorder="1" applyAlignment="1">
      <alignment vertical="center"/>
    </xf>
    <xf numFmtId="164" fontId="8" fillId="2" borderId="0" xfId="3" applyNumberFormat="1" applyFont="1" applyFill="1" applyBorder="1" applyAlignment="1">
      <alignment horizontal="right" vertical="center" wrapText="1"/>
    </xf>
    <xf numFmtId="164" fontId="17" fillId="2" borderId="0" xfId="10" applyNumberFormat="1" applyFont="1" applyFill="1" applyAlignment="1">
      <alignment vertical="center"/>
    </xf>
    <xf numFmtId="164" fontId="4" fillId="4" borderId="0" xfId="10" applyNumberFormat="1" applyFont="1" applyFill="1" applyAlignment="1">
      <alignment vertical="center"/>
    </xf>
    <xf numFmtId="0" fontId="9" fillId="3" borderId="1" xfId="10" applyFont="1" applyFill="1" applyBorder="1" applyAlignment="1">
      <alignment horizontal="left" vertical="center"/>
    </xf>
    <xf numFmtId="0" fontId="34" fillId="0" borderId="0" xfId="10" applyFont="1" applyAlignment="1">
      <alignment horizontal="left" vertical="center"/>
    </xf>
    <xf numFmtId="0" fontId="8" fillId="0" borderId="3" xfId="3" applyNumberFormat="1" applyFont="1" applyFill="1" applyBorder="1" applyAlignment="1">
      <alignment horizontal="right" vertical="center" wrapText="1"/>
    </xf>
    <xf numFmtId="0" fontId="8" fillId="0" borderId="3" xfId="3" applyNumberFormat="1" applyFont="1" applyFill="1" applyBorder="1" applyAlignment="1">
      <alignment horizontal="right" vertical="center"/>
    </xf>
    <xf numFmtId="2" fontId="4" fillId="0" borderId="0" xfId="10" applyNumberFormat="1" applyFont="1" applyAlignment="1">
      <alignment vertical="center"/>
    </xf>
    <xf numFmtId="10" fontId="4" fillId="2" borderId="1" xfId="10" applyNumberFormat="1" applyFont="1" applyFill="1" applyBorder="1" applyAlignment="1">
      <alignment vertical="center"/>
    </xf>
    <xf numFmtId="0" fontId="53" fillId="0" borderId="0" xfId="10" applyFont="1" applyAlignment="1">
      <alignment horizontal="left" vertical="center"/>
    </xf>
    <xf numFmtId="0" fontId="8" fillId="0" borderId="1" xfId="6" applyFont="1" applyBorder="1" applyAlignment="1">
      <alignment horizontal="right" vertical="center"/>
    </xf>
    <xf numFmtId="166" fontId="8" fillId="0" borderId="1" xfId="6" applyNumberFormat="1" applyFont="1" applyBorder="1" applyAlignment="1">
      <alignment horizontal="right" vertical="center"/>
    </xf>
    <xf numFmtId="0" fontId="19" fillId="5" borderId="1" xfId="6" applyFont="1" applyFill="1" applyBorder="1" applyAlignment="1">
      <alignment vertical="center"/>
    </xf>
    <xf numFmtId="0" fontId="23" fillId="5" borderId="4" xfId="6" applyFont="1" applyFill="1" applyBorder="1" applyAlignment="1">
      <alignment horizontal="right" vertical="center"/>
    </xf>
    <xf numFmtId="0" fontId="9" fillId="5" borderId="1" xfId="6" applyFont="1" applyFill="1" applyBorder="1" applyAlignment="1">
      <alignment vertical="center"/>
    </xf>
    <xf numFmtId="0" fontId="0" fillId="0" borderId="3" xfId="0" applyBorder="1"/>
    <xf numFmtId="0" fontId="54" fillId="0" borderId="0" xfId="0" applyFont="1" applyAlignment="1">
      <alignment horizontal="center"/>
    </xf>
    <xf numFmtId="164" fontId="7" fillId="2" borderId="0" xfId="6" applyNumberFormat="1" applyFont="1" applyFill="1" applyAlignment="1">
      <alignment vertical="center"/>
    </xf>
    <xf numFmtId="0" fontId="9" fillId="3" borderId="1" xfId="4" applyFont="1" applyFill="1" applyBorder="1" applyAlignment="1">
      <alignment horizontal="right" vertical="center"/>
    </xf>
    <xf numFmtId="0" fontId="9" fillId="3" borderId="2" xfId="4" applyFont="1" applyFill="1" applyBorder="1" applyAlignment="1">
      <alignment horizontal="left" vertical="center"/>
    </xf>
    <xf numFmtId="0" fontId="9" fillId="3" borderId="8" xfId="4" applyFont="1" applyFill="1" applyBorder="1" applyAlignment="1">
      <alignment horizontal="right" vertical="center"/>
    </xf>
    <xf numFmtId="0" fontId="9" fillId="3" borderId="2" xfId="4" applyFont="1" applyFill="1" applyBorder="1" applyAlignment="1">
      <alignment horizontal="right" vertical="center"/>
    </xf>
    <xf numFmtId="0" fontId="9" fillId="3" borderId="2" xfId="4" applyFont="1" applyFill="1" applyBorder="1" applyAlignment="1">
      <alignment vertical="center" wrapText="1"/>
    </xf>
    <xf numFmtId="0" fontId="9" fillId="3" borderId="1" xfId="5" applyFont="1" applyFill="1" applyBorder="1" applyAlignment="1">
      <alignment horizontal="right" vertical="center"/>
    </xf>
    <xf numFmtId="0" fontId="9" fillId="3" borderId="4" xfId="4" applyFont="1" applyFill="1" applyBorder="1" applyAlignment="1">
      <alignment horizontal="left" vertical="center"/>
    </xf>
    <xf numFmtId="0" fontId="9" fillId="3" borderId="2" xfId="4" applyFont="1" applyFill="1" applyBorder="1" applyAlignment="1">
      <alignment horizontal="left" vertical="center" wrapText="1"/>
    </xf>
    <xf numFmtId="0" fontId="55" fillId="0" borderId="0" xfId="10" applyFont="1" applyAlignment="1">
      <alignment vertical="center"/>
    </xf>
    <xf numFmtId="166" fontId="4" fillId="2" borderId="1" xfId="11" applyNumberFormat="1" applyFont="1" applyFill="1" applyBorder="1" applyAlignment="1">
      <alignment vertical="center"/>
    </xf>
    <xf numFmtId="10" fontId="4" fillId="0" borderId="0" xfId="10" applyNumberFormat="1" applyFont="1" applyAlignment="1">
      <alignment horizontal="right" vertical="center"/>
    </xf>
    <xf numFmtId="0" fontId="4" fillId="2" borderId="0" xfId="10" applyFont="1" applyFill="1" applyAlignment="1">
      <alignment horizontal="right" vertical="center"/>
    </xf>
    <xf numFmtId="10" fontId="4" fillId="2" borderId="0" xfId="12" applyNumberFormat="1" applyFont="1" applyFill="1" applyAlignment="1">
      <alignment horizontal="right" vertical="center"/>
    </xf>
    <xf numFmtId="10" fontId="4" fillId="2" borderId="0" xfId="10" applyNumberFormat="1" applyFont="1" applyFill="1" applyAlignment="1">
      <alignment horizontal="right" vertical="center"/>
    </xf>
    <xf numFmtId="169" fontId="4" fillId="2" borderId="0" xfId="10" applyNumberFormat="1" applyFont="1" applyFill="1" applyAlignment="1">
      <alignment horizontal="right" vertical="center"/>
    </xf>
    <xf numFmtId="10" fontId="34" fillId="2" borderId="7" xfId="10" applyNumberFormat="1" applyFont="1" applyFill="1" applyBorder="1" applyAlignment="1">
      <alignment vertical="center"/>
    </xf>
    <xf numFmtId="0" fontId="9" fillId="3" borderId="5" xfId="10" applyFont="1" applyFill="1" applyBorder="1" applyAlignment="1">
      <alignment horizontal="left" vertical="center"/>
    </xf>
    <xf numFmtId="0" fontId="19" fillId="3" borderId="5" xfId="10" applyFont="1" applyFill="1" applyBorder="1" applyAlignment="1">
      <alignment vertical="center"/>
    </xf>
    <xf numFmtId="0" fontId="19" fillId="3" borderId="1" xfId="10" applyFont="1" applyFill="1" applyBorder="1" applyAlignment="1">
      <alignment vertical="center"/>
    </xf>
    <xf numFmtId="169" fontId="4" fillId="2" borderId="3" xfId="10" applyNumberFormat="1" applyFont="1" applyFill="1" applyBorder="1" applyAlignment="1">
      <alignment horizontal="right" vertical="center"/>
    </xf>
    <xf numFmtId="169" fontId="34" fillId="2" borderId="1" xfId="10" applyNumberFormat="1" applyFont="1" applyFill="1" applyBorder="1" applyAlignment="1">
      <alignment horizontal="right" vertical="center"/>
    </xf>
    <xf numFmtId="169" fontId="34" fillId="2" borderId="4" xfId="10" applyNumberFormat="1" applyFont="1" applyFill="1" applyBorder="1" applyAlignment="1">
      <alignment horizontal="right" vertical="center"/>
    </xf>
    <xf numFmtId="164" fontId="34" fillId="2" borderId="6" xfId="10" applyNumberFormat="1" applyFont="1" applyFill="1" applyBorder="1" applyAlignment="1">
      <alignment vertical="center"/>
    </xf>
    <xf numFmtId="164" fontId="34" fillId="2" borderId="1" xfId="10" applyNumberFormat="1" applyFont="1" applyFill="1" applyBorder="1" applyAlignment="1">
      <alignment vertical="center"/>
    </xf>
    <xf numFmtId="10" fontId="9" fillId="3" borderId="0" xfId="12" applyNumberFormat="1" applyFont="1" applyFill="1" applyAlignment="1">
      <alignment horizontal="right" vertical="center"/>
    </xf>
    <xf numFmtId="2" fontId="0" fillId="0" borderId="0" xfId="0" applyNumberFormat="1"/>
    <xf numFmtId="2" fontId="7" fillId="2" borderId="0" xfId="6" applyNumberFormat="1" applyFont="1" applyFill="1" applyAlignment="1">
      <alignment vertical="center"/>
    </xf>
    <xf numFmtId="2" fontId="7" fillId="0" borderId="0" xfId="6" applyNumberFormat="1" applyFont="1" applyAlignment="1">
      <alignment vertical="center"/>
    </xf>
    <xf numFmtId="0" fontId="39" fillId="0" borderId="6" xfId="6" applyFont="1" applyBorder="1" applyAlignment="1">
      <alignment horizontal="right" vertical="center" wrapText="1"/>
    </xf>
    <xf numFmtId="164" fontId="7" fillId="0" borderId="0" xfId="3" applyNumberFormat="1" applyFont="1" applyFill="1" applyAlignment="1">
      <alignment vertical="center"/>
    </xf>
    <xf numFmtId="164" fontId="8" fillId="2" borderId="1" xfId="6" applyNumberFormat="1" applyFont="1" applyFill="1" applyBorder="1" applyAlignment="1">
      <alignment vertical="center"/>
    </xf>
    <xf numFmtId="164" fontId="17" fillId="2" borderId="0" xfId="3" applyNumberFormat="1" applyFont="1" applyFill="1" applyBorder="1" applyAlignment="1">
      <alignment vertical="center"/>
    </xf>
    <xf numFmtId="166" fontId="7" fillId="2" borderId="13" xfId="3" applyNumberFormat="1" applyFont="1" applyFill="1" applyBorder="1" applyAlignment="1">
      <alignment vertical="center"/>
    </xf>
    <xf numFmtId="164" fontId="7" fillId="0" borderId="3" xfId="3" applyNumberFormat="1" applyFont="1" applyFill="1" applyBorder="1" applyAlignment="1">
      <alignment vertical="center"/>
    </xf>
    <xf numFmtId="0" fontId="19" fillId="3" borderId="0" xfId="10" applyFont="1" applyFill="1" applyAlignment="1">
      <alignment vertical="center"/>
    </xf>
    <xf numFmtId="10" fontId="4" fillId="2" borderId="1" xfId="1" applyNumberFormat="1" applyFont="1" applyFill="1" applyBorder="1" applyAlignment="1">
      <alignment vertical="center"/>
    </xf>
    <xf numFmtId="10" fontId="7" fillId="2" borderId="0" xfId="7" applyNumberFormat="1" applyFont="1" applyFill="1" applyAlignment="1">
      <alignment vertical="center"/>
    </xf>
    <xf numFmtId="0" fontId="7" fillId="2" borderId="0" xfId="6" applyFont="1" applyFill="1" applyAlignment="1">
      <alignment vertical="center"/>
    </xf>
    <xf numFmtId="10" fontId="7" fillId="2" borderId="1" xfId="7" applyNumberFormat="1" applyFont="1" applyFill="1" applyBorder="1" applyAlignment="1">
      <alignment vertical="center"/>
    </xf>
    <xf numFmtId="0" fontId="8" fillId="0" borderId="0" xfId="3" applyNumberFormat="1" applyFont="1" applyFill="1" applyBorder="1" applyAlignment="1">
      <alignment horizontal="right" vertical="center"/>
    </xf>
    <xf numFmtId="0" fontId="9" fillId="3" borderId="0" xfId="6" applyFont="1" applyFill="1" applyAlignment="1">
      <alignment vertical="center"/>
    </xf>
    <xf numFmtId="164" fontId="9" fillId="3" borderId="0" xfId="6" applyNumberFormat="1" applyFont="1" applyFill="1" applyAlignment="1">
      <alignment vertical="center"/>
    </xf>
    <xf numFmtId="0" fontId="7" fillId="2" borderId="0" xfId="6" applyFont="1" applyFill="1" applyAlignment="1">
      <alignment horizontal="right" vertical="center"/>
    </xf>
    <xf numFmtId="0" fontId="7" fillId="2" borderId="1" xfId="6" applyFont="1" applyFill="1" applyBorder="1" applyAlignment="1">
      <alignment horizontal="right" vertical="center"/>
    </xf>
    <xf numFmtId="0" fontId="8" fillId="0" borderId="12" xfId="6" applyFont="1" applyBorder="1" applyAlignment="1">
      <alignment vertical="center"/>
    </xf>
    <xf numFmtId="0" fontId="8" fillId="0" borderId="3" xfId="6" applyFont="1" applyBorder="1" applyAlignment="1">
      <alignment vertical="center"/>
    </xf>
    <xf numFmtId="0" fontId="8" fillId="0" borderId="4" xfId="6" applyFont="1" applyBorder="1" applyAlignment="1">
      <alignment vertical="center"/>
    </xf>
    <xf numFmtId="0" fontId="9" fillId="3" borderId="2" xfId="6" applyFont="1" applyFill="1" applyBorder="1" applyAlignment="1">
      <alignment horizontal="right" vertical="center"/>
    </xf>
    <xf numFmtId="164" fontId="8" fillId="2" borderId="3" xfId="3" applyNumberFormat="1" applyFont="1" applyFill="1" applyBorder="1" applyAlignment="1">
      <alignment horizontal="right" vertical="center" wrapText="1"/>
    </xf>
    <xf numFmtId="164" fontId="7" fillId="2" borderId="3" xfId="3" applyNumberFormat="1" applyFont="1" applyFill="1" applyBorder="1" applyAlignment="1">
      <alignment vertical="center"/>
    </xf>
    <xf numFmtId="164" fontId="7" fillId="2" borderId="4" xfId="3" applyNumberFormat="1" applyFont="1" applyFill="1" applyBorder="1" applyAlignment="1">
      <alignment vertical="center"/>
    </xf>
    <xf numFmtId="164" fontId="7" fillId="2" borderId="3" xfId="9" applyNumberFormat="1" applyFont="1" applyFill="1" applyBorder="1" applyAlignment="1">
      <alignment vertical="center"/>
    </xf>
    <xf numFmtId="164" fontId="7" fillId="2" borderId="4" xfId="9" applyNumberFormat="1" applyFont="1" applyFill="1" applyBorder="1" applyAlignment="1">
      <alignment vertical="center"/>
    </xf>
    <xf numFmtId="164" fontId="8" fillId="2" borderId="3" xfId="9" applyNumberFormat="1" applyFont="1" applyFill="1" applyBorder="1" applyAlignment="1">
      <alignment vertical="center"/>
    </xf>
    <xf numFmtId="164" fontId="7" fillId="2" borderId="3" xfId="6" applyNumberFormat="1" applyFont="1" applyFill="1" applyBorder="1" applyAlignment="1">
      <alignment vertical="center"/>
    </xf>
    <xf numFmtId="164" fontId="7" fillId="2" borderId="4" xfId="6" applyNumberFormat="1" applyFont="1" applyFill="1" applyBorder="1" applyAlignment="1">
      <alignment vertical="center"/>
    </xf>
    <xf numFmtId="0" fontId="7" fillId="2" borderId="3" xfId="6" applyFont="1" applyFill="1" applyBorder="1" applyAlignment="1">
      <alignment vertical="center"/>
    </xf>
    <xf numFmtId="0" fontId="7" fillId="2" borderId="4" xfId="6" applyFont="1" applyFill="1" applyBorder="1" applyAlignment="1">
      <alignment vertical="center"/>
    </xf>
    <xf numFmtId="164" fontId="9" fillId="3" borderId="3" xfId="6" applyNumberFormat="1" applyFont="1" applyFill="1" applyBorder="1" applyAlignment="1">
      <alignment vertical="center"/>
    </xf>
    <xf numFmtId="0" fontId="9" fillId="3" borderId="2" xfId="6" applyFont="1" applyFill="1" applyBorder="1" applyAlignment="1">
      <alignment horizontal="right" vertical="center" wrapText="1"/>
    </xf>
    <xf numFmtId="164" fontId="7" fillId="2" borderId="3" xfId="3" applyNumberFormat="1" applyFont="1" applyFill="1" applyBorder="1" applyAlignment="1">
      <alignment horizontal="right" vertical="center"/>
    </xf>
    <xf numFmtId="164" fontId="17" fillId="2" borderId="3" xfId="3" applyNumberFormat="1" applyFont="1" applyFill="1" applyBorder="1" applyAlignment="1">
      <alignment vertical="center"/>
    </xf>
    <xf numFmtId="164" fontId="8" fillId="2" borderId="4" xfId="6" applyNumberFormat="1" applyFont="1" applyFill="1" applyBorder="1" applyAlignment="1">
      <alignment vertical="center"/>
    </xf>
    <xf numFmtId="10" fontId="7" fillId="2" borderId="3" xfId="7" applyNumberFormat="1" applyFont="1" applyFill="1" applyBorder="1" applyAlignment="1">
      <alignment vertical="center"/>
    </xf>
    <xf numFmtId="10" fontId="7" fillId="2" borderId="4" xfId="7" applyNumberFormat="1" applyFont="1" applyFill="1" applyBorder="1" applyAlignment="1">
      <alignment vertical="center"/>
    </xf>
    <xf numFmtId="0" fontId="32" fillId="2" borderId="0" xfId="10" applyFont="1" applyFill="1" applyAlignment="1">
      <alignment vertical="center"/>
    </xf>
    <xf numFmtId="0" fontId="56" fillId="0" borderId="0" xfId="4" applyFont="1" applyAlignment="1">
      <alignment vertical="center"/>
    </xf>
    <xf numFmtId="0" fontId="2" fillId="0" borderId="0" xfId="4"/>
    <xf numFmtId="10" fontId="7" fillId="0" borderId="0" xfId="4" applyNumberFormat="1" applyFont="1" applyAlignment="1">
      <alignment vertical="center"/>
    </xf>
    <xf numFmtId="8" fontId="8" fillId="6" borderId="0" xfId="13" applyNumberFormat="1" applyFont="1" applyFill="1" applyBorder="1" applyAlignment="1">
      <alignment horizontal="right" vertical="center"/>
    </xf>
    <xf numFmtId="170" fontId="8" fillId="6" borderId="0" xfId="4" applyNumberFormat="1" applyFont="1" applyFill="1" applyAlignment="1">
      <alignment vertical="center"/>
    </xf>
    <xf numFmtId="0" fontId="8" fillId="0" borderId="1" xfId="4" applyFont="1" applyBorder="1" applyAlignment="1">
      <alignment horizontal="right" vertical="center"/>
    </xf>
    <xf numFmtId="0" fontId="27" fillId="0" borderId="1" xfId="4" applyFont="1" applyBorder="1" applyAlignment="1">
      <alignment vertical="center"/>
    </xf>
    <xf numFmtId="0" fontId="57" fillId="0" borderId="0" xfId="4" applyFont="1" applyAlignment="1">
      <alignment vertical="center"/>
    </xf>
    <xf numFmtId="171" fontId="8" fillId="6" borderId="0" xfId="14" applyNumberFormat="1" applyFont="1" applyFill="1" applyAlignment="1">
      <alignment vertical="center"/>
    </xf>
    <xf numFmtId="0" fontId="27" fillId="0" borderId="0" xfId="4" applyFont="1" applyAlignment="1">
      <alignment vertical="center"/>
    </xf>
    <xf numFmtId="171" fontId="7" fillId="6" borderId="0" xfId="14" applyNumberFormat="1" applyFont="1" applyFill="1" applyAlignment="1">
      <alignment vertical="center"/>
    </xf>
    <xf numFmtId="164" fontId="8" fillId="2" borderId="10" xfId="4" applyNumberFormat="1" applyFont="1" applyFill="1" applyBorder="1" applyAlignment="1">
      <alignment horizontal="right" vertical="center"/>
    </xf>
    <xf numFmtId="164" fontId="8" fillId="2" borderId="4" xfId="4" applyNumberFormat="1" applyFont="1" applyFill="1" applyBorder="1" applyAlignment="1">
      <alignment vertical="center"/>
    </xf>
    <xf numFmtId="0" fontId="8" fillId="0" borderId="12" xfId="4" applyFont="1" applyBorder="1" applyAlignment="1">
      <alignment vertical="center"/>
    </xf>
    <xf numFmtId="164" fontId="8" fillId="2" borderId="18" xfId="4" applyNumberFormat="1" applyFont="1" applyFill="1" applyBorder="1" applyAlignment="1">
      <alignment horizontal="right" vertical="center"/>
    </xf>
    <xf numFmtId="164" fontId="8" fillId="2" borderId="3" xfId="4" applyNumberFormat="1" applyFont="1" applyFill="1" applyBorder="1" applyAlignment="1">
      <alignment horizontal="right" vertical="center"/>
    </xf>
    <xf numFmtId="164" fontId="8" fillId="2" borderId="4" xfId="4" applyNumberFormat="1" applyFont="1" applyFill="1" applyBorder="1" applyAlignment="1">
      <alignment horizontal="right" vertical="center"/>
    </xf>
    <xf numFmtId="164" fontId="8" fillId="2" borderId="12" xfId="4" applyNumberFormat="1" applyFont="1" applyFill="1" applyBorder="1" applyAlignment="1">
      <alignment horizontal="right" vertical="center"/>
    </xf>
    <xf numFmtId="0" fontId="17" fillId="0" borderId="4" xfId="5" applyFont="1" applyBorder="1" applyAlignment="1">
      <alignment vertical="center"/>
    </xf>
    <xf numFmtId="0" fontId="17" fillId="0" borderId="3" xfId="4" applyFont="1" applyBorder="1" applyAlignment="1">
      <alignment vertical="center"/>
    </xf>
    <xf numFmtId="0" fontId="58" fillId="0" borderId="3" xfId="0" applyFont="1" applyBorder="1" applyAlignment="1">
      <alignment vertical="center"/>
    </xf>
    <xf numFmtId="0" fontId="58" fillId="0" borderId="4" xfId="0" applyFont="1" applyBorder="1" applyAlignment="1">
      <alignment vertical="center"/>
    </xf>
    <xf numFmtId="0" fontId="7" fillId="0" borderId="3" xfId="4" applyFont="1" applyBorder="1" applyAlignment="1">
      <alignment vertical="center"/>
    </xf>
    <xf numFmtId="164" fontId="17" fillId="2" borderId="10" xfId="4" applyNumberFormat="1" applyFont="1" applyFill="1" applyBorder="1" applyAlignment="1">
      <alignment vertical="center"/>
    </xf>
    <xf numFmtId="166" fontId="27" fillId="6" borderId="1" xfId="13" applyNumberFormat="1" applyFont="1" applyFill="1" applyBorder="1" applyAlignment="1">
      <alignment vertical="center"/>
    </xf>
    <xf numFmtId="166" fontId="57" fillId="6" borderId="0" xfId="13" applyNumberFormat="1" applyFont="1" applyFill="1" applyBorder="1" applyAlignment="1">
      <alignment vertical="center"/>
    </xf>
    <xf numFmtId="2" fontId="7" fillId="2" borderId="0" xfId="3" applyNumberFormat="1" applyFont="1" applyFill="1" applyAlignment="1">
      <alignment vertical="center"/>
    </xf>
    <xf numFmtId="2" fontId="7" fillId="2" borderId="0" xfId="3" applyNumberFormat="1" applyFont="1" applyFill="1" applyBorder="1" applyAlignment="1">
      <alignment vertical="center"/>
    </xf>
    <xf numFmtId="2" fontId="7" fillId="2" borderId="3" xfId="9" applyNumberFormat="1" applyFont="1" applyFill="1" applyBorder="1" applyAlignment="1">
      <alignment vertical="center"/>
    </xf>
    <xf numFmtId="2" fontId="7" fillId="2" borderId="3" xfId="3" applyNumberFormat="1" applyFont="1" applyFill="1" applyBorder="1" applyAlignment="1">
      <alignment vertical="center"/>
    </xf>
    <xf numFmtId="0" fontId="7" fillId="0" borderId="0" xfId="6" applyFont="1" applyBorder="1" applyAlignment="1">
      <alignment vertical="center"/>
    </xf>
    <xf numFmtId="0" fontId="0" fillId="0" borderId="0" xfId="0" applyBorder="1"/>
    <xf numFmtId="0" fontId="54" fillId="7" borderId="0" xfId="0" applyFont="1" applyFill="1" applyBorder="1" applyAlignment="1">
      <alignment horizontal="centerContinuous"/>
    </xf>
    <xf numFmtId="0" fontId="0" fillId="7" borderId="0" xfId="0" applyFill="1" applyBorder="1"/>
    <xf numFmtId="0" fontId="0" fillId="0" borderId="0" xfId="0" applyFill="1" applyBorder="1" applyAlignment="1"/>
    <xf numFmtId="0" fontId="0" fillId="0" borderId="14" xfId="0" applyFill="1" applyBorder="1" applyAlignment="1"/>
    <xf numFmtId="0" fontId="54" fillId="0" borderId="15" xfId="0" applyFont="1" applyFill="1" applyBorder="1" applyAlignment="1">
      <alignment horizontal="center"/>
    </xf>
    <xf numFmtId="0" fontId="54" fillId="0" borderId="15" xfId="0" applyFont="1" applyFill="1" applyBorder="1" applyAlignment="1">
      <alignment horizontal="centerContinuous"/>
    </xf>
    <xf numFmtId="0" fontId="54" fillId="0" borderId="0" xfId="0" applyFont="1" applyFill="1" applyBorder="1" applyAlignment="1">
      <alignment horizontal="center"/>
    </xf>
    <xf numFmtId="0" fontId="0" fillId="0" borderId="13" xfId="0" applyBorder="1"/>
    <xf numFmtId="0" fontId="54" fillId="7" borderId="13" xfId="0" applyFont="1" applyFill="1" applyBorder="1" applyAlignment="1">
      <alignment horizontal="centerContinuous"/>
    </xf>
    <xf numFmtId="0" fontId="54" fillId="0" borderId="20" xfId="0" applyFont="1" applyFill="1" applyBorder="1" applyAlignment="1">
      <alignment horizontal="centerContinuous"/>
    </xf>
    <xf numFmtId="0" fontId="0" fillId="0" borderId="13" xfId="0" applyFill="1" applyBorder="1" applyAlignment="1"/>
    <xf numFmtId="0" fontId="0" fillId="0" borderId="19" xfId="0" applyFill="1" applyBorder="1" applyAlignment="1"/>
    <xf numFmtId="0" fontId="54" fillId="0" borderId="20" xfId="0" applyFont="1" applyFill="1" applyBorder="1" applyAlignment="1">
      <alignment horizontal="center"/>
    </xf>
    <xf numFmtId="0" fontId="0" fillId="7" borderId="3" xfId="0" applyFill="1" applyBorder="1"/>
    <xf numFmtId="0" fontId="54" fillId="0" borderId="17" xfId="0" applyFont="1" applyFill="1" applyBorder="1" applyAlignment="1">
      <alignment horizontal="center"/>
    </xf>
    <xf numFmtId="0" fontId="0" fillId="0" borderId="3" xfId="0" applyFill="1" applyBorder="1" applyAlignment="1"/>
    <xf numFmtId="0" fontId="0" fillId="0" borderId="16" xfId="0" applyFill="1" applyBorder="1" applyAlignment="1"/>
    <xf numFmtId="0" fontId="9" fillId="3" borderId="11" xfId="10" applyFont="1" applyFill="1" applyBorder="1" applyAlignment="1">
      <alignment horizontal="left" vertical="center"/>
    </xf>
    <xf numFmtId="0" fontId="9" fillId="3" borderId="12" xfId="10" applyFont="1" applyFill="1" applyBorder="1" applyAlignment="1">
      <alignment horizontal="left" vertical="center"/>
    </xf>
    <xf numFmtId="164" fontId="4" fillId="2" borderId="11" xfId="10" applyNumberFormat="1" applyFont="1" applyFill="1" applyBorder="1" applyAlignment="1">
      <alignment horizontal="right" vertical="center"/>
    </xf>
    <xf numFmtId="164" fontId="4" fillId="2" borderId="0" xfId="10" applyNumberFormat="1" applyFont="1" applyFill="1" applyAlignment="1">
      <alignment horizontal="right" vertical="center"/>
    </xf>
    <xf numFmtId="0" fontId="7" fillId="2" borderId="12" xfId="6" applyFont="1" applyFill="1" applyBorder="1" applyAlignment="1">
      <alignment horizontal="center" vertical="center"/>
    </xf>
    <xf numFmtId="0" fontId="7" fillId="2" borderId="3" xfId="6" applyFont="1" applyFill="1" applyBorder="1" applyAlignment="1">
      <alignment horizontal="center" vertical="center"/>
    </xf>
    <xf numFmtId="0" fontId="7" fillId="2" borderId="4" xfId="6" applyFont="1" applyFill="1" applyBorder="1" applyAlignment="1">
      <alignment horizontal="center" vertical="center"/>
    </xf>
    <xf numFmtId="0" fontId="23" fillId="3" borderId="13" xfId="6" applyFont="1" applyFill="1" applyBorder="1" applyAlignment="1">
      <alignment horizontal="center" vertical="center"/>
    </xf>
    <xf numFmtId="0" fontId="23" fillId="3" borderId="0" xfId="6" applyFont="1" applyFill="1" applyAlignment="1">
      <alignment horizontal="center" vertical="center"/>
    </xf>
    <xf numFmtId="0" fontId="23" fillId="3" borderId="3" xfId="6" applyFont="1" applyFill="1" applyBorder="1" applyAlignment="1">
      <alignment horizontal="center" vertical="center"/>
    </xf>
    <xf numFmtId="0" fontId="23" fillId="3" borderId="0" xfId="6" applyFont="1" applyFill="1" applyBorder="1" applyAlignment="1">
      <alignment horizontal="center" vertical="center"/>
    </xf>
  </cellXfs>
  <cellStyles count="15">
    <cellStyle name="Comma 2" xfId="3"/>
    <cellStyle name="Comma 2 2" xfId="9"/>
    <cellStyle name="Comma 2 3" xfId="11"/>
    <cellStyle name="Comma 3" xfId="13"/>
    <cellStyle name="Normal" xfId="0" builtinId="0"/>
    <cellStyle name="Normal 2" xfId="5"/>
    <cellStyle name="Normal 2 2" xfId="4"/>
    <cellStyle name="Normal 2 3" xfId="10"/>
    <cellStyle name="Normal 3 2" xfId="2"/>
    <cellStyle name="Normal 3 3" xfId="6"/>
    <cellStyle name="Percent" xfId="1" builtinId="5"/>
    <cellStyle name="Percent 2" xfId="7"/>
    <cellStyle name="Percent 2 2" xfId="8"/>
    <cellStyle name="Percent 2 3" xfId="12"/>
    <cellStyle name="Percent 3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Capital</a:t>
            </a:r>
            <a:r>
              <a:rPr lang="en-US" baseline="0"/>
              <a:t> Allocation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5421832505267506E-2"/>
          <c:y val="0.17881106001120942"/>
          <c:w val="0.59577788070608817"/>
          <c:h val="0.77363247863247864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9038-7A44-AC25-67BE3C6708C1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F252-C94F-83C3-2BB98C98963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'Capital Allocation'!$B$11:$B$12</c:f>
              <c:strCache>
                <c:ptCount val="2"/>
                <c:pt idx="0">
                  <c:v>y: weight of risky pf</c:v>
                </c:pt>
                <c:pt idx="1">
                  <c:v>1-y: weight of risk free asset</c:v>
                </c:pt>
              </c:strCache>
            </c:strRef>
          </c:cat>
          <c:val>
            <c:numRef>
              <c:f>'Capital Allocation'!$D$11:$D$12</c:f>
              <c:numCache>
                <c:formatCode>0.00%</c:formatCode>
                <c:ptCount val="2"/>
                <c:pt idx="0">
                  <c:v>0.59519345994897921</c:v>
                </c:pt>
                <c:pt idx="1">
                  <c:v>0.40480654005102079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52-C94F-83C3-2BB98C98963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403949343276042"/>
          <c:y val="0.25939739987006105"/>
          <c:w val="0.24073656928824783"/>
          <c:h val="0.56305505144099799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Max.</a:t>
            </a:r>
            <a:r>
              <a:rPr lang="en-US" baseline="0"/>
              <a:t> </a:t>
            </a:r>
            <a:r>
              <a:rPr lang="en-US"/>
              <a:t>Utiliity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'Capital Allocation'!$E$22</c:f>
              <c:strCache>
                <c:ptCount val="1"/>
                <c:pt idx="0">
                  <c:v>Utiliity</c:v>
                </c:pt>
              </c:strCache>
            </c:strRef>
          </c:tx>
          <c:spPr>
            <a:ln w="28575" cap="rnd">
              <a:solidFill>
                <a:schemeClr val="lt1">
                  <a:alpha val="50000"/>
                </a:schemeClr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xVal>
            <c:numRef>
              <c:f>'Capital Allocation'!$B$24:$B$33</c:f>
              <c:numCache>
                <c:formatCode>General</c:formatCode>
                <c:ptCount val="10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0.8</c:v>
                </c:pt>
                <c:pt idx="8">
                  <c:v>0.9</c:v>
                </c:pt>
                <c:pt idx="9" formatCode="0.0">
                  <c:v>1</c:v>
                </c:pt>
              </c:numCache>
            </c:numRef>
          </c:xVal>
          <c:yVal>
            <c:numRef>
              <c:f>'Capital Allocation'!$E$24:$E$33</c:f>
              <c:numCache>
                <c:formatCode>0.00%</c:formatCode>
                <c:ptCount val="10"/>
                <c:pt idx="0">
                  <c:v>6.9722067782279962E-2</c:v>
                </c:pt>
                <c:pt idx="1">
                  <c:v>8.5826691623811679E-2</c:v>
                </c:pt>
                <c:pt idx="2">
                  <c:v>9.831387152459517E-2</c:v>
                </c:pt>
                <c:pt idx="3">
                  <c:v>0.10718360748463047</c:v>
                </c:pt>
                <c:pt idx="4">
                  <c:v>0.1124358995039175</c:v>
                </c:pt>
                <c:pt idx="5">
                  <c:v>0.11407074758245631</c:v>
                </c:pt>
                <c:pt idx="6">
                  <c:v>0.11208815172024693</c:v>
                </c:pt>
                <c:pt idx="7">
                  <c:v>0.10648811191728932</c:v>
                </c:pt>
                <c:pt idx="8">
                  <c:v>9.7270628173583451E-2</c:v>
                </c:pt>
                <c:pt idx="9">
                  <c:v>8.4435700489129351E-2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13-F942-AAFA-DC10E22F1A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634319"/>
        <c:axId val="1404941903"/>
      </c:scatterChart>
      <c:valAx>
        <c:axId val="1404634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941903"/>
        <c:crosses val="autoZero"/>
        <c:crossBetween val="midCat"/>
      </c:valAx>
      <c:valAx>
        <c:axId val="14049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6343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Your Indiff meets Your CAL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'Capital Allocation'!$F$22</c:f>
              <c:strCache>
                <c:ptCount val="1"/>
                <c:pt idx="0">
                  <c:v>E(rc) on Indiff.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'Capital Allocation'!$D$24:$D$33</c:f>
              <c:numCache>
                <c:formatCode>0.00%</c:formatCode>
                <c:ptCount val="10"/>
                <c:pt idx="0">
                  <c:v>3.8039158459399314E-2</c:v>
                </c:pt>
                <c:pt idx="1">
                  <c:v>7.6078316918798627E-2</c:v>
                </c:pt>
                <c:pt idx="2">
                  <c:v>0.11411747537819794</c:v>
                </c:pt>
                <c:pt idx="3">
                  <c:v>0.15215663383759725</c:v>
                </c:pt>
                <c:pt idx="4">
                  <c:v>0.19019579229699657</c:v>
                </c:pt>
                <c:pt idx="5">
                  <c:v>0.22823495075639588</c:v>
                </c:pt>
                <c:pt idx="6">
                  <c:v>0.2662741092157952</c:v>
                </c:pt>
                <c:pt idx="7">
                  <c:v>0.30431326767519451</c:v>
                </c:pt>
                <c:pt idx="8">
                  <c:v>0.34235242613459382</c:v>
                </c:pt>
                <c:pt idx="9">
                  <c:v>0.38039158459399314</c:v>
                </c:pt>
              </c:numCache>
            </c:numRef>
          </c:cat>
          <c:val>
            <c:numRef>
              <c:f>'Capital Allocation'!$F$24:$F$33</c:f>
              <c:numCache>
                <c:formatCode>0.00%</c:formatCode>
                <c:ptCount val="10"/>
                <c:pt idx="0">
                  <c:v>0.11588364821195511</c:v>
                </c:pt>
                <c:pt idx="1">
                  <c:v>0.12130981412307745</c:v>
                </c:pt>
                <c:pt idx="2">
                  <c:v>0.13035342397494801</c:v>
                </c:pt>
                <c:pt idx="3">
                  <c:v>0.14301447776756682</c:v>
                </c:pt>
                <c:pt idx="4">
                  <c:v>0.15929297550093383</c:v>
                </c:pt>
                <c:pt idx="5">
                  <c:v>0.17918891717504906</c:v>
                </c:pt>
                <c:pt idx="6">
                  <c:v>0.20270230278991253</c:v>
                </c:pt>
                <c:pt idx="7">
                  <c:v>0.22983313234552422</c:v>
                </c:pt>
                <c:pt idx="8">
                  <c:v>0.26058140584188416</c:v>
                </c:pt>
                <c:pt idx="9">
                  <c:v>0.29494712327899231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D8A-D949-BC77-83495A19F7CF}"/>
            </c:ext>
          </c:extLst>
        </c:ser>
        <c:ser>
          <c:idx val="1"/>
          <c:order val="1"/>
          <c:tx>
            <c:strRef>
              <c:f>'Capital Allocation'!$D$22</c:f>
              <c:strCache>
                <c:ptCount val="1"/>
                <c:pt idx="0">
                  <c:v>𝜎 c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'Capital Allocation'!$D$24:$D$33</c:f>
              <c:numCache>
                <c:formatCode>0.00%</c:formatCode>
                <c:ptCount val="10"/>
                <c:pt idx="0">
                  <c:v>3.8039158459399314E-2</c:v>
                </c:pt>
                <c:pt idx="1">
                  <c:v>7.6078316918798627E-2</c:v>
                </c:pt>
                <c:pt idx="2">
                  <c:v>0.11411747537819794</c:v>
                </c:pt>
                <c:pt idx="3">
                  <c:v>0.15215663383759725</c:v>
                </c:pt>
                <c:pt idx="4">
                  <c:v>0.19019579229699657</c:v>
                </c:pt>
                <c:pt idx="5">
                  <c:v>0.22823495075639588</c:v>
                </c:pt>
                <c:pt idx="6">
                  <c:v>0.2662741092157952</c:v>
                </c:pt>
                <c:pt idx="7">
                  <c:v>0.30431326767519451</c:v>
                </c:pt>
                <c:pt idx="8">
                  <c:v>0.34235242613459382</c:v>
                </c:pt>
                <c:pt idx="9">
                  <c:v>0.38039158459399314</c:v>
                </c:pt>
              </c:numCache>
            </c:numRef>
          </c:cat>
          <c:val>
            <c:numRef>
              <c:f>'Capital Allocation'!$C$24:$C$33</c:f>
              <c:numCache>
                <c:formatCode>0.00%</c:formatCode>
                <c:ptCount val="10"/>
                <c:pt idx="0">
                  <c:v>7.1530789752654075E-2</c:v>
                </c:pt>
                <c:pt idx="1">
                  <c:v>9.3061579505308134E-2</c:v>
                </c:pt>
                <c:pt idx="2">
                  <c:v>0.11459236925796218</c:v>
                </c:pt>
                <c:pt idx="3">
                  <c:v>0.13612315901061628</c:v>
                </c:pt>
                <c:pt idx="4">
                  <c:v>0.15765394876327032</c:v>
                </c:pt>
                <c:pt idx="5">
                  <c:v>0.17918473851592437</c:v>
                </c:pt>
                <c:pt idx="6">
                  <c:v>0.20071552826857847</c:v>
                </c:pt>
                <c:pt idx="7">
                  <c:v>0.22224631802123254</c:v>
                </c:pt>
                <c:pt idx="8">
                  <c:v>0.24377710777388661</c:v>
                </c:pt>
                <c:pt idx="9">
                  <c:v>0.26530789752654066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A-D949-BC77-83495A19F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274014719"/>
        <c:axId val="1348506064"/>
      </c:lineChart>
      <c:catAx>
        <c:axId val="274014719"/>
        <c:scaling>
          <c:orientation val="minMax"/>
        </c:scaling>
        <c:delete val="0"/>
        <c:axPos val="b"/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506064"/>
        <c:crosses val="autoZero"/>
        <c:auto val="1"/>
        <c:lblAlgn val="ctr"/>
        <c:lblOffset val="100"/>
        <c:noMultiLvlLbl val="0"/>
      </c:catAx>
      <c:valAx>
        <c:axId val="1348506064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014719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Optimal</a:t>
            </a:r>
            <a:r>
              <a:rPr lang="en-US" sz="1200" baseline="0"/>
              <a:t> Complete Portfolio</a:t>
            </a:r>
            <a:endParaRPr lang="en-US" sz="12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4.0796420895243435E-2"/>
          <c:y val="0.16398924942056645"/>
          <c:w val="0.58841200588730025"/>
          <c:h val="0.77606120775370313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92D050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2-5AC6-334D-86E9-273A97DE932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DEDB-7B41-B7CE-B8186F5C0C98}"/>
              </c:ext>
            </c:extLst>
          </c:dPt>
          <c:dPt>
            <c:idx val="2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5AC6-334D-86E9-273A97DE932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'Asset Classes Allocation'!$B$30:$B$32</c:f>
              <c:strCache>
                <c:ptCount val="3"/>
                <c:pt idx="0">
                  <c:v>Weight (1-y): Risk-Free Asset</c:v>
                </c:pt>
                <c:pt idx="1">
                  <c:v>Bond weight in the Optimal Complete Pf</c:v>
                </c:pt>
                <c:pt idx="2">
                  <c:v>Equity weight in the Optimal Complete Pf</c:v>
                </c:pt>
              </c:strCache>
            </c:strRef>
          </c:cat>
          <c:val>
            <c:numRef>
              <c:f>'Asset Classes Allocation'!$D$30:$D$32</c:f>
              <c:numCache>
                <c:formatCode>0.00%</c:formatCode>
                <c:ptCount val="3"/>
                <c:pt idx="0">
                  <c:v>0.40480654005102079</c:v>
                </c:pt>
                <c:pt idx="1">
                  <c:v>0</c:v>
                </c:pt>
                <c:pt idx="2">
                  <c:v>0.59519345994897921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C6-334D-86E9-273A97DE932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Optimal Risky Portfolio</c:v>
          </c:tx>
          <c:spPr>
            <a:ln w="9525" cap="flat" cmpd="sng" algn="ctr">
              <a:solidFill>
                <a:schemeClr val="accent1"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'Asset Classes Allocation'!$E$12:$E$22</c:f>
              <c:numCache>
                <c:formatCode>0.0000</c:formatCode>
                <c:ptCount val="11"/>
                <c:pt idx="0">
                  <c:v>0.16009335560900356</c:v>
                </c:pt>
                <c:pt idx="1">
                  <c:v>0.14338469135914697</c:v>
                </c:pt>
                <c:pt idx="2">
                  <c:v>0.13878485064277044</c:v>
                </c:pt>
                <c:pt idx="3">
                  <c:v>0.14743160334706279</c:v>
                </c:pt>
                <c:pt idx="4">
                  <c:v>0.16728328789453692</c:v>
                </c:pt>
                <c:pt idx="5">
                  <c:v>0.19494639519082849</c:v>
                </c:pt>
                <c:pt idx="6">
                  <c:v>0.22759014353166118</c:v>
                </c:pt>
                <c:pt idx="7">
                  <c:v>0.26336899535328168</c:v>
                </c:pt>
                <c:pt idx="8">
                  <c:v>0.3011676606805635</c:v>
                </c:pt>
                <c:pt idx="9">
                  <c:v>0.34031378140178276</c:v>
                </c:pt>
                <c:pt idx="10">
                  <c:v>0.38039158459399314</c:v>
                </c:pt>
              </c:numCache>
            </c:numRef>
          </c:xVal>
          <c:yVal>
            <c:numRef>
              <c:f>'Asset Classes Allocation'!$D$12:$D$22</c:f>
              <c:numCache>
                <c:formatCode>0.0000</c:formatCode>
                <c:ptCount val="11"/>
                <c:pt idx="0">
                  <c:v>0.1422235601526613</c:v>
                </c:pt>
                <c:pt idx="1">
                  <c:v>0.15453199389004926</c:v>
                </c:pt>
                <c:pt idx="2">
                  <c:v>0.16684042762743717</c:v>
                </c:pt>
                <c:pt idx="3">
                  <c:v>0.17914886136482511</c:v>
                </c:pt>
                <c:pt idx="4">
                  <c:v>0.19145729510221304</c:v>
                </c:pt>
                <c:pt idx="5">
                  <c:v>0.20376572883960098</c:v>
                </c:pt>
                <c:pt idx="6">
                  <c:v>0.21607416257698892</c:v>
                </c:pt>
                <c:pt idx="7">
                  <c:v>0.22838259631437685</c:v>
                </c:pt>
                <c:pt idx="8">
                  <c:v>0.24069103005176479</c:v>
                </c:pt>
                <c:pt idx="9">
                  <c:v>0.25299946378915272</c:v>
                </c:pt>
                <c:pt idx="10">
                  <c:v>0.26530789752654066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AB-D94D-9D61-E2B322686B04}"/>
            </c:ext>
          </c:extLst>
        </c:ser>
        <c:ser>
          <c:idx val="1"/>
          <c:order val="1"/>
          <c:tx>
            <c:v>Minimum Variance Pf</c:v>
          </c:tx>
          <c:spPr>
            <a:ln w="9525" cap="flat" cmpd="sng" algn="ctr">
              <a:solidFill>
                <a:schemeClr val="accent2"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forward val="0.1"/>
            <c:dispRSqr val="0"/>
            <c:dispEq val="0"/>
          </c:trendline>
          <c:xVal>
            <c:numRef>
              <c:f>('Asset Classes Allocation'!$D$8,'Asset Classes Allocation'!$E$24)</c:f>
              <c:numCache>
                <c:formatCode>0.0000</c:formatCode>
                <c:ptCount val="2"/>
                <c:pt idx="0" formatCode="0.00%">
                  <c:v>0</c:v>
                </c:pt>
                <c:pt idx="1">
                  <c:v>0.16009335560900356</c:v>
                </c:pt>
              </c:numCache>
            </c:numRef>
          </c:xVal>
          <c:yVal>
            <c:numRef>
              <c:f>('Asset Classes Allocation'!$C$8,'Asset Classes Allocation'!$D$24)</c:f>
              <c:numCache>
                <c:formatCode>0.0000</c:formatCode>
                <c:ptCount val="2"/>
                <c:pt idx="0" formatCode="0.00%">
                  <c:v>0.05</c:v>
                </c:pt>
                <c:pt idx="1">
                  <c:v>0.1422235601526613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AB-D94D-9D61-E2B322686B04}"/>
            </c:ext>
          </c:extLst>
        </c:ser>
        <c:ser>
          <c:idx val="2"/>
          <c:order val="2"/>
          <c:tx>
            <c:v>Optimal Risky Pf</c:v>
          </c:tx>
          <c:spPr>
            <a:ln w="9525" cap="flat" cmpd="sng" algn="ctr">
              <a:solidFill>
                <a:schemeClr val="accent3"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3"/>
                </a:solidFill>
              </a:ln>
              <a:effectLst/>
            </c:spPr>
            <c:trendlineType val="linear"/>
            <c:forward val="0.1"/>
            <c:dispRSqr val="0"/>
            <c:dispEq val="0"/>
          </c:trendline>
          <c:xVal>
            <c:numRef>
              <c:f>('Asset Classes Allocation'!$D$8,'Asset Classes Allocation'!$E$26)</c:f>
              <c:numCache>
                <c:formatCode>0.0000</c:formatCode>
                <c:ptCount val="2"/>
                <c:pt idx="0" formatCode="0.00%">
                  <c:v>0</c:v>
                </c:pt>
                <c:pt idx="1">
                  <c:v>0.38039158459399314</c:v>
                </c:pt>
              </c:numCache>
            </c:numRef>
          </c:xVal>
          <c:yVal>
            <c:numRef>
              <c:f>('Asset Classes Allocation'!$C$8,'Asset Classes Allocation'!$D$26)</c:f>
              <c:numCache>
                <c:formatCode>0.0000</c:formatCode>
                <c:ptCount val="2"/>
                <c:pt idx="0" formatCode="0.00%">
                  <c:v>0.05</c:v>
                </c:pt>
                <c:pt idx="1">
                  <c:v>0.26530789752654066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AB-D94D-9D61-E2B322686B04}"/>
            </c:ext>
          </c:extLst>
        </c:ser>
        <c:ser>
          <c:idx val="3"/>
          <c:order val="3"/>
          <c:tx>
            <c:v>Indifference Curve</c:v>
          </c:tx>
          <c:spPr>
            <a:ln w="9525" cap="flat" cmpd="sng" algn="ctr">
              <a:solidFill>
                <a:schemeClr val="accent4"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'Capital Allocation'!$D$24:$D$33</c:f>
              <c:numCache>
                <c:formatCode>0.00%</c:formatCode>
                <c:ptCount val="10"/>
                <c:pt idx="0">
                  <c:v>3.8039158459399314E-2</c:v>
                </c:pt>
                <c:pt idx="1">
                  <c:v>7.6078316918798627E-2</c:v>
                </c:pt>
                <c:pt idx="2">
                  <c:v>0.11411747537819794</c:v>
                </c:pt>
                <c:pt idx="3">
                  <c:v>0.15215663383759725</c:v>
                </c:pt>
                <c:pt idx="4">
                  <c:v>0.19019579229699657</c:v>
                </c:pt>
                <c:pt idx="5">
                  <c:v>0.22823495075639588</c:v>
                </c:pt>
                <c:pt idx="6">
                  <c:v>0.2662741092157952</c:v>
                </c:pt>
                <c:pt idx="7">
                  <c:v>0.30431326767519451</c:v>
                </c:pt>
                <c:pt idx="8">
                  <c:v>0.34235242613459382</c:v>
                </c:pt>
                <c:pt idx="9">
                  <c:v>0.38039158459399314</c:v>
                </c:pt>
              </c:numCache>
            </c:numRef>
          </c:xVal>
          <c:yVal>
            <c:numRef>
              <c:f>'Capital Allocation'!$F$24:$F$33</c:f>
              <c:numCache>
                <c:formatCode>0.00%</c:formatCode>
                <c:ptCount val="10"/>
                <c:pt idx="0">
                  <c:v>0.11588364821195511</c:v>
                </c:pt>
                <c:pt idx="1">
                  <c:v>0.12130981412307745</c:v>
                </c:pt>
                <c:pt idx="2">
                  <c:v>0.13035342397494801</c:v>
                </c:pt>
                <c:pt idx="3">
                  <c:v>0.14301447776756682</c:v>
                </c:pt>
                <c:pt idx="4">
                  <c:v>0.15929297550093383</c:v>
                </c:pt>
                <c:pt idx="5">
                  <c:v>0.17918891717504906</c:v>
                </c:pt>
                <c:pt idx="6">
                  <c:v>0.20270230278991253</c:v>
                </c:pt>
                <c:pt idx="7">
                  <c:v>0.22983313234552422</c:v>
                </c:pt>
                <c:pt idx="8">
                  <c:v>0.26058140584188416</c:v>
                </c:pt>
                <c:pt idx="9">
                  <c:v>0.29494712327899231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EB-3D4A-8E68-7C5BB44CB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413072"/>
        <c:axId val="457112208"/>
      </c:scatterChart>
      <c:valAx>
        <c:axId val="324413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112208"/>
        <c:crosses val="autoZero"/>
        <c:crossBetween val="midCat"/>
      </c:valAx>
      <c:valAx>
        <c:axId val="45711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13072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Portfolio: Large</a:t>
            </a:r>
            <a:r>
              <a:rPr lang="en-US" baseline="0"/>
              <a:t> Growth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EEB0-5C4E-BD2E-C016549E7C9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EEB0-5C4E-BD2E-C016549E7C9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EEB0-5C4E-BD2E-C016549E7C9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EEB0-5C4E-BD2E-C016549E7C9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9-EEB0-5C4E-BD2E-C016549E7C97}"/>
              </c:ext>
            </c:extLst>
          </c:dPt>
          <c:dLbls>
            <c:dLbl>
              <c:idx val="1"/>
              <c:layout>
                <c:manualLayout>
                  <c:x val="-9.0588482139214457E-2"/>
                  <c:y val="-0.2454160598992228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EEB0-5C4E-BD2E-C016549E7C97}"/>
                </c:ext>
              </c:extLst>
            </c:dLbl>
            <c:dLbl>
              <c:idx val="2"/>
              <c:layout>
                <c:manualLayout>
                  <c:x val="-1.5307412998245685E-2"/>
                  <c:y val="-0.1655125198139103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EEB0-5C4E-BD2E-C016549E7C97}"/>
                </c:ext>
              </c:extLst>
            </c:dLbl>
            <c:dLbl>
              <c:idx val="4"/>
              <c:layout>
                <c:manualLayout>
                  <c:x val="6.5856923324998887E-2"/>
                  <c:y val="0.112942188486668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separator>, </c:separator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EEB0-5C4E-BD2E-C016549E7C97}"/>
                </c:ext>
              </c:extLst>
            </c:dLbl>
            <c:numFmt formatCode="0.00%" sourceLinked="0"/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eparator>, </c:separator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'Security Allocation'!$F$53:$J$53</c:f>
              <c:strCache>
                <c:ptCount val="5"/>
                <c:pt idx="0">
                  <c:v>XOM</c:v>
                </c:pt>
                <c:pt idx="1">
                  <c:v>CVX</c:v>
                </c:pt>
                <c:pt idx="2">
                  <c:v>COP</c:v>
                </c:pt>
                <c:pt idx="3">
                  <c:v>PSX</c:v>
                </c:pt>
                <c:pt idx="4">
                  <c:v>EOG</c:v>
                </c:pt>
              </c:strCache>
            </c:strRef>
          </c:cat>
          <c:val>
            <c:numRef>
              <c:f>'Security Allocation'!$F$54:$J$54</c:f>
              <c:numCache>
                <c:formatCode>0.0000</c:formatCode>
                <c:ptCount val="5"/>
                <c:pt idx="0">
                  <c:v>0.27815442440399357</c:v>
                </c:pt>
                <c:pt idx="1">
                  <c:v>0.19555899117664644</c:v>
                </c:pt>
                <c:pt idx="2">
                  <c:v>3.7318747665412662E-2</c:v>
                </c:pt>
                <c:pt idx="3">
                  <c:v>0.19715414722388103</c:v>
                </c:pt>
                <c:pt idx="4">
                  <c:v>0.29181368953006614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AB-314F-AB19-E3D4CA4BF77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705430053628954"/>
          <c:y val="0.27611335745194016"/>
          <c:w val="0.14874414801981645"/>
          <c:h val="0.46178796907143366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Excess Return of the</a:t>
            </a:r>
            <a:r>
              <a:rPr lang="en-US" sz="16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 Benchmark Index </a:t>
            </a:r>
            <a:r>
              <a:rPr lang="en-US" sz="1600" b="1"/>
              <a:t> vs. the Securities in the</a:t>
            </a:r>
            <a:r>
              <a:rPr lang="en-US" sz="1600" b="1" baseline="0"/>
              <a:t> </a:t>
            </a:r>
            <a:r>
              <a:rPr lang="en-US" sz="1600" b="1"/>
              <a:t>Active Pf </a:t>
            </a:r>
            <a:r>
              <a:rPr lang="en-US" sz="1600" b="1" baseline="0"/>
              <a:t>(</a:t>
            </a:r>
            <a:r>
              <a:rPr lang="en-US" sz="1600" b="1"/>
              <a:t>59 months, 2019</a:t>
            </a:r>
            <a:r>
              <a:rPr lang="en-US" sz="1600" b="1" baseline="0"/>
              <a:t> - 2024)</a:t>
            </a:r>
            <a:endParaRPr lang="en-US" sz="16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VDE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'Data. Securities'!$B$39:$B$97</c:f>
              <c:numCache>
                <c:formatCode>m/d/yyyy</c:formatCode>
                <c:ptCount val="59"/>
                <c:pt idx="0">
                  <c:v>43586</c:v>
                </c:pt>
                <c:pt idx="1">
                  <c:v>43617</c:v>
                </c:pt>
                <c:pt idx="2">
                  <c:v>43647</c:v>
                </c:pt>
                <c:pt idx="3">
                  <c:v>43678</c:v>
                </c:pt>
                <c:pt idx="4">
                  <c:v>43709</c:v>
                </c:pt>
                <c:pt idx="5">
                  <c:v>43739</c:v>
                </c:pt>
                <c:pt idx="6">
                  <c:v>43770</c:v>
                </c:pt>
                <c:pt idx="7">
                  <c:v>43800</c:v>
                </c:pt>
                <c:pt idx="8">
                  <c:v>43831</c:v>
                </c:pt>
                <c:pt idx="9">
                  <c:v>43862</c:v>
                </c:pt>
                <c:pt idx="10">
                  <c:v>43891</c:v>
                </c:pt>
                <c:pt idx="11">
                  <c:v>43922</c:v>
                </c:pt>
                <c:pt idx="12">
                  <c:v>43952</c:v>
                </c:pt>
                <c:pt idx="13">
                  <c:v>43983</c:v>
                </c:pt>
                <c:pt idx="14">
                  <c:v>44013</c:v>
                </c:pt>
                <c:pt idx="15">
                  <c:v>44044</c:v>
                </c:pt>
                <c:pt idx="16">
                  <c:v>44075</c:v>
                </c:pt>
                <c:pt idx="17">
                  <c:v>44105</c:v>
                </c:pt>
                <c:pt idx="18">
                  <c:v>44136</c:v>
                </c:pt>
                <c:pt idx="19">
                  <c:v>44166</c:v>
                </c:pt>
                <c:pt idx="20">
                  <c:v>44197</c:v>
                </c:pt>
                <c:pt idx="21">
                  <c:v>44228</c:v>
                </c:pt>
                <c:pt idx="22">
                  <c:v>44256</c:v>
                </c:pt>
                <c:pt idx="23">
                  <c:v>44287</c:v>
                </c:pt>
                <c:pt idx="24">
                  <c:v>44317</c:v>
                </c:pt>
                <c:pt idx="25">
                  <c:v>44348</c:v>
                </c:pt>
                <c:pt idx="26">
                  <c:v>44378</c:v>
                </c:pt>
                <c:pt idx="27">
                  <c:v>44409</c:v>
                </c:pt>
                <c:pt idx="28">
                  <c:v>44440</c:v>
                </c:pt>
                <c:pt idx="29">
                  <c:v>44470</c:v>
                </c:pt>
                <c:pt idx="30">
                  <c:v>44501</c:v>
                </c:pt>
                <c:pt idx="31">
                  <c:v>44531</c:v>
                </c:pt>
                <c:pt idx="32">
                  <c:v>44562</c:v>
                </c:pt>
                <c:pt idx="33">
                  <c:v>44593</c:v>
                </c:pt>
                <c:pt idx="34">
                  <c:v>44621</c:v>
                </c:pt>
                <c:pt idx="35">
                  <c:v>44652</c:v>
                </c:pt>
                <c:pt idx="36">
                  <c:v>44682</c:v>
                </c:pt>
                <c:pt idx="37">
                  <c:v>44713</c:v>
                </c:pt>
                <c:pt idx="38">
                  <c:v>44743</c:v>
                </c:pt>
                <c:pt idx="39">
                  <c:v>44774</c:v>
                </c:pt>
                <c:pt idx="40">
                  <c:v>44805</c:v>
                </c:pt>
                <c:pt idx="41">
                  <c:v>44835</c:v>
                </c:pt>
                <c:pt idx="42">
                  <c:v>44866</c:v>
                </c:pt>
                <c:pt idx="43">
                  <c:v>44896</c:v>
                </c:pt>
                <c:pt idx="44">
                  <c:v>44927</c:v>
                </c:pt>
                <c:pt idx="45">
                  <c:v>44958</c:v>
                </c:pt>
                <c:pt idx="46">
                  <c:v>44986</c:v>
                </c:pt>
                <c:pt idx="47">
                  <c:v>45017</c:v>
                </c:pt>
                <c:pt idx="48">
                  <c:v>45047</c:v>
                </c:pt>
                <c:pt idx="49">
                  <c:v>45078</c:v>
                </c:pt>
                <c:pt idx="50">
                  <c:v>45108</c:v>
                </c:pt>
                <c:pt idx="51">
                  <c:v>45139</c:v>
                </c:pt>
                <c:pt idx="52">
                  <c:v>45170</c:v>
                </c:pt>
                <c:pt idx="53">
                  <c:v>45200</c:v>
                </c:pt>
                <c:pt idx="54">
                  <c:v>45231</c:v>
                </c:pt>
                <c:pt idx="55">
                  <c:v>45261</c:v>
                </c:pt>
                <c:pt idx="56">
                  <c:v>45292</c:v>
                </c:pt>
                <c:pt idx="57">
                  <c:v>45323</c:v>
                </c:pt>
                <c:pt idx="58">
                  <c:v>45352</c:v>
                </c:pt>
              </c:numCache>
            </c:numRef>
          </c:cat>
          <c:val>
            <c:numRef>
              <c:f>'Data. Securities'!$E$39:$E$97</c:f>
              <c:numCache>
                <c:formatCode>0.00%</c:formatCode>
                <c:ptCount val="59"/>
                <c:pt idx="0">
                  <c:v>-0.12119375169896908</c:v>
                </c:pt>
                <c:pt idx="1">
                  <c:v>7.5178030865325804E-2</c:v>
                </c:pt>
                <c:pt idx="2">
                  <c:v>-2.0309852671792653E-2</c:v>
                </c:pt>
                <c:pt idx="3">
                  <c:v>-9.1306585717859226E-2</c:v>
                </c:pt>
                <c:pt idx="4">
                  <c:v>2.5936591447836652E-2</c:v>
                </c:pt>
                <c:pt idx="5">
                  <c:v>-2.2205194997187219E-2</c:v>
                </c:pt>
                <c:pt idx="6">
                  <c:v>6.6270839079762686E-3</c:v>
                </c:pt>
                <c:pt idx="7">
                  <c:v>5.7039285724619124E-2</c:v>
                </c:pt>
                <c:pt idx="8">
                  <c:v>-0.11370947558316859</c:v>
                </c:pt>
                <c:pt idx="9">
                  <c:v>-0.15360318019304822</c:v>
                </c:pt>
                <c:pt idx="10">
                  <c:v>-0.37894186072423208</c:v>
                </c:pt>
                <c:pt idx="11">
                  <c:v>0.337953923889315</c:v>
                </c:pt>
                <c:pt idx="12">
                  <c:v>1.245719635217156E-2</c:v>
                </c:pt>
                <c:pt idx="13">
                  <c:v>-2.4995877736166197E-2</c:v>
                </c:pt>
                <c:pt idx="14">
                  <c:v>-3.4336048980844983E-2</c:v>
                </c:pt>
                <c:pt idx="15">
                  <c:v>-1.0392049690481478E-2</c:v>
                </c:pt>
                <c:pt idx="16">
                  <c:v>-0.16244615715155689</c:v>
                </c:pt>
                <c:pt idx="17">
                  <c:v>-2.6499820154508039E-2</c:v>
                </c:pt>
                <c:pt idx="18">
                  <c:v>0.2762239903631527</c:v>
                </c:pt>
                <c:pt idx="19">
                  <c:v>3.678089083279111E-2</c:v>
                </c:pt>
                <c:pt idx="20">
                  <c:v>5.7056262343221795E-2</c:v>
                </c:pt>
                <c:pt idx="21">
                  <c:v>0.22034209984976535</c:v>
                </c:pt>
                <c:pt idx="22">
                  <c:v>1.6088268385668E-2</c:v>
                </c:pt>
                <c:pt idx="23">
                  <c:v>1.0251149163020154E-2</c:v>
                </c:pt>
                <c:pt idx="24">
                  <c:v>6.1289435856674887E-2</c:v>
                </c:pt>
                <c:pt idx="25">
                  <c:v>3.8851597144186498E-2</c:v>
                </c:pt>
                <c:pt idx="26">
                  <c:v>-8.2900583523480856E-2</c:v>
                </c:pt>
                <c:pt idx="27">
                  <c:v>-2.2639765141762372E-2</c:v>
                </c:pt>
                <c:pt idx="28">
                  <c:v>8.2438150251786566E-2</c:v>
                </c:pt>
                <c:pt idx="29">
                  <c:v>0.10844299847402693</c:v>
                </c:pt>
                <c:pt idx="30">
                  <c:v>-6.1664604405308979E-2</c:v>
                </c:pt>
                <c:pt idx="31">
                  <c:v>9.6803980480599655E-3</c:v>
                </c:pt>
                <c:pt idx="32">
                  <c:v>0.18514776026674526</c:v>
                </c:pt>
                <c:pt idx="33">
                  <c:v>7.0849833138287396E-2</c:v>
                </c:pt>
                <c:pt idx="34">
                  <c:v>8.7855323957541906E-2</c:v>
                </c:pt>
                <c:pt idx="35">
                  <c:v>-1.3377139396022933E-2</c:v>
                </c:pt>
                <c:pt idx="36">
                  <c:v>0.1477573516412993</c:v>
                </c:pt>
                <c:pt idx="37">
                  <c:v>-0.18372792065292179</c:v>
                </c:pt>
                <c:pt idx="38">
                  <c:v>0.11234605679651953</c:v>
                </c:pt>
                <c:pt idx="39">
                  <c:v>2.7842026605003442E-2</c:v>
                </c:pt>
                <c:pt idx="40">
                  <c:v>-0.10910979870000671</c:v>
                </c:pt>
                <c:pt idx="41">
                  <c:v>0.25173684453425604</c:v>
                </c:pt>
                <c:pt idx="42">
                  <c:v>8.9306225304634917E-3</c:v>
                </c:pt>
                <c:pt idx="43">
                  <c:v>-5.3919796845551718E-2</c:v>
                </c:pt>
                <c:pt idx="44">
                  <c:v>3.7350922411740525E-2</c:v>
                </c:pt>
                <c:pt idx="45">
                  <c:v>-7.04703040888527E-2</c:v>
                </c:pt>
                <c:pt idx="46">
                  <c:v>-2.449261112585123E-2</c:v>
                </c:pt>
                <c:pt idx="47">
                  <c:v>2.9199864243977233E-2</c:v>
                </c:pt>
                <c:pt idx="48">
                  <c:v>-9.8830608966501546E-2</c:v>
                </c:pt>
                <c:pt idx="49">
                  <c:v>6.2141032544754657E-2</c:v>
                </c:pt>
                <c:pt idx="50">
                  <c:v>8.834603210387669E-2</c:v>
                </c:pt>
                <c:pt idx="51">
                  <c:v>1.5301592299469244E-2</c:v>
                </c:pt>
                <c:pt idx="52">
                  <c:v>1.2763488748410254E-2</c:v>
                </c:pt>
                <c:pt idx="53">
                  <c:v>-5.147485537475617E-2</c:v>
                </c:pt>
                <c:pt idx="54">
                  <c:v>-1.6005985185969421E-2</c:v>
                </c:pt>
                <c:pt idx="55">
                  <c:v>-1.4629003747267069E-2</c:v>
                </c:pt>
                <c:pt idx="56">
                  <c:v>-3.081139291873051E-3</c:v>
                </c:pt>
                <c:pt idx="57">
                  <c:v>2.7803090707261044E-2</c:v>
                </c:pt>
                <c:pt idx="58">
                  <c:v>9.2602110868830176E-2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1C-DA49-B2A3-B16BDA065A4C}"/>
            </c:ext>
          </c:extLst>
        </c:ser>
        <c:ser>
          <c:idx val="1"/>
          <c:order val="1"/>
          <c:tx>
            <c:v>XOM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'Data. Securities'!$B$39:$B$97</c:f>
              <c:numCache>
                <c:formatCode>m/d/yyyy</c:formatCode>
                <c:ptCount val="59"/>
                <c:pt idx="0">
                  <c:v>43586</c:v>
                </c:pt>
                <c:pt idx="1">
                  <c:v>43617</c:v>
                </c:pt>
                <c:pt idx="2">
                  <c:v>43647</c:v>
                </c:pt>
                <c:pt idx="3">
                  <c:v>43678</c:v>
                </c:pt>
                <c:pt idx="4">
                  <c:v>43709</c:v>
                </c:pt>
                <c:pt idx="5">
                  <c:v>43739</c:v>
                </c:pt>
                <c:pt idx="6">
                  <c:v>43770</c:v>
                </c:pt>
                <c:pt idx="7">
                  <c:v>43800</c:v>
                </c:pt>
                <c:pt idx="8">
                  <c:v>43831</c:v>
                </c:pt>
                <c:pt idx="9">
                  <c:v>43862</c:v>
                </c:pt>
                <c:pt idx="10">
                  <c:v>43891</c:v>
                </c:pt>
                <c:pt idx="11">
                  <c:v>43922</c:v>
                </c:pt>
                <c:pt idx="12">
                  <c:v>43952</c:v>
                </c:pt>
                <c:pt idx="13">
                  <c:v>43983</c:v>
                </c:pt>
                <c:pt idx="14">
                  <c:v>44013</c:v>
                </c:pt>
                <c:pt idx="15">
                  <c:v>44044</c:v>
                </c:pt>
                <c:pt idx="16">
                  <c:v>44075</c:v>
                </c:pt>
                <c:pt idx="17">
                  <c:v>44105</c:v>
                </c:pt>
                <c:pt idx="18">
                  <c:v>44136</c:v>
                </c:pt>
                <c:pt idx="19">
                  <c:v>44166</c:v>
                </c:pt>
                <c:pt idx="20">
                  <c:v>44197</c:v>
                </c:pt>
                <c:pt idx="21">
                  <c:v>44228</c:v>
                </c:pt>
                <c:pt idx="22">
                  <c:v>44256</c:v>
                </c:pt>
                <c:pt idx="23">
                  <c:v>44287</c:v>
                </c:pt>
                <c:pt idx="24">
                  <c:v>44317</c:v>
                </c:pt>
                <c:pt idx="25">
                  <c:v>44348</c:v>
                </c:pt>
                <c:pt idx="26">
                  <c:v>44378</c:v>
                </c:pt>
                <c:pt idx="27">
                  <c:v>44409</c:v>
                </c:pt>
                <c:pt idx="28">
                  <c:v>44440</c:v>
                </c:pt>
                <c:pt idx="29">
                  <c:v>44470</c:v>
                </c:pt>
                <c:pt idx="30">
                  <c:v>44501</c:v>
                </c:pt>
                <c:pt idx="31">
                  <c:v>44531</c:v>
                </c:pt>
                <c:pt idx="32">
                  <c:v>44562</c:v>
                </c:pt>
                <c:pt idx="33">
                  <c:v>44593</c:v>
                </c:pt>
                <c:pt idx="34">
                  <c:v>44621</c:v>
                </c:pt>
                <c:pt idx="35">
                  <c:v>44652</c:v>
                </c:pt>
                <c:pt idx="36">
                  <c:v>44682</c:v>
                </c:pt>
                <c:pt idx="37">
                  <c:v>44713</c:v>
                </c:pt>
                <c:pt idx="38">
                  <c:v>44743</c:v>
                </c:pt>
                <c:pt idx="39">
                  <c:v>44774</c:v>
                </c:pt>
                <c:pt idx="40">
                  <c:v>44805</c:v>
                </c:pt>
                <c:pt idx="41">
                  <c:v>44835</c:v>
                </c:pt>
                <c:pt idx="42">
                  <c:v>44866</c:v>
                </c:pt>
                <c:pt idx="43">
                  <c:v>44896</c:v>
                </c:pt>
                <c:pt idx="44">
                  <c:v>44927</c:v>
                </c:pt>
                <c:pt idx="45">
                  <c:v>44958</c:v>
                </c:pt>
                <c:pt idx="46">
                  <c:v>44986</c:v>
                </c:pt>
                <c:pt idx="47">
                  <c:v>45017</c:v>
                </c:pt>
                <c:pt idx="48">
                  <c:v>45047</c:v>
                </c:pt>
                <c:pt idx="49">
                  <c:v>45078</c:v>
                </c:pt>
                <c:pt idx="50">
                  <c:v>45108</c:v>
                </c:pt>
                <c:pt idx="51">
                  <c:v>45139</c:v>
                </c:pt>
                <c:pt idx="52">
                  <c:v>45170</c:v>
                </c:pt>
                <c:pt idx="53">
                  <c:v>45200</c:v>
                </c:pt>
                <c:pt idx="54">
                  <c:v>45231</c:v>
                </c:pt>
                <c:pt idx="55">
                  <c:v>45261</c:v>
                </c:pt>
                <c:pt idx="56">
                  <c:v>45292</c:v>
                </c:pt>
                <c:pt idx="57">
                  <c:v>45323</c:v>
                </c:pt>
                <c:pt idx="58">
                  <c:v>45352</c:v>
                </c:pt>
              </c:numCache>
            </c:numRef>
          </c:cat>
          <c:val>
            <c:numRef>
              <c:f>'Data. Securities'!$H$39:$H$97</c:f>
              <c:numCache>
                <c:formatCode>0.00%</c:formatCode>
                <c:ptCount val="59"/>
                <c:pt idx="0">
                  <c:v>-0.1226272492034607</c:v>
                </c:pt>
                <c:pt idx="1">
                  <c:v>9.104838540151626E-2</c:v>
                </c:pt>
                <c:pt idx="2">
                  <c:v>-3.3789523624002463E-2</c:v>
                </c:pt>
                <c:pt idx="3">
                  <c:v>-8.3241486592589467E-2</c:v>
                </c:pt>
                <c:pt idx="4">
                  <c:v>3.9757881491507149E-2</c:v>
                </c:pt>
                <c:pt idx="5">
                  <c:v>-4.7220074861281228E-2</c:v>
                </c:pt>
                <c:pt idx="6">
                  <c:v>4.120966188120064E-3</c:v>
                </c:pt>
                <c:pt idx="7">
                  <c:v>3.2403859626521689E-2</c:v>
                </c:pt>
                <c:pt idx="8">
                  <c:v>-0.11394037082981202</c:v>
                </c:pt>
                <c:pt idx="9">
                  <c:v>-0.17609189797528971</c:v>
                </c:pt>
                <c:pt idx="10">
                  <c:v>-0.25542795649220718</c:v>
                </c:pt>
                <c:pt idx="11">
                  <c:v>0.21969404717740135</c:v>
                </c:pt>
                <c:pt idx="12">
                  <c:v>-2.5685844774054015E-2</c:v>
                </c:pt>
                <c:pt idx="13">
                  <c:v>-1.5914095023328448E-3</c:v>
                </c:pt>
                <c:pt idx="14">
                  <c:v>-6.3200811989357245E-2</c:v>
                </c:pt>
                <c:pt idx="15">
                  <c:v>-5.5022009035599409E-2</c:v>
                </c:pt>
                <c:pt idx="16">
                  <c:v>-0.1276706408737838</c:v>
                </c:pt>
                <c:pt idx="17">
                  <c:v>-5.3977201795267896E-2</c:v>
                </c:pt>
                <c:pt idx="18">
                  <c:v>0.16474819794817616</c:v>
                </c:pt>
                <c:pt idx="19">
                  <c:v>0.1029533524878523</c:v>
                </c:pt>
                <c:pt idx="20">
                  <c:v>8.3654955797076699E-2</c:v>
                </c:pt>
                <c:pt idx="21">
                  <c:v>0.20836663759378157</c:v>
                </c:pt>
                <c:pt idx="22">
                  <c:v>4.012475599300179E-2</c:v>
                </c:pt>
                <c:pt idx="23">
                  <c:v>2.1088537970959539E-2</c:v>
                </c:pt>
                <c:pt idx="24">
                  <c:v>1.5574672077062632E-2</c:v>
                </c:pt>
                <c:pt idx="25">
                  <c:v>9.2269016510147392E-2</c:v>
                </c:pt>
                <c:pt idx="26">
                  <c:v>-9.1516026408958742E-2</c:v>
                </c:pt>
                <c:pt idx="27">
                  <c:v>-5.7145721778571482E-2</c:v>
                </c:pt>
                <c:pt idx="28">
                  <c:v>9.1033014339586313E-2</c:v>
                </c:pt>
                <c:pt idx="29">
                  <c:v>9.1889152092319945E-2</c:v>
                </c:pt>
                <c:pt idx="30">
                  <c:v>-7.5983058830986897E-2</c:v>
                </c:pt>
                <c:pt idx="31">
                  <c:v>3.2135919483432293E-2</c:v>
                </c:pt>
                <c:pt idx="32">
                  <c:v>0.23721252748823771</c:v>
                </c:pt>
                <c:pt idx="33">
                  <c:v>2.821864213262669E-2</c:v>
                </c:pt>
                <c:pt idx="34">
                  <c:v>6.0684113576850537E-2</c:v>
                </c:pt>
                <c:pt idx="35">
                  <c:v>2.8040775856243746E-2</c:v>
                </c:pt>
                <c:pt idx="36">
                  <c:v>0.121932931423949</c:v>
                </c:pt>
                <c:pt idx="37">
                  <c:v>-0.10294539982917485</c:v>
                </c:pt>
                <c:pt idx="38">
                  <c:v>0.1276641702260812</c:v>
                </c:pt>
                <c:pt idx="39">
                  <c:v>-1.7991091077620661E-2</c:v>
                </c:pt>
                <c:pt idx="40">
                  <c:v>-8.1911973676794939E-2</c:v>
                </c:pt>
                <c:pt idx="41">
                  <c:v>0.26498918967692098</c:v>
                </c:pt>
                <c:pt idx="42">
                  <c:v>6.1640170484598879E-4</c:v>
                </c:pt>
                <c:pt idx="43">
                  <c:v>-5.5324087072106268E-3</c:v>
                </c:pt>
                <c:pt idx="44">
                  <c:v>4.7601308109294957E-2</c:v>
                </c:pt>
                <c:pt idx="45">
                  <c:v>-5.6748379452261868E-2</c:v>
                </c:pt>
                <c:pt idx="46">
                  <c:v>1.2362248017554331E-3</c:v>
                </c:pt>
                <c:pt idx="47">
                  <c:v>7.4986919221329704E-2</c:v>
                </c:pt>
                <c:pt idx="48">
                  <c:v>-0.14072225911638217</c:v>
                </c:pt>
                <c:pt idx="49">
                  <c:v>5.4559548444951464E-2</c:v>
                </c:pt>
                <c:pt idx="50">
                  <c:v>-4.2600282609277654E-3</c:v>
                </c:pt>
                <c:pt idx="51">
                  <c:v>3.2666767362205182E-2</c:v>
                </c:pt>
                <c:pt idx="52">
                  <c:v>6.1971031379218541E-2</c:v>
                </c:pt>
                <c:pt idx="53">
                  <c:v>-0.10392853690485217</c:v>
                </c:pt>
                <c:pt idx="54">
                  <c:v>-3.354796002106776E-2</c:v>
                </c:pt>
                <c:pt idx="55">
                  <c:v>-2.2131811091132284E-2</c:v>
                </c:pt>
                <c:pt idx="56">
                  <c:v>2.4138901165475998E-2</c:v>
                </c:pt>
                <c:pt idx="57">
                  <c:v>1.2466004770523606E-2</c:v>
                </c:pt>
                <c:pt idx="58">
                  <c:v>0.11830073844464105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1C-DA49-B2A3-B16BDA065A4C}"/>
            </c:ext>
          </c:extLst>
        </c:ser>
        <c:ser>
          <c:idx val="2"/>
          <c:order val="2"/>
          <c:tx>
            <c:v>CVX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'Data. Securities'!$B$39:$B$97</c:f>
              <c:numCache>
                <c:formatCode>m/d/yyyy</c:formatCode>
                <c:ptCount val="59"/>
                <c:pt idx="0">
                  <c:v>43586</c:v>
                </c:pt>
                <c:pt idx="1">
                  <c:v>43617</c:v>
                </c:pt>
                <c:pt idx="2">
                  <c:v>43647</c:v>
                </c:pt>
                <c:pt idx="3">
                  <c:v>43678</c:v>
                </c:pt>
                <c:pt idx="4">
                  <c:v>43709</c:v>
                </c:pt>
                <c:pt idx="5">
                  <c:v>43739</c:v>
                </c:pt>
                <c:pt idx="6">
                  <c:v>43770</c:v>
                </c:pt>
                <c:pt idx="7">
                  <c:v>43800</c:v>
                </c:pt>
                <c:pt idx="8">
                  <c:v>43831</c:v>
                </c:pt>
                <c:pt idx="9">
                  <c:v>43862</c:v>
                </c:pt>
                <c:pt idx="10">
                  <c:v>43891</c:v>
                </c:pt>
                <c:pt idx="11">
                  <c:v>43922</c:v>
                </c:pt>
                <c:pt idx="12">
                  <c:v>43952</c:v>
                </c:pt>
                <c:pt idx="13">
                  <c:v>43983</c:v>
                </c:pt>
                <c:pt idx="14">
                  <c:v>44013</c:v>
                </c:pt>
                <c:pt idx="15">
                  <c:v>44044</c:v>
                </c:pt>
                <c:pt idx="16">
                  <c:v>44075</c:v>
                </c:pt>
                <c:pt idx="17">
                  <c:v>44105</c:v>
                </c:pt>
                <c:pt idx="18">
                  <c:v>44136</c:v>
                </c:pt>
                <c:pt idx="19">
                  <c:v>44166</c:v>
                </c:pt>
                <c:pt idx="20">
                  <c:v>44197</c:v>
                </c:pt>
                <c:pt idx="21">
                  <c:v>44228</c:v>
                </c:pt>
                <c:pt idx="22">
                  <c:v>44256</c:v>
                </c:pt>
                <c:pt idx="23">
                  <c:v>44287</c:v>
                </c:pt>
                <c:pt idx="24">
                  <c:v>44317</c:v>
                </c:pt>
                <c:pt idx="25">
                  <c:v>44348</c:v>
                </c:pt>
                <c:pt idx="26">
                  <c:v>44378</c:v>
                </c:pt>
                <c:pt idx="27">
                  <c:v>44409</c:v>
                </c:pt>
                <c:pt idx="28">
                  <c:v>44440</c:v>
                </c:pt>
                <c:pt idx="29">
                  <c:v>44470</c:v>
                </c:pt>
                <c:pt idx="30">
                  <c:v>44501</c:v>
                </c:pt>
                <c:pt idx="31">
                  <c:v>44531</c:v>
                </c:pt>
                <c:pt idx="32">
                  <c:v>44562</c:v>
                </c:pt>
                <c:pt idx="33">
                  <c:v>44593</c:v>
                </c:pt>
                <c:pt idx="34">
                  <c:v>44621</c:v>
                </c:pt>
                <c:pt idx="35">
                  <c:v>44652</c:v>
                </c:pt>
                <c:pt idx="36">
                  <c:v>44682</c:v>
                </c:pt>
                <c:pt idx="37">
                  <c:v>44713</c:v>
                </c:pt>
                <c:pt idx="38">
                  <c:v>44743</c:v>
                </c:pt>
                <c:pt idx="39">
                  <c:v>44774</c:v>
                </c:pt>
                <c:pt idx="40">
                  <c:v>44805</c:v>
                </c:pt>
                <c:pt idx="41">
                  <c:v>44835</c:v>
                </c:pt>
                <c:pt idx="42">
                  <c:v>44866</c:v>
                </c:pt>
                <c:pt idx="43">
                  <c:v>44896</c:v>
                </c:pt>
                <c:pt idx="44">
                  <c:v>44927</c:v>
                </c:pt>
                <c:pt idx="45">
                  <c:v>44958</c:v>
                </c:pt>
                <c:pt idx="46">
                  <c:v>44986</c:v>
                </c:pt>
                <c:pt idx="47">
                  <c:v>45017</c:v>
                </c:pt>
                <c:pt idx="48">
                  <c:v>45047</c:v>
                </c:pt>
                <c:pt idx="49">
                  <c:v>45078</c:v>
                </c:pt>
                <c:pt idx="50">
                  <c:v>45108</c:v>
                </c:pt>
                <c:pt idx="51">
                  <c:v>45139</c:v>
                </c:pt>
                <c:pt idx="52">
                  <c:v>45170</c:v>
                </c:pt>
                <c:pt idx="53">
                  <c:v>45200</c:v>
                </c:pt>
                <c:pt idx="54">
                  <c:v>45231</c:v>
                </c:pt>
                <c:pt idx="55">
                  <c:v>45261</c:v>
                </c:pt>
                <c:pt idx="56">
                  <c:v>45292</c:v>
                </c:pt>
                <c:pt idx="57">
                  <c:v>45323</c:v>
                </c:pt>
                <c:pt idx="58">
                  <c:v>45352</c:v>
                </c:pt>
              </c:numCache>
            </c:numRef>
          </c:cat>
          <c:val>
            <c:numRef>
              <c:f>'Data. Securities'!$M$39:$M$97</c:f>
              <c:numCache>
                <c:formatCode>0.00%</c:formatCode>
                <c:ptCount val="59"/>
                <c:pt idx="0">
                  <c:v>-5.5890913483534269E-2</c:v>
                </c:pt>
                <c:pt idx="1">
                  <c:v>9.9604487859270105E-2</c:v>
                </c:pt>
                <c:pt idx="2">
                  <c:v>-1.4854581157316984E-2</c:v>
                </c:pt>
                <c:pt idx="3">
                  <c:v>-4.7948519375914281E-2</c:v>
                </c:pt>
                <c:pt idx="4">
                  <c:v>1.3665367057181563E-2</c:v>
                </c:pt>
                <c:pt idx="5">
                  <c:v>-2.4908835918336716E-2</c:v>
                </c:pt>
                <c:pt idx="6">
                  <c:v>4.3577680942936533E-3</c:v>
                </c:pt>
                <c:pt idx="7">
                  <c:v>3.4827875777371217E-2</c:v>
                </c:pt>
                <c:pt idx="8">
                  <c:v>-0.11511181162174457</c:v>
                </c:pt>
                <c:pt idx="9">
                  <c:v>-0.13297030173624294</c:v>
                </c:pt>
                <c:pt idx="10">
                  <c:v>-0.21879152668964399</c:v>
                </c:pt>
                <c:pt idx="11">
                  <c:v>0.2654994789558216</c:v>
                </c:pt>
                <c:pt idx="12">
                  <c:v>-7.4277151060621197E-3</c:v>
                </c:pt>
                <c:pt idx="13">
                  <c:v>-1.6817060419006893E-2</c:v>
                </c:pt>
                <c:pt idx="14">
                  <c:v>-6.3451456116522711E-2</c:v>
                </c:pt>
                <c:pt idx="15">
                  <c:v>-4.2856344109839664E-3</c:v>
                </c:pt>
                <c:pt idx="16">
                  <c:v>-0.13394148446588675</c:v>
                </c:pt>
                <c:pt idx="17">
                  <c:v>-3.8889094055042053E-2</c:v>
                </c:pt>
                <c:pt idx="18">
                  <c:v>0.25022188987975524</c:v>
                </c:pt>
                <c:pt idx="19">
                  <c:v>-2.122758084994282E-2</c:v>
                </c:pt>
                <c:pt idx="20">
                  <c:v>4.7142780832431916E-3</c:v>
                </c:pt>
                <c:pt idx="21">
                  <c:v>0.16954203770405682</c:v>
                </c:pt>
                <c:pt idx="22">
                  <c:v>5.8546022928497518E-2</c:v>
                </c:pt>
                <c:pt idx="23">
                  <c:v>-2.0580429662446567E-2</c:v>
                </c:pt>
                <c:pt idx="24">
                  <c:v>2.8190260384068763E-3</c:v>
                </c:pt>
                <c:pt idx="25">
                  <c:v>1.7339067182835274E-2</c:v>
                </c:pt>
                <c:pt idx="26">
                  <c:v>-3.2140791245732894E-2</c:v>
                </c:pt>
                <c:pt idx="27">
                  <c:v>-5.3670397601134914E-2</c:v>
                </c:pt>
                <c:pt idx="28">
                  <c:v>5.8329483258160661E-2</c:v>
                </c:pt>
                <c:pt idx="29">
                  <c:v>0.12436957969540739</c:v>
                </c:pt>
                <c:pt idx="30">
                  <c:v>-1.8316231239263306E-2</c:v>
                </c:pt>
                <c:pt idx="31">
                  <c:v>4.7541382257346929E-2</c:v>
                </c:pt>
                <c:pt idx="32">
                  <c:v>0.11496423422876932</c:v>
                </c:pt>
                <c:pt idx="33">
                  <c:v>9.2307711319864469E-2</c:v>
                </c:pt>
                <c:pt idx="34">
                  <c:v>0.1384691557422992</c:v>
                </c:pt>
                <c:pt idx="35">
                  <c:v>-4.199736252845844E-2</c:v>
                </c:pt>
                <c:pt idx="36">
                  <c:v>0.11066054822399239</c:v>
                </c:pt>
                <c:pt idx="37">
                  <c:v>-0.1684225355385939</c:v>
                </c:pt>
                <c:pt idx="38">
                  <c:v>0.12706698522446988</c:v>
                </c:pt>
                <c:pt idx="39">
                  <c:v>-3.9091789399567825E-2</c:v>
                </c:pt>
                <c:pt idx="40">
                  <c:v>-8.6949000743325136E-2</c:v>
                </c:pt>
                <c:pt idx="41">
                  <c:v>0.254968821971576</c:v>
                </c:pt>
                <c:pt idx="42">
                  <c:v>9.155665565655044E-3</c:v>
                </c:pt>
                <c:pt idx="43">
                  <c:v>-1.7431419598878076E-2</c:v>
                </c:pt>
                <c:pt idx="44">
                  <c:v>-3.4641885607922598E-2</c:v>
                </c:pt>
                <c:pt idx="45">
                  <c:v>-8.0307348593478003E-2</c:v>
                </c:pt>
                <c:pt idx="46">
                  <c:v>1.9670969298761318E-2</c:v>
                </c:pt>
                <c:pt idx="47">
                  <c:v>2.9052255874395957E-2</c:v>
                </c:pt>
                <c:pt idx="48">
                  <c:v>-0.11070364452120142</c:v>
                </c:pt>
                <c:pt idx="49">
                  <c:v>5.0745401510315688E-2</c:v>
                </c:pt>
                <c:pt idx="50">
                  <c:v>3.5934868479503987E-2</c:v>
                </c:pt>
                <c:pt idx="51">
                  <c:v>-1.9808734058712876E-2</c:v>
                </c:pt>
                <c:pt idx="52">
                  <c:v>5.257141419594101E-2</c:v>
                </c:pt>
                <c:pt idx="53">
                  <c:v>-0.13991569444028798</c:v>
                </c:pt>
                <c:pt idx="54">
                  <c:v>-1.8782686702058751E-2</c:v>
                </c:pt>
                <c:pt idx="55">
                  <c:v>4.5440322489358018E-2</c:v>
                </c:pt>
                <c:pt idx="56">
                  <c:v>-1.5765008334950106E-2</c:v>
                </c:pt>
                <c:pt idx="57">
                  <c:v>2.6898927898197464E-2</c:v>
                </c:pt>
                <c:pt idx="58">
                  <c:v>4.4851369619779854E-2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1C-DA49-B2A3-B16BDA065A4C}"/>
            </c:ext>
          </c:extLst>
        </c:ser>
        <c:ser>
          <c:idx val="3"/>
          <c:order val="3"/>
          <c:tx>
            <c:v>COP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'Data. Securities'!$B$39:$B$97</c:f>
              <c:numCache>
                <c:formatCode>m/d/yyyy</c:formatCode>
                <c:ptCount val="59"/>
                <c:pt idx="0">
                  <c:v>43586</c:v>
                </c:pt>
                <c:pt idx="1">
                  <c:v>43617</c:v>
                </c:pt>
                <c:pt idx="2">
                  <c:v>43647</c:v>
                </c:pt>
                <c:pt idx="3">
                  <c:v>43678</c:v>
                </c:pt>
                <c:pt idx="4">
                  <c:v>43709</c:v>
                </c:pt>
                <c:pt idx="5">
                  <c:v>43739</c:v>
                </c:pt>
                <c:pt idx="6">
                  <c:v>43770</c:v>
                </c:pt>
                <c:pt idx="7">
                  <c:v>43800</c:v>
                </c:pt>
                <c:pt idx="8">
                  <c:v>43831</c:v>
                </c:pt>
                <c:pt idx="9">
                  <c:v>43862</c:v>
                </c:pt>
                <c:pt idx="10">
                  <c:v>43891</c:v>
                </c:pt>
                <c:pt idx="11">
                  <c:v>43922</c:v>
                </c:pt>
                <c:pt idx="12">
                  <c:v>43952</c:v>
                </c:pt>
                <c:pt idx="13">
                  <c:v>43983</c:v>
                </c:pt>
                <c:pt idx="14">
                  <c:v>44013</c:v>
                </c:pt>
                <c:pt idx="15">
                  <c:v>44044</c:v>
                </c:pt>
                <c:pt idx="16">
                  <c:v>44075</c:v>
                </c:pt>
                <c:pt idx="17">
                  <c:v>44105</c:v>
                </c:pt>
                <c:pt idx="18">
                  <c:v>44136</c:v>
                </c:pt>
                <c:pt idx="19">
                  <c:v>44166</c:v>
                </c:pt>
                <c:pt idx="20">
                  <c:v>44197</c:v>
                </c:pt>
                <c:pt idx="21">
                  <c:v>44228</c:v>
                </c:pt>
                <c:pt idx="22">
                  <c:v>44256</c:v>
                </c:pt>
                <c:pt idx="23">
                  <c:v>44287</c:v>
                </c:pt>
                <c:pt idx="24">
                  <c:v>44317</c:v>
                </c:pt>
                <c:pt idx="25">
                  <c:v>44348</c:v>
                </c:pt>
                <c:pt idx="26">
                  <c:v>44378</c:v>
                </c:pt>
                <c:pt idx="27">
                  <c:v>44409</c:v>
                </c:pt>
                <c:pt idx="28">
                  <c:v>44440</c:v>
                </c:pt>
                <c:pt idx="29">
                  <c:v>44470</c:v>
                </c:pt>
                <c:pt idx="30">
                  <c:v>44501</c:v>
                </c:pt>
                <c:pt idx="31">
                  <c:v>44531</c:v>
                </c:pt>
                <c:pt idx="32">
                  <c:v>44562</c:v>
                </c:pt>
                <c:pt idx="33">
                  <c:v>44593</c:v>
                </c:pt>
                <c:pt idx="34">
                  <c:v>44621</c:v>
                </c:pt>
                <c:pt idx="35">
                  <c:v>44652</c:v>
                </c:pt>
                <c:pt idx="36">
                  <c:v>44682</c:v>
                </c:pt>
                <c:pt idx="37">
                  <c:v>44713</c:v>
                </c:pt>
                <c:pt idx="38">
                  <c:v>44743</c:v>
                </c:pt>
                <c:pt idx="39">
                  <c:v>44774</c:v>
                </c:pt>
                <c:pt idx="40">
                  <c:v>44805</c:v>
                </c:pt>
                <c:pt idx="41">
                  <c:v>44835</c:v>
                </c:pt>
                <c:pt idx="42">
                  <c:v>44866</c:v>
                </c:pt>
                <c:pt idx="43">
                  <c:v>44896</c:v>
                </c:pt>
                <c:pt idx="44">
                  <c:v>44927</c:v>
                </c:pt>
                <c:pt idx="45">
                  <c:v>44958</c:v>
                </c:pt>
                <c:pt idx="46">
                  <c:v>44986</c:v>
                </c:pt>
                <c:pt idx="47">
                  <c:v>45017</c:v>
                </c:pt>
                <c:pt idx="48">
                  <c:v>45047</c:v>
                </c:pt>
                <c:pt idx="49">
                  <c:v>45078</c:v>
                </c:pt>
                <c:pt idx="50">
                  <c:v>45108</c:v>
                </c:pt>
                <c:pt idx="51">
                  <c:v>45139</c:v>
                </c:pt>
                <c:pt idx="52">
                  <c:v>45170</c:v>
                </c:pt>
                <c:pt idx="53">
                  <c:v>45200</c:v>
                </c:pt>
                <c:pt idx="54">
                  <c:v>45231</c:v>
                </c:pt>
                <c:pt idx="55">
                  <c:v>45261</c:v>
                </c:pt>
                <c:pt idx="56">
                  <c:v>45292</c:v>
                </c:pt>
                <c:pt idx="57">
                  <c:v>45323</c:v>
                </c:pt>
                <c:pt idx="58">
                  <c:v>45352</c:v>
                </c:pt>
              </c:numCache>
            </c:numRef>
          </c:cat>
          <c:val>
            <c:numRef>
              <c:f>'Data. Securities'!$R$39:$R$97</c:f>
              <c:numCache>
                <c:formatCode>0.00%</c:formatCode>
                <c:ptCount val="59"/>
                <c:pt idx="0">
                  <c:v>-7.0072814667269459E-2</c:v>
                </c:pt>
                <c:pt idx="1">
                  <c:v>3.5586086834824102E-2</c:v>
                </c:pt>
                <c:pt idx="2">
                  <c:v>-3.5641884027855744E-2</c:v>
                </c:pt>
                <c:pt idx="3">
                  <c:v>-0.11646896333079894</c:v>
                </c:pt>
                <c:pt idx="4">
                  <c:v>8.7822593318494166E-2</c:v>
                </c:pt>
                <c:pt idx="5">
                  <c:v>-3.5405534612433245E-2</c:v>
                </c:pt>
                <c:pt idx="6">
                  <c:v>8.9915576727129784E-2</c:v>
                </c:pt>
                <c:pt idx="7">
                  <c:v>8.0751668088348647E-2</c:v>
                </c:pt>
                <c:pt idx="8">
                  <c:v>-9.0280766035367735E-2</c:v>
                </c:pt>
                <c:pt idx="9">
                  <c:v>-0.18942665963751273</c:v>
                </c:pt>
                <c:pt idx="10">
                  <c:v>-0.36356366751621438</c:v>
                </c:pt>
                <c:pt idx="11">
                  <c:v>0.36271610471520144</c:v>
                </c:pt>
                <c:pt idx="12">
                  <c:v>-2.2661519598108507E-3</c:v>
                </c:pt>
                <c:pt idx="13">
                  <c:v>2.0021969595831321E-3</c:v>
                </c:pt>
                <c:pt idx="14">
                  <c:v>-0.11435245454088851</c:v>
                </c:pt>
                <c:pt idx="15">
                  <c:v>1.9543996801645744E-2</c:v>
                </c:pt>
                <c:pt idx="16">
                  <c:v>-0.13744708601584713</c:v>
                </c:pt>
                <c:pt idx="17">
                  <c:v>-0.13266855430089156</c:v>
                </c:pt>
                <c:pt idx="18">
                  <c:v>0.39508019104327952</c:v>
                </c:pt>
                <c:pt idx="19">
                  <c:v>6.7028465291640712E-3</c:v>
                </c:pt>
                <c:pt idx="20">
                  <c:v>-3.1667470401326595E-3</c:v>
                </c:pt>
                <c:pt idx="21">
                  <c:v>0.29510912284398549</c:v>
                </c:pt>
                <c:pt idx="22">
                  <c:v>2.3644928877622137E-2</c:v>
                </c:pt>
                <c:pt idx="23">
                  <c:v>-3.8714441888909726E-2</c:v>
                </c:pt>
                <c:pt idx="24">
                  <c:v>8.5782326197553646E-2</c:v>
                </c:pt>
                <c:pt idx="25">
                  <c:v>9.6908011859707641E-2</c:v>
                </c:pt>
                <c:pt idx="26">
                  <c:v>-8.3641350541725182E-2</c:v>
                </c:pt>
                <c:pt idx="27">
                  <c:v>-6.0472518723943139E-3</c:v>
                </c:pt>
                <c:pt idx="28">
                  <c:v>0.21625464903530098</c:v>
                </c:pt>
                <c:pt idx="29">
                  <c:v>9.4992350518012567E-2</c:v>
                </c:pt>
                <c:pt idx="30">
                  <c:v>-5.704238211416636E-2</c:v>
                </c:pt>
                <c:pt idx="31">
                  <c:v>2.5064854193483241E-2</c:v>
                </c:pt>
                <c:pt idx="32">
                  <c:v>0.22700406340267995</c:v>
                </c:pt>
                <c:pt idx="33">
                  <c:v>6.624636801219895E-2</c:v>
                </c:pt>
                <c:pt idx="34">
                  <c:v>5.5320914001447882E-2</c:v>
                </c:pt>
                <c:pt idx="35">
                  <c:v>-4.6112085210454415E-2</c:v>
                </c:pt>
                <c:pt idx="36">
                  <c:v>0.17213149669648195</c:v>
                </c:pt>
                <c:pt idx="37">
                  <c:v>-0.20127202408102376</c:v>
                </c:pt>
                <c:pt idx="38">
                  <c:v>8.9097227199133031E-2</c:v>
                </c:pt>
                <c:pt idx="39">
                  <c:v>0.11920396820065469</c:v>
                </c:pt>
                <c:pt idx="40">
                  <c:v>-6.4923107191241294E-2</c:v>
                </c:pt>
                <c:pt idx="41">
                  <c:v>0.24561962620087649</c:v>
                </c:pt>
                <c:pt idx="42">
                  <c:v>-2.4628125023203454E-2</c:v>
                </c:pt>
                <c:pt idx="43">
                  <c:v>-4.5127296827974242E-2</c:v>
                </c:pt>
                <c:pt idx="44">
                  <c:v>3.5073601231837989E-2</c:v>
                </c:pt>
                <c:pt idx="45">
                  <c:v>-0.15613194499255992</c:v>
                </c:pt>
                <c:pt idx="46">
                  <c:v>-3.9950702197369861E-2</c:v>
                </c:pt>
                <c:pt idx="47">
                  <c:v>3.9349175925166055E-2</c:v>
                </c:pt>
                <c:pt idx="48">
                  <c:v>-3.9058241594901913E-2</c:v>
                </c:pt>
                <c:pt idx="49">
                  <c:v>4.4616560797442681E-2</c:v>
                </c:pt>
                <c:pt idx="50">
                  <c:v>0.13884380256303849</c:v>
                </c:pt>
                <c:pt idx="51">
                  <c:v>6.9614180440131642E-3</c:v>
                </c:pt>
                <c:pt idx="52">
                  <c:v>6.6827659079797671E-3</c:v>
                </c:pt>
                <c:pt idx="53">
                  <c:v>-7.5366299955718233E-3</c:v>
                </c:pt>
                <c:pt idx="54">
                  <c:v>-3.1355221802181879E-2</c:v>
                </c:pt>
                <c:pt idx="55">
                  <c:v>5.2236935680260851E-3</c:v>
                </c:pt>
                <c:pt idx="56">
                  <c:v>-4.0351721597319715E-2</c:v>
                </c:pt>
                <c:pt idx="57">
                  <c:v>1.8224163173507909E-3</c:v>
                </c:pt>
                <c:pt idx="58">
                  <c:v>0.13487702828658318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1C-DA49-B2A3-B16BDA065A4C}"/>
            </c:ext>
          </c:extLst>
        </c:ser>
        <c:ser>
          <c:idx val="4"/>
          <c:order val="4"/>
          <c:tx>
            <c:v>PSX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'Data. Securities'!$B$39:$B$97</c:f>
              <c:numCache>
                <c:formatCode>m/d/yyyy</c:formatCode>
                <c:ptCount val="59"/>
                <c:pt idx="0">
                  <c:v>43586</c:v>
                </c:pt>
                <c:pt idx="1">
                  <c:v>43617</c:v>
                </c:pt>
                <c:pt idx="2">
                  <c:v>43647</c:v>
                </c:pt>
                <c:pt idx="3">
                  <c:v>43678</c:v>
                </c:pt>
                <c:pt idx="4">
                  <c:v>43709</c:v>
                </c:pt>
                <c:pt idx="5">
                  <c:v>43739</c:v>
                </c:pt>
                <c:pt idx="6">
                  <c:v>43770</c:v>
                </c:pt>
                <c:pt idx="7">
                  <c:v>43800</c:v>
                </c:pt>
                <c:pt idx="8">
                  <c:v>43831</c:v>
                </c:pt>
                <c:pt idx="9">
                  <c:v>43862</c:v>
                </c:pt>
                <c:pt idx="10">
                  <c:v>43891</c:v>
                </c:pt>
                <c:pt idx="11">
                  <c:v>43922</c:v>
                </c:pt>
                <c:pt idx="12">
                  <c:v>43952</c:v>
                </c:pt>
                <c:pt idx="13">
                  <c:v>43983</c:v>
                </c:pt>
                <c:pt idx="14">
                  <c:v>44013</c:v>
                </c:pt>
                <c:pt idx="15">
                  <c:v>44044</c:v>
                </c:pt>
                <c:pt idx="16">
                  <c:v>44075</c:v>
                </c:pt>
                <c:pt idx="17">
                  <c:v>44105</c:v>
                </c:pt>
                <c:pt idx="18">
                  <c:v>44136</c:v>
                </c:pt>
                <c:pt idx="19">
                  <c:v>44166</c:v>
                </c:pt>
                <c:pt idx="20">
                  <c:v>44197</c:v>
                </c:pt>
                <c:pt idx="21">
                  <c:v>44228</c:v>
                </c:pt>
                <c:pt idx="22">
                  <c:v>44256</c:v>
                </c:pt>
                <c:pt idx="23">
                  <c:v>44287</c:v>
                </c:pt>
                <c:pt idx="24">
                  <c:v>44317</c:v>
                </c:pt>
                <c:pt idx="25">
                  <c:v>44348</c:v>
                </c:pt>
                <c:pt idx="26">
                  <c:v>44378</c:v>
                </c:pt>
                <c:pt idx="27">
                  <c:v>44409</c:v>
                </c:pt>
                <c:pt idx="28">
                  <c:v>44440</c:v>
                </c:pt>
                <c:pt idx="29">
                  <c:v>44470</c:v>
                </c:pt>
                <c:pt idx="30">
                  <c:v>44501</c:v>
                </c:pt>
                <c:pt idx="31">
                  <c:v>44531</c:v>
                </c:pt>
                <c:pt idx="32">
                  <c:v>44562</c:v>
                </c:pt>
                <c:pt idx="33">
                  <c:v>44593</c:v>
                </c:pt>
                <c:pt idx="34">
                  <c:v>44621</c:v>
                </c:pt>
                <c:pt idx="35">
                  <c:v>44652</c:v>
                </c:pt>
                <c:pt idx="36">
                  <c:v>44682</c:v>
                </c:pt>
                <c:pt idx="37">
                  <c:v>44713</c:v>
                </c:pt>
                <c:pt idx="38">
                  <c:v>44743</c:v>
                </c:pt>
                <c:pt idx="39">
                  <c:v>44774</c:v>
                </c:pt>
                <c:pt idx="40">
                  <c:v>44805</c:v>
                </c:pt>
                <c:pt idx="41">
                  <c:v>44835</c:v>
                </c:pt>
                <c:pt idx="42">
                  <c:v>44866</c:v>
                </c:pt>
                <c:pt idx="43">
                  <c:v>44896</c:v>
                </c:pt>
                <c:pt idx="44">
                  <c:v>44927</c:v>
                </c:pt>
                <c:pt idx="45">
                  <c:v>44958</c:v>
                </c:pt>
                <c:pt idx="46">
                  <c:v>44986</c:v>
                </c:pt>
                <c:pt idx="47">
                  <c:v>45017</c:v>
                </c:pt>
                <c:pt idx="48">
                  <c:v>45047</c:v>
                </c:pt>
                <c:pt idx="49">
                  <c:v>45078</c:v>
                </c:pt>
                <c:pt idx="50">
                  <c:v>45108</c:v>
                </c:pt>
                <c:pt idx="51">
                  <c:v>45139</c:v>
                </c:pt>
                <c:pt idx="52">
                  <c:v>45170</c:v>
                </c:pt>
                <c:pt idx="53">
                  <c:v>45200</c:v>
                </c:pt>
                <c:pt idx="54">
                  <c:v>45231</c:v>
                </c:pt>
                <c:pt idx="55">
                  <c:v>45261</c:v>
                </c:pt>
                <c:pt idx="56">
                  <c:v>45292</c:v>
                </c:pt>
                <c:pt idx="57">
                  <c:v>45323</c:v>
                </c:pt>
                <c:pt idx="58">
                  <c:v>45352</c:v>
                </c:pt>
              </c:numCache>
            </c:numRef>
          </c:cat>
          <c:val>
            <c:numRef>
              <c:f>'Data. Securities'!$W$39:$W$97</c:f>
              <c:numCache>
                <c:formatCode>0.00%</c:formatCode>
                <c:ptCount val="59"/>
                <c:pt idx="0">
                  <c:v>-0.1470540064692514</c:v>
                </c:pt>
                <c:pt idx="1">
                  <c:v>0.165427416752677</c:v>
                </c:pt>
                <c:pt idx="2">
                  <c:v>9.2262819626798484E-2</c:v>
                </c:pt>
                <c:pt idx="3">
                  <c:v>-4.2485818612464935E-2</c:v>
                </c:pt>
                <c:pt idx="4">
                  <c:v>4.3598870936289322E-2</c:v>
                </c:pt>
                <c:pt idx="5">
                  <c:v>0.1366533974990016</c:v>
                </c:pt>
                <c:pt idx="6">
                  <c:v>-2.2142852659514448E-2</c:v>
                </c:pt>
                <c:pt idx="7">
                  <c:v>-2.5646359799523802E-2</c:v>
                </c:pt>
                <c:pt idx="8">
                  <c:v>-0.18404273945344155</c:v>
                </c:pt>
                <c:pt idx="9">
                  <c:v>-0.18486039201973406</c:v>
                </c:pt>
                <c:pt idx="10">
                  <c:v>-0.28028403543040914</c:v>
                </c:pt>
                <c:pt idx="11">
                  <c:v>0.3596726210316552</c:v>
                </c:pt>
                <c:pt idx="12">
                  <c:v>6.5397475236564903E-2</c:v>
                </c:pt>
                <c:pt idx="13">
                  <c:v>-7.3763547994203718E-2</c:v>
                </c:pt>
                <c:pt idx="14">
                  <c:v>-0.14157983773420282</c:v>
                </c:pt>
                <c:pt idx="15">
                  <c:v>-6.1406255251464939E-2</c:v>
                </c:pt>
                <c:pt idx="16">
                  <c:v>-0.10484370460073934</c:v>
                </c:pt>
                <c:pt idx="17">
                  <c:v>-0.10408952140017537</c:v>
                </c:pt>
                <c:pt idx="18">
                  <c:v>0.29416147224623757</c:v>
                </c:pt>
                <c:pt idx="19">
                  <c:v>0.16829786714476011</c:v>
                </c:pt>
                <c:pt idx="20">
                  <c:v>-3.4764242395583636E-2</c:v>
                </c:pt>
                <c:pt idx="21">
                  <c:v>0.22075967194392929</c:v>
                </c:pt>
                <c:pt idx="22">
                  <c:v>-1.1184458791507326E-2</c:v>
                </c:pt>
                <c:pt idx="23">
                  <c:v>-1.189283139284826E-2</c:v>
                </c:pt>
                <c:pt idx="24">
                  <c:v>3.6742795025701755E-2</c:v>
                </c:pt>
                <c:pt idx="25">
                  <c:v>2.5723129333843339E-2</c:v>
                </c:pt>
                <c:pt idx="26">
                  <c:v>-0.14853874733890163</c:v>
                </c:pt>
                <c:pt idx="27">
                  <c:v>-3.6033619742249737E-2</c:v>
                </c:pt>
                <c:pt idx="28">
                  <c:v>-6.581516980954342E-3</c:v>
                </c:pt>
                <c:pt idx="29">
                  <c:v>6.3661295477762211E-2</c:v>
                </c:pt>
                <c:pt idx="30">
                  <c:v>-7.9186423525540853E-2</c:v>
                </c:pt>
                <c:pt idx="31">
                  <c:v>5.5754726925365525E-2</c:v>
                </c:pt>
                <c:pt idx="32">
                  <c:v>0.16599598126653189</c:v>
                </c:pt>
                <c:pt idx="33">
                  <c:v>-1.0653245556018556E-2</c:v>
                </c:pt>
                <c:pt idx="34">
                  <c:v>3.2311034609735265E-2</c:v>
                </c:pt>
                <c:pt idx="35">
                  <c:v>1.162949756656614E-4</c:v>
                </c:pt>
                <c:pt idx="36">
                  <c:v>0.15777438227899851</c:v>
                </c:pt>
                <c:pt idx="37">
                  <c:v>-0.18249396825797995</c:v>
                </c:pt>
                <c:pt idx="38">
                  <c:v>8.1331670840244716E-2</c:v>
                </c:pt>
                <c:pt idx="39">
                  <c:v>1.0018419434158895E-3</c:v>
                </c:pt>
                <c:pt idx="40">
                  <c:v>-9.1961939332094414E-2</c:v>
                </c:pt>
                <c:pt idx="41">
                  <c:v>0.28783035554861769</c:v>
                </c:pt>
                <c:pt idx="42">
                  <c:v>3.562620933163084E-2</c:v>
                </c:pt>
                <c:pt idx="43">
                  <c:v>-3.5920385982512695E-2</c:v>
                </c:pt>
                <c:pt idx="44">
                  <c:v>-4.0773136435541049E-2</c:v>
                </c:pt>
                <c:pt idx="45">
                  <c:v>1.8671697048642452E-2</c:v>
                </c:pt>
                <c:pt idx="46">
                  <c:v>-5.6796379009659429E-3</c:v>
                </c:pt>
                <c:pt idx="47">
                  <c:v>-2.7642701331588318E-2</c:v>
                </c:pt>
                <c:pt idx="48">
                  <c:v>-7.8813147015885945E-2</c:v>
                </c:pt>
                <c:pt idx="49">
                  <c:v>4.8465610128245892E-2</c:v>
                </c:pt>
                <c:pt idx="50">
                  <c:v>0.16536585487216768</c:v>
                </c:pt>
                <c:pt idx="51">
                  <c:v>1.9230983148540645E-2</c:v>
                </c:pt>
                <c:pt idx="52">
                  <c:v>5.815110179353343E-2</c:v>
                </c:pt>
                <c:pt idx="53">
                  <c:v>-5.4770105303984309E-2</c:v>
                </c:pt>
                <c:pt idx="54">
                  <c:v>0.12575351008004262</c:v>
                </c:pt>
                <c:pt idx="55">
                  <c:v>3.8284842229831625E-2</c:v>
                </c:pt>
                <c:pt idx="56">
                  <c:v>7.9730007587502469E-2</c:v>
                </c:pt>
                <c:pt idx="57">
                  <c:v>-1.6639859785511427E-2</c:v>
                </c:pt>
                <c:pt idx="58">
                  <c:v>0.15028006023789239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1C-DA49-B2A3-B16BDA065A4C}"/>
            </c:ext>
          </c:extLst>
        </c:ser>
        <c:ser>
          <c:idx val="5"/>
          <c:order val="5"/>
          <c:tx>
            <c:v>EOG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'Data. Securities'!$B$39:$B$97</c:f>
              <c:numCache>
                <c:formatCode>m/d/yyyy</c:formatCode>
                <c:ptCount val="59"/>
                <c:pt idx="0">
                  <c:v>43586</c:v>
                </c:pt>
                <c:pt idx="1">
                  <c:v>43617</c:v>
                </c:pt>
                <c:pt idx="2">
                  <c:v>43647</c:v>
                </c:pt>
                <c:pt idx="3">
                  <c:v>43678</c:v>
                </c:pt>
                <c:pt idx="4">
                  <c:v>43709</c:v>
                </c:pt>
                <c:pt idx="5">
                  <c:v>43739</c:v>
                </c:pt>
                <c:pt idx="6">
                  <c:v>43770</c:v>
                </c:pt>
                <c:pt idx="7">
                  <c:v>43800</c:v>
                </c:pt>
                <c:pt idx="8">
                  <c:v>43831</c:v>
                </c:pt>
                <c:pt idx="9">
                  <c:v>43862</c:v>
                </c:pt>
                <c:pt idx="10">
                  <c:v>43891</c:v>
                </c:pt>
                <c:pt idx="11">
                  <c:v>43922</c:v>
                </c:pt>
                <c:pt idx="12">
                  <c:v>43952</c:v>
                </c:pt>
                <c:pt idx="13">
                  <c:v>43983</c:v>
                </c:pt>
                <c:pt idx="14">
                  <c:v>44013</c:v>
                </c:pt>
                <c:pt idx="15">
                  <c:v>44044</c:v>
                </c:pt>
                <c:pt idx="16">
                  <c:v>44075</c:v>
                </c:pt>
                <c:pt idx="17">
                  <c:v>44105</c:v>
                </c:pt>
                <c:pt idx="18">
                  <c:v>44136</c:v>
                </c:pt>
                <c:pt idx="19">
                  <c:v>44166</c:v>
                </c:pt>
                <c:pt idx="20">
                  <c:v>44197</c:v>
                </c:pt>
                <c:pt idx="21">
                  <c:v>44228</c:v>
                </c:pt>
                <c:pt idx="22">
                  <c:v>44256</c:v>
                </c:pt>
                <c:pt idx="23">
                  <c:v>44287</c:v>
                </c:pt>
                <c:pt idx="24">
                  <c:v>44317</c:v>
                </c:pt>
                <c:pt idx="25">
                  <c:v>44348</c:v>
                </c:pt>
                <c:pt idx="26">
                  <c:v>44378</c:v>
                </c:pt>
                <c:pt idx="27">
                  <c:v>44409</c:v>
                </c:pt>
                <c:pt idx="28">
                  <c:v>44440</c:v>
                </c:pt>
                <c:pt idx="29">
                  <c:v>44470</c:v>
                </c:pt>
                <c:pt idx="30">
                  <c:v>44501</c:v>
                </c:pt>
                <c:pt idx="31">
                  <c:v>44531</c:v>
                </c:pt>
                <c:pt idx="32">
                  <c:v>44562</c:v>
                </c:pt>
                <c:pt idx="33">
                  <c:v>44593</c:v>
                </c:pt>
                <c:pt idx="34">
                  <c:v>44621</c:v>
                </c:pt>
                <c:pt idx="35">
                  <c:v>44652</c:v>
                </c:pt>
                <c:pt idx="36">
                  <c:v>44682</c:v>
                </c:pt>
                <c:pt idx="37">
                  <c:v>44713</c:v>
                </c:pt>
                <c:pt idx="38">
                  <c:v>44743</c:v>
                </c:pt>
                <c:pt idx="39">
                  <c:v>44774</c:v>
                </c:pt>
                <c:pt idx="40">
                  <c:v>44805</c:v>
                </c:pt>
                <c:pt idx="41">
                  <c:v>44835</c:v>
                </c:pt>
                <c:pt idx="42">
                  <c:v>44866</c:v>
                </c:pt>
                <c:pt idx="43">
                  <c:v>44896</c:v>
                </c:pt>
                <c:pt idx="44">
                  <c:v>44927</c:v>
                </c:pt>
                <c:pt idx="45">
                  <c:v>44958</c:v>
                </c:pt>
                <c:pt idx="46">
                  <c:v>44986</c:v>
                </c:pt>
                <c:pt idx="47">
                  <c:v>45017</c:v>
                </c:pt>
                <c:pt idx="48">
                  <c:v>45047</c:v>
                </c:pt>
                <c:pt idx="49">
                  <c:v>45078</c:v>
                </c:pt>
                <c:pt idx="50">
                  <c:v>45108</c:v>
                </c:pt>
                <c:pt idx="51">
                  <c:v>45139</c:v>
                </c:pt>
                <c:pt idx="52">
                  <c:v>45170</c:v>
                </c:pt>
                <c:pt idx="53">
                  <c:v>45200</c:v>
                </c:pt>
                <c:pt idx="54">
                  <c:v>45231</c:v>
                </c:pt>
                <c:pt idx="55">
                  <c:v>45261</c:v>
                </c:pt>
                <c:pt idx="56">
                  <c:v>45292</c:v>
                </c:pt>
                <c:pt idx="57">
                  <c:v>45323</c:v>
                </c:pt>
                <c:pt idx="58">
                  <c:v>45352</c:v>
                </c:pt>
              </c:numCache>
            </c:numRef>
          </c:cat>
          <c:val>
            <c:numRef>
              <c:f>'Data. Securities'!$AB$39:$AB$96</c:f>
              <c:numCache>
                <c:formatCode>0.00%</c:formatCode>
                <c:ptCount val="58"/>
                <c:pt idx="0">
                  <c:v>-0.14990964540784393</c:v>
                </c:pt>
                <c:pt idx="1">
                  <c:v>0.13359593999872363</c:v>
                </c:pt>
                <c:pt idx="2">
                  <c:v>-8.2633970265921133E-2</c:v>
                </c:pt>
                <c:pt idx="3">
                  <c:v>-0.13717124088706825</c:v>
                </c:pt>
                <c:pt idx="4">
                  <c:v>-3.7625404105246099E-3</c:v>
                </c:pt>
                <c:pt idx="5">
                  <c:v>-7.0321203315355088E-2</c:v>
                </c:pt>
                <c:pt idx="6">
                  <c:v>2.3045761991973043E-2</c:v>
                </c:pt>
                <c:pt idx="7">
                  <c:v>0.17721565222308586</c:v>
                </c:pt>
                <c:pt idx="8">
                  <c:v>-0.13370354719180347</c:v>
                </c:pt>
                <c:pt idx="9">
                  <c:v>-0.13363123013500669</c:v>
                </c:pt>
                <c:pt idx="10">
                  <c:v>-0.4363513888273689</c:v>
                </c:pt>
                <c:pt idx="11">
                  <c:v>0.31849499128785053</c:v>
                </c:pt>
                <c:pt idx="12">
                  <c:v>7.8272039576789285E-2</c:v>
                </c:pt>
                <c:pt idx="13">
                  <c:v>-1.0248587051083904E-2</c:v>
                </c:pt>
                <c:pt idx="14">
                  <c:v>-7.9373886362947857E-2</c:v>
                </c:pt>
                <c:pt idx="15">
                  <c:v>-2.8689487479671053E-2</c:v>
                </c:pt>
                <c:pt idx="16">
                  <c:v>-0.21148932246789534</c:v>
                </c:pt>
                <c:pt idx="17">
                  <c:v>-5.146741576489601E-2</c:v>
                </c:pt>
                <c:pt idx="18">
                  <c:v>0.37877736719601285</c:v>
                </c:pt>
                <c:pt idx="19">
                  <c:v>5.9613098896613689E-2</c:v>
                </c:pt>
                <c:pt idx="20">
                  <c:v>1.7690126471210807E-2</c:v>
                </c:pt>
                <c:pt idx="21">
                  <c:v>0.2706150807663017</c:v>
                </c:pt>
                <c:pt idx="22">
                  <c:v>0.11928427392064521</c:v>
                </c:pt>
                <c:pt idx="23">
                  <c:v>1.1137361201046789E-2</c:v>
                </c:pt>
                <c:pt idx="24">
                  <c:v>9.2929304432310053E-2</c:v>
                </c:pt>
                <c:pt idx="25">
                  <c:v>3.4419631593995068E-2</c:v>
                </c:pt>
                <c:pt idx="26">
                  <c:v>-0.13096439398817208</c:v>
                </c:pt>
                <c:pt idx="27">
                  <c:v>-6.0723551918564059E-2</c:v>
                </c:pt>
                <c:pt idx="28">
                  <c:v>0.18466663085627763</c:v>
                </c:pt>
                <c:pt idx="29">
                  <c:v>0.14769559064752921</c:v>
                </c:pt>
                <c:pt idx="30">
                  <c:v>-5.8900882553786019E-2</c:v>
                </c:pt>
                <c:pt idx="31">
                  <c:v>1.6867876306625437E-2</c:v>
                </c:pt>
                <c:pt idx="32">
                  <c:v>0.27998997671263326</c:v>
                </c:pt>
                <c:pt idx="33">
                  <c:v>3.4269147426338339E-2</c:v>
                </c:pt>
                <c:pt idx="34">
                  <c:v>3.3337810314727254E-2</c:v>
                </c:pt>
                <c:pt idx="35">
                  <c:v>-1.6417550543563988E-2</c:v>
                </c:pt>
                <c:pt idx="36">
                  <c:v>0.17594292826493205</c:v>
                </c:pt>
                <c:pt idx="37">
                  <c:v>-0.19779982409984578</c:v>
                </c:pt>
                <c:pt idx="38">
                  <c:v>1.6740756855981406E-2</c:v>
                </c:pt>
                <c:pt idx="39">
                  <c:v>9.4757117861602444E-2</c:v>
                </c:pt>
                <c:pt idx="40">
                  <c:v>-8.3062051382526883E-2</c:v>
                </c:pt>
                <c:pt idx="41">
                  <c:v>0.23280366053654108</c:v>
                </c:pt>
                <c:pt idx="42">
                  <c:v>4.1620708132371606E-2</c:v>
                </c:pt>
                <c:pt idx="43">
                  <c:v>-9.16041626600297E-2</c:v>
                </c:pt>
                <c:pt idx="44">
                  <c:v>2.9070727513248892E-2</c:v>
                </c:pt>
                <c:pt idx="45">
                  <c:v>-0.14413406659558983</c:v>
                </c:pt>
                <c:pt idx="46">
                  <c:v>1.0078613090302765E-2</c:v>
                </c:pt>
                <c:pt idx="47">
                  <c:v>4.7688562151786837E-2</c:v>
                </c:pt>
                <c:pt idx="48">
                  <c:v>-0.10001831773758064</c:v>
                </c:pt>
                <c:pt idx="49">
                  <c:v>6.2475207091930759E-2</c:v>
                </c:pt>
                <c:pt idx="50">
                  <c:v>0.15390733558519074</c:v>
                </c:pt>
                <c:pt idx="51">
                  <c:v>-2.7092885020477034E-2</c:v>
                </c:pt>
                <c:pt idx="52">
                  <c:v>-1.8627823053504314E-2</c:v>
                </c:pt>
                <c:pt idx="53">
                  <c:v>-8.1900084896466968E-3</c:v>
                </c:pt>
                <c:pt idx="54">
                  <c:v>-2.3308760395926678E-2</c:v>
                </c:pt>
                <c:pt idx="55">
                  <c:v>-2.1392623287493376E-2</c:v>
                </c:pt>
                <c:pt idx="56">
                  <c:v>-5.1301020659284338E-2</c:v>
                </c:pt>
                <c:pt idx="57">
                  <c:v>9.6713364391531748E-3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1C-DA49-B2A3-B16BDA065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793839"/>
        <c:axId val="1322407279"/>
      </c:lineChart>
      <c:dateAx>
        <c:axId val="275793839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407279"/>
        <c:crosses val="autoZero"/>
        <c:auto val="1"/>
        <c:lblOffset val="100"/>
        <c:baseTimeUnit val="months"/>
      </c:dateAx>
      <c:valAx>
        <c:axId val="1322407279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79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Benchmark</a:t>
            </a:r>
            <a:r>
              <a:rPr lang="en-US" b="1" baseline="0"/>
              <a:t> Excess Return vs. Active Pf Excess Return. </a:t>
            </a:r>
            <a:br>
              <a:rPr lang="en-US" b="1" baseline="0"/>
            </a:br>
            <a:r>
              <a:rPr lang="en-US" b="1" baseline="0"/>
              <a:t>59 months Back Data Tracking (2019 -2024)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'Data. Securities'!$E$37</c:f>
              <c:strCache>
                <c:ptCount val="1"/>
                <c:pt idx="0">
                  <c:v>Benchmark
 Exces 
return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'Data. Securities'!$B$39:$B$97</c:f>
              <c:numCache>
                <c:formatCode>m/d/yyyy</c:formatCode>
                <c:ptCount val="59"/>
                <c:pt idx="0">
                  <c:v>43586</c:v>
                </c:pt>
                <c:pt idx="1">
                  <c:v>43617</c:v>
                </c:pt>
                <c:pt idx="2">
                  <c:v>43647</c:v>
                </c:pt>
                <c:pt idx="3">
                  <c:v>43678</c:v>
                </c:pt>
                <c:pt idx="4">
                  <c:v>43709</c:v>
                </c:pt>
                <c:pt idx="5">
                  <c:v>43739</c:v>
                </c:pt>
                <c:pt idx="6">
                  <c:v>43770</c:v>
                </c:pt>
                <c:pt idx="7">
                  <c:v>43800</c:v>
                </c:pt>
                <c:pt idx="8">
                  <c:v>43831</c:v>
                </c:pt>
                <c:pt idx="9">
                  <c:v>43862</c:v>
                </c:pt>
                <c:pt idx="10">
                  <c:v>43891</c:v>
                </c:pt>
                <c:pt idx="11">
                  <c:v>43922</c:v>
                </c:pt>
                <c:pt idx="12">
                  <c:v>43952</c:v>
                </c:pt>
                <c:pt idx="13">
                  <c:v>43983</c:v>
                </c:pt>
                <c:pt idx="14">
                  <c:v>44013</c:v>
                </c:pt>
                <c:pt idx="15">
                  <c:v>44044</c:v>
                </c:pt>
                <c:pt idx="16">
                  <c:v>44075</c:v>
                </c:pt>
                <c:pt idx="17">
                  <c:v>44105</c:v>
                </c:pt>
                <c:pt idx="18">
                  <c:v>44136</c:v>
                </c:pt>
                <c:pt idx="19">
                  <c:v>44166</c:v>
                </c:pt>
                <c:pt idx="20">
                  <c:v>44197</c:v>
                </c:pt>
                <c:pt idx="21">
                  <c:v>44228</c:v>
                </c:pt>
                <c:pt idx="22">
                  <c:v>44256</c:v>
                </c:pt>
                <c:pt idx="23">
                  <c:v>44287</c:v>
                </c:pt>
                <c:pt idx="24">
                  <c:v>44317</c:v>
                </c:pt>
                <c:pt idx="25">
                  <c:v>44348</c:v>
                </c:pt>
                <c:pt idx="26">
                  <c:v>44378</c:v>
                </c:pt>
                <c:pt idx="27">
                  <c:v>44409</c:v>
                </c:pt>
                <c:pt idx="28">
                  <c:v>44440</c:v>
                </c:pt>
                <c:pt idx="29">
                  <c:v>44470</c:v>
                </c:pt>
                <c:pt idx="30">
                  <c:v>44501</c:v>
                </c:pt>
                <c:pt idx="31">
                  <c:v>44531</c:v>
                </c:pt>
                <c:pt idx="32">
                  <c:v>44562</c:v>
                </c:pt>
                <c:pt idx="33">
                  <c:v>44593</c:v>
                </c:pt>
                <c:pt idx="34">
                  <c:v>44621</c:v>
                </c:pt>
                <c:pt idx="35">
                  <c:v>44652</c:v>
                </c:pt>
                <c:pt idx="36">
                  <c:v>44682</c:v>
                </c:pt>
                <c:pt idx="37">
                  <c:v>44713</c:v>
                </c:pt>
                <c:pt idx="38">
                  <c:v>44743</c:v>
                </c:pt>
                <c:pt idx="39">
                  <c:v>44774</c:v>
                </c:pt>
                <c:pt idx="40">
                  <c:v>44805</c:v>
                </c:pt>
                <c:pt idx="41">
                  <c:v>44835</c:v>
                </c:pt>
                <c:pt idx="42">
                  <c:v>44866</c:v>
                </c:pt>
                <c:pt idx="43">
                  <c:v>44896</c:v>
                </c:pt>
                <c:pt idx="44">
                  <c:v>44927</c:v>
                </c:pt>
                <c:pt idx="45">
                  <c:v>44958</c:v>
                </c:pt>
                <c:pt idx="46">
                  <c:v>44986</c:v>
                </c:pt>
                <c:pt idx="47">
                  <c:v>45017</c:v>
                </c:pt>
                <c:pt idx="48">
                  <c:v>45047</c:v>
                </c:pt>
                <c:pt idx="49">
                  <c:v>45078</c:v>
                </c:pt>
                <c:pt idx="50">
                  <c:v>45108</c:v>
                </c:pt>
                <c:pt idx="51">
                  <c:v>45139</c:v>
                </c:pt>
                <c:pt idx="52">
                  <c:v>45170</c:v>
                </c:pt>
                <c:pt idx="53">
                  <c:v>45200</c:v>
                </c:pt>
                <c:pt idx="54">
                  <c:v>45231</c:v>
                </c:pt>
                <c:pt idx="55">
                  <c:v>45261</c:v>
                </c:pt>
                <c:pt idx="56">
                  <c:v>45292</c:v>
                </c:pt>
                <c:pt idx="57">
                  <c:v>45323</c:v>
                </c:pt>
                <c:pt idx="58">
                  <c:v>45352</c:v>
                </c:pt>
              </c:numCache>
            </c:numRef>
          </c:cat>
          <c:val>
            <c:numRef>
              <c:f>'Data. Securities'!$E$39:$E$97</c:f>
              <c:numCache>
                <c:formatCode>0.00%</c:formatCode>
                <c:ptCount val="59"/>
                <c:pt idx="0">
                  <c:v>-0.12119375169896908</c:v>
                </c:pt>
                <c:pt idx="1">
                  <c:v>7.5178030865325804E-2</c:v>
                </c:pt>
                <c:pt idx="2">
                  <c:v>-2.0309852671792653E-2</c:v>
                </c:pt>
                <c:pt idx="3">
                  <c:v>-9.1306585717859226E-2</c:v>
                </c:pt>
                <c:pt idx="4">
                  <c:v>2.5936591447836652E-2</c:v>
                </c:pt>
                <c:pt idx="5">
                  <c:v>-2.2205194997187219E-2</c:v>
                </c:pt>
                <c:pt idx="6">
                  <c:v>6.6270839079762686E-3</c:v>
                </c:pt>
                <c:pt idx="7">
                  <c:v>5.7039285724619124E-2</c:v>
                </c:pt>
                <c:pt idx="8">
                  <c:v>-0.11370947558316859</c:v>
                </c:pt>
                <c:pt idx="9">
                  <c:v>-0.15360318019304822</c:v>
                </c:pt>
                <c:pt idx="10">
                  <c:v>-0.37894186072423208</c:v>
                </c:pt>
                <c:pt idx="11">
                  <c:v>0.337953923889315</c:v>
                </c:pt>
                <c:pt idx="12">
                  <c:v>1.245719635217156E-2</c:v>
                </c:pt>
                <c:pt idx="13">
                  <c:v>-2.4995877736166197E-2</c:v>
                </c:pt>
                <c:pt idx="14">
                  <c:v>-3.4336048980844983E-2</c:v>
                </c:pt>
                <c:pt idx="15">
                  <c:v>-1.0392049690481478E-2</c:v>
                </c:pt>
                <c:pt idx="16">
                  <c:v>-0.16244615715155689</c:v>
                </c:pt>
                <c:pt idx="17">
                  <c:v>-2.6499820154508039E-2</c:v>
                </c:pt>
                <c:pt idx="18">
                  <c:v>0.2762239903631527</c:v>
                </c:pt>
                <c:pt idx="19">
                  <c:v>3.678089083279111E-2</c:v>
                </c:pt>
                <c:pt idx="20">
                  <c:v>5.7056262343221795E-2</c:v>
                </c:pt>
                <c:pt idx="21">
                  <c:v>0.22034209984976535</c:v>
                </c:pt>
                <c:pt idx="22">
                  <c:v>1.6088268385668E-2</c:v>
                </c:pt>
                <c:pt idx="23">
                  <c:v>1.0251149163020154E-2</c:v>
                </c:pt>
                <c:pt idx="24">
                  <c:v>6.1289435856674887E-2</c:v>
                </c:pt>
                <c:pt idx="25">
                  <c:v>3.8851597144186498E-2</c:v>
                </c:pt>
                <c:pt idx="26">
                  <c:v>-8.2900583523480856E-2</c:v>
                </c:pt>
                <c:pt idx="27">
                  <c:v>-2.2639765141762372E-2</c:v>
                </c:pt>
                <c:pt idx="28">
                  <c:v>8.2438150251786566E-2</c:v>
                </c:pt>
                <c:pt idx="29">
                  <c:v>0.10844299847402693</c:v>
                </c:pt>
                <c:pt idx="30">
                  <c:v>-6.1664604405308979E-2</c:v>
                </c:pt>
                <c:pt idx="31">
                  <c:v>9.6803980480599655E-3</c:v>
                </c:pt>
                <c:pt idx="32">
                  <c:v>0.18514776026674526</c:v>
                </c:pt>
                <c:pt idx="33">
                  <c:v>7.0849833138287396E-2</c:v>
                </c:pt>
                <c:pt idx="34">
                  <c:v>8.7855323957541906E-2</c:v>
                </c:pt>
                <c:pt idx="35">
                  <c:v>-1.3377139396022933E-2</c:v>
                </c:pt>
                <c:pt idx="36">
                  <c:v>0.1477573516412993</c:v>
                </c:pt>
                <c:pt idx="37">
                  <c:v>-0.18372792065292179</c:v>
                </c:pt>
                <c:pt idx="38">
                  <c:v>0.11234605679651953</c:v>
                </c:pt>
                <c:pt idx="39">
                  <c:v>2.7842026605003442E-2</c:v>
                </c:pt>
                <c:pt idx="40">
                  <c:v>-0.10910979870000671</c:v>
                </c:pt>
                <c:pt idx="41">
                  <c:v>0.25173684453425604</c:v>
                </c:pt>
                <c:pt idx="42">
                  <c:v>8.9306225304634917E-3</c:v>
                </c:pt>
                <c:pt idx="43">
                  <c:v>-5.3919796845551718E-2</c:v>
                </c:pt>
                <c:pt idx="44">
                  <c:v>3.7350922411740525E-2</c:v>
                </c:pt>
                <c:pt idx="45">
                  <c:v>-7.04703040888527E-2</c:v>
                </c:pt>
                <c:pt idx="46">
                  <c:v>-2.449261112585123E-2</c:v>
                </c:pt>
                <c:pt idx="47">
                  <c:v>2.9199864243977233E-2</c:v>
                </c:pt>
                <c:pt idx="48">
                  <c:v>-9.8830608966501546E-2</c:v>
                </c:pt>
                <c:pt idx="49">
                  <c:v>6.2141032544754657E-2</c:v>
                </c:pt>
                <c:pt idx="50">
                  <c:v>8.834603210387669E-2</c:v>
                </c:pt>
                <c:pt idx="51">
                  <c:v>1.5301592299469244E-2</c:v>
                </c:pt>
                <c:pt idx="52">
                  <c:v>1.2763488748410254E-2</c:v>
                </c:pt>
                <c:pt idx="53">
                  <c:v>-5.147485537475617E-2</c:v>
                </c:pt>
                <c:pt idx="54">
                  <c:v>-1.6005985185969421E-2</c:v>
                </c:pt>
                <c:pt idx="55">
                  <c:v>-1.4629003747267069E-2</c:v>
                </c:pt>
                <c:pt idx="56">
                  <c:v>-3.081139291873051E-3</c:v>
                </c:pt>
                <c:pt idx="57">
                  <c:v>2.7803090707261044E-2</c:v>
                </c:pt>
                <c:pt idx="58">
                  <c:v>9.2602110868830176E-2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C-C746-BC9D-8A3CDEEBFD1A}"/>
            </c:ext>
          </c:extLst>
        </c:ser>
        <c:ser>
          <c:idx val="1"/>
          <c:order val="1"/>
          <c:tx>
            <c:strRef>
              <c:f>'Data. Securities'!$AF$37</c:f>
              <c:strCache>
                <c:ptCount val="1"/>
                <c:pt idx="0">
                  <c:v>Active Pf Exces 
return 
(Back data)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'Data. Securities'!$B$39:$B$97</c:f>
              <c:numCache>
                <c:formatCode>m/d/yyyy</c:formatCode>
                <c:ptCount val="59"/>
                <c:pt idx="0">
                  <c:v>43586</c:v>
                </c:pt>
                <c:pt idx="1">
                  <c:v>43617</c:v>
                </c:pt>
                <c:pt idx="2">
                  <c:v>43647</c:v>
                </c:pt>
                <c:pt idx="3">
                  <c:v>43678</c:v>
                </c:pt>
                <c:pt idx="4">
                  <c:v>43709</c:v>
                </c:pt>
                <c:pt idx="5">
                  <c:v>43739</c:v>
                </c:pt>
                <c:pt idx="6">
                  <c:v>43770</c:v>
                </c:pt>
                <c:pt idx="7">
                  <c:v>43800</c:v>
                </c:pt>
                <c:pt idx="8">
                  <c:v>43831</c:v>
                </c:pt>
                <c:pt idx="9">
                  <c:v>43862</c:v>
                </c:pt>
                <c:pt idx="10">
                  <c:v>43891</c:v>
                </c:pt>
                <c:pt idx="11">
                  <c:v>43922</c:v>
                </c:pt>
                <c:pt idx="12">
                  <c:v>43952</c:v>
                </c:pt>
                <c:pt idx="13">
                  <c:v>43983</c:v>
                </c:pt>
                <c:pt idx="14">
                  <c:v>44013</c:v>
                </c:pt>
                <c:pt idx="15">
                  <c:v>44044</c:v>
                </c:pt>
                <c:pt idx="16">
                  <c:v>44075</c:v>
                </c:pt>
                <c:pt idx="17">
                  <c:v>44105</c:v>
                </c:pt>
                <c:pt idx="18">
                  <c:v>44136</c:v>
                </c:pt>
                <c:pt idx="19">
                  <c:v>44166</c:v>
                </c:pt>
                <c:pt idx="20">
                  <c:v>44197</c:v>
                </c:pt>
                <c:pt idx="21">
                  <c:v>44228</c:v>
                </c:pt>
                <c:pt idx="22">
                  <c:v>44256</c:v>
                </c:pt>
                <c:pt idx="23">
                  <c:v>44287</c:v>
                </c:pt>
                <c:pt idx="24">
                  <c:v>44317</c:v>
                </c:pt>
                <c:pt idx="25">
                  <c:v>44348</c:v>
                </c:pt>
                <c:pt idx="26">
                  <c:v>44378</c:v>
                </c:pt>
                <c:pt idx="27">
                  <c:v>44409</c:v>
                </c:pt>
                <c:pt idx="28">
                  <c:v>44440</c:v>
                </c:pt>
                <c:pt idx="29">
                  <c:v>44470</c:v>
                </c:pt>
                <c:pt idx="30">
                  <c:v>44501</c:v>
                </c:pt>
                <c:pt idx="31">
                  <c:v>44531</c:v>
                </c:pt>
                <c:pt idx="32">
                  <c:v>44562</c:v>
                </c:pt>
                <c:pt idx="33">
                  <c:v>44593</c:v>
                </c:pt>
                <c:pt idx="34">
                  <c:v>44621</c:v>
                </c:pt>
                <c:pt idx="35">
                  <c:v>44652</c:v>
                </c:pt>
                <c:pt idx="36">
                  <c:v>44682</c:v>
                </c:pt>
                <c:pt idx="37">
                  <c:v>44713</c:v>
                </c:pt>
                <c:pt idx="38">
                  <c:v>44743</c:v>
                </c:pt>
                <c:pt idx="39">
                  <c:v>44774</c:v>
                </c:pt>
                <c:pt idx="40">
                  <c:v>44805</c:v>
                </c:pt>
                <c:pt idx="41">
                  <c:v>44835</c:v>
                </c:pt>
                <c:pt idx="42">
                  <c:v>44866</c:v>
                </c:pt>
                <c:pt idx="43">
                  <c:v>44896</c:v>
                </c:pt>
                <c:pt idx="44">
                  <c:v>44927</c:v>
                </c:pt>
                <c:pt idx="45">
                  <c:v>44958</c:v>
                </c:pt>
                <c:pt idx="46">
                  <c:v>44986</c:v>
                </c:pt>
                <c:pt idx="47">
                  <c:v>45017</c:v>
                </c:pt>
                <c:pt idx="48">
                  <c:v>45047</c:v>
                </c:pt>
                <c:pt idx="49">
                  <c:v>45078</c:v>
                </c:pt>
                <c:pt idx="50">
                  <c:v>45108</c:v>
                </c:pt>
                <c:pt idx="51">
                  <c:v>45139</c:v>
                </c:pt>
                <c:pt idx="52">
                  <c:v>45170</c:v>
                </c:pt>
                <c:pt idx="53">
                  <c:v>45200</c:v>
                </c:pt>
                <c:pt idx="54">
                  <c:v>45231</c:v>
                </c:pt>
                <c:pt idx="55">
                  <c:v>45261</c:v>
                </c:pt>
                <c:pt idx="56">
                  <c:v>45292</c:v>
                </c:pt>
                <c:pt idx="57">
                  <c:v>45323</c:v>
                </c:pt>
                <c:pt idx="58">
                  <c:v>45352</c:v>
                </c:pt>
              </c:numCache>
            </c:numRef>
          </c:cat>
          <c:val>
            <c:numRef>
              <c:f>'Data. Securities'!$AF$39:$AF$97</c:f>
              <c:numCache>
                <c:formatCode>0.00%</c:formatCode>
                <c:ptCount val="59"/>
                <c:pt idx="0">
                  <c:v>-0.12039230622789515</c:v>
                </c:pt>
                <c:pt idx="1">
                  <c:v>0.11773191802627386</c:v>
                </c:pt>
                <c:pt idx="2">
                  <c:v>-1.9557489096175551E-2</c:v>
                </c:pt>
                <c:pt idx="3">
                  <c:v>-8.5281928958978306E-2</c:v>
                </c:pt>
                <c:pt idx="4">
                  <c:v>2.450638265709542E-2</c:v>
                </c:pt>
                <c:pt idx="5">
                  <c:v>-1.2905815521574132E-2</c:v>
                </c:pt>
                <c:pt idx="6">
                  <c:v>7.7135160311353106E-3</c:v>
                </c:pt>
                <c:pt idx="7">
                  <c:v>6.5495399421705278E-2</c:v>
                </c:pt>
                <c:pt idx="8">
                  <c:v>-0.1328746479035102</c:v>
                </c:pt>
                <c:pt idx="9">
                  <c:v>-0.15749485954589243</c:v>
                </c:pt>
                <c:pt idx="10">
                  <c:v>-0.30999527591158627</c:v>
                </c:pt>
                <c:pt idx="11">
                  <c:v>0.29041793967001561</c:v>
                </c:pt>
                <c:pt idx="12">
                  <c:v>2.7052478322300039E-2</c:v>
                </c:pt>
                <c:pt idx="13">
                  <c:v>-2.1190132881950909E-2</c:v>
                </c:pt>
                <c:pt idx="14">
                  <c:v>-8.5331017428027331E-2</c:v>
                </c:pt>
                <c:pt idx="15">
                  <c:v>-3.5891835190282169E-2</c:v>
                </c:pt>
                <c:pt idx="16">
                  <c:v>-0.14922081898268097</c:v>
                </c:pt>
                <c:pt idx="17">
                  <c:v>-6.3110711110094447E-2</c:v>
                </c:pt>
                <c:pt idx="18">
                  <c:v>0.27803005372299761</c:v>
                </c:pt>
                <c:pt idx="19">
                  <c:v>7.531236885371112E-2</c:v>
                </c:pt>
                <c:pt idx="20">
                  <c:v>2.2381043021083638E-2</c:v>
                </c:pt>
                <c:pt idx="21">
                  <c:v>0.22461954491392855</c:v>
                </c:pt>
                <c:pt idx="22">
                  <c:v>5.6096200363734763E-2</c:v>
                </c:pt>
                <c:pt idx="23">
                  <c:v>1.3017210225766012E-3</c:v>
                </c:pt>
                <c:pt idx="24">
                  <c:v>4.2446776432335687E-2</c:v>
                </c:pt>
                <c:pt idx="25">
                  <c:v>4.7787872620724051E-2</c:v>
                </c:pt>
                <c:pt idx="26">
                  <c:v>-0.10236463188448267</c:v>
                </c:pt>
                <c:pt idx="27">
                  <c:v>-5.1440881324491393E-2</c:v>
                </c:pt>
                <c:pt idx="28">
                  <c:v>9.7389120801467471E-2</c:v>
                </c:pt>
                <c:pt idx="29">
                  <c:v>0.10907664296189737</c:v>
                </c:pt>
                <c:pt idx="30">
                  <c:v>-5.9645693617733545E-2</c:v>
                </c:pt>
                <c:pt idx="31">
                  <c:v>3.5085834769158192E-2</c:v>
                </c:pt>
                <c:pt idx="32">
                  <c:v>0.21136721533837427</c:v>
                </c:pt>
                <c:pt idx="33">
                  <c:v>3.6272849359764298E-2</c:v>
                </c:pt>
                <c:pt idx="34">
                  <c:v>6.2121634221919145E-2</c:v>
                </c:pt>
                <c:pt idx="35">
                  <c:v>-6.9020792127152657E-3</c:v>
                </c:pt>
                <c:pt idx="36">
                  <c:v>0.14442901025604871</c:v>
                </c:pt>
                <c:pt idx="37">
                  <c:v>-0.16278261859902815</c:v>
                </c:pt>
                <c:pt idx="38">
                  <c:v>8.460450039860816E-2</c:v>
                </c:pt>
                <c:pt idx="39">
                  <c:v>1.964843179506812E-2</c:v>
                </c:pt>
                <c:pt idx="40">
                  <c:v>-8.4580007213915037E-2</c:v>
                </c:pt>
                <c:pt idx="41">
                  <c:v>0.25741782139659475</c:v>
                </c:pt>
                <c:pt idx="42">
                  <c:v>2.0212184120328706E-2</c:v>
                </c:pt>
                <c:pt idx="43">
                  <c:v>-4.0445030742671112E-2</c:v>
                </c:pt>
                <c:pt idx="44">
                  <c:v>8.2195284395365463E-3</c:v>
                </c:pt>
                <c:pt idx="45">
                  <c:v>-7.569537680648615E-2</c:v>
                </c:pt>
                <c:pt idx="46">
                  <c:v>4.5210992396609757E-3</c:v>
                </c:pt>
                <c:pt idx="47">
                  <c:v>3.6474137233136653E-2</c:v>
                </c:pt>
                <c:pt idx="48">
                  <c:v>-0.10697426979936724</c:v>
                </c:pt>
                <c:pt idx="49">
                  <c:v>5.455105021392747E-2</c:v>
                </c:pt>
                <c:pt idx="50">
                  <c:v>8.8538749291937405E-2</c:v>
                </c:pt>
                <c:pt idx="51">
                  <c:v>1.3578145722310496E-3</c:v>
                </c:pt>
                <c:pt idx="52">
                  <c:v>3.37965988536E-2</c:v>
                </c:pt>
                <c:pt idx="53">
                  <c:v>-6.9739322008708873E-2</c:v>
                </c:pt>
                <c:pt idx="54">
                  <c:v>3.8162362876742965E-3</c:v>
                </c:pt>
                <c:pt idx="55">
                  <c:v>4.2304992430081435E-3</c:v>
                </c:pt>
                <c:pt idx="56">
                  <c:v>2.874238856221947E-3</c:v>
                </c:pt>
                <c:pt idx="57">
                  <c:v>8.3374228828142251E-3</c:v>
                </c:pt>
                <c:pt idx="58">
                  <c:v>0.1092349103862158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9C-C746-BC9D-8A3CDEEBF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813183"/>
        <c:axId val="1549139888"/>
      </c:lineChart>
      <c:dateAx>
        <c:axId val="1278131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139888"/>
        <c:crosses val="autoZero"/>
        <c:auto val="1"/>
        <c:lblOffset val="100"/>
        <c:baseTimeUnit val="months"/>
      </c:dateAx>
      <c:valAx>
        <c:axId val="154913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81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182539174517015"/>
          <c:y val="0.74198463280574634"/>
          <c:w val="0.34480221279694551"/>
          <c:h val="0.230126918062858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Hypothetical Growth of the</a:t>
            </a:r>
            <a:r>
              <a:rPr lang="en-US" b="1" baseline="0"/>
              <a:t> Prices</a:t>
            </a:r>
            <a:br>
              <a:rPr lang="en-US" b="1" baseline="0"/>
            </a:br>
            <a:r>
              <a:rPr lang="en-US" sz="11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59 months Back Data Tracking (2019 -2024)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VDE 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'Data. Securities'!$C$38:$C$97</c:f>
              <c:numCache>
                <c:formatCode>0.00</c:formatCode>
                <c:ptCount val="60"/>
                <c:pt idx="0">
                  <c:v>73.325111000000007</c:v>
                </c:pt>
                <c:pt idx="1">
                  <c:v>64.744086999999993</c:v>
                </c:pt>
                <c:pt idx="2">
                  <c:v>69.881186999999997</c:v>
                </c:pt>
                <c:pt idx="3">
                  <c:v>68.753082000000006</c:v>
                </c:pt>
                <c:pt idx="4">
                  <c:v>62.761944</c:v>
                </c:pt>
                <c:pt idx="5">
                  <c:v>64.651283000000006</c:v>
                </c:pt>
                <c:pt idx="6">
                  <c:v>63.485069000000003</c:v>
                </c:pt>
                <c:pt idx="7">
                  <c:v>64.170310999999998</c:v>
                </c:pt>
                <c:pt idx="8">
                  <c:v>68.097915999999998</c:v>
                </c:pt>
                <c:pt idx="9">
                  <c:v>60.638278999999997</c:v>
                </c:pt>
                <c:pt idx="10">
                  <c:v>51.576706000000001</c:v>
                </c:pt>
                <c:pt idx="11">
                  <c:v>32.247036000000001</c:v>
                </c:pt>
                <c:pt idx="12">
                  <c:v>43.279411000000003</c:v>
                </c:pt>
                <c:pt idx="13">
                  <c:v>43.998882000000002</c:v>
                </c:pt>
                <c:pt idx="14">
                  <c:v>43.082419999999999</c:v>
                </c:pt>
                <c:pt idx="15">
                  <c:v>41.782649999999997</c:v>
                </c:pt>
                <c:pt idx="16">
                  <c:v>41.522537</c:v>
                </c:pt>
                <c:pt idx="17">
                  <c:v>34.950370999999997</c:v>
                </c:pt>
                <c:pt idx="18">
                  <c:v>34.169818999999997</c:v>
                </c:pt>
                <c:pt idx="19">
                  <c:v>43.750717000000002</c:v>
                </c:pt>
                <c:pt idx="20">
                  <c:v>45.542202000000003</c:v>
                </c:pt>
                <c:pt idx="21">
                  <c:v>48.330429000000002</c:v>
                </c:pt>
                <c:pt idx="22">
                  <c:v>59.181033999999997</c:v>
                </c:pt>
                <c:pt idx="23">
                  <c:v>60.379742</c:v>
                </c:pt>
                <c:pt idx="24">
                  <c:v>61.250286000000003</c:v>
                </c:pt>
                <c:pt idx="25">
                  <c:v>65.259490999999997</c:v>
                </c:pt>
                <c:pt idx="26">
                  <c:v>68.066840999999997</c:v>
                </c:pt>
                <c:pt idx="27">
                  <c:v>62.707672000000002</c:v>
                </c:pt>
                <c:pt idx="28">
                  <c:v>61.549267</c:v>
                </c:pt>
                <c:pt idx="29">
                  <c:v>66.879729999999995</c:v>
                </c:pt>
                <c:pt idx="30">
                  <c:v>74.411034000000001</c:v>
                </c:pt>
                <c:pt idx="31">
                  <c:v>70.132553000000001</c:v>
                </c:pt>
                <c:pt idx="32">
                  <c:v>71.103683000000004</c:v>
                </c:pt>
                <c:pt idx="33">
                  <c:v>84.564635999999993</c:v>
                </c:pt>
                <c:pt idx="34">
                  <c:v>90.908378999999996</c:v>
                </c:pt>
                <c:pt idx="35">
                  <c:v>99.273949000000002</c:v>
                </c:pt>
                <c:pt idx="36">
                  <c:v>98.359589</c:v>
                </c:pt>
                <c:pt idx="37">
                  <c:v>113.302773</c:v>
                </c:pt>
                <c:pt idx="38">
                  <c:v>92.957984999999994</c:v>
                </c:pt>
                <c:pt idx="39">
                  <c:v>103.78877300000001</c:v>
                </c:pt>
                <c:pt idx="40">
                  <c:v>107.110916</c:v>
                </c:pt>
                <c:pt idx="41">
                  <c:v>95.870361000000003</c:v>
                </c:pt>
                <c:pt idx="42">
                  <c:v>120.40392300000001</c:v>
                </c:pt>
                <c:pt idx="43">
                  <c:v>121.98088799999999</c:v>
                </c:pt>
                <c:pt idx="44">
                  <c:v>115.911957</c:v>
                </c:pt>
                <c:pt idx="45">
                  <c:v>120.72434199999999</c:v>
                </c:pt>
                <c:pt idx="46">
                  <c:v>112.71987900000001</c:v>
                </c:pt>
                <c:pt idx="47">
                  <c:v>110.428741</c:v>
                </c:pt>
                <c:pt idx="48">
                  <c:v>114.113365</c:v>
                </c:pt>
                <c:pt idx="49">
                  <c:v>103.31094400000001</c:v>
                </c:pt>
                <c:pt idx="50">
                  <c:v>110.161255</c:v>
                </c:pt>
                <c:pt idx="51">
                  <c:v>120.35257</c:v>
                </c:pt>
                <c:pt idx="52">
                  <c:v>122.69562500000001</c:v>
                </c:pt>
                <c:pt idx="53">
                  <c:v>124.772881</c:v>
                </c:pt>
                <c:pt idx="54">
                  <c:v>118.870102</c:v>
                </c:pt>
                <c:pt idx="55">
                  <c:v>117.462761</c:v>
                </c:pt>
                <c:pt idx="56">
                  <c:v>116.23382599999999</c:v>
                </c:pt>
                <c:pt idx="57">
                  <c:v>116.360001</c:v>
                </c:pt>
                <c:pt idx="58">
                  <c:v>120.08000199999999</c:v>
                </c:pt>
                <c:pt idx="59">
                  <c:v>131.699997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F-A246-92F7-49584B407F2D}"/>
            </c:ext>
          </c:extLst>
        </c:ser>
        <c:ser>
          <c:idx val="1"/>
          <c:order val="1"/>
          <c:tx>
            <c:v>Active Pf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'Data. Securities'!$AE$38:$AE$97</c:f>
              <c:numCache>
                <c:formatCode>0.00</c:formatCode>
                <c:ptCount val="60"/>
                <c:pt idx="0">
                  <c:v>73.325111000000007</c:v>
                </c:pt>
                <c:pt idx="1">
                  <c:v>64.497331782293614</c:v>
                </c:pt>
                <c:pt idx="2">
                  <c:v>72.090726360600001</c:v>
                </c:pt>
                <c:pt idx="3">
                  <c:v>70.680812765867188</c:v>
                </c:pt>
                <c:pt idx="4">
                  <c:v>64.653016712805652</c:v>
                </c:pt>
                <c:pt idx="5">
                  <c:v>66.237428280305252</c:v>
                </c:pt>
                <c:pt idx="6">
                  <c:v>65.382580250296144</c:v>
                </c:pt>
                <c:pt idx="7">
                  <c:v>65.886909831213785</c:v>
                </c:pt>
                <c:pt idx="8">
                  <c:v>70.202199307271016</c:v>
                </c:pt>
                <c:pt idx="9">
                  <c:v>60.87410679226533</c:v>
                </c:pt>
                <c:pt idx="10">
                  <c:v>51.286747893035844</c:v>
                </c:pt>
                <c:pt idx="11">
                  <c:v>35.388098329326233</c:v>
                </c:pt>
                <c:pt idx="12">
                  <c:v>45.665436934969087</c:v>
                </c:pt>
                <c:pt idx="13">
                  <c:v>46.900800177730702</c:v>
                </c:pt>
                <c:pt idx="14">
                  <c:v>45.906965989694761</c:v>
                </c:pt>
                <c:pt idx="15">
                  <c:v>41.989677874760261</c:v>
                </c:pt>
                <c:pt idx="16">
                  <c:v>40.48259127678633</c:v>
                </c:pt>
                <c:pt idx="17">
                  <c:v>34.441745851923137</c:v>
                </c:pt>
                <c:pt idx="18">
                  <c:v>32.268102779335123</c:v>
                </c:pt>
                <c:pt idx="19">
                  <c:v>41.23960512861288</c:v>
                </c:pt>
                <c:pt idx="20">
                  <c:v>44.34545748144037</c:v>
                </c:pt>
                <c:pt idx="21">
                  <c:v>45.337955073122117</c:v>
                </c:pt>
                <c:pt idx="22">
                  <c:v>55.521745908974943</c:v>
                </c:pt>
                <c:pt idx="23">
                  <c:v>58.63630489202918</c:v>
                </c:pt>
                <c:pt idx="24">
                  <c:v>58.712633002793339</c:v>
                </c:pt>
                <c:pt idx="25">
                  <c:v>61.204795009616689</c:v>
                </c:pt>
                <c:pt idx="26">
                  <c:v>64.12964195731378</c:v>
                </c:pt>
                <c:pt idx="27">
                  <c:v>57.565034765469683</c:v>
                </c:pt>
                <c:pt idx="28">
                  <c:v>54.603838643658932</c:v>
                </c:pt>
                <c:pt idx="29">
                  <c:v>59.921658481550068</c:v>
                </c:pt>
                <c:pt idx="30">
                  <c:v>66.457711829426856</c:v>
                </c:pt>
                <c:pt idx="31">
                  <c:v>62.493795511113234</c:v>
                </c:pt>
                <c:pt idx="32">
                  <c:v>64.686442494513713</c:v>
                </c:pt>
                <c:pt idx="33">
                  <c:v>78.359035714724968</c:v>
                </c:pt>
                <c:pt idx="34">
                  <c:v>81.201341213181578</c:v>
                </c:pt>
                <c:pt idx="35">
                  <c:v>86.24570123035609</c:v>
                </c:pt>
                <c:pt idx="36">
                  <c:v>85.650426568707999</c:v>
                </c:pt>
                <c:pt idx="37">
                  <c:v>98.020832906034869</c:v>
                </c:pt>
                <c:pt idx="38">
                  <c:v>82.064745048332725</c:v>
                </c:pt>
                <c:pt idx="39">
                  <c:v>89.007791803486072</c:v>
                </c:pt>
                <c:pt idx="40">
                  <c:v>90.756655329966478</c:v>
                </c:pt>
                <c:pt idx="41">
                  <c:v>83.080456767447117</c:v>
                </c:pt>
                <c:pt idx="42">
                  <c:v>104.46684694915733</c:v>
                </c:pt>
                <c:pt idx="43">
                  <c:v>106.57835009416389</c:v>
                </c:pt>
                <c:pt idx="44">
                  <c:v>102.26778544810227</c:v>
                </c:pt>
                <c:pt idx="45">
                  <c:v>103.10837841904137</c:v>
                </c:pt>
                <c:pt idx="46">
                  <c:v>95.30355086270626</c:v>
                </c:pt>
                <c:pt idx="47">
                  <c:v>95.734427674048632</c:v>
                </c:pt>
                <c:pt idx="48">
                  <c:v>99.226258326967681</c:v>
                </c:pt>
                <c:pt idx="49">
                  <c:v>88.61160179751694</c:v>
                </c:pt>
                <c:pt idx="50">
                  <c:v>93.445457736709827</c:v>
                </c:pt>
                <c:pt idx="51">
                  <c:v>101.71900169173071</c:v>
                </c:pt>
                <c:pt idx="52">
                  <c:v>101.85711723450054</c:v>
                </c:pt>
                <c:pt idx="53">
                  <c:v>105.29954136605906</c:v>
                </c:pt>
                <c:pt idx="54">
                  <c:v>97.956022743362098</c:v>
                </c:pt>
                <c:pt idx="55">
                  <c:v>98.329846071951565</c:v>
                </c:pt>
                <c:pt idx="56">
                  <c:v>98.745830411324064</c:v>
                </c:pt>
                <c:pt idx="57">
                  <c:v>99.029649513982193</c:v>
                </c:pt>
                <c:pt idx="58">
                  <c:v>99.855301579917139</c:v>
                </c:pt>
                <c:pt idx="59">
                  <c:v>110.76298649958794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F-A246-92F7-49584B407F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4204911"/>
        <c:axId val="940085008"/>
      </c:lineChart>
      <c:catAx>
        <c:axId val="12042049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085008"/>
        <c:crosses val="autoZero"/>
        <c:auto val="1"/>
        <c:lblAlgn val="ctr"/>
        <c:lblOffset val="100"/>
        <c:noMultiLvlLbl val="0"/>
      </c:catAx>
      <c:valAx>
        <c:axId val="940085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20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6" Type="http://schemas.openxmlformats.org/officeDocument/2006/relationships/chart" Target="../charts/chart2.xml"/><Relationship Id="rId5" Type="http://schemas.openxmlformats.org/officeDocument/2006/relationships/image" Target="../media/image4.emf"/><Relationship Id="rId4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7" Type="http://schemas.openxmlformats.org/officeDocument/2006/relationships/chart" Target="../charts/chart5.xml"/><Relationship Id="rId16" Type="http://schemas.openxmlformats.org/officeDocument/2006/relationships/chart" Target="../charts/chart4.xml"/><Relationship Id="rId1" Type="http://schemas.openxmlformats.org/officeDocument/2006/relationships/customXml" Target="../ink/ink1.xml"/><Relationship Id="rId15" Type="http://schemas.openxmlformats.org/officeDocument/2006/relationships/image" Target="../media/image23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474256</xdr:colOff>
      <xdr:row>9</xdr:row>
      <xdr:rowOff>94359</xdr:rowOff>
    </xdr:from>
    <xdr:to>
      <xdr:col>5</xdr:col>
      <xdr:colOff>704496</xdr:colOff>
      <xdr:row>12</xdr:row>
      <xdr:rowOff>265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15802A-C0F4-9B4E-853F-C2CB4F1F7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2389" y="2075559"/>
          <a:ext cx="1209350" cy="510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88900</xdr:rowOff>
    </xdr:from>
    <xdr:to>
      <xdr:col>6</xdr:col>
      <xdr:colOff>667236</xdr:colOff>
      <xdr:row>72</xdr:row>
      <xdr:rowOff>157921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064C36E-ACFD-97D7-4DFC-2DD55B33E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175500"/>
          <a:ext cx="6760817" cy="7790621"/>
        </a:xfrm>
        <a:prstGeom prst="rect">
          <a:avLst/>
        </a:prstGeom>
      </xdr:spPr>
    </xdr:pic>
    <xdr:clientData/>
  </xdr:twoCellAnchor>
  <xdr:twoCellAnchor editAs="oneCell">
    <xdr:from>
      <xdr:col>6</xdr:col>
      <xdr:colOff>524268</xdr:colOff>
      <xdr:row>34</xdr:row>
      <xdr:rowOff>119949</xdr:rowOff>
    </xdr:from>
    <xdr:to>
      <xdr:col>14</xdr:col>
      <xdr:colOff>37803</xdr:colOff>
      <xdr:row>72</xdr:row>
      <xdr:rowOff>39204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9A1CC46-B58D-3C4B-ECEF-77C75794E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89601" y="7215016"/>
          <a:ext cx="6845669" cy="7640855"/>
        </a:xfrm>
        <a:prstGeom prst="rect">
          <a:avLst/>
        </a:prstGeom>
      </xdr:spPr>
    </xdr:pic>
    <xdr:clientData/>
  </xdr:twoCellAnchor>
  <xdr:twoCellAnchor>
    <xdr:from>
      <xdr:col>6</xdr:col>
      <xdr:colOff>138546</xdr:colOff>
      <xdr:row>9</xdr:row>
      <xdr:rowOff>11546</xdr:rowOff>
    </xdr:from>
    <xdr:to>
      <xdr:col>10</xdr:col>
      <xdr:colOff>258841</xdr:colOff>
      <xdr:row>20</xdr:row>
      <xdr:rowOff>204998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9445C-1360-C157-7896-E6545AA11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88900</xdr:colOff>
      <xdr:row>19</xdr:row>
      <xdr:rowOff>50800</xdr:rowOff>
    </xdr:from>
    <xdr:to>
      <xdr:col>4</xdr:col>
      <xdr:colOff>447393</xdr:colOff>
      <xdr:row>20</xdr:row>
      <xdr:rowOff>161007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BAB8B74-02B3-554E-B598-1F965802A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7500" y="4089400"/>
          <a:ext cx="4105597" cy="326107"/>
        </a:xfrm>
        <a:prstGeom prst="rect">
          <a:avLst/>
        </a:prstGeom>
      </xdr:spPr>
    </xdr:pic>
    <xdr:clientData/>
  </xdr:twoCellAnchor>
  <xdr:twoCellAnchor>
    <xdr:from>
      <xdr:col>6</xdr:col>
      <xdr:colOff>139700</xdr:colOff>
      <xdr:row>21</xdr:row>
      <xdr:rowOff>80818</xdr:rowOff>
    </xdr:from>
    <xdr:to>
      <xdr:col>10</xdr:col>
      <xdr:colOff>266701</xdr:colOff>
      <xdr:row>33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F70E061-ACF1-AF9A-173E-A8F9407522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336550</xdr:colOff>
      <xdr:row>9</xdr:row>
      <xdr:rowOff>23091</xdr:rowOff>
    </xdr:from>
    <xdr:to>
      <xdr:col>15</xdr:col>
      <xdr:colOff>646546</xdr:colOff>
      <xdr:row>33</xdr:row>
      <xdr:rowOff>50800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E9945C1-AF7B-B6DC-3750-37CA3095F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269723</xdr:colOff>
      <xdr:row>30</xdr:row>
      <xdr:rowOff>193523</xdr:rowOff>
    </xdr:from>
    <xdr:to>
      <xdr:col>7</xdr:col>
      <xdr:colOff>125790</xdr:colOff>
      <xdr:row>32</xdr:row>
      <xdr:rowOff>32658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6B0339E-4E3B-1444-A453-718EEFAA1CEA}"/>
            </a:ext>
          </a:extLst>
        </xdr:cNvPr>
        <xdr:cNvSpPr/>
      </xdr:nvSpPr>
      <xdr:spPr bwMode="auto">
        <a:xfrm>
          <a:off x="7407123" y="9464523"/>
          <a:ext cx="2726267" cy="24553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18288" tIns="0" rIns="0" bIns="0" rtlCol="0" anchor="ctr" upright="1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966291</xdr:colOff>
      <xdr:row>34</xdr:row>
      <xdr:rowOff>184137</xdr:rowOff>
    </xdr:from>
    <xdr:to>
      <xdr:col>3</xdr:col>
      <xdr:colOff>966651</xdr:colOff>
      <xdr:row>34</xdr:row>
      <xdr:rowOff>187377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05F1D512-692C-D347-94B6-EB3BFAA742E8}"/>
                </a:ext>
              </a:extLst>
            </xdr14:cNvPr>
            <xdr14:cNvContentPartPr/>
          </xdr14:nvContentPartPr>
          <xdr14:nvPr macro=""/>
          <xdr14:xfrm>
            <a:off x="4628880" y="8711280"/>
            <a:ext cx="360" cy="324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4A699F80-900F-BFD6-CBC5-E8D9A133FD9D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620240" y="8702640"/>
              <a:ext cx="18000" cy="2088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385680</xdr:colOff>
      <xdr:row>27</xdr:row>
      <xdr:rowOff>26827</xdr:rowOff>
    </xdr:from>
    <xdr:to>
      <xdr:col>5</xdr:col>
      <xdr:colOff>1899920</xdr:colOff>
      <xdr:row>37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60F30D-89CD-FFCA-59A3-B3D44A23F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</xdr:col>
      <xdr:colOff>1693</xdr:colOff>
      <xdr:row>5</xdr:row>
      <xdr:rowOff>25401</xdr:rowOff>
    </xdr:from>
    <xdr:to>
      <xdr:col>12</xdr:col>
      <xdr:colOff>12211</xdr:colOff>
      <xdr:row>22</xdr:row>
      <xdr:rowOff>183065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DDF9CB-843C-3D4D-AC17-3F658F667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270055</xdr:colOff>
      <xdr:row>47</xdr:row>
      <xdr:rowOff>34504</xdr:rowOff>
    </xdr:from>
    <xdr:to>
      <xdr:col>7</xdr:col>
      <xdr:colOff>201302</xdr:colOff>
      <xdr:row>49</xdr:row>
      <xdr:rowOff>215816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B0C4EE-E423-5442-B412-20A32DBFF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1755" y="10042104"/>
          <a:ext cx="2039447" cy="651212"/>
        </a:xfrm>
        <a:prstGeom prst="rect">
          <a:avLst/>
        </a:prstGeom>
      </xdr:spPr>
    </xdr:pic>
    <xdr:clientData/>
  </xdr:twoCellAnchor>
  <xdr:twoCellAnchor>
    <xdr:from>
      <xdr:col>5</xdr:col>
      <xdr:colOff>98754</xdr:colOff>
      <xdr:row>54</xdr:row>
      <xdr:rowOff>127000</xdr:rowOff>
    </xdr:from>
    <xdr:to>
      <xdr:col>9</xdr:col>
      <xdr:colOff>1019504</xdr:colOff>
      <xdr:row>69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18529-F806-CA12-860B-F919F1A770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682236</xdr:colOff>
      <xdr:row>0</xdr:row>
      <xdr:rowOff>294618</xdr:rowOff>
    </xdr:from>
    <xdr:to>
      <xdr:col>17</xdr:col>
      <xdr:colOff>183067</xdr:colOff>
      <xdr:row>2</xdr:row>
      <xdr:rowOff>87284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CBE2D4-980F-CA49-86D4-0765AD341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0872" y="294618"/>
          <a:ext cx="5562194" cy="600848"/>
        </a:xfrm>
        <a:prstGeom prst="rect">
          <a:avLst/>
        </a:prstGeom>
      </xdr:spPr>
    </xdr:pic>
    <xdr:clientData/>
  </xdr:twoCellAnchor>
  <xdr:twoCellAnchor editAs="oneCell">
    <xdr:from>
      <xdr:col>17</xdr:col>
      <xdr:colOff>347617</xdr:colOff>
      <xdr:row>1</xdr:row>
      <xdr:rowOff>53587</xdr:rowOff>
    </xdr:from>
    <xdr:to>
      <xdr:col>21</xdr:col>
      <xdr:colOff>765711</xdr:colOff>
      <xdr:row>2</xdr:row>
      <xdr:rowOff>33398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341784-C396-6E48-9B6C-6EDAD816A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18093" y="250135"/>
          <a:ext cx="4470000" cy="403144"/>
        </a:xfrm>
        <a:prstGeom prst="rect">
          <a:avLst/>
        </a:prstGeom>
      </xdr:spPr>
    </xdr:pic>
    <xdr:clientData/>
  </xdr:twoCellAnchor>
  <xdr:twoCellAnchor>
    <xdr:from>
      <xdr:col>21</xdr:col>
      <xdr:colOff>740833</xdr:colOff>
      <xdr:row>16</xdr:row>
      <xdr:rowOff>153516</xdr:rowOff>
    </xdr:from>
    <xdr:to>
      <xdr:col>35</xdr:col>
      <xdr:colOff>5346</xdr:colOff>
      <xdr:row>33</xdr:row>
      <xdr:rowOff>257681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952893-9C6D-C2BA-A425-23BD1AAAF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740833</xdr:colOff>
      <xdr:row>1</xdr:row>
      <xdr:rowOff>19353</xdr:rowOff>
    </xdr:from>
    <xdr:to>
      <xdr:col>29</xdr:col>
      <xdr:colOff>508001</xdr:colOff>
      <xdr:row>16</xdr:row>
      <xdr:rowOff>83736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CD28905-FA1F-8E8E-C3D5-59AE92E12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584200</xdr:colOff>
      <xdr:row>1</xdr:row>
      <xdr:rowOff>12700</xdr:rowOff>
    </xdr:from>
    <xdr:to>
      <xdr:col>35</xdr:col>
      <xdr:colOff>12700</xdr:colOff>
      <xdr:row>16</xdr:row>
      <xdr:rowOff>69780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167ED6-7A12-E54C-7B35-8ADD4B90F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131789</xdr:colOff>
      <xdr:row>13</xdr:row>
      <xdr:rowOff>24811</xdr:rowOff>
    </xdr:from>
    <xdr:to>
      <xdr:col>5</xdr:col>
      <xdr:colOff>228600</xdr:colOff>
      <xdr:row>15</xdr:row>
      <xdr:rowOff>121554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56ED7C-9133-4D43-BCAC-26A304460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2789" y="2691811"/>
          <a:ext cx="1138211" cy="503143"/>
        </a:xfrm>
        <a:prstGeom prst="rect">
          <a:avLst/>
        </a:prstGeom>
      </xdr:spPr>
    </xdr:pic>
    <xdr:clientData/>
  </xdr:twoCellAnchor>
  <xdr:twoCellAnchor editAs="oneCell">
    <xdr:from>
      <xdr:col>4</xdr:col>
      <xdr:colOff>143137</xdr:colOff>
      <xdr:row>16</xdr:row>
      <xdr:rowOff>65325</xdr:rowOff>
    </xdr:from>
    <xdr:to>
      <xdr:col>6</xdr:col>
      <xdr:colOff>586404</xdr:colOff>
      <xdr:row>18</xdr:row>
      <xdr:rowOff>30607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7DF00-1609-D44A-90E1-D1F6EA363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04137" y="3341925"/>
          <a:ext cx="2310167" cy="371682"/>
        </a:xfrm>
        <a:prstGeom prst="rect">
          <a:avLst/>
        </a:prstGeom>
      </xdr:spPr>
    </xdr:pic>
    <xdr:clientData/>
  </xdr:twoCellAnchor>
  <xdr:twoCellAnchor editAs="oneCell">
    <xdr:from>
      <xdr:col>0</xdr:col>
      <xdr:colOff>51806</xdr:colOff>
      <xdr:row>18</xdr:row>
      <xdr:rowOff>198081</xdr:rowOff>
    </xdr:from>
    <xdr:to>
      <xdr:col>3</xdr:col>
      <xdr:colOff>474950</xdr:colOff>
      <xdr:row>33</xdr:row>
      <xdr:rowOff>0</xdr:rowOff>
    </xdr:to>
    <xdr:pic>
      <xdr:nvPicPr>
        <xdr:cNvPr id="4" name="Picture 3" descr="Graph presents duration approximation as a straight, downward-sloping line, while actual price change is a downward-bowed curve.">
          <a:extLst>
            <a:ext uri="{FF2B5EF4-FFF2-40B4-BE49-F238E27FC236}">
              <a16:creationId xmlns:a16="http://schemas.microsoft.com/office/drawing/2014/main" id="{54A15BD9-401B-394B-94AF-5DDB64EC8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06" y="3881081"/>
          <a:ext cx="4398244" cy="28499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aulbumchanahn/Desktop/HULT/HULT%20Professor%20PG/PG%202023%20Spring_Investment%20/2023%20Spring_Investments_Excel_Application_Ch16.%20Holding%20Period%20Immunization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aulahn/Desktop/Accounting%20TA/Performance%20Management/C:/Users/John/Accounting%20HULT%20My%20Files/accounting%20hult%20team%20files/Managerial%20Accounting/Chapter%202/C-V-P%20Graph%20for%20Class%20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xity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Case"/>
      <sheetName val="FCFF vs. FCFE"/>
    </sheetNames>
    <sheetDataSet>
      <sheetData sheetId="0" refreshError="1"/>
      <sheetData sheetId="1" refreshError="1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03-23T18:43:07.33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 1 21733,'0'4'0,"0"-1"0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F47"/>
  <sheetViews>
    <sheetView showGridLines="0" zoomScale="73" zoomScaleNormal="186" workbookViewId="0">
      <selection activeCell="D13" sqref="D13"/>
    </sheetView>
  </sheetViews>
  <sheetFormatPr defaultColWidth="10.81640625" defaultRowHeight="15.6"/>
  <cols>
    <col min="1" max="1" width="3" style="106" customWidth="1"/>
    <col min="2" max="2" width="16.81640625" style="106" customWidth="1"/>
    <col min="3" max="3" width="19.453125" style="106" customWidth="1"/>
    <col min="4" max="5" width="12.81640625" style="106" customWidth="1"/>
    <col min="6" max="6" width="14.81640625" style="106" customWidth="1"/>
    <col min="7" max="7" width="14.1796875" style="106" customWidth="1"/>
    <col min="8" max="8" width="10.81640625" style="106"/>
    <col min="9" max="9" width="14" style="106" customWidth="1"/>
    <col min="10" max="10" width="13.453125" style="106" customWidth="1"/>
    <col min="11" max="16384" width="10.81640625" style="106"/>
  </cols>
  <sheetData>
    <row r="2" spans="1:5" ht="24.6">
      <c r="B2" s="177" t="s">
        <v>77</v>
      </c>
      <c r="C2" s="177"/>
    </row>
    <row r="3" spans="1:5" ht="17.399999999999999">
      <c r="B3" s="108" t="s">
        <v>55</v>
      </c>
      <c r="C3" s="108"/>
    </row>
    <row r="5" spans="1:5">
      <c r="B5" s="154" t="s">
        <v>78</v>
      </c>
      <c r="C5" s="154"/>
      <c r="D5" s="187"/>
    </row>
    <row r="6" spans="1:5">
      <c r="B6" s="122" t="s">
        <v>79</v>
      </c>
      <c r="C6" s="122"/>
      <c r="D6" s="145">
        <v>0.05</v>
      </c>
    </row>
    <row r="7" spans="1:5">
      <c r="B7" s="122" t="s">
        <v>80</v>
      </c>
      <c r="C7" s="122"/>
      <c r="D7" s="137">
        <f>'Asset Classes Allocation'!D26</f>
        <v>0.26530789752654066</v>
      </c>
    </row>
    <row r="8" spans="1:5">
      <c r="B8" s="122" t="s">
        <v>81</v>
      </c>
      <c r="C8" s="122"/>
      <c r="D8" s="137">
        <f>'Asset Classes Allocation'!E26</f>
        <v>0.38039158459399314</v>
      </c>
    </row>
    <row r="10" spans="1:5">
      <c r="A10" s="136"/>
      <c r="B10" s="185" t="s">
        <v>82</v>
      </c>
      <c r="C10" s="185"/>
      <c r="D10" s="186"/>
    </row>
    <row r="11" spans="1:5" ht="16.2">
      <c r="B11" s="122" t="s">
        <v>83</v>
      </c>
      <c r="C11" s="122"/>
      <c r="D11" s="144">
        <f>(D7-D6)/(D17*D8^2)</f>
        <v>0.59519345994897921</v>
      </c>
      <c r="E11" s="124"/>
    </row>
    <row r="12" spans="1:5">
      <c r="B12" s="132" t="s">
        <v>84</v>
      </c>
      <c r="C12" s="132"/>
      <c r="D12" s="204">
        <f>1-D11</f>
        <v>0.40480654005102079</v>
      </c>
    </row>
    <row r="13" spans="1:5">
      <c r="B13" s="122" t="s">
        <v>73</v>
      </c>
      <c r="C13" s="122"/>
      <c r="D13" s="137">
        <f>D11*D7+D12*D6</f>
        <v>0.17814985248316201</v>
      </c>
    </row>
    <row r="14" spans="1:5">
      <c r="B14" s="122" t="s">
        <v>74</v>
      </c>
      <c r="C14" s="122"/>
      <c r="D14" s="137">
        <f>D11*D8</f>
        <v>0.2264065833699736</v>
      </c>
    </row>
    <row r="15" spans="1:5">
      <c r="B15" s="132" t="s">
        <v>142</v>
      </c>
      <c r="C15" s="132"/>
      <c r="D15" s="178">
        <f>(D7-D6)/D8</f>
        <v>0.56601645842493398</v>
      </c>
    </row>
    <row r="16" spans="1:5" ht="19.05" customHeight="1">
      <c r="B16" s="106" t="s">
        <v>89</v>
      </c>
      <c r="D16" s="234">
        <v>75</v>
      </c>
    </row>
    <row r="17" spans="2:6">
      <c r="B17" s="106" t="s">
        <v>92</v>
      </c>
      <c r="D17" s="139">
        <f>10*(1-D16/100)</f>
        <v>2.5</v>
      </c>
      <c r="F17" s="158"/>
    </row>
    <row r="18" spans="2:6">
      <c r="B18" s="132" t="s">
        <v>90</v>
      </c>
      <c r="C18" s="132"/>
      <c r="D18" s="159">
        <f>D13-1/2*D17*D14^2</f>
        <v>0.114074926241581</v>
      </c>
    </row>
    <row r="19" spans="2:6">
      <c r="B19" s="160" t="s">
        <v>109</v>
      </c>
      <c r="C19" s="160"/>
      <c r="D19" s="122"/>
    </row>
    <row r="20" spans="2:6" ht="16.2" thickBot="1"/>
    <row r="21" spans="2:6" ht="16.2" thickBot="1">
      <c r="F21" s="184">
        <f>+D18</f>
        <v>0.114074926241581</v>
      </c>
    </row>
    <row r="22" spans="2:6">
      <c r="B22" s="111" t="s">
        <v>139</v>
      </c>
      <c r="C22" s="111" t="s">
        <v>136</v>
      </c>
      <c r="D22" s="111" t="s">
        <v>137</v>
      </c>
      <c r="E22" s="111" t="s">
        <v>140</v>
      </c>
      <c r="F22" s="111" t="s">
        <v>138</v>
      </c>
    </row>
    <row r="23" spans="2:6">
      <c r="B23" s="110" t="s">
        <v>141</v>
      </c>
      <c r="C23" s="179">
        <f>D13</f>
        <v>0.17814985248316201</v>
      </c>
      <c r="D23" s="179">
        <f>D14</f>
        <v>0.2264065833699736</v>
      </c>
      <c r="E23" s="179">
        <f>D18</f>
        <v>0.114074926241581</v>
      </c>
      <c r="F23" s="179">
        <f t="shared" ref="F23:F33" si="0">$F$21+1/2*$D$17*D23^2</f>
        <v>0.17814985248316201</v>
      </c>
    </row>
    <row r="24" spans="2:6">
      <c r="B24" s="180">
        <v>0.1</v>
      </c>
      <c r="C24" s="181">
        <f t="dataTable" ref="C24:E33" dt2D="0" dtr="0" r1="D11"/>
        <v>7.1530789752654075E-2</v>
      </c>
      <c r="D24" s="181">
        <v>3.8039158459399314E-2</v>
      </c>
      <c r="E24" s="181">
        <v>6.9722067782279962E-2</v>
      </c>
      <c r="F24" s="182">
        <f t="shared" si="0"/>
        <v>0.11588364821195511</v>
      </c>
    </row>
    <row r="25" spans="2:6">
      <c r="B25" s="180">
        <v>0.2</v>
      </c>
      <c r="C25" s="181">
        <v>9.3061579505308134E-2</v>
      </c>
      <c r="D25" s="181">
        <v>7.6078316918798627E-2</v>
      </c>
      <c r="E25" s="181">
        <v>8.5826691623811679E-2</v>
      </c>
      <c r="F25" s="182">
        <f t="shared" si="0"/>
        <v>0.12130981412307745</v>
      </c>
    </row>
    <row r="26" spans="2:6">
      <c r="B26" s="180">
        <v>0.3</v>
      </c>
      <c r="C26" s="181">
        <v>0.11459236925796218</v>
      </c>
      <c r="D26" s="181">
        <v>0.11411747537819794</v>
      </c>
      <c r="E26" s="181">
        <v>9.831387152459517E-2</v>
      </c>
      <c r="F26" s="182">
        <f t="shared" si="0"/>
        <v>0.13035342397494801</v>
      </c>
    </row>
    <row r="27" spans="2:6">
      <c r="B27" s="180">
        <v>0.4</v>
      </c>
      <c r="C27" s="181">
        <v>0.13612315901061628</v>
      </c>
      <c r="D27" s="181">
        <v>0.15215663383759725</v>
      </c>
      <c r="E27" s="181">
        <v>0.10718360748463047</v>
      </c>
      <c r="F27" s="182">
        <f t="shared" si="0"/>
        <v>0.14301447776756682</v>
      </c>
    </row>
    <row r="28" spans="2:6">
      <c r="B28" s="180">
        <v>0.5</v>
      </c>
      <c r="C28" s="181">
        <v>0.15765394876327032</v>
      </c>
      <c r="D28" s="181">
        <v>0.19019579229699657</v>
      </c>
      <c r="E28" s="181">
        <v>0.1124358995039175</v>
      </c>
      <c r="F28" s="182">
        <f t="shared" si="0"/>
        <v>0.15929297550093383</v>
      </c>
    </row>
    <row r="29" spans="2:6">
      <c r="B29" s="116">
        <v>0.6</v>
      </c>
      <c r="C29" s="193">
        <v>0.17918473851592437</v>
      </c>
      <c r="D29" s="193">
        <v>0.22823495075639588</v>
      </c>
      <c r="E29" s="193">
        <v>0.11407074758245631</v>
      </c>
      <c r="F29" s="182">
        <f t="shared" si="0"/>
        <v>0.17918891717504906</v>
      </c>
    </row>
    <row r="30" spans="2:6">
      <c r="B30" s="116">
        <v>0.7</v>
      </c>
      <c r="C30" s="193">
        <v>0.20071552826857847</v>
      </c>
      <c r="D30" s="193">
        <v>0.2662741092157952</v>
      </c>
      <c r="E30" s="193">
        <v>0.11208815172024693</v>
      </c>
      <c r="F30" s="182">
        <f t="shared" si="0"/>
        <v>0.20270230278991253</v>
      </c>
    </row>
    <row r="31" spans="2:6">
      <c r="B31" s="116">
        <v>0.8</v>
      </c>
      <c r="C31" s="193">
        <v>0.22224631802123254</v>
      </c>
      <c r="D31" s="193">
        <v>0.30431326767519451</v>
      </c>
      <c r="E31" s="193">
        <v>0.10648811191728932</v>
      </c>
      <c r="F31" s="182">
        <f t="shared" si="0"/>
        <v>0.22983313234552422</v>
      </c>
    </row>
    <row r="32" spans="2:6">
      <c r="B32" s="180">
        <v>0.9</v>
      </c>
      <c r="C32" s="181">
        <v>0.24377710777388661</v>
      </c>
      <c r="D32" s="181">
        <v>0.34235242613459382</v>
      </c>
      <c r="E32" s="181">
        <v>9.7270628173583451E-2</v>
      </c>
      <c r="F32" s="182">
        <f t="shared" si="0"/>
        <v>0.26058140584188416</v>
      </c>
    </row>
    <row r="33" spans="2:6">
      <c r="B33" s="183">
        <v>1</v>
      </c>
      <c r="C33" s="181">
        <v>0.26530789752654066</v>
      </c>
      <c r="D33" s="181">
        <v>0.38039158459399314</v>
      </c>
      <c r="E33" s="181">
        <v>8.4435700489129351E-2</v>
      </c>
      <c r="F33" s="182">
        <f t="shared" si="0"/>
        <v>0.29494712327899231</v>
      </c>
    </row>
    <row r="34" spans="2:6">
      <c r="B34" s="110"/>
      <c r="C34" s="110"/>
      <c r="E34" s="122"/>
    </row>
    <row r="35" spans="2:6">
      <c r="B35" s="110"/>
      <c r="C35" s="110"/>
      <c r="E35" s="122"/>
    </row>
    <row r="36" spans="2:6">
      <c r="B36" s="110"/>
      <c r="C36" s="110"/>
      <c r="E36" s="122"/>
    </row>
    <row r="37" spans="2:6">
      <c r="B37" s="110"/>
      <c r="C37" s="110"/>
      <c r="E37" s="122"/>
    </row>
    <row r="38" spans="2:6">
      <c r="B38" s="110"/>
      <c r="C38" s="110"/>
      <c r="E38" s="122"/>
    </row>
    <row r="39" spans="2:6">
      <c r="B39" s="110"/>
      <c r="C39" s="110"/>
      <c r="E39" s="122"/>
    </row>
    <row r="40" spans="2:6">
      <c r="B40" s="110"/>
      <c r="C40" s="110"/>
      <c r="E40" s="122"/>
    </row>
    <row r="41" spans="2:6">
      <c r="B41" s="110"/>
      <c r="C41" s="110"/>
      <c r="E41" s="122"/>
    </row>
    <row r="42" spans="2:6">
      <c r="B42" s="110"/>
      <c r="C42" s="110"/>
      <c r="E42" s="122"/>
    </row>
    <row r="43" spans="2:6">
      <c r="B43" s="118"/>
      <c r="C43" s="118"/>
      <c r="E43" s="122"/>
    </row>
    <row r="44" spans="2:6">
      <c r="E44" s="122"/>
    </row>
    <row r="45" spans="2:6">
      <c r="E45" s="122"/>
    </row>
    <row r="46" spans="2:6">
      <c r="E46" s="122"/>
    </row>
    <row r="47" spans="2:6">
      <c r="E47" s="122"/>
    </row>
  </sheetData>
  <pageMargins left="0.25" right="0.25" top="0.75" bottom="0.75" header="0.3" footer="0.3"/>
  <pageSetup scale="53"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L37"/>
  <sheetViews>
    <sheetView showGridLines="0" zoomScale="71" workbookViewId="0">
      <selection activeCell="D31" sqref="D31"/>
    </sheetView>
  </sheetViews>
  <sheetFormatPr defaultColWidth="8.81640625" defaultRowHeight="15.6"/>
  <cols>
    <col min="1" max="1" width="2.36328125" style="106" customWidth="1"/>
    <col min="2" max="2" width="21.453125" style="106" customWidth="1"/>
    <col min="3" max="3" width="26.453125" style="106" customWidth="1"/>
    <col min="4" max="6" width="25" style="106" customWidth="1"/>
    <col min="7" max="7" width="3" style="106" customWidth="1"/>
    <col min="8" max="8" width="14.36328125" style="106" customWidth="1"/>
    <col min="9" max="16384" width="8.81640625" style="106"/>
  </cols>
  <sheetData>
    <row r="2" spans="2:12" ht="30">
      <c r="B2" s="105" t="s">
        <v>54</v>
      </c>
    </row>
    <row r="3" spans="2:12" ht="20.399999999999999">
      <c r="B3" s="107" t="s">
        <v>55</v>
      </c>
    </row>
    <row r="4" spans="2:12">
      <c r="C4" s="109"/>
      <c r="D4" s="109"/>
      <c r="E4" s="109"/>
      <c r="F4" s="110"/>
    </row>
    <row r="5" spans="2:12">
      <c r="B5" s="154" t="s">
        <v>56</v>
      </c>
      <c r="C5" s="111" t="s">
        <v>57</v>
      </c>
      <c r="D5" s="111" t="s">
        <v>24</v>
      </c>
      <c r="E5" s="111" t="s">
        <v>58</v>
      </c>
      <c r="F5" s="111" t="s">
        <v>59</v>
      </c>
      <c r="H5" s="119" t="s">
        <v>147</v>
      </c>
      <c r="I5" s="203"/>
      <c r="J5" s="203"/>
      <c r="K5" s="203"/>
      <c r="L5" s="203"/>
    </row>
    <row r="6" spans="2:12">
      <c r="B6" s="155" t="s">
        <v>86</v>
      </c>
      <c r="C6" s="137">
        <f>5.28%*2-('Data. Securities'!L7+C8)</f>
        <v>0.1422235601526613</v>
      </c>
      <c r="D6" s="137">
        <f>'Data. Securities'!L8</f>
        <v>0.16009335560900356</v>
      </c>
      <c r="E6" s="286">
        <f>CORREL('Data. Securities'!AF39:AF97,'Data. Securities'!AI39:AI97)</f>
        <v>-0.15034321708551077</v>
      </c>
      <c r="F6" s="286">
        <f>$D$6*$D$7*$E$6</f>
        <v>-9.155626074242593E-3</v>
      </c>
    </row>
    <row r="7" spans="2:12">
      <c r="B7" s="155" t="s">
        <v>85</v>
      </c>
      <c r="C7" s="137">
        <f>'Security Allocation'!C56+C8</f>
        <v>0.26530789752654066</v>
      </c>
      <c r="D7" s="137">
        <f>'Security Allocation'!C57</f>
        <v>0.38039158459399314</v>
      </c>
      <c r="E7" s="287"/>
      <c r="F7" s="287"/>
    </row>
    <row r="8" spans="2:12">
      <c r="B8" s="155" t="s">
        <v>60</v>
      </c>
      <c r="C8" s="137">
        <v>0.05</v>
      </c>
      <c r="D8" s="137">
        <v>0</v>
      </c>
      <c r="E8" s="112"/>
    </row>
    <row r="9" spans="2:12">
      <c r="B9" s="113"/>
      <c r="C9" s="114"/>
      <c r="D9" s="114"/>
      <c r="E9" s="114"/>
      <c r="F9" s="115"/>
    </row>
    <row r="10" spans="2:12">
      <c r="B10" s="284" t="s">
        <v>61</v>
      </c>
      <c r="C10" s="285"/>
      <c r="D10" s="116"/>
      <c r="E10" s="116"/>
      <c r="F10" s="116" t="s">
        <v>62</v>
      </c>
    </row>
    <row r="11" spans="2:12">
      <c r="B11" s="111" t="s">
        <v>63</v>
      </c>
      <c r="C11" s="117" t="s">
        <v>64</v>
      </c>
      <c r="D11" s="111" t="s">
        <v>57</v>
      </c>
      <c r="E11" s="111" t="s">
        <v>24</v>
      </c>
      <c r="F11" s="111" t="s">
        <v>65</v>
      </c>
    </row>
    <row r="12" spans="2:12">
      <c r="B12" s="183">
        <v>1</v>
      </c>
      <c r="C12" s="188">
        <v>0</v>
      </c>
      <c r="D12" s="138">
        <f>$C$6*$B12+$C$7*$C12</f>
        <v>0.1422235601526613</v>
      </c>
      <c r="E12" s="138">
        <f>($B12^2*$D$6^2+$C12^2*$D$7^2+2*$B12*$C12*$F$6)^0.5</f>
        <v>0.16009335560900356</v>
      </c>
      <c r="F12" s="138">
        <f>(D12-$C$8)/E12</f>
        <v>0.57606113509107237</v>
      </c>
    </row>
    <row r="13" spans="2:12">
      <c r="B13" s="183">
        <v>0.9</v>
      </c>
      <c r="C13" s="188">
        <v>0.1</v>
      </c>
      <c r="D13" s="138">
        <f t="shared" ref="D13:D22" si="0">$C$6*$B13+$C$7*$C13</f>
        <v>0.15453199389004926</v>
      </c>
      <c r="E13" s="138">
        <f t="shared" ref="E13:E22" si="1">($B13^2*$D$6^2+$C13^2*$D$7^2+2*$B13*$C13*$F$6)^0.5</f>
        <v>0.14338469135914697</v>
      </c>
      <c r="F13" s="138">
        <f t="shared" ref="F13:F22" si="2">(D13-$C$8)/E13</f>
        <v>0.72903175994025549</v>
      </c>
    </row>
    <row r="14" spans="2:12">
      <c r="B14" s="183">
        <v>0.8</v>
      </c>
      <c r="C14" s="188">
        <v>0.2</v>
      </c>
      <c r="D14" s="138">
        <f t="shared" si="0"/>
        <v>0.16684042762743717</v>
      </c>
      <c r="E14" s="138">
        <f t="shared" si="1"/>
        <v>0.13878485064277044</v>
      </c>
      <c r="F14" s="138">
        <f t="shared" si="2"/>
        <v>0.84188171177401927</v>
      </c>
    </row>
    <row r="15" spans="2:12">
      <c r="B15" s="183">
        <v>0.7</v>
      </c>
      <c r="C15" s="188">
        <v>0.3</v>
      </c>
      <c r="D15" s="138">
        <f t="shared" si="0"/>
        <v>0.17914886136482511</v>
      </c>
      <c r="E15" s="138">
        <f t="shared" si="1"/>
        <v>0.14743160334706279</v>
      </c>
      <c r="F15" s="138">
        <f t="shared" si="2"/>
        <v>0.87599170349386346</v>
      </c>
    </row>
    <row r="16" spans="2:12">
      <c r="B16" s="183">
        <v>0.6</v>
      </c>
      <c r="C16" s="188">
        <v>0.4</v>
      </c>
      <c r="D16" s="138">
        <f t="shared" si="0"/>
        <v>0.19145729510221304</v>
      </c>
      <c r="E16" s="138">
        <f t="shared" si="1"/>
        <v>0.16728328789453692</v>
      </c>
      <c r="F16" s="138">
        <f t="shared" si="2"/>
        <v>0.84561522482385831</v>
      </c>
    </row>
    <row r="17" spans="1:7">
      <c r="B17" s="183">
        <v>0.5</v>
      </c>
      <c r="C17" s="188">
        <v>0.5</v>
      </c>
      <c r="D17" s="138">
        <f t="shared" si="0"/>
        <v>0.20376572883960098</v>
      </c>
      <c r="E17" s="138">
        <f t="shared" si="1"/>
        <v>0.19494639519082849</v>
      </c>
      <c r="F17" s="138">
        <f t="shared" si="2"/>
        <v>0.78875902623940952</v>
      </c>
    </row>
    <row r="18" spans="1:7">
      <c r="B18" s="183">
        <v>0.4</v>
      </c>
      <c r="C18" s="188">
        <v>0.6</v>
      </c>
      <c r="D18" s="138">
        <f t="shared" si="0"/>
        <v>0.21607416257698892</v>
      </c>
      <c r="E18" s="138">
        <f t="shared" si="1"/>
        <v>0.22759014353166118</v>
      </c>
      <c r="F18" s="138">
        <f t="shared" si="2"/>
        <v>0.72970718327213291</v>
      </c>
    </row>
    <row r="19" spans="1:7">
      <c r="B19" s="183">
        <v>0.3</v>
      </c>
      <c r="C19" s="188">
        <v>0.7</v>
      </c>
      <c r="D19" s="138">
        <f t="shared" si="0"/>
        <v>0.22838259631437685</v>
      </c>
      <c r="E19" s="138">
        <f t="shared" si="1"/>
        <v>0.26336899535328168</v>
      </c>
      <c r="F19" s="138">
        <f t="shared" si="2"/>
        <v>0.67731053943952457</v>
      </c>
    </row>
    <row r="20" spans="1:7">
      <c r="B20" s="183">
        <v>0.2</v>
      </c>
      <c r="C20" s="188">
        <v>0.8</v>
      </c>
      <c r="D20" s="138">
        <f t="shared" si="0"/>
        <v>0.24069103005176479</v>
      </c>
      <c r="E20" s="138">
        <f t="shared" si="1"/>
        <v>0.3011676606805635</v>
      </c>
      <c r="F20" s="138">
        <f t="shared" si="2"/>
        <v>0.63317233205202317</v>
      </c>
    </row>
    <row r="21" spans="1:7">
      <c r="B21" s="183">
        <v>0.1</v>
      </c>
      <c r="C21" s="188">
        <v>0.9</v>
      </c>
      <c r="D21" s="138">
        <f t="shared" si="0"/>
        <v>0.25299946378915272</v>
      </c>
      <c r="E21" s="138">
        <f t="shared" si="1"/>
        <v>0.34031378140178276</v>
      </c>
      <c r="F21" s="138">
        <f t="shared" si="2"/>
        <v>0.5965067384370385</v>
      </c>
    </row>
    <row r="22" spans="1:7">
      <c r="B22" s="189">
        <v>0</v>
      </c>
      <c r="C22" s="190">
        <v>1</v>
      </c>
      <c r="D22" s="191">
        <f t="shared" si="0"/>
        <v>0.26530789752654066</v>
      </c>
      <c r="E22" s="192">
        <f t="shared" si="1"/>
        <v>0.38039158459399314</v>
      </c>
      <c r="F22" s="192">
        <f t="shared" si="2"/>
        <v>0.56601645842493398</v>
      </c>
    </row>
    <row r="23" spans="1:7" ht="16.2">
      <c r="B23" s="119" t="s">
        <v>143</v>
      </c>
      <c r="C23" s="120"/>
      <c r="D23" s="111" t="s">
        <v>57</v>
      </c>
      <c r="E23" s="111" t="s">
        <v>106</v>
      </c>
      <c r="F23" s="127" t="s">
        <v>25</v>
      </c>
    </row>
    <row r="24" spans="1:7" ht="16.2">
      <c r="A24" s="109"/>
      <c r="B24" s="140">
        <v>1</v>
      </c>
      <c r="C24" s="141">
        <f>1-$B$24</f>
        <v>0</v>
      </c>
      <c r="D24" s="138">
        <f>$C$6*$B24+$C$7*$C24</f>
        <v>0.1422235601526613</v>
      </c>
      <c r="E24" s="152">
        <f>((($B$24^2)*($D$6^2))+(($C$24^2)*($D$7^2))+(2*$B$24*$C$24*$F$6))^0.5</f>
        <v>0.16009335560900356</v>
      </c>
      <c r="F24" s="138">
        <f>(D24-$C$8)/E24</f>
        <v>0.57606113509107237</v>
      </c>
      <c r="G24" s="121" t="s">
        <v>66</v>
      </c>
    </row>
    <row r="25" spans="1:7" ht="16.2">
      <c r="A25" s="124"/>
      <c r="B25" s="125" t="s">
        <v>67</v>
      </c>
      <c r="C25" s="126"/>
      <c r="D25" s="111" t="s">
        <v>57</v>
      </c>
      <c r="E25" s="111" t="s">
        <v>24</v>
      </c>
      <c r="F25" s="127" t="s">
        <v>68</v>
      </c>
      <c r="G25" s="122"/>
    </row>
    <row r="26" spans="1:7" ht="16.2">
      <c r="A26" s="124"/>
      <c r="B26" s="142">
        <v>0</v>
      </c>
      <c r="C26" s="143">
        <f>1-B26</f>
        <v>1</v>
      </c>
      <c r="D26" s="138">
        <f>$C$6*$B26+$C$7*$C26</f>
        <v>0.26530789752654066</v>
      </c>
      <c r="E26" s="138">
        <f>((($B$26^2)*($D$6^2))+(($C$26^2)*($D$7^2))+(2*$B$26*$C$26*$F$6))^0.5</f>
        <v>0.38039158459399314</v>
      </c>
      <c r="F26" s="152">
        <f>(D26-$C$8)/E26</f>
        <v>0.56601645842493398</v>
      </c>
      <c r="G26" s="121" t="s">
        <v>66</v>
      </c>
    </row>
    <row r="27" spans="1:7" ht="16.2">
      <c r="A27" s="124"/>
      <c r="B27" s="128"/>
      <c r="C27" s="129"/>
      <c r="D27" s="122"/>
      <c r="E27" s="123"/>
      <c r="F27" s="130"/>
    </row>
    <row r="28" spans="1:7">
      <c r="B28" s="125" t="s">
        <v>91</v>
      </c>
      <c r="C28" s="125"/>
      <c r="D28" s="111"/>
    </row>
    <row r="29" spans="1:7">
      <c r="B29" s="122" t="s">
        <v>69</v>
      </c>
      <c r="D29" s="131">
        <f>(D26-C8)/('Capital Allocation'!D17*E26^2)</f>
        <v>0.59519345994897921</v>
      </c>
    </row>
    <row r="30" spans="1:7">
      <c r="B30" s="132" t="s">
        <v>70</v>
      </c>
      <c r="C30" s="114"/>
      <c r="D30" s="133">
        <f>1-D29</f>
        <v>0.40480654005102079</v>
      </c>
    </row>
    <row r="31" spans="1:7">
      <c r="B31" s="122" t="s">
        <v>71</v>
      </c>
      <c r="D31" s="134">
        <f>D29*B26</f>
        <v>0</v>
      </c>
    </row>
    <row r="32" spans="1:7">
      <c r="B32" s="132" t="s">
        <v>72</v>
      </c>
      <c r="C32" s="114"/>
      <c r="D32" s="135">
        <f>D29*C26</f>
        <v>0.59519345994897921</v>
      </c>
    </row>
    <row r="33" spans="2:4">
      <c r="B33" s="122" t="s">
        <v>107</v>
      </c>
      <c r="D33" s="153">
        <f>D29*D26+D30*C8</f>
        <v>0.17814985248316201</v>
      </c>
    </row>
    <row r="34" spans="2:4">
      <c r="B34" s="122" t="s">
        <v>108</v>
      </c>
      <c r="D34" s="153">
        <f>D29*E26</f>
        <v>0.2264065833699736</v>
      </c>
    </row>
    <row r="35" spans="2:4">
      <c r="B35" s="122" t="s">
        <v>75</v>
      </c>
      <c r="D35" s="138">
        <f>(D33-C8)/D34</f>
        <v>0.56601645842493398</v>
      </c>
    </row>
    <row r="37" spans="2:4">
      <c r="C37" s="106" t="s">
        <v>76</v>
      </c>
    </row>
  </sheetData>
  <mergeCells count="3">
    <mergeCell ref="B10:C10"/>
    <mergeCell ref="E6:E7"/>
    <mergeCell ref="F6:F7"/>
  </mergeCells>
  <printOptions headings="1" gridLines="1"/>
  <pageMargins left="0.25" right="0.25" top="0.75" bottom="0.75" header="0.3" footer="0.3"/>
  <pageSetup scale="67" orientation="landscape" horizontalDpi="300" verticalDpi="300" r:id="rId1"/>
  <headerFooter alignWithMargins="0">
    <oddHeader>&amp;A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K70"/>
  <sheetViews>
    <sheetView showGridLines="0" zoomScale="64" zoomScaleNormal="109" zoomScalePageLayoutView="120" workbookViewId="0">
      <selection activeCell="N27" sqref="N27"/>
    </sheetView>
  </sheetViews>
  <sheetFormatPr defaultColWidth="12.453125" defaultRowHeight="15.6"/>
  <cols>
    <col min="1" max="1" width="2.81640625" style="4" customWidth="1"/>
    <col min="2" max="2" width="42.1796875" style="4" customWidth="1"/>
    <col min="3" max="5" width="15.81640625" style="4" customWidth="1"/>
    <col min="6" max="11" width="13.81640625" style="4" customWidth="1"/>
    <col min="12" max="16384" width="12.453125" style="4"/>
  </cols>
  <sheetData>
    <row r="2" spans="2:11" s="3" customFormat="1" ht="30">
      <c r="B2" s="98" t="s">
        <v>210</v>
      </c>
      <c r="C2" s="1"/>
      <c r="D2" s="1"/>
      <c r="E2" s="1"/>
      <c r="F2" s="2"/>
      <c r="G2" s="1"/>
      <c r="H2" s="1"/>
      <c r="I2" s="1"/>
      <c r="J2" s="1"/>
      <c r="K2" s="1"/>
    </row>
    <row r="3" spans="2:11">
      <c r="B3" s="5"/>
      <c r="C3" s="5"/>
      <c r="D3" s="5"/>
      <c r="E3" s="6"/>
      <c r="F3" s="5"/>
      <c r="G3" s="5"/>
      <c r="H3" s="6"/>
    </row>
    <row r="4" spans="2:11">
      <c r="B4" s="176" t="s">
        <v>0</v>
      </c>
      <c r="C4" s="174" t="str">
        <f>'Data. Securities'!F6</f>
        <v>VDE</v>
      </c>
      <c r="D4" s="174" t="str">
        <f>'Data. Securities'!G6</f>
        <v>XOM</v>
      </c>
      <c r="E4" s="174" t="str">
        <f>'Data. Securities'!H6</f>
        <v>CVX</v>
      </c>
      <c r="F4" s="174" t="str">
        <f>'Data. Securities'!I6</f>
        <v>COP</v>
      </c>
      <c r="G4" s="174" t="str">
        <f>'Data. Securities'!J6</f>
        <v>PSX</v>
      </c>
      <c r="H4" s="174" t="str">
        <f>'Data. Securities'!K6</f>
        <v>EOG</v>
      </c>
      <c r="I4" s="100"/>
    </row>
    <row r="5" spans="2:11">
      <c r="B5" s="7" t="s">
        <v>1</v>
      </c>
      <c r="C5" s="9">
        <f>'Data. Securities'!F17</f>
        <v>1</v>
      </c>
      <c r="D5" s="9">
        <f>'Data. Securities'!G17</f>
        <v>0.82606376766719125</v>
      </c>
      <c r="E5" s="9">
        <f>'Data. Securities'!H17</f>
        <v>0.78476368327202284</v>
      </c>
      <c r="F5" s="9">
        <f>'Data. Securities'!I17</f>
        <v>1.0863110454856959</v>
      </c>
      <c r="G5" s="9">
        <f>'Data. Securities'!J17</f>
        <v>0.93920981419311234</v>
      </c>
      <c r="H5" s="9">
        <f>'Data. Securities'!K17</f>
        <v>1.1534427013897544</v>
      </c>
      <c r="I5" s="8"/>
    </row>
    <row r="6" spans="2:11">
      <c r="B6" s="7" t="s">
        <v>2</v>
      </c>
      <c r="C6" s="9">
        <f>'Data. Securities'!F8</f>
        <v>0.39382581577481246</v>
      </c>
      <c r="D6" s="9">
        <f>'Data. Securities'!G8</f>
        <v>0.35046521734847874</v>
      </c>
      <c r="E6" s="9">
        <f>'Data. Securities'!H8</f>
        <v>0.33262556525641424</v>
      </c>
      <c r="F6" s="9">
        <f>'Data. Securities'!I8</f>
        <v>0.45540534298206059</v>
      </c>
      <c r="G6" s="9">
        <f>'Data. Securities'!J8</f>
        <v>0.42678815766794492</v>
      </c>
      <c r="H6" s="9">
        <f>'Data. Securities'!K8</f>
        <v>0.48035035607598442</v>
      </c>
      <c r="I6" s="8"/>
    </row>
    <row r="7" spans="2:11">
      <c r="B7" s="7" t="s">
        <v>3</v>
      </c>
      <c r="C7" s="9">
        <f>'Data. Securities'!F10</f>
        <v>0</v>
      </c>
      <c r="D7" s="9">
        <f>'Data. Securities'!G10</f>
        <v>0.13034323389645316</v>
      </c>
      <c r="E7" s="9">
        <f>'Data. Securities'!H10</f>
        <v>0.12296975573594403</v>
      </c>
      <c r="F7" s="9">
        <f>'Data. Securities'!I10</f>
        <v>0.46462258750923202</v>
      </c>
      <c r="G7" s="9">
        <f>'Data. Securities'!J10</f>
        <v>0.21291586504023477</v>
      </c>
      <c r="H7" s="9">
        <f>'Data. Securities'!K10</f>
        <v>0.15616783808145587</v>
      </c>
      <c r="I7" s="8"/>
    </row>
    <row r="8" spans="2:11">
      <c r="B8" s="7" t="s">
        <v>4</v>
      </c>
      <c r="C8" s="9">
        <f>C5*$C$6</f>
        <v>0.39382581577481246</v>
      </c>
      <c r="D8" s="9">
        <f t="shared" ref="D8:H8" si="0">D5*$C$6</f>
        <v>0.32532523718354672</v>
      </c>
      <c r="E8" s="9">
        <f t="shared" si="0"/>
        <v>0.30906019775505095</v>
      </c>
      <c r="F8" s="9">
        <f t="shared" si="0"/>
        <v>0.42781733367359359</v>
      </c>
      <c r="G8" s="9">
        <f t="shared" si="0"/>
        <v>0.36988507125831249</v>
      </c>
      <c r="H8" s="9">
        <f t="shared" si="0"/>
        <v>0.45425551282432342</v>
      </c>
      <c r="I8" s="8"/>
    </row>
    <row r="9" spans="2:11">
      <c r="B9" s="7" t="s">
        <v>5</v>
      </c>
      <c r="C9" s="9">
        <f t="shared" ref="C9:H9" si="1">C5*$C$6/C6</f>
        <v>1</v>
      </c>
      <c r="D9" s="9">
        <f t="shared" si="1"/>
        <v>0.92826683242595642</v>
      </c>
      <c r="E9" s="9">
        <f t="shared" si="1"/>
        <v>0.92915346875638605</v>
      </c>
      <c r="F9" s="9">
        <f t="shared" si="1"/>
        <v>0.93942098015843056</v>
      </c>
      <c r="G9" s="9">
        <f t="shared" si="1"/>
        <v>0.86667135583010979</v>
      </c>
      <c r="H9" s="9">
        <f t="shared" si="1"/>
        <v>0.94567539521604271</v>
      </c>
      <c r="I9" s="8"/>
    </row>
    <row r="10" spans="2:11">
      <c r="B10" s="10"/>
      <c r="C10" s="8"/>
      <c r="D10" s="8"/>
      <c r="E10" s="8"/>
      <c r="F10" s="8"/>
      <c r="G10" s="8"/>
      <c r="H10" s="8"/>
      <c r="I10" s="8"/>
    </row>
    <row r="11" spans="2:11">
      <c r="B11" s="175" t="s">
        <v>6</v>
      </c>
      <c r="C11" s="174" t="str">
        <f>C4</f>
        <v>VDE</v>
      </c>
      <c r="D11" s="174" t="str">
        <f t="shared" ref="D11:H11" si="2">D4</f>
        <v>XOM</v>
      </c>
      <c r="E11" s="174" t="str">
        <f t="shared" si="2"/>
        <v>CVX</v>
      </c>
      <c r="F11" s="174" t="str">
        <f t="shared" si="2"/>
        <v>COP</v>
      </c>
      <c r="G11" s="174" t="str">
        <f t="shared" si="2"/>
        <v>PSX</v>
      </c>
      <c r="H11" s="174" t="str">
        <f t="shared" si="2"/>
        <v>EOG</v>
      </c>
      <c r="I11" s="100"/>
    </row>
    <row r="12" spans="2:11">
      <c r="B12" s="12" t="str" cm="1">
        <f t="array" ref="B12:B17">TRANSPOSE(C11:H11)</f>
        <v>VDE</v>
      </c>
      <c r="C12" s="86">
        <f>'Data. Securities'!P7</f>
        <v>1</v>
      </c>
      <c r="D12" s="86"/>
      <c r="E12" s="86"/>
      <c r="F12" s="86"/>
      <c r="G12" s="86"/>
      <c r="H12" s="86"/>
      <c r="I12" s="101"/>
    </row>
    <row r="13" spans="2:11">
      <c r="B13" s="12" t="str">
        <v>XOM</v>
      </c>
      <c r="C13" s="86">
        <f>'Data. Securities'!P8</f>
        <v>0.9282668324259562</v>
      </c>
      <c r="D13" s="86">
        <f>'Data. Securities'!Q8</f>
        <v>1</v>
      </c>
      <c r="E13" s="86"/>
      <c r="F13" s="86"/>
      <c r="G13" s="86"/>
      <c r="H13" s="86"/>
      <c r="I13" s="101"/>
    </row>
    <row r="14" spans="2:11">
      <c r="B14" s="12" t="str">
        <v>CVX</v>
      </c>
      <c r="C14" s="86">
        <f>'Data. Securities'!P9</f>
        <v>0.92915346875638616</v>
      </c>
      <c r="D14" s="86">
        <f>'Data. Securities'!Q9</f>
        <v>0.86250234728008024</v>
      </c>
      <c r="E14" s="86">
        <f>'Data. Securities'!R9</f>
        <v>1</v>
      </c>
      <c r="F14" s="86"/>
      <c r="G14" s="86"/>
      <c r="H14" s="86"/>
      <c r="I14" s="101"/>
    </row>
    <row r="15" spans="2:11">
      <c r="B15" s="12" t="str">
        <v>COP</v>
      </c>
      <c r="C15" s="86">
        <f>'Data. Securities'!P10</f>
        <v>0.93942098015843145</v>
      </c>
      <c r="D15" s="86">
        <f>'Data. Securities'!Q10</f>
        <v>0.8720333375661542</v>
      </c>
      <c r="E15" s="86">
        <f>'Data. Securities'!R10</f>
        <v>0.87286626233673081</v>
      </c>
      <c r="F15" s="86">
        <f>'Data. Securities'!S10</f>
        <v>1</v>
      </c>
      <c r="G15" s="86"/>
      <c r="H15" s="86"/>
      <c r="I15" s="101"/>
    </row>
    <row r="16" spans="2:11">
      <c r="B16" s="12" t="str">
        <v>PSX</v>
      </c>
      <c r="C16" s="86">
        <f>'Data. Securities'!P11</f>
        <v>0.86667135583011012</v>
      </c>
      <c r="D16" s="86">
        <f>'Data. Securities'!Q11</f>
        <v>0.80450227423072507</v>
      </c>
      <c r="E16" s="86">
        <f>'Data. Securities'!R11</f>
        <v>0.80527069654134709</v>
      </c>
      <c r="F16" s="86">
        <f>'Data. Securities'!S11</f>
        <v>0.81416925456915878</v>
      </c>
      <c r="G16" s="86">
        <f>'Data. Securities'!T11</f>
        <v>1</v>
      </c>
      <c r="H16" s="86"/>
      <c r="I16" s="101"/>
    </row>
    <row r="17" spans="2:10">
      <c r="B17" s="12" t="str">
        <v>EOG</v>
      </c>
      <c r="C17" s="86">
        <f>'Data. Securities'!P12</f>
        <v>0.94567539521604282</v>
      </c>
      <c r="D17" s="86">
        <f>'Data. Securities'!Q12</f>
        <v>0.87783910362036033</v>
      </c>
      <c r="E17" s="86">
        <f>'Data. Securities'!R12</f>
        <v>0.87867757378255262</v>
      </c>
      <c r="F17" s="86">
        <f>'Data. Securities'!S12</f>
        <v>0.88838730668556698</v>
      </c>
      <c r="G17" s="86">
        <f>'Data. Securities'!T12</f>
        <v>0.81958977694706303</v>
      </c>
      <c r="H17" s="86">
        <f>'Data. Securities'!U12</f>
        <v>1</v>
      </c>
      <c r="I17" s="101"/>
    </row>
    <row r="18" spans="2:10">
      <c r="B18" s="10"/>
      <c r="C18" s="8"/>
      <c r="D18" s="8"/>
      <c r="E18" s="8"/>
      <c r="F18" s="8"/>
      <c r="G18" s="8"/>
      <c r="H18" s="8"/>
      <c r="I18" s="8"/>
    </row>
    <row r="19" spans="2:10">
      <c r="B19" s="175" t="s">
        <v>7</v>
      </c>
      <c r="C19" s="174" t="str">
        <f t="shared" ref="C19:H19" si="3">C4</f>
        <v>VDE</v>
      </c>
      <c r="D19" s="174" t="str">
        <f t="shared" si="3"/>
        <v>XOM</v>
      </c>
      <c r="E19" s="174" t="str">
        <f t="shared" si="3"/>
        <v>CVX</v>
      </c>
      <c r="F19" s="174" t="str">
        <f t="shared" si="3"/>
        <v>COP</v>
      </c>
      <c r="G19" s="174" t="str">
        <f t="shared" si="3"/>
        <v>PSX</v>
      </c>
      <c r="H19" s="174" t="str">
        <f t="shared" si="3"/>
        <v>EOG</v>
      </c>
      <c r="I19" s="102"/>
    </row>
    <row r="20" spans="2:10">
      <c r="B20" s="12" t="str" cm="1">
        <f t="array" ref="B20:B25">TRANSPOSE(C19:H19)</f>
        <v>VDE</v>
      </c>
      <c r="C20" s="86">
        <f>'Data. Securities'!P16</f>
        <v>0.15509877317069654</v>
      </c>
      <c r="D20" s="86"/>
      <c r="E20" s="86"/>
      <c r="F20" s="86"/>
      <c r="G20" s="86"/>
      <c r="H20" s="86"/>
      <c r="I20" s="101"/>
    </row>
    <row r="21" spans="2:10">
      <c r="B21" s="12" t="str">
        <v>XOM</v>
      </c>
      <c r="C21" s="86">
        <f>'Data. Securities'!P17</f>
        <v>0.12812147692594467</v>
      </c>
      <c r="D21" s="86">
        <f>'Data. Securities'!Q17</f>
        <v>0.12282586857111645</v>
      </c>
      <c r="E21" s="86"/>
      <c r="F21" s="86"/>
      <c r="G21" s="86"/>
      <c r="H21" s="86"/>
      <c r="I21" s="101"/>
    </row>
    <row r="22" spans="2:10">
      <c r="B22" s="12" t="str">
        <v>CVX</v>
      </c>
      <c r="C22" s="86">
        <f>'Data. Securities'!P18</f>
        <v>0.1217158845044078</v>
      </c>
      <c r="D22" s="86">
        <f>'Data. Securities'!Q18</f>
        <v>0.1005450821386558</v>
      </c>
      <c r="E22" s="86">
        <f>'Data. Securities'!R18</f>
        <v>0.11063976666214909</v>
      </c>
      <c r="F22" s="86"/>
      <c r="G22" s="86"/>
      <c r="H22" s="86"/>
      <c r="I22" s="101"/>
    </row>
    <row r="23" spans="2:10">
      <c r="B23" s="12" t="str">
        <v>COP</v>
      </c>
      <c r="C23" s="86">
        <f>'Data. Securities'!P19</f>
        <v>0.16848551043660814</v>
      </c>
      <c r="D23" s="86">
        <f>'Data. Securities'!Q19</f>
        <v>0.1391797755485944</v>
      </c>
      <c r="E23" s="86">
        <f>'Data. Securities'!R19</f>
        <v>0.13222130974819946</v>
      </c>
      <c r="F23" s="86">
        <f>'Data. Securities'!S19</f>
        <v>0.20739402641660823</v>
      </c>
      <c r="G23" s="86"/>
      <c r="H23" s="86"/>
      <c r="I23" s="101"/>
    </row>
    <row r="24" spans="2:10">
      <c r="B24" s="12" t="str">
        <v>PSX</v>
      </c>
      <c r="C24" s="86">
        <f>'Data. Securities'!P20</f>
        <v>0.14567028993122957</v>
      </c>
      <c r="D24" s="86">
        <f>'Data. Securities'!Q20</f>
        <v>0.12033294853776362</v>
      </c>
      <c r="E24" s="86">
        <f>'Data. Securities'!R20</f>
        <v>0.11431675326973519</v>
      </c>
      <c r="F24" s="86">
        <f>'Data. Securities'!S20</f>
        <v>0.14567028993122957</v>
      </c>
      <c r="G24" s="86">
        <f>'Data. Securities'!T20</f>
        <v>0.18214813152559861</v>
      </c>
      <c r="H24" s="86"/>
      <c r="I24" s="101"/>
    </row>
    <row r="25" spans="2:10">
      <c r="B25" s="12" t="str">
        <v>EOG</v>
      </c>
      <c r="C25" s="86">
        <f>'Data. Securities'!P21</f>
        <v>0.17889754790824497</v>
      </c>
      <c r="D25" s="86">
        <f>'Data. Securities'!Q21</f>
        <v>0.14778078245150669</v>
      </c>
      <c r="E25" s="86">
        <f>'Data. Securities'!R21</f>
        <v>0.14039229862480748</v>
      </c>
      <c r="F25" s="86">
        <f>'Data. Securities'!S21</f>
        <v>0.19433838230303296</v>
      </c>
      <c r="G25" s="86">
        <f>'Data. Securities'!T21</f>
        <v>0.16802233273050618</v>
      </c>
      <c r="H25" s="86">
        <f>'Data. Securities'!U21</f>
        <v>0.23073646458232502</v>
      </c>
      <c r="I25" s="101"/>
    </row>
    <row r="26" spans="2:10">
      <c r="B26" s="10"/>
      <c r="C26" s="8"/>
      <c r="D26" s="8"/>
      <c r="E26" s="8"/>
      <c r="F26" s="8"/>
      <c r="G26" s="8"/>
      <c r="H26" s="8"/>
      <c r="I26" s="8"/>
    </row>
    <row r="27" spans="2:10">
      <c r="B27" s="170" t="s">
        <v>8</v>
      </c>
      <c r="C27" s="174" t="str">
        <f t="shared" ref="C27:H27" si="4">C19</f>
        <v>VDE</v>
      </c>
      <c r="D27" s="174" t="str">
        <f t="shared" si="4"/>
        <v>XOM</v>
      </c>
      <c r="E27" s="174" t="str">
        <f t="shared" si="4"/>
        <v>CVX</v>
      </c>
      <c r="F27" s="174" t="str">
        <f t="shared" si="4"/>
        <v>COP</v>
      </c>
      <c r="G27" s="174" t="str">
        <f t="shared" si="4"/>
        <v>PSX</v>
      </c>
      <c r="H27" s="174" t="str">
        <f t="shared" si="4"/>
        <v>EOG</v>
      </c>
      <c r="I27" s="102"/>
    </row>
    <row r="28" spans="2:10">
      <c r="B28" s="12" t="str">
        <f t="shared" ref="B28:B33" si="5">B20</f>
        <v>VDE</v>
      </c>
      <c r="C28" s="87"/>
      <c r="D28" s="88"/>
      <c r="E28" s="88"/>
      <c r="F28" s="88"/>
      <c r="G28" s="88"/>
      <c r="H28" s="88"/>
      <c r="I28" s="103"/>
    </row>
    <row r="29" spans="2:10">
      <c r="B29" s="12" t="str">
        <f t="shared" si="5"/>
        <v>XOM</v>
      </c>
      <c r="C29" s="87"/>
      <c r="D29" s="88">
        <f>'Data. Securities'!Q26</f>
        <v>1</v>
      </c>
      <c r="E29" s="88"/>
      <c r="F29" s="88"/>
      <c r="G29" s="88"/>
      <c r="H29" s="88"/>
      <c r="I29" s="103"/>
      <c r="J29" s="13"/>
    </row>
    <row r="30" spans="2:10">
      <c r="B30" s="12" t="str">
        <f t="shared" si="5"/>
        <v>CVX</v>
      </c>
      <c r="C30" s="87"/>
      <c r="D30" s="88">
        <f>'Data. Securities'!Q27</f>
        <v>0.19202768399094172</v>
      </c>
      <c r="E30" s="88">
        <f>'Data. Securities'!R27</f>
        <v>1</v>
      </c>
      <c r="F30" s="88"/>
      <c r="G30" s="88"/>
      <c r="H30" s="88"/>
      <c r="I30" s="103"/>
    </row>
    <row r="31" spans="2:10">
      <c r="B31" s="12" t="str">
        <f t="shared" si="5"/>
        <v>COP</v>
      </c>
      <c r="C31" s="87"/>
      <c r="D31" s="88">
        <f>'Data. Securities'!Q28</f>
        <v>-9.3488182151532567E-2</v>
      </c>
      <c r="E31" s="88">
        <f>'Data. Securities'!R28</f>
        <v>-0.20570453661590307</v>
      </c>
      <c r="F31" s="88">
        <f>'Data. Securities'!S28</f>
        <v>1</v>
      </c>
      <c r="G31" s="88"/>
      <c r="H31" s="88"/>
      <c r="I31" s="103"/>
    </row>
    <row r="32" spans="2:10">
      <c r="B32" s="12" t="str">
        <f t="shared" si="5"/>
        <v>PSX</v>
      </c>
      <c r="C32" s="87"/>
      <c r="D32" s="88">
        <f>'Data. Securities'!Q29</f>
        <v>0.1112512237614397</v>
      </c>
      <c r="E32" s="88">
        <f>'Data. Securities'!R29</f>
        <v>9.1510454743956457E-2</v>
      </c>
      <c r="F32" s="88">
        <f>'Data. Securities'!S29</f>
        <v>-4.7760081420873575E-2</v>
      </c>
      <c r="G32" s="88">
        <f>'Data. Securities'!T29</f>
        <v>1</v>
      </c>
      <c r="H32" s="88"/>
      <c r="I32" s="103"/>
    </row>
    <row r="33" spans="2:10">
      <c r="B33" s="12" t="str">
        <f t="shared" si="5"/>
        <v>EOG</v>
      </c>
      <c r="C33" s="87"/>
      <c r="D33" s="88">
        <f>'Data. Securities'!Q30</f>
        <v>-6.2087191884492826E-2</v>
      </c>
      <c r="E33" s="88">
        <f>'Data. Securities'!R30</f>
        <v>-0.17058042438682475</v>
      </c>
      <c r="F33" s="88">
        <f>'Data. Securities'!S30</f>
        <v>0.1849547645234994</v>
      </c>
      <c r="G33" s="88">
        <f>'Data. Securities'!T30</f>
        <v>-9.8379753353548136E-2</v>
      </c>
      <c r="H33" s="88">
        <f>'Data. Securities'!U30</f>
        <v>1</v>
      </c>
      <c r="I33" s="103"/>
    </row>
    <row r="35" spans="2:10">
      <c r="B35" s="173" t="s">
        <v>181</v>
      </c>
      <c r="C35" s="169" t="str">
        <f t="shared" ref="C35:H35" si="6">C4</f>
        <v>VDE</v>
      </c>
      <c r="D35" s="169" t="str">
        <f t="shared" si="6"/>
        <v>XOM</v>
      </c>
      <c r="E35" s="169" t="str">
        <f t="shared" si="6"/>
        <v>CVX</v>
      </c>
      <c r="F35" s="169" t="str">
        <f t="shared" si="6"/>
        <v>COP</v>
      </c>
      <c r="G35" s="169" t="str">
        <f t="shared" si="6"/>
        <v>PSX</v>
      </c>
      <c r="H35" s="169" t="str">
        <f t="shared" si="6"/>
        <v>EOG</v>
      </c>
      <c r="I35" s="104"/>
    </row>
    <row r="36" spans="2:10" s="15" customFormat="1">
      <c r="B36" s="14" t="s">
        <v>110</v>
      </c>
      <c r="C36" s="89">
        <f>'Data. Securities'!F14</f>
        <v>0</v>
      </c>
      <c r="D36" s="89">
        <f>'Data. Securities'!G16</f>
        <v>5.9542883192804479E-2</v>
      </c>
      <c r="E36" s="89">
        <f>'Data. Securities'!H16</f>
        <v>3.7259868092082891E-2</v>
      </c>
      <c r="F36" s="89">
        <f>'Data. Securities'!I16</f>
        <v>0.10150667537576484</v>
      </c>
      <c r="G36" s="89">
        <f>'Data. Securities'!J16</f>
        <v>0.1126130880663213</v>
      </c>
      <c r="H36" s="89">
        <f>'Data. Securities'!K16</f>
        <v>8.9671774090858594E-2</v>
      </c>
    </row>
    <row r="37" spans="2:10">
      <c r="B37" s="14" t="s">
        <v>1</v>
      </c>
      <c r="C37" s="90">
        <f t="shared" ref="C37:H37" si="7">C5</f>
        <v>1</v>
      </c>
      <c r="D37" s="90">
        <f t="shared" si="7"/>
        <v>0.82606376766719125</v>
      </c>
      <c r="E37" s="90">
        <f t="shared" si="7"/>
        <v>0.78476368327202284</v>
      </c>
      <c r="F37" s="90">
        <f t="shared" si="7"/>
        <v>1.0863110454856959</v>
      </c>
      <c r="G37" s="90">
        <f t="shared" si="7"/>
        <v>0.93920981419311234</v>
      </c>
      <c r="H37" s="90">
        <f t="shared" si="7"/>
        <v>1.1534427013897544</v>
      </c>
    </row>
    <row r="38" spans="2:10" ht="16.8" thickBot="1">
      <c r="B38" s="16" t="s">
        <v>133</v>
      </c>
      <c r="C38" s="90">
        <f t="shared" ref="C38:H38" si="8">C36+C37*$C$39</f>
        <v>0.14732488160381568</v>
      </c>
      <c r="D38" s="91">
        <f>D36+D37*$C$39</f>
        <v>0.18124262996157534</v>
      </c>
      <c r="E38" s="91">
        <f t="shared" si="8"/>
        <v>0.15287508481710796</v>
      </c>
      <c r="F38" s="91">
        <f t="shared" si="8"/>
        <v>0.26154732153686222</v>
      </c>
      <c r="G38" s="91">
        <f t="shared" si="8"/>
        <v>0.2509820627434633</v>
      </c>
      <c r="H38" s="91">
        <f t="shared" si="8"/>
        <v>0.25960258350988946</v>
      </c>
    </row>
    <row r="39" spans="2:10" ht="16.2" thickBot="1">
      <c r="B39" s="17" t="s">
        <v>111</v>
      </c>
      <c r="C39" s="146">
        <f>'Data. Securities'!F7*'Data. Securities'!D27/'Data. Securities'!F27</f>
        <v>0.14732488160381568</v>
      </c>
      <c r="D39" s="18"/>
      <c r="E39" s="18"/>
      <c r="F39" s="18"/>
      <c r="G39" s="18"/>
      <c r="H39" s="18"/>
      <c r="I39" s="18"/>
      <c r="J39" s="18"/>
    </row>
    <row r="40" spans="2:10">
      <c r="B40" s="5"/>
      <c r="C40" s="5"/>
      <c r="D40" s="5"/>
      <c r="E40" s="5"/>
      <c r="F40" s="6"/>
      <c r="G40" s="5"/>
      <c r="H40" s="5"/>
      <c r="I40" s="5"/>
      <c r="J40" s="5"/>
    </row>
    <row r="41" spans="2:10">
      <c r="B41" s="170" t="s">
        <v>9</v>
      </c>
      <c r="C41" s="170"/>
      <c r="D41" s="171"/>
      <c r="E41" s="172" t="s">
        <v>10</v>
      </c>
      <c r="F41" s="169" t="str">
        <f t="shared" ref="F41:J41" si="9">D35</f>
        <v>XOM</v>
      </c>
      <c r="G41" s="169" t="str">
        <f t="shared" si="9"/>
        <v>CVX</v>
      </c>
      <c r="H41" s="169" t="str">
        <f t="shared" si="9"/>
        <v>COP</v>
      </c>
      <c r="I41" s="169" t="str">
        <f t="shared" si="9"/>
        <v>PSX</v>
      </c>
      <c r="J41" s="169" t="str">
        <f t="shared" si="9"/>
        <v>EOG</v>
      </c>
    </row>
    <row r="42" spans="2:10" ht="17.399999999999999">
      <c r="B42" s="14" t="s">
        <v>11</v>
      </c>
      <c r="C42" s="19" t="s">
        <v>95</v>
      </c>
      <c r="D42" s="20"/>
      <c r="E42" s="21"/>
      <c r="F42" s="90">
        <f>D7^2</f>
        <v>1.6989358622585497E-2</v>
      </c>
      <c r="G42" s="90">
        <f>E7^2</f>
        <v>1.5121560825757739E-2</v>
      </c>
      <c r="H42" s="90">
        <f>F7^2</f>
        <v>0.21587414882377395</v>
      </c>
      <c r="I42" s="90">
        <f>G7^2</f>
        <v>4.5333165585831468E-2</v>
      </c>
      <c r="J42" s="90">
        <f>H7^2</f>
        <v>2.438839365103582E-2</v>
      </c>
    </row>
    <row r="43" spans="2:10" ht="18">
      <c r="B43" s="14" t="s">
        <v>12</v>
      </c>
      <c r="C43" s="19" t="s">
        <v>96</v>
      </c>
      <c r="D43" s="20"/>
      <c r="E43" s="92">
        <f>SUM(F43:K43)</f>
        <v>12.599894365711144</v>
      </c>
      <c r="F43" s="90">
        <f t="shared" ref="F43:J43" si="10">D36/F42</f>
        <v>3.5047163648455051</v>
      </c>
      <c r="G43" s="90">
        <f t="shared" si="10"/>
        <v>2.4640226310907827</v>
      </c>
      <c r="H43" s="90">
        <f t="shared" si="10"/>
        <v>0.47021227844482893</v>
      </c>
      <c r="I43" s="90">
        <f t="shared" si="10"/>
        <v>2.484121428782764</v>
      </c>
      <c r="J43" s="90">
        <f t="shared" si="10"/>
        <v>3.6768216625472614</v>
      </c>
    </row>
    <row r="44" spans="2:10" ht="18">
      <c r="B44" s="14" t="s">
        <v>13</v>
      </c>
      <c r="C44" s="22" t="s">
        <v>97</v>
      </c>
      <c r="D44" s="20"/>
      <c r="E44" s="92">
        <f>SUM(F44:K44)</f>
        <v>0.99999999999999989</v>
      </c>
      <c r="F44" s="90">
        <f>F43/$E$43</f>
        <v>0.27815442440399357</v>
      </c>
      <c r="G44" s="90">
        <f>G43/$E$43</f>
        <v>0.19555899117664644</v>
      </c>
      <c r="H44" s="90">
        <f>H43/$E$43</f>
        <v>3.7318747665412662E-2</v>
      </c>
      <c r="I44" s="90">
        <f>I43/$E$43</f>
        <v>0.19715414722388103</v>
      </c>
      <c r="J44" s="90">
        <f>J43/$E$43</f>
        <v>0.29181368953006614</v>
      </c>
    </row>
    <row r="45" spans="2:10" ht="18">
      <c r="B45" s="16" t="s">
        <v>14</v>
      </c>
      <c r="C45" s="23" t="s">
        <v>98</v>
      </c>
      <c r="D45" s="24"/>
      <c r="E45" s="25"/>
      <c r="F45" s="91">
        <f>F44^2</f>
        <v>7.7369883815516974E-2</v>
      </c>
      <c r="G45" s="91">
        <f t="shared" ref="G45:J45" si="11">G44^2</f>
        <v>3.824331903002768E-2</v>
      </c>
      <c r="H45" s="91">
        <f t="shared" si="11"/>
        <v>1.392688927314743E-3</v>
      </c>
      <c r="I45" s="91">
        <f t="shared" si="11"/>
        <v>3.8869757767575758E-2</v>
      </c>
      <c r="J45" s="91">
        <f t="shared" si="11"/>
        <v>8.515522939714984E-2</v>
      </c>
    </row>
    <row r="46" spans="2:10" ht="18">
      <c r="B46" s="14" t="s">
        <v>15</v>
      </c>
      <c r="C46" s="19" t="s">
        <v>99</v>
      </c>
      <c r="D46" s="19"/>
      <c r="E46" s="92">
        <f>SUMPRODUCT(D36:H36,F44:J44)</f>
        <v>7.6006309210137957E-2</v>
      </c>
    </row>
    <row r="47" spans="2:10" ht="18.600000000000001">
      <c r="B47" s="14" t="s">
        <v>16</v>
      </c>
      <c r="C47" s="19" t="s">
        <v>100</v>
      </c>
      <c r="D47" s="20"/>
      <c r="E47" s="92">
        <f>SUMPRODUCT(F42:K42,F45:K45)</f>
        <v>6.0322973355219972E-3</v>
      </c>
    </row>
    <row r="48" spans="2:10" ht="18.600000000000001">
      <c r="B48" s="14" t="s">
        <v>17</v>
      </c>
      <c r="C48" s="19" t="s">
        <v>101</v>
      </c>
      <c r="D48" s="20"/>
      <c r="E48" s="92">
        <f>E46/E47</f>
        <v>12.599894365711144</v>
      </c>
    </row>
    <row r="49" spans="2:10" ht="18">
      <c r="B49" s="14" t="s">
        <v>18</v>
      </c>
      <c r="C49" s="26" t="s">
        <v>102</v>
      </c>
      <c r="D49" s="20"/>
      <c r="E49" s="92">
        <f>C38/C6^2</f>
        <v>0.94987780104278985</v>
      </c>
    </row>
    <row r="50" spans="2:10" ht="18">
      <c r="B50" s="14" t="s">
        <v>19</v>
      </c>
      <c r="C50" s="27" t="s">
        <v>103</v>
      </c>
      <c r="D50" s="20"/>
      <c r="E50" s="92">
        <f>E48/E49</f>
        <v>13.264752952304805</v>
      </c>
    </row>
    <row r="51" spans="2:10" ht="18">
      <c r="B51" s="14" t="s">
        <v>20</v>
      </c>
      <c r="C51" s="19" t="s">
        <v>104</v>
      </c>
      <c r="D51" s="20"/>
      <c r="E51" s="92">
        <f>SUMPRODUCT(D37:I37,F44:K44)</f>
        <v>0.94554013415745264</v>
      </c>
    </row>
    <row r="52" spans="2:10">
      <c r="B52" s="5"/>
      <c r="C52" s="30"/>
      <c r="D52" s="6"/>
      <c r="E52" s="11"/>
      <c r="F52" s="30"/>
      <c r="G52" s="6"/>
      <c r="H52" s="6"/>
      <c r="I52" s="6"/>
      <c r="J52" s="6"/>
    </row>
    <row r="53" spans="2:10">
      <c r="B53" s="170" t="s">
        <v>21</v>
      </c>
      <c r="C53" s="171" t="s">
        <v>22</v>
      </c>
      <c r="D53" s="172" t="str">
        <f>C35</f>
        <v>VDE</v>
      </c>
      <c r="E53" s="171" t="s">
        <v>10</v>
      </c>
      <c r="F53" s="169" t="str">
        <f>F41</f>
        <v>XOM</v>
      </c>
      <c r="G53" s="169" t="str">
        <f t="shared" ref="G53:J53" si="12">G41</f>
        <v>CVX</v>
      </c>
      <c r="H53" s="169" t="str">
        <f t="shared" si="12"/>
        <v>COP</v>
      </c>
      <c r="I53" s="169" t="str">
        <f t="shared" si="12"/>
        <v>PSX</v>
      </c>
      <c r="J53" s="169" t="str">
        <f t="shared" si="12"/>
        <v>EOG</v>
      </c>
    </row>
    <row r="54" spans="2:10">
      <c r="B54" s="253" t="s">
        <v>105</v>
      </c>
      <c r="C54" s="93">
        <v>1</v>
      </c>
      <c r="D54" s="247">
        <f>C54-E54</f>
        <v>0</v>
      </c>
      <c r="E54" s="258">
        <v>1</v>
      </c>
      <c r="F54" s="97">
        <f>$E$54*F44</f>
        <v>0.27815442440399357</v>
      </c>
      <c r="G54" s="97">
        <f t="shared" ref="G54:J54" si="13">$E$54*G44</f>
        <v>0.19555899117664644</v>
      </c>
      <c r="H54" s="97">
        <f t="shared" si="13"/>
        <v>3.7318747665412662E-2</v>
      </c>
      <c r="I54" s="97">
        <f t="shared" si="13"/>
        <v>0.19715414722388103</v>
      </c>
      <c r="J54" s="97">
        <f t="shared" si="13"/>
        <v>0.29181368953006614</v>
      </c>
    </row>
    <row r="55" spans="2:10">
      <c r="B55" s="14" t="s">
        <v>1</v>
      </c>
      <c r="C55" s="94">
        <f>D55*D54+E55*E54</f>
        <v>0.94554013415745264</v>
      </c>
      <c r="D55" s="96">
        <f>1</f>
        <v>1</v>
      </c>
      <c r="E55" s="95">
        <f>SUMPRODUCT(D37:I37,F44:K44)</f>
        <v>0.94554013415745264</v>
      </c>
      <c r="G55" s="8"/>
      <c r="H55" s="8"/>
      <c r="I55" s="8"/>
      <c r="J55" s="8"/>
    </row>
    <row r="56" spans="2:10">
      <c r="B56" s="14" t="s">
        <v>23</v>
      </c>
      <c r="C56" s="94">
        <f>D56*D54+E56*E54</f>
        <v>0.21530789752654064</v>
      </c>
      <c r="D56" s="96">
        <f>C38</f>
        <v>0.14732488160381568</v>
      </c>
      <c r="E56" s="95">
        <f>SUMPRODUCT(D38:I38,F44:K44)</f>
        <v>0.21530789752654064</v>
      </c>
      <c r="G56" s="29"/>
      <c r="H56" s="29"/>
      <c r="I56" s="29"/>
      <c r="J56" s="29"/>
    </row>
    <row r="57" spans="2:10">
      <c r="B57" s="14" t="s">
        <v>24</v>
      </c>
      <c r="C57" s="94">
        <f>SQRT((D54+E54*E51)^2*D57^2+E54^2*E47)</f>
        <v>0.38039158459399314</v>
      </c>
      <c r="D57" s="96">
        <f>C6</f>
        <v>0.39382581577481246</v>
      </c>
      <c r="E57" s="95">
        <f>SQRT(E51^2*C6^2+E47)</f>
        <v>0.38039158459399314</v>
      </c>
    </row>
    <row r="58" spans="2:10" ht="16.2">
      <c r="B58" s="16" t="s">
        <v>185</v>
      </c>
      <c r="C58" s="246">
        <f>C56/C57</f>
        <v>0.56601645842493387</v>
      </c>
      <c r="D58" s="247">
        <f>D56/D57</f>
        <v>0.37408639988206177</v>
      </c>
      <c r="E58" s="93">
        <f>E56/E57</f>
        <v>0.56601645842493387</v>
      </c>
    </row>
    <row r="59" spans="2:10">
      <c r="B59" s="254" t="s">
        <v>180</v>
      </c>
      <c r="C59" s="20"/>
      <c r="D59" s="257"/>
      <c r="E59" s="20"/>
    </row>
    <row r="60" spans="2:10" ht="16.2">
      <c r="B60" s="248" t="s">
        <v>182</v>
      </c>
      <c r="C60" s="249">
        <f>C56/C55</f>
        <v>0.22770889330720601</v>
      </c>
      <c r="D60" s="252">
        <f>D56/D55</f>
        <v>0.14732488160381568</v>
      </c>
      <c r="E60" s="249">
        <f>E56/E55</f>
        <v>0.22770889330720601</v>
      </c>
    </row>
    <row r="61" spans="2:10" ht="16.2">
      <c r="B61" s="14" t="s">
        <v>183</v>
      </c>
      <c r="C61" s="94">
        <f>SUMPRODUCT($D$54*D61+$E$54*E61)</f>
        <v>7.6006309210137957E-2</v>
      </c>
      <c r="D61" s="250">
        <v>0</v>
      </c>
      <c r="E61" s="94">
        <f>E46</f>
        <v>7.6006309210137957E-2</v>
      </c>
    </row>
    <row r="62" spans="2:10" ht="16.2">
      <c r="B62" s="16" t="s">
        <v>184</v>
      </c>
      <c r="C62" s="246">
        <f>SUMPRODUCT($D$54*D62+$E$54*E62)</f>
        <v>0.17871850660231062</v>
      </c>
      <c r="D62" s="251">
        <v>0</v>
      </c>
      <c r="E62" s="246">
        <f>(E56-D56)/E57</f>
        <v>0.17871850660231062</v>
      </c>
    </row>
    <row r="63" spans="2:10">
      <c r="B63" s="255" t="s">
        <v>176</v>
      </c>
      <c r="C63" s="249">
        <f t="shared" ref="C63:C70" si="14">SUMPRODUCT($D$54*D63+$E$54*E63)</f>
        <v>0.21530789752654064</v>
      </c>
      <c r="D63" s="252">
        <f>D56</f>
        <v>0.14732488160381568</v>
      </c>
      <c r="E63" s="249">
        <f>E56</f>
        <v>0.21530789752654064</v>
      </c>
    </row>
    <row r="64" spans="2:10">
      <c r="B64" s="255" t="s">
        <v>177</v>
      </c>
      <c r="C64" s="94">
        <f t="shared" si="14"/>
        <v>0.1893015883164027</v>
      </c>
      <c r="D64" s="96">
        <f>5%+$C$39*D55</f>
        <v>0.19732488160381567</v>
      </c>
      <c r="E64" s="95">
        <f>5%+$C$39*E55</f>
        <v>0.1893015883164027</v>
      </c>
    </row>
    <row r="65" spans="2:5">
      <c r="B65" s="255" t="s">
        <v>178</v>
      </c>
      <c r="C65" s="94">
        <f t="shared" si="14"/>
        <v>0.96588788585535246</v>
      </c>
      <c r="D65" s="250">
        <f>D57/$D$57</f>
        <v>1</v>
      </c>
      <c r="E65" s="94">
        <f>E57/$D$57</f>
        <v>0.96588788585535246</v>
      </c>
    </row>
    <row r="66" spans="2:5">
      <c r="B66" s="256" t="s">
        <v>179</v>
      </c>
      <c r="C66" s="246">
        <f t="shared" si="14"/>
        <v>0.19229931842619963</v>
      </c>
      <c r="D66" s="251">
        <f>5%+$C$39*D65</f>
        <v>0.19732488160381567</v>
      </c>
      <c r="E66" s="246">
        <f>5%+$C$39*E65</f>
        <v>0.19229931842619963</v>
      </c>
    </row>
    <row r="67" spans="2:5">
      <c r="B67" s="255" t="s">
        <v>172</v>
      </c>
      <c r="C67" s="94">
        <f t="shared" si="14"/>
        <v>7.6006309210137957E-2</v>
      </c>
      <c r="D67" s="96">
        <f>D56+5%-D64</f>
        <v>0</v>
      </c>
      <c r="E67" s="95">
        <f>E56+5%-E64</f>
        <v>7.6006309210137957E-2</v>
      </c>
    </row>
    <row r="68" spans="2:5">
      <c r="B68" s="255" t="s">
        <v>173</v>
      </c>
      <c r="C68" s="94">
        <f t="shared" si="14"/>
        <v>-2.9977301097969256E-3</v>
      </c>
      <c r="D68" s="96">
        <f>D64-D66</f>
        <v>0</v>
      </c>
      <c r="E68" s="95">
        <f>E64-E66</f>
        <v>-2.9977301097969256E-3</v>
      </c>
    </row>
    <row r="69" spans="2:5">
      <c r="B69" s="255" t="s">
        <v>174</v>
      </c>
      <c r="C69" s="94">
        <f t="shared" si="14"/>
        <v>7.9004039319934882E-2</v>
      </c>
      <c r="D69" s="96">
        <f>D67-D68</f>
        <v>0</v>
      </c>
      <c r="E69" s="95">
        <f>E67-E68</f>
        <v>7.9004039319934882E-2</v>
      </c>
    </row>
    <row r="70" spans="2:5">
      <c r="B70" s="255" t="s">
        <v>175</v>
      </c>
      <c r="C70" s="94">
        <f t="shared" si="14"/>
        <v>0.13930158831640269</v>
      </c>
      <c r="D70" s="96">
        <f>D63-D67</f>
        <v>0.14732488160381568</v>
      </c>
      <c r="E70" s="95">
        <f>E63-E67</f>
        <v>0.13930158831640269</v>
      </c>
    </row>
  </sheetData>
  <pageMargins left="0.25" right="0.25" top="0.75" bottom="0.75" header="0.3" footer="0.3"/>
  <pageSetup scale="65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BB122"/>
  <sheetViews>
    <sheetView showGridLines="0" tabSelected="1" topLeftCell="M1" zoomScale="67" zoomScaleNormal="51" workbookViewId="0">
      <selection activeCell="M30" sqref="M30"/>
    </sheetView>
  </sheetViews>
  <sheetFormatPr defaultColWidth="10.81640625" defaultRowHeight="15.6"/>
  <cols>
    <col min="1" max="1" width="3.1796875" style="32" customWidth="1"/>
    <col min="2" max="2" width="11.1796875" style="32" customWidth="1"/>
    <col min="3" max="3" width="14" style="32" customWidth="1"/>
    <col min="4" max="4" width="13.36328125" style="32" customWidth="1"/>
    <col min="5" max="5" width="15" style="32" customWidth="1"/>
    <col min="6" max="31" width="13.36328125" style="32" customWidth="1"/>
    <col min="32" max="32" width="15.1796875" style="32" customWidth="1"/>
    <col min="33" max="33" width="15.6328125" style="32" customWidth="1"/>
    <col min="34" max="34" width="15" style="32" customWidth="1"/>
    <col min="35" max="35" width="14.453125" style="32" customWidth="1"/>
    <col min="36" max="16384" width="10.81640625" style="32"/>
  </cols>
  <sheetData>
    <row r="1" spans="2:54" ht="28.95" customHeight="1"/>
    <row r="2" spans="2:54" ht="31.8">
      <c r="B2" s="31" t="s">
        <v>26</v>
      </c>
      <c r="D2" s="33"/>
      <c r="E2" s="33"/>
      <c r="F2" s="33"/>
      <c r="G2" s="33"/>
      <c r="H2" s="33"/>
      <c r="I2" s="33"/>
      <c r="J2" s="33"/>
    </row>
    <row r="3" spans="2:54" ht="16.95" customHeight="1">
      <c r="B3" s="34"/>
      <c r="D3" s="33"/>
      <c r="E3" s="33"/>
      <c r="F3" s="33"/>
      <c r="G3" s="33"/>
      <c r="H3" s="33"/>
      <c r="I3" s="33"/>
      <c r="J3" s="33"/>
    </row>
    <row r="4" spans="2:54" ht="16.95" customHeight="1">
      <c r="B4" s="35" t="s">
        <v>27</v>
      </c>
      <c r="E4" s="36"/>
      <c r="G4" s="37"/>
      <c r="I4" s="33"/>
      <c r="J4" s="33"/>
      <c r="N4" s="35" t="s">
        <v>28</v>
      </c>
    </row>
    <row r="5" spans="2:54" ht="16.95" customHeight="1">
      <c r="B5" s="38"/>
      <c r="C5" s="38"/>
      <c r="D5" s="38"/>
      <c r="E5" s="38"/>
      <c r="F5" s="38"/>
      <c r="G5" s="38"/>
      <c r="H5" s="38"/>
      <c r="I5" s="39"/>
      <c r="J5" s="39"/>
      <c r="K5" s="38"/>
      <c r="O5" s="38"/>
      <c r="P5" s="38"/>
      <c r="Q5" s="38"/>
      <c r="R5" s="38"/>
      <c r="S5" s="38"/>
      <c r="T5" s="38"/>
      <c r="U5" s="38"/>
    </row>
    <row r="6" spans="2:54" ht="16.95" customHeight="1">
      <c r="B6" s="40" t="s">
        <v>29</v>
      </c>
      <c r="C6" s="41"/>
      <c r="D6" s="42"/>
      <c r="E6" s="43" t="s">
        <v>30</v>
      </c>
      <c r="F6" s="216" t="s">
        <v>197</v>
      </c>
      <c r="G6" s="44" t="s">
        <v>198</v>
      </c>
      <c r="H6" s="44" t="s">
        <v>199</v>
      </c>
      <c r="I6" s="44" t="s">
        <v>200</v>
      </c>
      <c r="J6" s="44" t="s">
        <v>201</v>
      </c>
      <c r="K6" s="228" t="s">
        <v>202</v>
      </c>
      <c r="L6" s="44" t="s">
        <v>192</v>
      </c>
      <c r="N6" s="45"/>
      <c r="O6" s="46" t="s">
        <v>32</v>
      </c>
      <c r="P6" s="161" t="str">
        <f>F6</f>
        <v>VDE</v>
      </c>
      <c r="Q6" s="161" t="str">
        <f t="shared" ref="Q6:U6" si="0">G6</f>
        <v>XOM</v>
      </c>
      <c r="R6" s="161" t="str">
        <f t="shared" si="0"/>
        <v>CVX</v>
      </c>
      <c r="S6" s="161" t="str">
        <f t="shared" si="0"/>
        <v>COP</v>
      </c>
      <c r="T6" s="161" t="str">
        <f t="shared" si="0"/>
        <v>PSX</v>
      </c>
      <c r="U6" s="161" t="str">
        <f t="shared" si="0"/>
        <v>EOG</v>
      </c>
    </row>
    <row r="7" spans="2:54" ht="16.95" customHeight="1">
      <c r="B7" s="47" t="s">
        <v>93</v>
      </c>
      <c r="C7" s="148"/>
      <c r="D7" s="149"/>
      <c r="E7" s="150">
        <v>0.05</v>
      </c>
      <c r="F7" s="217">
        <f>AVERAGE(E39:E97)*12</f>
        <v>0.14732488160381568</v>
      </c>
      <c r="G7" s="151">
        <f>AVERAGE(H39:H97)*12</f>
        <v>0.13714544039158683</v>
      </c>
      <c r="H7" s="151">
        <f>AVERAGE(M39:M97)*12</f>
        <v>0.10354472973403406</v>
      </c>
      <c r="I7" s="151">
        <f>AVERAGE(R39:R97)*12</f>
        <v>0.23050125158282581</v>
      </c>
      <c r="J7" s="151">
        <f>AVERAGE(W39:W97)*12</f>
        <v>0.19287578819126083</v>
      </c>
      <c r="K7" s="217">
        <f>AVERAGE(AB39:AB97)*12</f>
        <v>0.17026032569855803</v>
      </c>
      <c r="L7" s="151">
        <f>AVERAGE(AI39:AI97)*12</f>
        <v>-8.6623560152661316E-2</v>
      </c>
      <c r="O7" s="156" t="s">
        <v>31</v>
      </c>
      <c r="P7" s="50">
        <v>1</v>
      </c>
      <c r="Q7" s="51"/>
      <c r="R7" s="51"/>
      <c r="S7" s="51"/>
      <c r="T7" s="51"/>
      <c r="U7" s="51"/>
    </row>
    <row r="8" spans="2:54" ht="16.95" customHeight="1">
      <c r="B8" s="47" t="s">
        <v>2</v>
      </c>
      <c r="D8" s="52"/>
      <c r="E8" s="49">
        <v>0</v>
      </c>
      <c r="F8" s="218">
        <f>_xlfn.STDEV.S(E39:E97)*SQRT(12)</f>
        <v>0.39382581577481246</v>
      </c>
      <c r="G8" s="49">
        <f>_xlfn.STDEV.S(H39:H97)*SQRT(12)</f>
        <v>0.35046521734847874</v>
      </c>
      <c r="H8" s="49">
        <f>_xlfn.STDEV.S(M39:M97)*SQRT(12)</f>
        <v>0.33262556525641424</v>
      </c>
      <c r="I8" s="49">
        <f>_xlfn.STDEV.S(R39:R97)*SQRT(12)</f>
        <v>0.45540534298206059</v>
      </c>
      <c r="J8" s="49">
        <f>_xlfn.STDEV.S(W39:W97)*SQRT(12)</f>
        <v>0.42678815766794492</v>
      </c>
      <c r="K8" s="218">
        <f>_xlfn.STDEV.S(AB39:AB97)*SQRT(12)</f>
        <v>0.48035035607598442</v>
      </c>
      <c r="L8" s="49">
        <f>_xlfn.STDEV.S(AI39:AI97)*SQRT(12)</f>
        <v>0.16009335560900356</v>
      </c>
      <c r="O8" s="157" t="str">
        <f>Q6</f>
        <v>XOM</v>
      </c>
      <c r="P8" s="53">
        <f>G18</f>
        <v>0.9282668324259562</v>
      </c>
      <c r="Q8" s="53">
        <v>1</v>
      </c>
      <c r="R8" s="54"/>
      <c r="S8" s="54"/>
      <c r="T8" s="54"/>
      <c r="U8" s="54"/>
    </row>
    <row r="9" spans="2:54" ht="16.95" customHeight="1">
      <c r="B9" s="55" t="s">
        <v>25</v>
      </c>
      <c r="C9" s="38"/>
      <c r="D9" s="56"/>
      <c r="E9" s="57"/>
      <c r="F9" s="219">
        <f>F7/F8</f>
        <v>0.37408639988206177</v>
      </c>
      <c r="G9" s="58">
        <f t="shared" ref="G9:L9" si="1">G7/G8</f>
        <v>0.39132397054746448</v>
      </c>
      <c r="H9" s="58">
        <f t="shared" si="1"/>
        <v>0.31129516353986064</v>
      </c>
      <c r="I9" s="58">
        <f t="shared" si="1"/>
        <v>0.50614525089554285</v>
      </c>
      <c r="J9" s="58">
        <f t="shared" si="1"/>
        <v>0.45192394569983468</v>
      </c>
      <c r="K9" s="219">
        <f t="shared" si="1"/>
        <v>0.35445029559138153</v>
      </c>
      <c r="L9" s="58">
        <f t="shared" si="1"/>
        <v>-0.54108154472208247</v>
      </c>
      <c r="O9" s="157" t="str">
        <f>R6</f>
        <v>CVX</v>
      </c>
      <c r="P9" s="53">
        <f>H18</f>
        <v>0.92915346875638616</v>
      </c>
      <c r="Q9" s="53">
        <f>G18*H18</f>
        <v>0.86250234728008024</v>
      </c>
      <c r="R9" s="53">
        <v>1</v>
      </c>
      <c r="S9" s="54"/>
      <c r="T9" s="54"/>
      <c r="U9" s="54"/>
    </row>
    <row r="10" spans="2:54" ht="16.95" customHeight="1">
      <c r="B10" s="47" t="s">
        <v>34</v>
      </c>
      <c r="D10" s="52"/>
      <c r="E10" s="61"/>
      <c r="F10" s="220">
        <v>0</v>
      </c>
      <c r="G10" s="62">
        <f>_xlfn.STDEV.S(J39:J97)*SQRT(12)</f>
        <v>0.13034323389645316</v>
      </c>
      <c r="H10" s="62">
        <f>_xlfn.STDEV.S(O39:O97)*SQRT(12)</f>
        <v>0.12296975573594403</v>
      </c>
      <c r="I10" s="62">
        <f>_xlfn.STDEV.S(T39:T97)*SQRT(12)</f>
        <v>0.46462258750923202</v>
      </c>
      <c r="J10" s="62">
        <f>_xlfn.STDEV.S(Y39:Y97)*SQRT(12)</f>
        <v>0.21291586504023477</v>
      </c>
      <c r="K10" s="229">
        <f>_xlfn.STDEV.S(AD39:AD97)*SQRT(12)</f>
        <v>0.15616783808145587</v>
      </c>
      <c r="O10" s="157" t="str">
        <f>S6</f>
        <v>COP</v>
      </c>
      <c r="P10" s="63">
        <f>I18</f>
        <v>0.93942098015843145</v>
      </c>
      <c r="Q10" s="63">
        <f>G18*I18</f>
        <v>0.8720333375661542</v>
      </c>
      <c r="R10" s="63">
        <f>H18*I18</f>
        <v>0.87286626233673081</v>
      </c>
      <c r="S10" s="63">
        <v>1</v>
      </c>
      <c r="T10" s="64"/>
      <c r="U10" s="64"/>
    </row>
    <row r="11" spans="2:54" ht="16.95" customHeight="1">
      <c r="B11" s="47" t="s">
        <v>35</v>
      </c>
      <c r="D11" s="52"/>
      <c r="E11" s="61"/>
      <c r="F11" s="220">
        <f>F8</f>
        <v>0.39382581577481246</v>
      </c>
      <c r="G11" s="49">
        <f>_xlfn.STDEV.S(I39:I97)*SQRT(12)</f>
        <v>0.32532523718354672</v>
      </c>
      <c r="H11" s="49">
        <f>_xlfn.STDEV.S(O39:O97)*SQRT(12)</f>
        <v>0.12296975573594403</v>
      </c>
      <c r="I11" s="49">
        <f>_xlfn.STDEV.S(S39:S97)*SQRT(12)</f>
        <v>0.11610660356535719</v>
      </c>
      <c r="J11" s="49">
        <f>_xlfn.STDEV.S(X39:X97)*SQRT(12)</f>
        <v>0.36988507125831249</v>
      </c>
      <c r="K11" s="218">
        <f>_xlfn.STDEV.S(AC39:AC97)*SQRT(12)</f>
        <v>0.45425551282432347</v>
      </c>
      <c r="O11" s="157" t="str">
        <f>T6</f>
        <v>PSX</v>
      </c>
      <c r="P11" s="201">
        <f>J18</f>
        <v>0.86667135583011012</v>
      </c>
      <c r="Q11" s="53">
        <f>G18*J18</f>
        <v>0.80450227423072507</v>
      </c>
      <c r="R11" s="53">
        <f>H18*J18</f>
        <v>0.80527069654134709</v>
      </c>
      <c r="S11" s="53">
        <f>I18*J18</f>
        <v>0.81416925456915878</v>
      </c>
      <c r="T11" s="53">
        <v>1</v>
      </c>
      <c r="U11" s="54"/>
      <c r="AU11" s="32">
        <v>0.5</v>
      </c>
      <c r="AV11" s="32">
        <f>AU11*0.5</f>
        <v>0.25</v>
      </c>
      <c r="AW11" s="32">
        <f>AV11*0.5</f>
        <v>0.125</v>
      </c>
      <c r="AX11" s="32">
        <f>AW11*0.5</f>
        <v>6.25E-2</v>
      </c>
      <c r="AY11" s="32">
        <f>AX11*0.5</f>
        <v>3.125E-2</v>
      </c>
      <c r="AZ11" s="32">
        <f t="shared" ref="AZ11:BB11" si="2">AY11*0.5</f>
        <v>1.5625E-2</v>
      </c>
      <c r="BA11" s="32">
        <f t="shared" si="2"/>
        <v>7.8125E-3</v>
      </c>
      <c r="BB11" s="32">
        <f t="shared" si="2"/>
        <v>3.90625E-3</v>
      </c>
    </row>
    <row r="12" spans="2:54" ht="16.95" customHeight="1">
      <c r="B12" s="55" t="s">
        <v>36</v>
      </c>
      <c r="C12" s="38"/>
      <c r="D12" s="56"/>
      <c r="E12" s="57"/>
      <c r="F12" s="221">
        <f>F8^2</f>
        <v>0.15509877317069654</v>
      </c>
      <c r="G12" s="58">
        <f>_xlfn.COVARIANCE.S($E$39:$E$97,H39:H97)*12</f>
        <v>0.12812147692594472</v>
      </c>
      <c r="H12" s="58">
        <f>_xlfn.COVARIANCE.S($E$39:$E$97,M39:M97)*12</f>
        <v>0.12171588450440787</v>
      </c>
      <c r="I12" s="58">
        <f>_xlfn.COVARIANCE.S($E$39:$E$97,R39:R97)*12</f>
        <v>0.16848551043660825</v>
      </c>
      <c r="J12" s="58">
        <f>_xlfn.COVARIANCE.S($E$39:$E$97,W39:W97)*12</f>
        <v>0.14567028993122966</v>
      </c>
      <c r="K12" s="219">
        <f>_xlfn.COVARIANCE.S($E$39:$E$97,AB39:AB97)*12</f>
        <v>0.17889754790824505</v>
      </c>
      <c r="O12" s="157" t="str">
        <f>U6</f>
        <v>EOG</v>
      </c>
      <c r="P12" s="201">
        <f>K18</f>
        <v>0.94567539521604282</v>
      </c>
      <c r="Q12" s="53">
        <f>G18*K18</f>
        <v>0.87783910362036033</v>
      </c>
      <c r="R12" s="53">
        <f>H18*K18</f>
        <v>0.87867757378255262</v>
      </c>
      <c r="S12" s="53">
        <f>I18*K18</f>
        <v>0.88838730668556698</v>
      </c>
      <c r="T12" s="53">
        <f>J18*K18</f>
        <v>0.81958977694706303</v>
      </c>
      <c r="U12" s="53">
        <v>1</v>
      </c>
    </row>
    <row r="13" spans="2:54" ht="16.95" customHeight="1">
      <c r="B13" s="47" t="s">
        <v>94</v>
      </c>
      <c r="D13" s="52"/>
      <c r="E13" s="61"/>
      <c r="F13" s="220">
        <v>0</v>
      </c>
      <c r="G13" s="200">
        <f>INTERCEPT(H39:H97,$E$39:$E$97)*12</f>
        <v>1.5445693622815969E-2</v>
      </c>
      <c r="H13" s="200">
        <f>INTERCEPT(M39:M97,$E$39:$E$97)*12</f>
        <v>-1.2070486990991044E-2</v>
      </c>
      <c r="I13" s="200">
        <f>INTERCEPT(R39:R97,$E$39:$E$97)*12</f>
        <v>7.0460605421728412E-2</v>
      </c>
      <c r="J13" s="200">
        <f>INTERCEPT(W39:W97,$E$39:$E$97)*12</f>
        <v>5.4506813514118818E-2</v>
      </c>
      <c r="K13" s="230">
        <f>INTERCEPT(AB39:AB97,$E$39:$E$97)*12</f>
        <v>3.2951627952713253E-4</v>
      </c>
      <c r="V13" s="66"/>
      <c r="W13" s="66"/>
      <c r="X13" s="66"/>
      <c r="Y13" s="66"/>
      <c r="Z13" s="65"/>
      <c r="AA13" s="66"/>
      <c r="AB13" s="66"/>
      <c r="AC13" s="66"/>
      <c r="AD13" s="66"/>
      <c r="AE13" s="66"/>
    </row>
    <row r="14" spans="2:54" ht="16.95" customHeight="1">
      <c r="B14" s="47" t="s">
        <v>134</v>
      </c>
      <c r="D14" s="52"/>
      <c r="E14" s="61"/>
      <c r="F14" s="222">
        <f>F13*$D$27/D27</f>
        <v>0</v>
      </c>
      <c r="G14" s="99">
        <f>G13*$D$27/G27</f>
        <v>9.9664873223674916E-3</v>
      </c>
      <c r="H14" s="99">
        <f>H13*$D$27/H27</f>
        <v>-7.334406782142866E-3</v>
      </c>
      <c r="I14" s="99">
        <f>I13*$D$27/I27</f>
        <v>4.2326513150134359E-2</v>
      </c>
      <c r="J14" s="99">
        <f>J13*$D$27/J27</f>
        <v>4.3605450811295049E-2</v>
      </c>
      <c r="K14" s="220">
        <f>K13*$D$27/K27</f>
        <v>2.8292140378524905E-4</v>
      </c>
      <c r="O14" s="38"/>
      <c r="P14" s="38"/>
      <c r="Q14" s="38"/>
      <c r="R14" s="38"/>
      <c r="S14" s="38"/>
      <c r="T14" s="38"/>
      <c r="U14" s="38"/>
      <c r="V14" s="66"/>
      <c r="W14" s="66"/>
      <c r="X14" s="66"/>
      <c r="Y14" s="66"/>
      <c r="Z14" s="65"/>
      <c r="AA14" s="66"/>
      <c r="AB14" s="66"/>
      <c r="AC14" s="66"/>
      <c r="AD14" s="66"/>
      <c r="AE14" s="66"/>
    </row>
    <row r="15" spans="2:54" ht="16.95" customHeight="1">
      <c r="B15" s="47" t="s">
        <v>132</v>
      </c>
      <c r="F15" s="223">
        <v>0</v>
      </c>
      <c r="G15" s="168">
        <f>(G7+$E$7-(4.2%+G17*(10.6%-4.2%)))</f>
        <v>9.2277359260886566E-2</v>
      </c>
      <c r="H15" s="168">
        <f>H7+$E$7-(4.2%+H17*(10.6%-4.2%))</f>
        <v>6.1319854004624585E-2</v>
      </c>
      <c r="I15" s="168">
        <f>I7+$E$7-(4.2%+I17*(10.6%-4.2%))</f>
        <v>0.16897734467174125</v>
      </c>
      <c r="J15" s="168">
        <f>J7+E7-(4.2%+J17*(10.6%-4.2%))</f>
        <v>0.14076636008290164</v>
      </c>
      <c r="K15" s="223">
        <f>K7+$E$7-(4.2%+K17*(10.6%-4.2%))</f>
        <v>0.10443999280961375</v>
      </c>
      <c r="N15" s="163"/>
      <c r="O15" s="164" t="s">
        <v>33</v>
      </c>
      <c r="P15" s="161" t="str">
        <f t="shared" ref="P15:U15" si="3">P6</f>
        <v>VDE</v>
      </c>
      <c r="Q15" s="161" t="str">
        <f t="shared" si="3"/>
        <v>XOM</v>
      </c>
      <c r="R15" s="161" t="str">
        <f t="shared" si="3"/>
        <v>CVX</v>
      </c>
      <c r="S15" s="161" t="str">
        <f t="shared" si="3"/>
        <v>COP</v>
      </c>
      <c r="T15" s="161" t="str">
        <f t="shared" si="3"/>
        <v>PSX</v>
      </c>
      <c r="U15" s="161" t="str">
        <f t="shared" si="3"/>
        <v>EOG</v>
      </c>
    </row>
    <row r="16" spans="2:54" ht="16.95" customHeight="1">
      <c r="B16" s="55" t="s">
        <v>135</v>
      </c>
      <c r="C16" s="38"/>
      <c r="D16" s="38"/>
      <c r="E16" s="38"/>
      <c r="F16" s="224">
        <f t="shared" ref="F16:K16" si="4">F15*$D$27/F27</f>
        <v>0</v>
      </c>
      <c r="G16" s="199">
        <f t="shared" si="4"/>
        <v>5.9542883192804479E-2</v>
      </c>
      <c r="H16" s="199">
        <f t="shared" si="4"/>
        <v>3.7259868092082891E-2</v>
      </c>
      <c r="I16" s="199">
        <f t="shared" si="4"/>
        <v>0.10150667537576484</v>
      </c>
      <c r="J16" s="199">
        <f>J15*$D$27/J27</f>
        <v>0.1126130880663213</v>
      </c>
      <c r="K16" s="231">
        <f t="shared" si="4"/>
        <v>8.9671774090858594E-2</v>
      </c>
      <c r="O16" s="156" t="s">
        <v>31</v>
      </c>
      <c r="P16" s="50">
        <f>F8^2</f>
        <v>0.15509877317069654</v>
      </c>
      <c r="Q16" s="51"/>
      <c r="R16" s="51"/>
      <c r="S16" s="51"/>
      <c r="T16" s="51"/>
      <c r="U16" s="51"/>
    </row>
    <row r="17" spans="2:27" ht="16.95" customHeight="1">
      <c r="B17" s="47" t="s">
        <v>37</v>
      </c>
      <c r="D17" s="52"/>
      <c r="E17" s="61"/>
      <c r="F17" s="220">
        <v>1</v>
      </c>
      <c r="G17" s="49">
        <f>SLOPE(H39:H97,$E$39:$E$97)</f>
        <v>0.82606376766719125</v>
      </c>
      <c r="H17" s="49">
        <f>SLOPE(M39:M97,$E$39:$E$97)</f>
        <v>0.78476368327202284</v>
      </c>
      <c r="I17" s="49">
        <f>SLOPE(R39:R97,$E$39:$E$97)</f>
        <v>1.0863110454856959</v>
      </c>
      <c r="J17" s="49">
        <f>SLOPE(W39:W97,$E$39:$E$97)</f>
        <v>0.93920981419311234</v>
      </c>
      <c r="K17" s="218">
        <f>SLOPE(AB39:AB97,$E$39:$E$97)</f>
        <v>1.1534427013897544</v>
      </c>
      <c r="O17" s="157" t="str">
        <f>Q15</f>
        <v>XOM</v>
      </c>
      <c r="P17" s="53">
        <f>G17*1*P16</f>
        <v>0.12812147692594467</v>
      </c>
      <c r="Q17" s="53">
        <f>G8^2</f>
        <v>0.12282586857111645</v>
      </c>
      <c r="R17" s="54"/>
      <c r="S17" s="54"/>
      <c r="T17" s="54"/>
      <c r="U17" s="54"/>
    </row>
    <row r="18" spans="2:27" ht="16.95" customHeight="1">
      <c r="B18" s="47" t="s">
        <v>38</v>
      </c>
      <c r="D18" s="52"/>
      <c r="E18" s="61"/>
      <c r="F18" s="220">
        <v>1</v>
      </c>
      <c r="G18" s="49">
        <f>CORREL($E$39:$E$97,H$39:H$97)</f>
        <v>0.9282668324259562</v>
      </c>
      <c r="H18" s="49">
        <f>CORREL($E$39:$E$97,M$39:M$97)</f>
        <v>0.92915346875638616</v>
      </c>
      <c r="I18" s="49">
        <f>CORREL($E$39:$E$97,R$39:R$97)</f>
        <v>0.93942098015843145</v>
      </c>
      <c r="J18" s="49">
        <f>CORREL($E$39:$E$97,W$39:W$97)</f>
        <v>0.86667135583011012</v>
      </c>
      <c r="K18" s="218">
        <f>CORREL($E$39:$E$97,AB$39:AB$97)</f>
        <v>0.94567539521604282</v>
      </c>
      <c r="L18" s="49">
        <f>CORREL($E$39:$E$97,AI$39:AI$97)</f>
        <v>-0.17741485180747477</v>
      </c>
      <c r="O18" s="157" t="str">
        <f>R15</f>
        <v>CVX</v>
      </c>
      <c r="P18" s="53">
        <f>$H$17*$P$16</f>
        <v>0.1217158845044078</v>
      </c>
      <c r="Q18" s="53">
        <f>$H$17*G17*$P$16</f>
        <v>0.1005450821386558</v>
      </c>
      <c r="R18" s="53">
        <f>H8^2</f>
        <v>0.11063976666214909</v>
      </c>
      <c r="S18" s="54"/>
      <c r="T18" s="54"/>
      <c r="U18" s="54"/>
    </row>
    <row r="19" spans="2:27" ht="16.95" customHeight="1">
      <c r="B19" s="47" t="s">
        <v>39</v>
      </c>
      <c r="D19" s="52"/>
      <c r="E19" s="61"/>
      <c r="F19" s="220">
        <v>1</v>
      </c>
      <c r="G19" s="49">
        <f>G18^2</f>
        <v>0.86167931218211824</v>
      </c>
      <c r="H19" s="49">
        <f t="shared" ref="H19:K19" si="5">H18^2</f>
        <v>0.8633261685020247</v>
      </c>
      <c r="I19" s="49">
        <f t="shared" si="5"/>
        <v>0.882511777961828</v>
      </c>
      <c r="J19" s="49">
        <f t="shared" si="5"/>
        <v>0.75111923901640132</v>
      </c>
      <c r="K19" s="218">
        <f t="shared" si="5"/>
        <v>0.89430195311701877</v>
      </c>
      <c r="O19" s="157" t="str">
        <f>S15</f>
        <v>COP</v>
      </c>
      <c r="P19" s="63">
        <f>$I$17*1*$P$16</f>
        <v>0.16848551043660814</v>
      </c>
      <c r="Q19" s="63">
        <f>$I$17*G17*$P$16</f>
        <v>0.1391797755485944</v>
      </c>
      <c r="R19" s="63">
        <f>$I$17*H17*$P$16</f>
        <v>0.13222130974819946</v>
      </c>
      <c r="S19" s="63">
        <f>I8^2</f>
        <v>0.20739402641660823</v>
      </c>
      <c r="T19" s="64"/>
      <c r="U19" s="64"/>
    </row>
    <row r="20" spans="2:27" ht="18">
      <c r="B20" s="55" t="s">
        <v>40</v>
      </c>
      <c r="C20" s="67"/>
      <c r="D20" s="68"/>
      <c r="E20" s="57"/>
      <c r="F20" s="221">
        <v>0</v>
      </c>
      <c r="G20" s="58">
        <f>1-G19</f>
        <v>0.13832068781788176</v>
      </c>
      <c r="H20" s="58">
        <f t="shared" ref="H20:K20" si="6">1-H19</f>
        <v>0.1366738314979753</v>
      </c>
      <c r="I20" s="58">
        <f t="shared" si="6"/>
        <v>0.117488222038172</v>
      </c>
      <c r="J20" s="58">
        <f t="shared" si="6"/>
        <v>0.24888076098359868</v>
      </c>
      <c r="K20" s="219">
        <f t="shared" si="6"/>
        <v>0.10569804688298123</v>
      </c>
      <c r="O20" s="157" t="str">
        <f>T15</f>
        <v>PSX</v>
      </c>
      <c r="P20" s="201">
        <f>$J$17*$P$16</f>
        <v>0.14567028993122957</v>
      </c>
      <c r="Q20" s="53">
        <f>$J$17*$P$16*G17</f>
        <v>0.12033294853776362</v>
      </c>
      <c r="R20" s="53">
        <f>$J$17*$P$16*H17</f>
        <v>0.11431675326973519</v>
      </c>
      <c r="S20" s="53">
        <f>$J$17*$P$16</f>
        <v>0.14567028993122957</v>
      </c>
      <c r="T20" s="53">
        <f>J8^2</f>
        <v>0.18214813152559861</v>
      </c>
      <c r="U20" s="54"/>
    </row>
    <row r="21" spans="2:27">
      <c r="B21" s="47" t="s">
        <v>155</v>
      </c>
      <c r="C21" s="47" t="s">
        <v>151</v>
      </c>
      <c r="D21" s="213"/>
      <c r="F21" s="288" t="s">
        <v>153</v>
      </c>
      <c r="G21" s="211" t="s">
        <v>194</v>
      </c>
      <c r="H21" s="211" t="s">
        <v>194</v>
      </c>
      <c r="I21" s="211" t="s">
        <v>194</v>
      </c>
      <c r="J21" s="211" t="s">
        <v>194</v>
      </c>
      <c r="K21" s="211" t="s">
        <v>194</v>
      </c>
      <c r="L21" s="206" t="s">
        <v>206</v>
      </c>
      <c r="M21" s="206"/>
      <c r="O21" s="157" t="str">
        <f>U15</f>
        <v>EOG</v>
      </c>
      <c r="P21" s="201">
        <f>$K$17*$P$16</f>
        <v>0.17889754790824497</v>
      </c>
      <c r="Q21" s="53">
        <f>$K$17*$P$16*G17</f>
        <v>0.14778078245150669</v>
      </c>
      <c r="R21" s="53">
        <f>$K$17*$P$16*H17</f>
        <v>0.14039229862480748</v>
      </c>
      <c r="S21" s="53">
        <f>$K$17*$P$16*I17</f>
        <v>0.19433838230303296</v>
      </c>
      <c r="T21" s="53">
        <f>$K$17*$P$16*J17</f>
        <v>0.16802233273050618</v>
      </c>
      <c r="U21" s="53">
        <f>K8^2</f>
        <v>0.23073646458232502</v>
      </c>
    </row>
    <row r="22" spans="2:27">
      <c r="C22" s="47" t="s">
        <v>150</v>
      </c>
      <c r="D22" s="214"/>
      <c r="F22" s="289"/>
      <c r="G22" s="211" t="s">
        <v>152</v>
      </c>
      <c r="H22" s="211" t="s">
        <v>152</v>
      </c>
      <c r="I22" s="211" t="s">
        <v>152</v>
      </c>
      <c r="J22" s="211" t="s">
        <v>152</v>
      </c>
      <c r="K22" s="211" t="s">
        <v>152</v>
      </c>
      <c r="L22" s="206" t="s">
        <v>207</v>
      </c>
      <c r="M22" s="206"/>
    </row>
    <row r="23" spans="2:27">
      <c r="C23" s="47" t="s">
        <v>156</v>
      </c>
      <c r="D23" s="52"/>
      <c r="F23" s="289"/>
      <c r="G23" s="211" t="s">
        <v>195</v>
      </c>
      <c r="H23" s="211" t="s">
        <v>195</v>
      </c>
      <c r="I23" s="211" t="s">
        <v>195</v>
      </c>
      <c r="J23" s="211" t="s">
        <v>195</v>
      </c>
      <c r="K23" s="211" t="s">
        <v>195</v>
      </c>
      <c r="L23" s="206" t="s">
        <v>208</v>
      </c>
      <c r="M23" s="206"/>
      <c r="O23" s="38"/>
      <c r="P23" s="38"/>
      <c r="Q23" s="38"/>
      <c r="R23" s="38"/>
      <c r="S23" s="38"/>
      <c r="T23" s="38"/>
      <c r="U23" s="38"/>
    </row>
    <row r="24" spans="2:27" ht="17.399999999999999">
      <c r="B24" s="38"/>
      <c r="C24" s="47" t="s">
        <v>157</v>
      </c>
      <c r="D24" s="215"/>
      <c r="E24" s="38"/>
      <c r="F24" s="290"/>
      <c r="G24" s="212" t="s">
        <v>196</v>
      </c>
      <c r="H24" s="212" t="s">
        <v>196</v>
      </c>
      <c r="I24" s="212" t="s">
        <v>196</v>
      </c>
      <c r="J24" s="212" t="s">
        <v>196</v>
      </c>
      <c r="K24" s="212" t="s">
        <v>196</v>
      </c>
      <c r="L24" s="206" t="s">
        <v>209</v>
      </c>
      <c r="M24" s="206"/>
      <c r="N24" s="165"/>
      <c r="O24" s="164" t="s">
        <v>41</v>
      </c>
      <c r="P24" s="162" t="str">
        <f t="shared" ref="P24:U24" si="7">P6</f>
        <v>VDE</v>
      </c>
      <c r="Q24" s="162" t="str">
        <f t="shared" si="7"/>
        <v>XOM</v>
      </c>
      <c r="R24" s="162" t="str">
        <f t="shared" si="7"/>
        <v>CVX</v>
      </c>
      <c r="S24" s="162" t="str">
        <f t="shared" si="7"/>
        <v>COP</v>
      </c>
      <c r="T24" s="162" t="str">
        <f t="shared" si="7"/>
        <v>PSX</v>
      </c>
      <c r="U24" s="162" t="str">
        <f t="shared" si="7"/>
        <v>EOG</v>
      </c>
    </row>
    <row r="25" spans="2:27">
      <c r="B25" s="47" t="s">
        <v>154</v>
      </c>
      <c r="C25" s="48" t="s">
        <v>203</v>
      </c>
      <c r="D25" s="69"/>
      <c r="E25" s="198"/>
      <c r="F25" s="263">
        <v>131.69999999999999</v>
      </c>
      <c r="G25" s="261">
        <v>116.24</v>
      </c>
      <c r="H25" s="261">
        <v>157.74</v>
      </c>
      <c r="I25" s="261">
        <v>127.28</v>
      </c>
      <c r="J25" s="261">
        <v>163.34</v>
      </c>
      <c r="K25" s="264">
        <v>127.84</v>
      </c>
      <c r="O25" s="156" t="s">
        <v>31</v>
      </c>
      <c r="P25" s="60"/>
      <c r="Q25" s="51"/>
      <c r="R25" s="51"/>
      <c r="S25" s="51"/>
      <c r="T25" s="51"/>
      <c r="U25" s="51"/>
    </row>
    <row r="26" spans="2:27">
      <c r="C26" s="47" t="s">
        <v>42</v>
      </c>
      <c r="D26" s="52"/>
      <c r="E26" s="198"/>
      <c r="F26" s="264"/>
      <c r="G26" s="261">
        <v>8.89</v>
      </c>
      <c r="H26" s="261">
        <v>11.36</v>
      </c>
      <c r="I26" s="261">
        <v>9.06</v>
      </c>
      <c r="J26" s="261">
        <v>15.48</v>
      </c>
      <c r="K26" s="264">
        <v>13.01</v>
      </c>
      <c r="O26" s="157" t="str">
        <f>Q24</f>
        <v>XOM</v>
      </c>
      <c r="P26" s="54"/>
      <c r="Q26" s="53">
        <v>1</v>
      </c>
      <c r="R26" s="54"/>
      <c r="S26" s="54"/>
      <c r="T26" s="54"/>
      <c r="U26" s="54"/>
      <c r="V26" s="59"/>
      <c r="AA26" s="71"/>
    </row>
    <row r="27" spans="2:27">
      <c r="C27" s="47" t="s">
        <v>43</v>
      </c>
      <c r="D27" s="202">
        <f>F27</f>
        <v>8.44</v>
      </c>
      <c r="F27" s="264">
        <v>8.44</v>
      </c>
      <c r="G27" s="262">
        <v>13.08</v>
      </c>
      <c r="H27" s="262">
        <v>13.89</v>
      </c>
      <c r="I27" s="262">
        <v>14.05</v>
      </c>
      <c r="J27" s="262">
        <v>10.55</v>
      </c>
      <c r="K27" s="264">
        <v>9.83</v>
      </c>
      <c r="O27" s="157" t="str">
        <f>R24</f>
        <v>CVX</v>
      </c>
      <c r="P27" s="54"/>
      <c r="Q27" s="53">
        <f>CORREL(J39:J97,O39:O97)</f>
        <v>0.19202768399094172</v>
      </c>
      <c r="R27" s="53">
        <v>1</v>
      </c>
      <c r="S27" s="54"/>
      <c r="T27" s="54"/>
      <c r="U27" s="54"/>
      <c r="V27" s="59"/>
      <c r="AA27" s="71"/>
    </row>
    <row r="28" spans="2:27">
      <c r="C28" s="47" t="s">
        <v>44</v>
      </c>
      <c r="D28" s="52"/>
      <c r="E28" s="198"/>
      <c r="F28" s="264"/>
      <c r="G28" s="261">
        <v>3.8</v>
      </c>
      <c r="H28" s="261">
        <v>6.52</v>
      </c>
      <c r="I28" s="261">
        <v>3.58</v>
      </c>
      <c r="J28" s="261">
        <v>4.2</v>
      </c>
      <c r="K28" s="264">
        <v>3.64</v>
      </c>
      <c r="O28" s="157" t="str">
        <f>S24</f>
        <v>COP</v>
      </c>
      <c r="P28" s="64"/>
      <c r="Q28" s="53">
        <f>CORREL(J39:J97,T39:T97)</f>
        <v>-9.3488182151532567E-2</v>
      </c>
      <c r="R28" s="53">
        <f>CORREL(O39:O97,T39:T97)</f>
        <v>-0.20570453661590307</v>
      </c>
      <c r="S28" s="63">
        <v>1</v>
      </c>
      <c r="T28" s="64"/>
      <c r="U28" s="64"/>
      <c r="V28" s="59"/>
      <c r="AA28" s="71"/>
    </row>
    <row r="29" spans="2:27">
      <c r="C29" s="47" t="s">
        <v>45</v>
      </c>
      <c r="D29" s="52"/>
      <c r="F29" s="225"/>
      <c r="G29" s="205">
        <v>3.269098417068135E-2</v>
      </c>
      <c r="H29" s="205">
        <v>4.1333840497020408E-2</v>
      </c>
      <c r="I29" s="205">
        <v>2.8126964173475801E-2</v>
      </c>
      <c r="J29" s="205">
        <v>2.5713236194441044E-2</v>
      </c>
      <c r="K29" s="232">
        <v>2.8473091364205255E-2</v>
      </c>
      <c r="O29" s="157" t="str">
        <f>T24</f>
        <v>PSX</v>
      </c>
      <c r="P29" s="54"/>
      <c r="Q29" s="53">
        <f>CORREL(J39:J97,Y39:Y97)</f>
        <v>0.1112512237614397</v>
      </c>
      <c r="R29" s="53">
        <f>CORREL(O39:O97,Y39:Y97)</f>
        <v>9.1510454743956457E-2</v>
      </c>
      <c r="S29" s="53">
        <f>CORREL(T39:T97,Y39:Y97)</f>
        <v>-4.7760081420873575E-2</v>
      </c>
      <c r="T29" s="53">
        <v>1</v>
      </c>
      <c r="U29" s="54"/>
      <c r="V29" s="59"/>
      <c r="AA29" s="71"/>
    </row>
    <row r="30" spans="2:27">
      <c r="C30" s="47" t="s">
        <v>149</v>
      </c>
      <c r="D30" s="52"/>
      <c r="F30" s="225"/>
      <c r="G30" s="206">
        <v>124.73</v>
      </c>
      <c r="H30" s="206">
        <v>176.34</v>
      </c>
      <c r="I30" s="206">
        <v>136.04</v>
      </c>
      <c r="J30" s="206">
        <v>160.08000000000001</v>
      </c>
      <c r="K30" s="225">
        <v>138.34</v>
      </c>
      <c r="O30" s="157" t="str">
        <f>U24</f>
        <v>EOG</v>
      </c>
      <c r="P30" s="54"/>
      <c r="Q30" s="53">
        <f>CORREL(J39:J97,AD39:AD97)</f>
        <v>-6.2087191884492826E-2</v>
      </c>
      <c r="R30" s="53">
        <f>CORREL(O39:O97,AD39:AD97)</f>
        <v>-0.17058042438682475</v>
      </c>
      <c r="S30" s="53">
        <f>CORREL(T39:T97,AD39:AD97)</f>
        <v>0.1849547645234994</v>
      </c>
      <c r="T30" s="53">
        <f>CORREL(Y39:Y97,AD39:AD97)</f>
        <v>-9.8379753353548136E-2</v>
      </c>
      <c r="U30" s="53">
        <v>1</v>
      </c>
      <c r="V30" s="59"/>
      <c r="AA30" s="71"/>
    </row>
    <row r="31" spans="2:27">
      <c r="C31" s="55" t="s">
        <v>148</v>
      </c>
      <c r="D31" s="56"/>
      <c r="E31" s="38"/>
      <c r="F31" s="226"/>
      <c r="G31" s="207">
        <v>7.3038540949759145E-2</v>
      </c>
      <c r="H31" s="207">
        <v>0.11791555724610103</v>
      </c>
      <c r="I31" s="207">
        <v>6.8824638592080323E-2</v>
      </c>
      <c r="J31" s="207">
        <v>-1.9958369046161328E-2</v>
      </c>
      <c r="K31" s="233">
        <v>8.2133917396745915E-2</v>
      </c>
      <c r="O31" s="208"/>
      <c r="P31" s="54"/>
      <c r="V31" s="59"/>
      <c r="AA31" s="71"/>
    </row>
    <row r="32" spans="2:27">
      <c r="B32" s="209" t="s">
        <v>88</v>
      </c>
      <c r="C32" s="45"/>
      <c r="D32" s="45"/>
      <c r="E32" s="45"/>
      <c r="F32" s="227">
        <f>'Security Allocation'!D54</f>
        <v>0</v>
      </c>
      <c r="G32" s="210">
        <f>'Security Allocation'!F54</f>
        <v>0.27815442440399357</v>
      </c>
      <c r="H32" s="210">
        <f>'Security Allocation'!G54</f>
        <v>0.19555899117664644</v>
      </c>
      <c r="I32" s="210">
        <f>'Security Allocation'!H54</f>
        <v>3.7318747665412662E-2</v>
      </c>
      <c r="J32" s="210">
        <f>'Security Allocation'!I54</f>
        <v>0.19715414722388103</v>
      </c>
      <c r="K32" s="227">
        <f>'Security Allocation'!J54</f>
        <v>0.29181368953006614</v>
      </c>
      <c r="O32" s="208"/>
      <c r="P32" s="54"/>
      <c r="V32" s="59"/>
      <c r="AA32" s="71"/>
    </row>
    <row r="33" spans="2:35">
      <c r="O33" s="208"/>
      <c r="P33" s="54"/>
      <c r="V33" s="59"/>
      <c r="AA33" s="71"/>
    </row>
    <row r="34" spans="2:35" ht="22.8">
      <c r="B34" s="35" t="s">
        <v>46</v>
      </c>
      <c r="C34" s="36"/>
      <c r="D34" s="36"/>
      <c r="E34" s="36"/>
    </row>
    <row r="35" spans="2:35" ht="7.95" customHeight="1">
      <c r="B35" s="36"/>
      <c r="C35" s="36"/>
      <c r="D35" s="36"/>
      <c r="E35" s="36"/>
    </row>
    <row r="36" spans="2:35" ht="22.05" customHeight="1">
      <c r="B36" s="72" t="s">
        <v>47</v>
      </c>
      <c r="C36" s="291" t="s">
        <v>186</v>
      </c>
      <c r="D36" s="292"/>
      <c r="E36" s="293"/>
      <c r="F36" s="291" t="s">
        <v>187</v>
      </c>
      <c r="G36" s="294"/>
      <c r="H36" s="294"/>
      <c r="I36" s="294"/>
      <c r="J36" s="293"/>
      <c r="K36" s="291" t="s">
        <v>188</v>
      </c>
      <c r="L36" s="294"/>
      <c r="M36" s="294"/>
      <c r="N36" s="294"/>
      <c r="O36" s="293"/>
      <c r="P36" s="291" t="s">
        <v>189</v>
      </c>
      <c r="Q36" s="294"/>
      <c r="R36" s="294"/>
      <c r="S36" s="294"/>
      <c r="T36" s="293"/>
      <c r="U36" s="291" t="s">
        <v>190</v>
      </c>
      <c r="V36" s="294"/>
      <c r="W36" s="294"/>
      <c r="X36" s="294"/>
      <c r="Y36" s="293"/>
      <c r="Z36" s="291" t="s">
        <v>191</v>
      </c>
      <c r="AA36" s="292"/>
      <c r="AB36" s="292"/>
      <c r="AC36" s="292"/>
      <c r="AD36" s="292"/>
      <c r="AE36" s="292" t="s">
        <v>87</v>
      </c>
      <c r="AF36" s="293"/>
      <c r="AG36" s="291" t="s">
        <v>193</v>
      </c>
      <c r="AH36" s="292"/>
      <c r="AI36" s="292"/>
    </row>
    <row r="37" spans="2:35" s="77" customFormat="1" ht="39.6">
      <c r="B37" s="73" t="s">
        <v>48</v>
      </c>
      <c r="C37" s="74" t="s">
        <v>49</v>
      </c>
      <c r="D37" s="75" t="s">
        <v>50</v>
      </c>
      <c r="E37" s="147" t="s">
        <v>144</v>
      </c>
      <c r="F37" s="74" t="s">
        <v>49</v>
      </c>
      <c r="G37" s="75" t="s">
        <v>50</v>
      </c>
      <c r="H37" s="75" t="s">
        <v>51</v>
      </c>
      <c r="I37" s="75" t="s">
        <v>52</v>
      </c>
      <c r="J37" s="76" t="s">
        <v>53</v>
      </c>
      <c r="K37" s="74" t="s">
        <v>49</v>
      </c>
      <c r="L37" s="75" t="s">
        <v>50</v>
      </c>
      <c r="M37" s="75" t="s">
        <v>51</v>
      </c>
      <c r="N37" s="75" t="s">
        <v>52</v>
      </c>
      <c r="O37" s="76" t="s">
        <v>53</v>
      </c>
      <c r="P37" s="74" t="s">
        <v>49</v>
      </c>
      <c r="Q37" s="75" t="s">
        <v>50</v>
      </c>
      <c r="R37" s="75" t="s">
        <v>51</v>
      </c>
      <c r="S37" s="75" t="s">
        <v>52</v>
      </c>
      <c r="T37" s="76" t="s">
        <v>53</v>
      </c>
      <c r="U37" s="74" t="s">
        <v>49</v>
      </c>
      <c r="V37" s="75" t="s">
        <v>50</v>
      </c>
      <c r="W37" s="75" t="s">
        <v>51</v>
      </c>
      <c r="X37" s="75" t="s">
        <v>52</v>
      </c>
      <c r="Y37" s="76" t="s">
        <v>53</v>
      </c>
      <c r="Z37" s="74" t="s">
        <v>49</v>
      </c>
      <c r="AA37" s="75" t="s">
        <v>50</v>
      </c>
      <c r="AB37" s="75" t="s">
        <v>51</v>
      </c>
      <c r="AC37" s="75" t="s">
        <v>52</v>
      </c>
      <c r="AD37" s="76" t="s">
        <v>53</v>
      </c>
      <c r="AE37" s="197" t="s">
        <v>145</v>
      </c>
      <c r="AF37" s="147" t="s">
        <v>146</v>
      </c>
      <c r="AG37" s="74" t="s">
        <v>49</v>
      </c>
      <c r="AH37" s="75" t="s">
        <v>50</v>
      </c>
      <c r="AI37" s="75" t="s">
        <v>51</v>
      </c>
    </row>
    <row r="38" spans="2:35">
      <c r="B38" s="78">
        <v>43556</v>
      </c>
      <c r="C38" s="79">
        <v>73.325111000000007</v>
      </c>
      <c r="D38" s="80"/>
      <c r="E38" s="81"/>
      <c r="F38" s="79">
        <v>62.273972000000001</v>
      </c>
      <c r="J38" s="52"/>
      <c r="K38" s="79">
        <v>96.272934000000006</v>
      </c>
      <c r="O38" s="52"/>
      <c r="P38" s="79">
        <v>52.592528999999999</v>
      </c>
      <c r="T38" s="52"/>
      <c r="U38" s="194">
        <v>76.204491000000004</v>
      </c>
      <c r="Y38" s="52"/>
      <c r="Z38" s="194">
        <v>76.616425000000007</v>
      </c>
      <c r="AD38" s="52"/>
      <c r="AE38" s="196">
        <f>C38</f>
        <v>73.325111000000007</v>
      </c>
      <c r="AF38" s="81"/>
      <c r="AG38" s="194">
        <v>117.65036000000001</v>
      </c>
      <c r="AH38" s="80"/>
      <c r="AI38" s="80"/>
    </row>
    <row r="39" spans="2:35">
      <c r="B39" s="78">
        <v>43586</v>
      </c>
      <c r="C39" s="79">
        <v>64.744086999999993</v>
      </c>
      <c r="D39" s="82">
        <f>C39/C38-1</f>
        <v>-0.11702708503230241</v>
      </c>
      <c r="E39" s="83">
        <f t="shared" ref="E39:E70" si="8">D39-$E$7/12</f>
        <v>-0.12119375169896908</v>
      </c>
      <c r="F39" s="79">
        <v>54.896960999999997</v>
      </c>
      <c r="G39" s="82">
        <v>-0.11846058253679403</v>
      </c>
      <c r="H39" s="82">
        <f t="shared" ref="H39:H70" si="9">G39-$E$7/12</f>
        <v>-0.1226272492034607</v>
      </c>
      <c r="I39" s="82">
        <f t="shared" ref="I39:I70" si="10">$G$17*E39</f>
        <v>-0.10011376714617246</v>
      </c>
      <c r="J39" s="83">
        <f>H39-$G$13/12-I39</f>
        <v>-2.3800623192522907E-2</v>
      </c>
      <c r="K39" s="79">
        <v>91.293289000000001</v>
      </c>
      <c r="L39" s="82">
        <v>-5.1724246816867603E-2</v>
      </c>
      <c r="M39" s="82">
        <f t="shared" ref="M39:M70" si="11">L39-$E$7/12</f>
        <v>-5.5890913483534269E-2</v>
      </c>
      <c r="N39" s="82">
        <f t="shared" ref="N39:N70" si="12">$H$17*E39</f>
        <v>-9.5108454972837944E-2</v>
      </c>
      <c r="O39" s="83">
        <f t="shared" ref="O39:O70" si="13">M39-$G$13/12-N39</f>
        <v>3.7930400354069013E-2</v>
      </c>
      <c r="P39" s="79">
        <v>49.126358000000003</v>
      </c>
      <c r="Q39" s="82">
        <v>-6.5906148000602793E-2</v>
      </c>
      <c r="R39" s="82">
        <f t="shared" ref="R39:R70" si="14">Q39-$E$7/12</f>
        <v>-7.0072814667269459E-2</v>
      </c>
      <c r="S39" s="82">
        <f>$I$17*E39</f>
        <v>-0.13165411111444095</v>
      </c>
      <c r="T39" s="83">
        <f t="shared" ref="T39:T70" si="15">R39-$I$13/12-S39</f>
        <v>5.5709579328694123E-2</v>
      </c>
      <c r="U39" s="194">
        <v>65.315833999999995</v>
      </c>
      <c r="V39" s="82">
        <v>-0.14288733980258472</v>
      </c>
      <c r="W39" s="82">
        <f t="shared" ref="W39:W70" si="16">V39-$E$7/12</f>
        <v>-0.1470540064692514</v>
      </c>
      <c r="X39" s="82">
        <f t="shared" ref="X39:X70" si="17">$J$17*E39</f>
        <v>-0.11382636101455494</v>
      </c>
      <c r="Y39" s="83">
        <f t="shared" ref="Y39:Y70" si="18">W39-$J$13/12-X39</f>
        <v>-3.776987991420637E-2</v>
      </c>
      <c r="Z39" s="194">
        <v>65.450119000000001</v>
      </c>
      <c r="AA39" s="82">
        <v>-0.14574297874117725</v>
      </c>
      <c r="AB39" s="82">
        <f t="shared" ref="AB39:AB70" si="19">AA39-$E$7/12</f>
        <v>-0.14990964540784393</v>
      </c>
      <c r="AC39" s="82">
        <f t="shared" ref="AC39:AC70" si="20">$K$17*E39</f>
        <v>-0.13979004835121803</v>
      </c>
      <c r="AD39" s="83">
        <f t="shared" ref="AD39:AD70" si="21">AB39-$K$13/12-AC39</f>
        <v>-1.0147056746586502E-2</v>
      </c>
      <c r="AE39" s="195">
        <f t="shared" ref="AE39:AE70" si="22">AE38*(1+AF39)</f>
        <v>64.497331782293614</v>
      </c>
      <c r="AF39" s="83">
        <f t="shared" ref="AF39:AF70" si="23">$F$32*E39+$G$32*H39+$H$32*M39+$I$32*R39+$J$32*W39+$K$32*AB39</f>
        <v>-0.12039230622789515</v>
      </c>
      <c r="AG39" s="194">
        <v>118.77370500000001</v>
      </c>
      <c r="AH39" s="82">
        <f>AG39/AG38-1</f>
        <v>9.5481645785018276E-3</v>
      </c>
      <c r="AI39" s="82">
        <f t="shared" ref="AI39:AI97" si="24">AH39-$E$7/12</f>
        <v>5.381497911835161E-3</v>
      </c>
    </row>
    <row r="40" spans="2:35">
      <c r="B40" s="78">
        <v>43617</v>
      </c>
      <c r="C40" s="79">
        <v>69.881186999999997</v>
      </c>
      <c r="D40" s="82">
        <f t="shared" ref="D40:D96" si="25">C40/C39-1</f>
        <v>7.934469753199247E-2</v>
      </c>
      <c r="E40" s="83">
        <f t="shared" si="8"/>
        <v>7.5178030865325804E-2</v>
      </c>
      <c r="F40" s="79">
        <v>60.123978000000001</v>
      </c>
      <c r="G40" s="82">
        <v>9.5215052068182926E-2</v>
      </c>
      <c r="H40" s="82">
        <f t="shared" si="9"/>
        <v>9.104838540151626E-2</v>
      </c>
      <c r="I40" s="82">
        <f t="shared" si="10"/>
        <v>6.2101847422411427E-2</v>
      </c>
      <c r="J40" s="83">
        <f t="shared" ref="J40:J70" si="26">H40-$G$13/12-I40</f>
        <v>2.7659396843870171E-2</v>
      </c>
      <c r="K40" s="79">
        <v>100.766899</v>
      </c>
      <c r="L40" s="82">
        <v>0.10377115452593677</v>
      </c>
      <c r="M40" s="82">
        <f t="shared" si="11"/>
        <v>9.9604487859270105E-2</v>
      </c>
      <c r="N40" s="82">
        <f t="shared" si="12"/>
        <v>5.8996988403010896E-2</v>
      </c>
      <c r="O40" s="83">
        <f t="shared" si="13"/>
        <v>3.9320358321024547E-2</v>
      </c>
      <c r="P40" s="79">
        <v>51.079265999999997</v>
      </c>
      <c r="Q40" s="82">
        <v>3.9752753501490767E-2</v>
      </c>
      <c r="R40" s="82">
        <f t="shared" si="14"/>
        <v>3.5586086834824102E-2</v>
      </c>
      <c r="S40" s="82">
        <f t="shared" ref="S40:S71" si="27">$G$17*O40</f>
        <v>3.2481123340689533E-2</v>
      </c>
      <c r="T40" s="83">
        <f t="shared" si="15"/>
        <v>-2.7667536243427999E-3</v>
      </c>
      <c r="U40" s="194">
        <v>76.393012999999996</v>
      </c>
      <c r="V40" s="82">
        <v>0.16959408341934368</v>
      </c>
      <c r="W40" s="82">
        <f t="shared" si="16"/>
        <v>0.165427416752677</v>
      </c>
      <c r="X40" s="82">
        <f t="shared" si="17"/>
        <v>7.0607944400426711E-2</v>
      </c>
      <c r="Y40" s="83">
        <f t="shared" si="18"/>
        <v>9.0277237892740378E-2</v>
      </c>
      <c r="Z40" s="194">
        <v>74.466697999999994</v>
      </c>
      <c r="AA40" s="82">
        <v>0.13776260666539031</v>
      </c>
      <c r="AB40" s="82">
        <f t="shared" si="19"/>
        <v>0.13359593999872363</v>
      </c>
      <c r="AC40" s="82">
        <f t="shared" si="20"/>
        <v>8.6713551006463732E-2</v>
      </c>
      <c r="AD40" s="83">
        <f t="shared" si="21"/>
        <v>4.68549293022993E-2</v>
      </c>
      <c r="AE40" s="195">
        <f t="shared" si="22"/>
        <v>72.090726360600001</v>
      </c>
      <c r="AF40" s="83">
        <f t="shared" si="23"/>
        <v>0.11773191802627386</v>
      </c>
      <c r="AG40" s="194">
        <v>119.089203</v>
      </c>
      <c r="AH40" s="82">
        <f t="shared" ref="AH40:AH94" si="28">AG40/AG39-1</f>
        <v>2.656295010751597E-3</v>
      </c>
      <c r="AI40" s="82">
        <f t="shared" si="24"/>
        <v>-1.5103716559150696E-3</v>
      </c>
    </row>
    <row r="41" spans="2:35">
      <c r="B41" s="78">
        <v>43647</v>
      </c>
      <c r="C41" s="79">
        <v>68.753082000000006</v>
      </c>
      <c r="D41" s="82">
        <f t="shared" si="25"/>
        <v>-1.6143186005125987E-2</v>
      </c>
      <c r="E41" s="83">
        <f t="shared" si="8"/>
        <v>-2.0309852671792653E-2</v>
      </c>
      <c r="F41" s="79">
        <v>58.342934</v>
      </c>
      <c r="G41" s="82">
        <v>-2.9622856957335797E-2</v>
      </c>
      <c r="H41" s="82">
        <f t="shared" si="9"/>
        <v>-3.3789523624002463E-2</v>
      </c>
      <c r="I41" s="82">
        <f t="shared" si="10"/>
        <v>-1.6777233418826608E-2</v>
      </c>
      <c r="J41" s="83">
        <f t="shared" si="26"/>
        <v>-1.8299431340410517E-2</v>
      </c>
      <c r="K41" s="79">
        <v>99.689910999999995</v>
      </c>
      <c r="L41" s="82">
        <v>-1.0687914490650319E-2</v>
      </c>
      <c r="M41" s="82">
        <f t="shared" si="11"/>
        <v>-1.4854581157316984E-2</v>
      </c>
      <c r="N41" s="82">
        <f t="shared" si="12"/>
        <v>-1.5938434789428135E-2</v>
      </c>
      <c r="O41" s="83">
        <f t="shared" si="13"/>
        <v>-2.0328750312351151E-4</v>
      </c>
      <c r="P41" s="79">
        <v>49.471535000000003</v>
      </c>
      <c r="Q41" s="82">
        <v>-3.1475217361189078E-2</v>
      </c>
      <c r="R41" s="82">
        <f t="shared" si="14"/>
        <v>-3.5641884027855744E-2</v>
      </c>
      <c r="S41" s="82">
        <f t="shared" si="27"/>
        <v>-1.6792844074986382E-4</v>
      </c>
      <c r="T41" s="83">
        <f t="shared" si="15"/>
        <v>-4.1345672705583245E-2</v>
      </c>
      <c r="U41" s="194">
        <v>83.759551999999999</v>
      </c>
      <c r="V41" s="82">
        <v>9.642948629346515E-2</v>
      </c>
      <c r="W41" s="82">
        <f t="shared" si="16"/>
        <v>9.2262819626798484E-2</v>
      </c>
      <c r="X41" s="82">
        <f t="shared" si="17"/>
        <v>-1.9075212954163864E-2</v>
      </c>
      <c r="Y41" s="83">
        <f t="shared" si="18"/>
        <v>0.10679579812145246</v>
      </c>
      <c r="Z41" s="194">
        <v>68.623497</v>
      </c>
      <c r="AA41" s="82">
        <v>-7.8467303599254468E-2</v>
      </c>
      <c r="AB41" s="82">
        <f t="shared" si="19"/>
        <v>-8.2633970265921133E-2</v>
      </c>
      <c r="AC41" s="82">
        <f t="shared" si="20"/>
        <v>-2.3426251330580437E-2</v>
      </c>
      <c r="AD41" s="83">
        <f t="shared" si="21"/>
        <v>-5.9235178625301296E-2</v>
      </c>
      <c r="AE41" s="195">
        <f t="shared" si="22"/>
        <v>70.680812765867188</v>
      </c>
      <c r="AF41" s="83">
        <f t="shared" si="23"/>
        <v>-1.9557489096175551E-2</v>
      </c>
      <c r="AG41" s="194">
        <v>132.24369799999999</v>
      </c>
      <c r="AH41" s="82">
        <f t="shared" si="28"/>
        <v>0.11045917403612138</v>
      </c>
      <c r="AI41" s="82">
        <f t="shared" si="24"/>
        <v>0.10629250736945471</v>
      </c>
    </row>
    <row r="42" spans="2:35">
      <c r="B42" s="78">
        <v>43678</v>
      </c>
      <c r="C42" s="79">
        <v>62.761944</v>
      </c>
      <c r="D42" s="82">
        <f t="shared" si="25"/>
        <v>-8.713991905119256E-2</v>
      </c>
      <c r="E42" s="83">
        <f t="shared" si="8"/>
        <v>-9.1306585717859226E-2</v>
      </c>
      <c r="F42" s="79">
        <v>53.729477000000003</v>
      </c>
      <c r="G42" s="82">
        <v>-7.9074819925922801E-2</v>
      </c>
      <c r="H42" s="82">
        <f t="shared" si="9"/>
        <v>-8.3241486592589467E-2</v>
      </c>
      <c r="I42" s="82">
        <f t="shared" si="10"/>
        <v>-7.5425062210922142E-2</v>
      </c>
      <c r="J42" s="83">
        <f t="shared" si="26"/>
        <v>-9.1035655169019875E-3</v>
      </c>
      <c r="K42" s="79">
        <v>95.325301999999994</v>
      </c>
      <c r="L42" s="82">
        <v>-4.3781852709247615E-2</v>
      </c>
      <c r="M42" s="82">
        <f t="shared" si="11"/>
        <v>-4.7948519375914281E-2</v>
      </c>
      <c r="N42" s="82">
        <f t="shared" si="12"/>
        <v>-7.1654092514939885E-2</v>
      </c>
      <c r="O42" s="83">
        <f t="shared" si="13"/>
        <v>2.2418432003790942E-2</v>
      </c>
      <c r="P42" s="79">
        <v>43.915768</v>
      </c>
      <c r="Q42" s="82">
        <v>-0.11230229666413227</v>
      </c>
      <c r="R42" s="82">
        <f t="shared" si="14"/>
        <v>-0.11646896333079894</v>
      </c>
      <c r="S42" s="82">
        <f t="shared" si="27"/>
        <v>1.8519054406242286E-2</v>
      </c>
      <c r="T42" s="83">
        <f t="shared" si="15"/>
        <v>-0.14085973485551859</v>
      </c>
      <c r="U42" s="194">
        <v>80.549957000000006</v>
      </c>
      <c r="V42" s="82">
        <v>-3.8319151945798269E-2</v>
      </c>
      <c r="W42" s="82">
        <f t="shared" si="16"/>
        <v>-4.2485818612464935E-2</v>
      </c>
      <c r="X42" s="82">
        <f t="shared" si="17"/>
        <v>-8.5756041406678044E-2</v>
      </c>
      <c r="Y42" s="83">
        <f t="shared" si="18"/>
        <v>3.8727988334703208E-2</v>
      </c>
      <c r="Z42" s="194">
        <v>59.496257999999997</v>
      </c>
      <c r="AA42" s="82">
        <v>-0.13300457422040157</v>
      </c>
      <c r="AB42" s="82">
        <f t="shared" si="19"/>
        <v>-0.13717124088706825</v>
      </c>
      <c r="AC42" s="82">
        <f t="shared" si="20"/>
        <v>-0.10531691488508271</v>
      </c>
      <c r="AD42" s="83">
        <f t="shared" si="21"/>
        <v>-3.1881785691946135E-2</v>
      </c>
      <c r="AE42" s="195">
        <f t="shared" si="22"/>
        <v>64.653016712805652</v>
      </c>
      <c r="AF42" s="83">
        <f t="shared" si="23"/>
        <v>-8.5281928958978306E-2</v>
      </c>
      <c r="AG42" s="194">
        <v>128.728149</v>
      </c>
      <c r="AH42" s="82">
        <f t="shared" si="28"/>
        <v>-2.6583867913312575E-2</v>
      </c>
      <c r="AI42" s="82">
        <f t="shared" si="24"/>
        <v>-3.0750534579979241E-2</v>
      </c>
    </row>
    <row r="43" spans="2:35">
      <c r="B43" s="78">
        <v>43709</v>
      </c>
      <c r="C43" s="79">
        <v>64.651283000000006</v>
      </c>
      <c r="D43" s="82">
        <f t="shared" si="25"/>
        <v>3.0103258114503317E-2</v>
      </c>
      <c r="E43" s="83">
        <f t="shared" si="8"/>
        <v>2.5936591447836652E-2</v>
      </c>
      <c r="F43" s="79">
        <v>56.08952</v>
      </c>
      <c r="G43" s="82">
        <v>4.3924548158173815E-2</v>
      </c>
      <c r="H43" s="82">
        <f t="shared" si="9"/>
        <v>3.9757881491507149E-2</v>
      </c>
      <c r="I43" s="82">
        <f t="shared" si="10"/>
        <v>2.1425278451844595E-2</v>
      </c>
      <c r="J43" s="83">
        <f t="shared" si="26"/>
        <v>1.7045461904427892E-2</v>
      </c>
      <c r="K43" s="79">
        <v>97.025146000000007</v>
      </c>
      <c r="L43" s="82">
        <v>1.7832033723848228E-2</v>
      </c>
      <c r="M43" s="82">
        <f t="shared" si="11"/>
        <v>1.3665367057181563E-2</v>
      </c>
      <c r="N43" s="82">
        <f t="shared" si="12"/>
        <v>2.0354095036125938E-2</v>
      </c>
      <c r="O43" s="83">
        <f t="shared" si="13"/>
        <v>-7.9758691141790395E-3</v>
      </c>
      <c r="P43" s="79">
        <v>47.955547000000003</v>
      </c>
      <c r="Q43" s="82">
        <v>9.1989259985160832E-2</v>
      </c>
      <c r="R43" s="82">
        <f t="shared" si="14"/>
        <v>8.7822593318494166E-2</v>
      </c>
      <c r="S43" s="82">
        <f t="shared" si="27"/>
        <v>-6.5885764908791208E-3</v>
      </c>
      <c r="T43" s="83">
        <f t="shared" si="15"/>
        <v>8.8539452690895915E-2</v>
      </c>
      <c r="U43" s="194">
        <v>84.397469000000001</v>
      </c>
      <c r="V43" s="82">
        <v>4.7765537602955987E-2</v>
      </c>
      <c r="W43" s="82">
        <f t="shared" si="16"/>
        <v>4.3598870936289322E-2</v>
      </c>
      <c r="X43" s="82">
        <f t="shared" si="17"/>
        <v>2.4359901234525329E-2</v>
      </c>
      <c r="Y43" s="83">
        <f t="shared" si="18"/>
        <v>1.4696735242254091E-2</v>
      </c>
      <c r="Z43" s="194">
        <v>59.520302000000001</v>
      </c>
      <c r="AA43" s="82">
        <v>4.0412625614205666E-4</v>
      </c>
      <c r="AB43" s="82">
        <f t="shared" si="19"/>
        <v>-3.7625404105246099E-3</v>
      </c>
      <c r="AC43" s="82">
        <f t="shared" si="20"/>
        <v>2.9916372104435106E-2</v>
      </c>
      <c r="AD43" s="83">
        <f t="shared" si="21"/>
        <v>-3.3706372204920308E-2</v>
      </c>
      <c r="AE43" s="195">
        <f t="shared" si="22"/>
        <v>66.237428280305252</v>
      </c>
      <c r="AF43" s="83">
        <f t="shared" si="23"/>
        <v>2.450638265709542E-2</v>
      </c>
      <c r="AG43" s="194">
        <v>127.29744700000001</v>
      </c>
      <c r="AH43" s="82">
        <f t="shared" si="28"/>
        <v>-1.1114134795801367E-2</v>
      </c>
      <c r="AI43" s="82">
        <f t="shared" si="24"/>
        <v>-1.5280801462468033E-2</v>
      </c>
    </row>
    <row r="44" spans="2:35">
      <c r="B44" s="78">
        <v>43739</v>
      </c>
      <c r="C44" s="79">
        <v>63.485069000000003</v>
      </c>
      <c r="D44" s="82">
        <f t="shared" si="25"/>
        <v>-1.8038528330520553E-2</v>
      </c>
      <c r="E44" s="83">
        <f t="shared" si="8"/>
        <v>-2.2205194997187219E-2</v>
      </c>
      <c r="F44" s="79">
        <v>53.674675000000001</v>
      </c>
      <c r="G44" s="82">
        <v>-4.3053408194614562E-2</v>
      </c>
      <c r="H44" s="82">
        <f t="shared" si="9"/>
        <v>-4.7220074861281228E-2</v>
      </c>
      <c r="I44" s="82">
        <f t="shared" si="10"/>
        <v>-1.8342907041161139E-2</v>
      </c>
      <c r="J44" s="83">
        <f t="shared" si="26"/>
        <v>-3.0164308955354751E-2</v>
      </c>
      <c r="K44" s="79">
        <v>95.012634000000006</v>
      </c>
      <c r="L44" s="82">
        <v>-2.0742169251670051E-2</v>
      </c>
      <c r="M44" s="82">
        <f t="shared" si="11"/>
        <v>-2.4908835918336716E-2</v>
      </c>
      <c r="N44" s="82">
        <f t="shared" si="12"/>
        <v>-1.7425830613766138E-2</v>
      </c>
      <c r="O44" s="83">
        <f t="shared" si="13"/>
        <v>-8.7701464398052403E-3</v>
      </c>
      <c r="P44" s="79">
        <v>46.457470000000001</v>
      </c>
      <c r="Q44" s="82">
        <v>-3.123886794576658E-2</v>
      </c>
      <c r="R44" s="82">
        <f t="shared" si="14"/>
        <v>-3.5405534612433245E-2</v>
      </c>
      <c r="S44" s="82">
        <f t="shared" si="27"/>
        <v>-7.2447002110585202E-3</v>
      </c>
      <c r="T44" s="83">
        <f t="shared" si="15"/>
        <v>-3.4032551519852093E-2</v>
      </c>
      <c r="U44" s="194">
        <v>96.282325999999998</v>
      </c>
      <c r="V44" s="82">
        <v>0.14082006416566828</v>
      </c>
      <c r="W44" s="82">
        <f t="shared" si="16"/>
        <v>0.1366533974990016</v>
      </c>
      <c r="X44" s="82">
        <f t="shared" si="17"/>
        <v>-2.0855337067430035E-2</v>
      </c>
      <c r="Y44" s="83">
        <f t="shared" si="18"/>
        <v>0.15296650010692173</v>
      </c>
      <c r="Z44" s="194">
        <v>55.582763999999997</v>
      </c>
      <c r="AA44" s="82">
        <v>-6.6154536648688422E-2</v>
      </c>
      <c r="AB44" s="82">
        <f t="shared" si="19"/>
        <v>-7.0321203315355088E-2</v>
      </c>
      <c r="AC44" s="82">
        <f t="shared" si="20"/>
        <v>-2.5612420102441885E-2</v>
      </c>
      <c r="AD44" s="83">
        <f t="shared" si="21"/>
        <v>-4.4736242902873799E-2</v>
      </c>
      <c r="AE44" s="195">
        <f t="shared" si="22"/>
        <v>65.382580250296144</v>
      </c>
      <c r="AF44" s="83">
        <f t="shared" si="23"/>
        <v>-1.2905815521574132E-2</v>
      </c>
      <c r="AG44" s="194">
        <v>126.779922</v>
      </c>
      <c r="AH44" s="82">
        <f t="shared" si="28"/>
        <v>-4.0654782338250817E-3</v>
      </c>
      <c r="AI44" s="82">
        <f t="shared" si="24"/>
        <v>-8.2321449004917474E-3</v>
      </c>
    </row>
    <row r="45" spans="2:35">
      <c r="B45" s="78">
        <v>43770</v>
      </c>
      <c r="C45" s="79">
        <v>64.170310999999998</v>
      </c>
      <c r="D45" s="82">
        <f t="shared" si="25"/>
        <v>1.0793750574642935E-2</v>
      </c>
      <c r="E45" s="83">
        <f t="shared" si="8"/>
        <v>6.6270839079762686E-3</v>
      </c>
      <c r="F45" s="79">
        <v>54.119511000000003</v>
      </c>
      <c r="G45" s="82">
        <v>8.2876328547867306E-3</v>
      </c>
      <c r="H45" s="82">
        <f t="shared" si="9"/>
        <v>4.120966188120064E-3</v>
      </c>
      <c r="I45" s="82">
        <f t="shared" si="10"/>
        <v>5.4743939016694901E-3</v>
      </c>
      <c r="J45" s="83">
        <f t="shared" si="26"/>
        <v>-2.6405688487840901E-3</v>
      </c>
      <c r="K45" s="79">
        <v>95.822563000000002</v>
      </c>
      <c r="L45" s="82">
        <v>8.5244347609603199E-3</v>
      </c>
      <c r="M45" s="82">
        <f t="shared" si="11"/>
        <v>4.3577680942936533E-3</v>
      </c>
      <c r="N45" s="82">
        <f t="shared" si="12"/>
        <v>5.2006947769762078E-3</v>
      </c>
      <c r="O45" s="83">
        <f t="shared" si="13"/>
        <v>-2.1300678179172186E-3</v>
      </c>
      <c r="P45" s="79">
        <v>50.828293000000002</v>
      </c>
      <c r="Q45" s="82">
        <v>9.408224339379645E-2</v>
      </c>
      <c r="R45" s="82">
        <f t="shared" si="14"/>
        <v>8.9915576727129784E-2</v>
      </c>
      <c r="S45" s="82">
        <f t="shared" si="27"/>
        <v>-1.7595718470553303E-3</v>
      </c>
      <c r="T45" s="83">
        <f t="shared" si="15"/>
        <v>8.5803431455707749E-2</v>
      </c>
      <c r="U45" s="194">
        <v>94.551536999999996</v>
      </c>
      <c r="V45" s="82">
        <v>-1.7976185992847782E-2</v>
      </c>
      <c r="W45" s="82">
        <f t="shared" si="16"/>
        <v>-2.2142852659514448E-2</v>
      </c>
      <c r="X45" s="82">
        <f t="shared" si="17"/>
        <v>6.2242222458525559E-3</v>
      </c>
      <c r="Y45" s="83">
        <f t="shared" si="18"/>
        <v>-3.2909309364876904E-2</v>
      </c>
      <c r="Z45" s="194">
        <v>57.095306000000001</v>
      </c>
      <c r="AA45" s="82">
        <v>2.7212428658639709E-2</v>
      </c>
      <c r="AB45" s="82">
        <f t="shared" si="19"/>
        <v>2.3045761991973043E-2</v>
      </c>
      <c r="AC45" s="82">
        <f t="shared" si="20"/>
        <v>7.6439615651527175E-3</v>
      </c>
      <c r="AD45" s="83">
        <f t="shared" si="21"/>
        <v>1.537434073685973E-2</v>
      </c>
      <c r="AE45" s="195">
        <f t="shared" si="22"/>
        <v>65.886909831213785</v>
      </c>
      <c r="AF45" s="83">
        <f t="shared" si="23"/>
        <v>7.7135160311353106E-3</v>
      </c>
      <c r="AG45" s="194">
        <v>122.533226</v>
      </c>
      <c r="AH45" s="82">
        <f t="shared" si="28"/>
        <v>-3.3496597355533897E-2</v>
      </c>
      <c r="AI45" s="82">
        <f t="shared" si="24"/>
        <v>-3.7663264022200563E-2</v>
      </c>
    </row>
    <row r="46" spans="2:35">
      <c r="B46" s="78">
        <v>43800</v>
      </c>
      <c r="C46" s="79">
        <v>68.097915999999998</v>
      </c>
      <c r="D46" s="82">
        <f t="shared" si="25"/>
        <v>6.1205952391285789E-2</v>
      </c>
      <c r="E46" s="83">
        <f t="shared" si="8"/>
        <v>5.7039285724619124E-2</v>
      </c>
      <c r="F46" s="79">
        <v>56.098689999999998</v>
      </c>
      <c r="G46" s="82">
        <v>3.6570526293188355E-2</v>
      </c>
      <c r="H46" s="82">
        <f t="shared" si="9"/>
        <v>3.2403859626521689E-2</v>
      </c>
      <c r="I46" s="82">
        <f t="shared" si="10"/>
        <v>4.7118087270724307E-2</v>
      </c>
      <c r="J46" s="83">
        <f t="shared" si="26"/>
        <v>-1.6001368779437281E-2</v>
      </c>
      <c r="K46" s="79">
        <v>99.559119999999993</v>
      </c>
      <c r="L46" s="82">
        <v>3.8994542444037883E-2</v>
      </c>
      <c r="M46" s="82">
        <f t="shared" si="11"/>
        <v>3.4827875777371217E-2</v>
      </c>
      <c r="N46" s="82">
        <f t="shared" si="12"/>
        <v>4.4762359956457415E-2</v>
      </c>
      <c r="O46" s="83">
        <f t="shared" si="13"/>
        <v>-1.122162531432086E-2</v>
      </c>
      <c r="P46" s="79">
        <v>55.144547000000003</v>
      </c>
      <c r="Q46" s="82">
        <v>8.4918334755015312E-2</v>
      </c>
      <c r="R46" s="82">
        <f t="shared" si="14"/>
        <v>8.0751668088348647E-2</v>
      </c>
      <c r="S46" s="82">
        <f t="shared" si="27"/>
        <v>-9.2697780864974197E-3</v>
      </c>
      <c r="T46" s="83">
        <f t="shared" si="15"/>
        <v>8.4149729056368694E-2</v>
      </c>
      <c r="U46" s="194">
        <v>92.520599000000004</v>
      </c>
      <c r="V46" s="82">
        <v>-2.1479693132857136E-2</v>
      </c>
      <c r="W46" s="82">
        <f t="shared" si="16"/>
        <v>-2.5646359799523802E-2</v>
      </c>
      <c r="X46" s="82">
        <f t="shared" si="17"/>
        <v>5.3571856947127371E-2</v>
      </c>
      <c r="Y46" s="83">
        <f t="shared" si="18"/>
        <v>-8.3760451206161074E-2</v>
      </c>
      <c r="Z46" s="194">
        <v>67.451385000000002</v>
      </c>
      <c r="AA46" s="82">
        <v>0.18138231888975254</v>
      </c>
      <c r="AB46" s="82">
        <f t="shared" si="19"/>
        <v>0.17721565222308586</v>
      </c>
      <c r="AC46" s="82">
        <f t="shared" si="20"/>
        <v>6.5791547811546738E-2</v>
      </c>
      <c r="AD46" s="83">
        <f t="shared" si="21"/>
        <v>0.11139664472157852</v>
      </c>
      <c r="AE46" s="195">
        <f t="shared" si="22"/>
        <v>70.202199307271016</v>
      </c>
      <c r="AF46" s="83">
        <f t="shared" si="23"/>
        <v>6.5495399421705278E-2</v>
      </c>
      <c r="AG46" s="194">
        <v>132.39579800000001</v>
      </c>
      <c r="AH46" s="82">
        <f t="shared" si="28"/>
        <v>8.0488960602408399E-2</v>
      </c>
      <c r="AI46" s="82">
        <f t="shared" si="24"/>
        <v>7.6322293935741733E-2</v>
      </c>
    </row>
    <row r="47" spans="2:35">
      <c r="B47" s="78">
        <v>43831</v>
      </c>
      <c r="C47" s="79">
        <v>60.638278999999997</v>
      </c>
      <c r="D47" s="82">
        <f t="shared" si="25"/>
        <v>-0.10954280891650192</v>
      </c>
      <c r="E47" s="83">
        <f t="shared" si="8"/>
        <v>-0.11370947558316859</v>
      </c>
      <c r="F47" s="79">
        <v>49.940528999999998</v>
      </c>
      <c r="G47" s="82">
        <v>-0.10977370416314536</v>
      </c>
      <c r="H47" s="82">
        <f t="shared" si="9"/>
        <v>-0.11394037082981202</v>
      </c>
      <c r="I47" s="82">
        <f t="shared" si="10"/>
        <v>-9.3931277819692738E-2</v>
      </c>
      <c r="J47" s="83">
        <f t="shared" si="26"/>
        <v>-2.1296234145353948E-2</v>
      </c>
      <c r="K47" s="79">
        <v>88.513519000000002</v>
      </c>
      <c r="L47" s="82">
        <v>-0.1109451449550779</v>
      </c>
      <c r="M47" s="82">
        <f t="shared" si="11"/>
        <v>-0.11511181162174457</v>
      </c>
      <c r="N47" s="82">
        <f t="shared" si="12"/>
        <v>-8.9235066881577521E-2</v>
      </c>
      <c r="O47" s="83">
        <f t="shared" si="13"/>
        <v>-2.7163885875401708E-2</v>
      </c>
      <c r="P47" s="79">
        <v>50.395823999999998</v>
      </c>
      <c r="Q47" s="82">
        <v>-8.6114099368701069E-2</v>
      </c>
      <c r="R47" s="82">
        <f t="shared" si="14"/>
        <v>-9.0280766035367735E-2</v>
      </c>
      <c r="S47" s="82">
        <f t="shared" si="27"/>
        <v>-2.2439101910715936E-2</v>
      </c>
      <c r="T47" s="83">
        <f t="shared" si="15"/>
        <v>-7.3713381243129164E-2</v>
      </c>
      <c r="U47" s="194">
        <v>75.878356999999994</v>
      </c>
      <c r="V47" s="82">
        <v>-0.17987607278677487</v>
      </c>
      <c r="W47" s="82">
        <f t="shared" si="16"/>
        <v>-0.18404273945344155</v>
      </c>
      <c r="X47" s="82">
        <f t="shared" si="17"/>
        <v>-0.10679705543446401</v>
      </c>
      <c r="Y47" s="83">
        <f t="shared" si="18"/>
        <v>-8.1787918478487445E-2</v>
      </c>
      <c r="Z47" s="194">
        <v>58.713943</v>
      </c>
      <c r="AA47" s="82">
        <v>-0.12953688052513679</v>
      </c>
      <c r="AB47" s="82">
        <f t="shared" si="19"/>
        <v>-0.13370354719180347</v>
      </c>
      <c r="AC47" s="82">
        <f t="shared" si="20"/>
        <v>-0.13115736469026229</v>
      </c>
      <c r="AD47" s="83">
        <f t="shared" si="21"/>
        <v>-2.5736421915017738E-3</v>
      </c>
      <c r="AE47" s="195">
        <f t="shared" si="22"/>
        <v>60.87410679226533</v>
      </c>
      <c r="AF47" s="83">
        <f t="shared" si="23"/>
        <v>-0.1328746479035102</v>
      </c>
      <c r="AG47" s="194">
        <v>140.93478400000001</v>
      </c>
      <c r="AH47" s="82">
        <f t="shared" si="28"/>
        <v>6.4495898880416069E-2</v>
      </c>
      <c r="AI47" s="82">
        <f t="shared" si="24"/>
        <v>6.0329232213749404E-2</v>
      </c>
    </row>
    <row r="48" spans="2:35" s="70" customFormat="1" ht="18">
      <c r="B48" s="78">
        <v>43862</v>
      </c>
      <c r="C48" s="79">
        <v>51.576706000000001</v>
      </c>
      <c r="D48" s="82">
        <f t="shared" si="25"/>
        <v>-0.14943651352638154</v>
      </c>
      <c r="E48" s="83">
        <f t="shared" si="8"/>
        <v>-0.15360318019304822</v>
      </c>
      <c r="F48" s="79">
        <v>41.354492</v>
      </c>
      <c r="G48" s="82">
        <v>-0.17192523130862303</v>
      </c>
      <c r="H48" s="82">
        <f t="shared" si="9"/>
        <v>-0.17609189797528971</v>
      </c>
      <c r="I48" s="82">
        <f t="shared" si="10"/>
        <v>-0.12688602175593189</v>
      </c>
      <c r="J48" s="83">
        <f t="shared" si="26"/>
        <v>-5.0493017354592495E-2</v>
      </c>
      <c r="K48" s="79">
        <v>77.112656000000001</v>
      </c>
      <c r="L48" s="82">
        <v>-0.12880363506957626</v>
      </c>
      <c r="M48" s="82">
        <f t="shared" si="11"/>
        <v>-0.13297030173624294</v>
      </c>
      <c r="N48" s="82">
        <f t="shared" si="12"/>
        <v>-0.12054219745059275</v>
      </c>
      <c r="O48" s="83">
        <f t="shared" si="13"/>
        <v>-1.371524542088487E-2</v>
      </c>
      <c r="P48" s="79">
        <v>41.059494000000001</v>
      </c>
      <c r="Q48" s="82">
        <v>-0.18525999297084605</v>
      </c>
      <c r="R48" s="82">
        <f t="shared" si="14"/>
        <v>-0.18942665963751273</v>
      </c>
      <c r="S48" s="82">
        <f t="shared" si="27"/>
        <v>-1.1329667306856347E-2</v>
      </c>
      <c r="T48" s="83">
        <f t="shared" si="15"/>
        <v>-0.18396870944913374</v>
      </c>
      <c r="U48" s="194">
        <v>62.167614</v>
      </c>
      <c r="V48" s="82">
        <v>-0.18069372535306738</v>
      </c>
      <c r="W48" s="82">
        <f t="shared" si="16"/>
        <v>-0.18486039201973406</v>
      </c>
      <c r="X48" s="82">
        <f t="shared" si="17"/>
        <v>-0.14426561432858398</v>
      </c>
      <c r="Y48" s="83">
        <f t="shared" si="18"/>
        <v>-4.5137012150659989E-2</v>
      </c>
      <c r="Z48" s="194">
        <v>51.112568000000003</v>
      </c>
      <c r="AA48" s="82">
        <v>-0.12946456346834001</v>
      </c>
      <c r="AB48" s="82">
        <f t="shared" si="19"/>
        <v>-0.13363123013500669</v>
      </c>
      <c r="AC48" s="82">
        <f t="shared" si="20"/>
        <v>-0.17717246710392676</v>
      </c>
      <c r="AD48" s="83">
        <f t="shared" si="21"/>
        <v>4.351377727895947E-2</v>
      </c>
      <c r="AE48" s="195">
        <f t="shared" si="22"/>
        <v>51.286747893035844</v>
      </c>
      <c r="AF48" s="83">
        <f t="shared" si="23"/>
        <v>-0.15749485954589243</v>
      </c>
      <c r="AG48" s="194">
        <v>149.94944799999999</v>
      </c>
      <c r="AH48" s="82">
        <f t="shared" si="28"/>
        <v>6.3963371881280873E-2</v>
      </c>
      <c r="AI48" s="82">
        <f t="shared" si="24"/>
        <v>5.9796705214614207E-2</v>
      </c>
    </row>
    <row r="49" spans="2:35">
      <c r="B49" s="78">
        <v>43891</v>
      </c>
      <c r="C49" s="79">
        <v>32.247036000000001</v>
      </c>
      <c r="D49" s="82">
        <f t="shared" si="25"/>
        <v>-0.37477519405756543</v>
      </c>
      <c r="E49" s="83">
        <f t="shared" si="8"/>
        <v>-0.37894186072423208</v>
      </c>
      <c r="F49" s="79">
        <v>30.963709000000001</v>
      </c>
      <c r="G49" s="82">
        <v>-0.25126128982554052</v>
      </c>
      <c r="H49" s="82">
        <f t="shared" si="9"/>
        <v>-0.25542795649220718</v>
      </c>
      <c r="I49" s="82">
        <f t="shared" si="10"/>
        <v>-0.31303014119667522</v>
      </c>
      <c r="J49" s="83">
        <f t="shared" si="26"/>
        <v>5.6315043569233392E-2</v>
      </c>
      <c r="K49" s="79">
        <v>60.562362999999998</v>
      </c>
      <c r="L49" s="82">
        <v>-0.21462486002297732</v>
      </c>
      <c r="M49" s="82">
        <f t="shared" si="11"/>
        <v>-0.21879152668964399</v>
      </c>
      <c r="N49" s="82">
        <f t="shared" si="12"/>
        <v>-0.29737981036790223</v>
      </c>
      <c r="O49" s="83">
        <f t="shared" si="13"/>
        <v>7.730114254302356E-2</v>
      </c>
      <c r="P49" s="79">
        <v>26.302835000000002</v>
      </c>
      <c r="Q49" s="82">
        <v>-0.35939700084954773</v>
      </c>
      <c r="R49" s="82">
        <f t="shared" si="14"/>
        <v>-0.36356366751621438</v>
      </c>
      <c r="S49" s="82">
        <f t="shared" si="27"/>
        <v>6.3855673054068654E-2</v>
      </c>
      <c r="T49" s="83">
        <f t="shared" si="15"/>
        <v>-0.43329105768876042</v>
      </c>
      <c r="U49" s="194">
        <v>45.002056000000003</v>
      </c>
      <c r="V49" s="82">
        <v>-0.27611736876374249</v>
      </c>
      <c r="W49" s="82">
        <f t="shared" si="16"/>
        <v>-0.28028403543040914</v>
      </c>
      <c r="X49" s="82">
        <f t="shared" si="17"/>
        <v>-0.35590591460079829</v>
      </c>
      <c r="Y49" s="83">
        <f t="shared" si="18"/>
        <v>7.1079644710879242E-2</v>
      </c>
      <c r="Z49" s="194">
        <v>29.022497000000001</v>
      </c>
      <c r="AA49" s="82">
        <v>-0.43218472216070225</v>
      </c>
      <c r="AB49" s="82">
        <f t="shared" si="19"/>
        <v>-0.4363513888273689</v>
      </c>
      <c r="AC49" s="82">
        <f t="shared" si="20"/>
        <v>-0.43708772350341829</v>
      </c>
      <c r="AD49" s="83">
        <f t="shared" si="21"/>
        <v>7.0887498608879218E-4</v>
      </c>
      <c r="AE49" s="195">
        <f t="shared" si="22"/>
        <v>35.388098329326233</v>
      </c>
      <c r="AF49" s="83">
        <f t="shared" si="23"/>
        <v>-0.30999527591158627</v>
      </c>
      <c r="AG49" s="194">
        <v>151.78213500000001</v>
      </c>
      <c r="AH49" s="82">
        <f t="shared" si="28"/>
        <v>1.2222032321186127E-2</v>
      </c>
      <c r="AI49" s="82">
        <f t="shared" si="24"/>
        <v>8.0553656545194613E-3</v>
      </c>
    </row>
    <row r="50" spans="2:35">
      <c r="B50" s="78">
        <v>43922</v>
      </c>
      <c r="C50" s="79">
        <v>43.279411000000003</v>
      </c>
      <c r="D50" s="82">
        <f t="shared" si="25"/>
        <v>0.34212059055598165</v>
      </c>
      <c r="E50" s="83">
        <f t="shared" si="8"/>
        <v>0.337953923889315</v>
      </c>
      <c r="F50" s="79">
        <v>37.895266999999997</v>
      </c>
      <c r="G50" s="82">
        <v>0.22386071384406803</v>
      </c>
      <c r="H50" s="82">
        <f t="shared" si="9"/>
        <v>0.21969404717740135</v>
      </c>
      <c r="I50" s="82">
        <f t="shared" si="10"/>
        <v>0.27917149166591876</v>
      </c>
      <c r="J50" s="83">
        <f t="shared" si="26"/>
        <v>-6.0764585623752088E-2</v>
      </c>
      <c r="K50" s="79">
        <v>76.893981999999994</v>
      </c>
      <c r="L50" s="82">
        <v>0.26966614562248825</v>
      </c>
      <c r="M50" s="82">
        <f t="shared" si="11"/>
        <v>0.2654994789558216</v>
      </c>
      <c r="N50" s="82">
        <f t="shared" si="12"/>
        <v>0.26521396608761172</v>
      </c>
      <c r="O50" s="83">
        <f t="shared" si="13"/>
        <v>-1.0016282670247678E-3</v>
      </c>
      <c r="P50" s="79">
        <v>35.952891999999999</v>
      </c>
      <c r="Q50" s="82">
        <v>0.36688277138186809</v>
      </c>
      <c r="R50" s="82">
        <f t="shared" si="14"/>
        <v>0.36271610471520144</v>
      </c>
      <c r="S50" s="82">
        <f t="shared" si="27"/>
        <v>-8.2740882006043922E-4</v>
      </c>
      <c r="T50" s="83">
        <f t="shared" si="15"/>
        <v>0.35767179641678448</v>
      </c>
      <c r="U50" s="194">
        <v>61.375571999999998</v>
      </c>
      <c r="V50" s="82">
        <v>0.36383928769832186</v>
      </c>
      <c r="W50" s="82">
        <f t="shared" si="16"/>
        <v>0.3596726210316552</v>
      </c>
      <c r="X50" s="82">
        <f t="shared" si="17"/>
        <v>0.3174096420619168</v>
      </c>
      <c r="Y50" s="83">
        <f t="shared" si="18"/>
        <v>3.7720744510228499E-2</v>
      </c>
      <c r="Z50" s="194">
        <v>38.386944</v>
      </c>
      <c r="AA50" s="82">
        <v>0.32266165795451718</v>
      </c>
      <c r="AB50" s="82">
        <f t="shared" si="19"/>
        <v>0.31849499128785053</v>
      </c>
      <c r="AC50" s="82">
        <f t="shared" si="20"/>
        <v>0.38981048691615894</v>
      </c>
      <c r="AD50" s="83">
        <f t="shared" si="21"/>
        <v>-7.1342955318269008E-2</v>
      </c>
      <c r="AE50" s="195">
        <f t="shared" si="22"/>
        <v>45.665436934969087</v>
      </c>
      <c r="AF50" s="83">
        <f t="shared" si="23"/>
        <v>0.29041793967001561</v>
      </c>
      <c r="AG50" s="194">
        <v>149.12983700000001</v>
      </c>
      <c r="AH50" s="82">
        <f t="shared" si="28"/>
        <v>-1.7474375360446714E-2</v>
      </c>
      <c r="AI50" s="82">
        <f t="shared" si="24"/>
        <v>-2.164104202711338E-2</v>
      </c>
    </row>
    <row r="51" spans="2:35">
      <c r="B51" s="78">
        <v>43952</v>
      </c>
      <c r="C51" s="79">
        <v>43.998882000000002</v>
      </c>
      <c r="D51" s="82">
        <f t="shared" si="25"/>
        <v>1.6623863018838225E-2</v>
      </c>
      <c r="E51" s="83">
        <f t="shared" si="8"/>
        <v>1.245719635217156E-2</v>
      </c>
      <c r="F51" s="79">
        <v>37.079791999999998</v>
      </c>
      <c r="G51" s="82">
        <v>-2.1519178107387349E-2</v>
      </c>
      <c r="H51" s="82">
        <f t="shared" si="9"/>
        <v>-2.5685844774054015E-2</v>
      </c>
      <c r="I51" s="82">
        <f t="shared" si="10"/>
        <v>1.0290438553244829E-2</v>
      </c>
      <c r="J51" s="83">
        <f t="shared" si="26"/>
        <v>-3.7263424462533508E-2</v>
      </c>
      <c r="K51" s="79">
        <v>76.643226999999996</v>
      </c>
      <c r="L51" s="82">
        <v>-3.2610484393954531E-3</v>
      </c>
      <c r="M51" s="82">
        <f t="shared" si="11"/>
        <v>-7.4277151060621197E-3</v>
      </c>
      <c r="N51" s="82">
        <f t="shared" si="12"/>
        <v>9.77595529257296E-3</v>
      </c>
      <c r="O51" s="83">
        <f t="shared" si="13"/>
        <v>-1.8490811533869743E-2</v>
      </c>
      <c r="P51" s="79">
        <v>36.021220999999997</v>
      </c>
      <c r="Q51" s="82">
        <v>1.9005147068558159E-3</v>
      </c>
      <c r="R51" s="82">
        <f t="shared" si="14"/>
        <v>-2.2661519598108507E-3</v>
      </c>
      <c r="S51" s="82">
        <f t="shared" si="27"/>
        <v>-1.5274589442892396E-2</v>
      </c>
      <c r="T51" s="83">
        <f t="shared" si="15"/>
        <v>7.1367203646041776E-3</v>
      </c>
      <c r="U51" s="194">
        <v>65.645111</v>
      </c>
      <c r="V51" s="82">
        <v>6.9564141903231569E-2</v>
      </c>
      <c r="W51" s="82">
        <f t="shared" si="16"/>
        <v>6.5397475236564903E-2</v>
      </c>
      <c r="X51" s="82">
        <f t="shared" si="17"/>
        <v>1.1699921071290167E-2</v>
      </c>
      <c r="Y51" s="83">
        <f t="shared" si="18"/>
        <v>4.9155319705764838E-2</v>
      </c>
      <c r="Z51" s="194">
        <v>41.551513999999997</v>
      </c>
      <c r="AA51" s="82">
        <v>8.243870624345595E-2</v>
      </c>
      <c r="AB51" s="82">
        <f t="shared" si="19"/>
        <v>7.8272039576789285E-2</v>
      </c>
      <c r="AC51" s="82">
        <f t="shared" si="20"/>
        <v>1.4368662212191357E-2</v>
      </c>
      <c r="AD51" s="83">
        <f t="shared" si="21"/>
        <v>6.3875917674637336E-2</v>
      </c>
      <c r="AE51" s="195">
        <f t="shared" si="22"/>
        <v>46.900800177730702</v>
      </c>
      <c r="AF51" s="83">
        <f t="shared" si="23"/>
        <v>2.7052478322300039E-2</v>
      </c>
      <c r="AG51" s="194">
        <v>149.63357500000001</v>
      </c>
      <c r="AH51" s="82">
        <f t="shared" si="28"/>
        <v>3.3778485253759261E-3</v>
      </c>
      <c r="AI51" s="82">
        <f t="shared" si="24"/>
        <v>-7.8881814129074055E-4</v>
      </c>
    </row>
    <row r="52" spans="2:35">
      <c r="B52" s="78">
        <v>43983</v>
      </c>
      <c r="C52" s="79">
        <v>43.082419999999999</v>
      </c>
      <c r="D52" s="82">
        <f t="shared" si="25"/>
        <v>-2.0829211069499531E-2</v>
      </c>
      <c r="E52" s="83">
        <f t="shared" si="8"/>
        <v>-2.4995877736166197E-2</v>
      </c>
      <c r="F52" s="79">
        <v>37.175282000000003</v>
      </c>
      <c r="G52" s="82">
        <v>2.5752571643338218E-3</v>
      </c>
      <c r="H52" s="82">
        <f t="shared" si="9"/>
        <v>-1.5914095023328448E-3</v>
      </c>
      <c r="I52" s="82">
        <f t="shared" si="10"/>
        <v>-2.0648188938885911E-2</v>
      </c>
      <c r="J52" s="83">
        <f t="shared" si="26"/>
        <v>1.7769638301318402E-2</v>
      </c>
      <c r="K52" s="79">
        <v>75.673659999999998</v>
      </c>
      <c r="L52" s="82">
        <v>-1.2650393752340228E-2</v>
      </c>
      <c r="M52" s="82">
        <f t="shared" si="11"/>
        <v>-1.6817060419006893E-2</v>
      </c>
      <c r="N52" s="82">
        <f t="shared" si="12"/>
        <v>-1.9615857078850937E-2</v>
      </c>
      <c r="O52" s="83">
        <f t="shared" si="13"/>
        <v>1.5116555246093809E-3</v>
      </c>
      <c r="P52" s="79">
        <v>36.243431000000001</v>
      </c>
      <c r="Q52" s="82">
        <v>6.1688636262497987E-3</v>
      </c>
      <c r="R52" s="82">
        <f t="shared" si="14"/>
        <v>2.0021969595831321E-3</v>
      </c>
      <c r="S52" s="82">
        <f t="shared" si="27"/>
        <v>1.2487238580737496E-3</v>
      </c>
      <c r="T52" s="83">
        <f t="shared" si="15"/>
        <v>-5.1182440169679853E-3</v>
      </c>
      <c r="U52" s="194">
        <v>61.076416000000002</v>
      </c>
      <c r="V52" s="82">
        <v>-6.9596881327537052E-2</v>
      </c>
      <c r="W52" s="82">
        <f t="shared" si="16"/>
        <v>-7.3763547994203718E-2</v>
      </c>
      <c r="X52" s="82">
        <f t="shared" si="17"/>
        <v>-2.3476373684178407E-2</v>
      </c>
      <c r="Y52" s="83">
        <f t="shared" si="18"/>
        <v>-5.4829408769535209E-2</v>
      </c>
      <c r="Z52" s="194">
        <v>41.298800999999997</v>
      </c>
      <c r="AA52" s="82">
        <v>-6.0819203844172387E-3</v>
      </c>
      <c r="AB52" s="82">
        <f t="shared" si="19"/>
        <v>-1.0248587051083904E-2</v>
      </c>
      <c r="AC52" s="82">
        <f t="shared" si="20"/>
        <v>-2.8831312739611557E-2</v>
      </c>
      <c r="AD52" s="83">
        <f t="shared" si="21"/>
        <v>1.8555265998567057E-2</v>
      </c>
      <c r="AE52" s="195">
        <f t="shared" si="22"/>
        <v>45.906965989694761</v>
      </c>
      <c r="AF52" s="83">
        <f t="shared" si="23"/>
        <v>-2.1190132881950909E-2</v>
      </c>
      <c r="AG52" s="194">
        <v>156.28767400000001</v>
      </c>
      <c r="AH52" s="82">
        <f t="shared" si="28"/>
        <v>4.4469291066526973E-2</v>
      </c>
      <c r="AI52" s="82">
        <f t="shared" si="24"/>
        <v>4.0302624399860307E-2</v>
      </c>
    </row>
    <row r="53" spans="2:35">
      <c r="B53" s="78">
        <v>44013</v>
      </c>
      <c r="C53" s="79">
        <v>41.782649999999997</v>
      </c>
      <c r="D53" s="82">
        <f t="shared" si="25"/>
        <v>-3.0169382314178317E-2</v>
      </c>
      <c r="E53" s="83">
        <f t="shared" si="8"/>
        <v>-3.4336048980844983E-2</v>
      </c>
      <c r="F53" s="79">
        <v>34.980671000000001</v>
      </c>
      <c r="G53" s="82">
        <v>-5.9034145322690579E-2</v>
      </c>
      <c r="H53" s="82">
        <f t="shared" si="9"/>
        <v>-6.3200811989357245E-2</v>
      </c>
      <c r="I53" s="82">
        <f t="shared" si="10"/>
        <v>-2.8363765987922028E-2</v>
      </c>
      <c r="J53" s="83">
        <f t="shared" si="26"/>
        <v>-3.6124187136669879E-2</v>
      </c>
      <c r="K53" s="79">
        <v>71.187363000000005</v>
      </c>
      <c r="L53" s="82">
        <v>-5.9284789449856046E-2</v>
      </c>
      <c r="M53" s="82">
        <f t="shared" si="11"/>
        <v>-6.3451456116522711E-2</v>
      </c>
      <c r="N53" s="82">
        <f t="shared" si="12"/>
        <v>-2.6945684267216493E-2</v>
      </c>
      <c r="O53" s="83">
        <f t="shared" si="13"/>
        <v>-3.7792912984540877E-2</v>
      </c>
      <c r="P53" s="79">
        <v>32.249920000000003</v>
      </c>
      <c r="Q53" s="82">
        <v>-0.11018578787422184</v>
      </c>
      <c r="R53" s="82">
        <f t="shared" si="14"/>
        <v>-0.11435245454088851</v>
      </c>
      <c r="S53" s="82">
        <f t="shared" si="27"/>
        <v>-3.121935609112815E-2</v>
      </c>
      <c r="T53" s="83">
        <f t="shared" si="15"/>
        <v>-8.9004815568237722E-2</v>
      </c>
      <c r="U53" s="194">
        <v>52.683712</v>
      </c>
      <c r="V53" s="82">
        <v>-0.13741317106753614</v>
      </c>
      <c r="W53" s="82">
        <f t="shared" si="16"/>
        <v>-0.14157983773420282</v>
      </c>
      <c r="X53" s="82">
        <f t="shared" si="17"/>
        <v>-3.2248754183425023E-2</v>
      </c>
      <c r="Y53" s="83">
        <f t="shared" si="18"/>
        <v>-0.11387331801028772</v>
      </c>
      <c r="Z53" s="194">
        <v>38.192833</v>
      </c>
      <c r="AA53" s="82">
        <v>-7.5207219696281191E-2</v>
      </c>
      <c r="AB53" s="82">
        <f t="shared" si="19"/>
        <v>-7.9373886362947857E-2</v>
      </c>
      <c r="AC53" s="82">
        <f t="shared" si="20"/>
        <v>-3.9604665091516757E-2</v>
      </c>
      <c r="AD53" s="83">
        <f t="shared" si="21"/>
        <v>-3.9796680961391696E-2</v>
      </c>
      <c r="AE53" s="195">
        <f t="shared" si="22"/>
        <v>41.989677874760261</v>
      </c>
      <c r="AF53" s="83">
        <f t="shared" si="23"/>
        <v>-8.5331017428027331E-2</v>
      </c>
      <c r="AG53" s="194">
        <v>148.40940900000001</v>
      </c>
      <c r="AH53" s="82">
        <f t="shared" si="28"/>
        <v>-5.0408741766801102E-2</v>
      </c>
      <c r="AI53" s="82">
        <f t="shared" si="24"/>
        <v>-5.4575408433467767E-2</v>
      </c>
    </row>
    <row r="54" spans="2:35">
      <c r="B54" s="78">
        <v>44044</v>
      </c>
      <c r="C54" s="79">
        <v>41.522537</v>
      </c>
      <c r="D54" s="82">
        <f t="shared" si="25"/>
        <v>-6.2253830238148122E-3</v>
      </c>
      <c r="E54" s="83">
        <f t="shared" si="8"/>
        <v>-1.0392049690481478E-2</v>
      </c>
      <c r="F54" s="79">
        <v>33.201717000000002</v>
      </c>
      <c r="G54" s="82">
        <v>-5.0855342368932743E-2</v>
      </c>
      <c r="H54" s="82">
        <f t="shared" si="9"/>
        <v>-5.5022009035599409E-2</v>
      </c>
      <c r="I54" s="82">
        <f t="shared" si="10"/>
        <v>-8.5844957211037992E-3</v>
      </c>
      <c r="J54" s="83">
        <f t="shared" si="26"/>
        <v>-4.7724654449730272E-2</v>
      </c>
      <c r="K54" s="79">
        <v>71.178894</v>
      </c>
      <c r="L54" s="82">
        <v>-1.1896774431729984E-4</v>
      </c>
      <c r="M54" s="82">
        <f t="shared" si="11"/>
        <v>-4.2856344109839664E-3</v>
      </c>
      <c r="N54" s="82">
        <f t="shared" si="12"/>
        <v>-8.1553031918481303E-3</v>
      </c>
      <c r="O54" s="83">
        <f t="shared" si="13"/>
        <v>2.5825276456294998E-3</v>
      </c>
      <c r="P54" s="79">
        <v>33.014586999999999</v>
      </c>
      <c r="Q54" s="82">
        <v>2.371066346831241E-2</v>
      </c>
      <c r="R54" s="82">
        <f t="shared" si="14"/>
        <v>1.9543996801645744E-2</v>
      </c>
      <c r="S54" s="82">
        <f t="shared" si="27"/>
        <v>2.1333325170533857E-3</v>
      </c>
      <c r="T54" s="83">
        <f t="shared" si="15"/>
        <v>1.1538947166114989E-2</v>
      </c>
      <c r="U54" s="194">
        <v>49.668118</v>
      </c>
      <c r="V54" s="82">
        <v>-5.7239588584798273E-2</v>
      </c>
      <c r="W54" s="82">
        <f t="shared" si="16"/>
        <v>-6.1406255251464939E-2</v>
      </c>
      <c r="X54" s="82">
        <f t="shared" si="17"/>
        <v>-9.7603150588826994E-3</v>
      </c>
      <c r="Y54" s="83">
        <f t="shared" si="18"/>
        <v>-5.6188174652092138E-2</v>
      </c>
      <c r="Z54" s="194">
        <v>37.256236999999999</v>
      </c>
      <c r="AA54" s="82">
        <v>-2.4522820813004387E-2</v>
      </c>
      <c r="AB54" s="82">
        <f t="shared" si="19"/>
        <v>-2.8689487479671053E-2</v>
      </c>
      <c r="AC54" s="82">
        <f t="shared" si="20"/>
        <v>-1.1986633867965517E-2</v>
      </c>
      <c r="AD54" s="83">
        <f t="shared" si="21"/>
        <v>-1.6730313301666133E-2</v>
      </c>
      <c r="AE54" s="195">
        <f t="shared" si="22"/>
        <v>40.48259127678633</v>
      </c>
      <c r="AF54" s="83">
        <f t="shared" si="23"/>
        <v>-3.5891835190282169E-2</v>
      </c>
      <c r="AG54" s="194">
        <v>149.55470299999999</v>
      </c>
      <c r="AH54" s="82">
        <f t="shared" si="28"/>
        <v>7.7171252666330403E-3</v>
      </c>
      <c r="AI54" s="82">
        <f t="shared" si="24"/>
        <v>3.5504585999663737E-3</v>
      </c>
    </row>
    <row r="55" spans="2:35">
      <c r="B55" s="78">
        <v>44075</v>
      </c>
      <c r="C55" s="79">
        <v>34.950370999999997</v>
      </c>
      <c r="D55" s="82">
        <f t="shared" si="25"/>
        <v>-0.15827949048489021</v>
      </c>
      <c r="E55" s="83">
        <f t="shared" si="8"/>
        <v>-0.16244615715155689</v>
      </c>
      <c r="F55" s="79">
        <v>29.101172999999999</v>
      </c>
      <c r="G55" s="82">
        <v>-0.12350397420711712</v>
      </c>
      <c r="H55" s="82">
        <f t="shared" si="9"/>
        <v>-0.1276706408737838</v>
      </c>
      <c r="I55" s="82">
        <f t="shared" si="10"/>
        <v>-0.13419088461967171</v>
      </c>
      <c r="J55" s="83">
        <f t="shared" si="26"/>
        <v>5.2331026106532397E-3</v>
      </c>
      <c r="K55" s="79">
        <v>61.941665999999998</v>
      </c>
      <c r="L55" s="82">
        <v>-0.12977481779922007</v>
      </c>
      <c r="M55" s="82">
        <f t="shared" si="11"/>
        <v>-0.13394148446588675</v>
      </c>
      <c r="N55" s="82">
        <f t="shared" si="12"/>
        <v>-0.12748184461964163</v>
      </c>
      <c r="O55" s="83">
        <f t="shared" si="13"/>
        <v>-7.746780981479795E-3</v>
      </c>
      <c r="P55" s="79">
        <v>28.614388999999999</v>
      </c>
      <c r="Q55" s="82">
        <v>-0.13328041934918045</v>
      </c>
      <c r="R55" s="82">
        <f t="shared" si="14"/>
        <v>-0.13744708601584713</v>
      </c>
      <c r="S55" s="82">
        <f t="shared" si="27"/>
        <v>-6.3993350848537411E-3</v>
      </c>
      <c r="T55" s="83">
        <f t="shared" si="15"/>
        <v>-0.13691946804947075</v>
      </c>
      <c r="U55" s="194">
        <v>44.667679</v>
      </c>
      <c r="V55" s="82">
        <v>-0.10067703793407268</v>
      </c>
      <c r="W55" s="82">
        <f t="shared" si="16"/>
        <v>-0.10484370460073934</v>
      </c>
      <c r="X55" s="82">
        <f t="shared" si="17"/>
        <v>-0.15257102507469886</v>
      </c>
      <c r="Y55" s="83">
        <f t="shared" si="18"/>
        <v>4.318508601444962E-2</v>
      </c>
      <c r="Z55" s="194">
        <v>29.532174999999999</v>
      </c>
      <c r="AA55" s="82">
        <v>-0.20732265580122866</v>
      </c>
      <c r="AB55" s="82">
        <f t="shared" si="19"/>
        <v>-0.21148932246789534</v>
      </c>
      <c r="AC55" s="82">
        <f t="shared" si="20"/>
        <v>-0.18737233433527634</v>
      </c>
      <c r="AD55" s="83">
        <f t="shared" si="21"/>
        <v>-2.4144447822579601E-2</v>
      </c>
      <c r="AE55" s="195">
        <f t="shared" si="22"/>
        <v>34.441745851923137</v>
      </c>
      <c r="AF55" s="83">
        <f t="shared" si="23"/>
        <v>-0.14922081898268097</v>
      </c>
      <c r="AG55" s="194">
        <v>144.50543200000001</v>
      </c>
      <c r="AH55" s="82">
        <f t="shared" si="28"/>
        <v>-3.3762034217004744E-2</v>
      </c>
      <c r="AI55" s="82">
        <f t="shared" si="24"/>
        <v>-3.792870088367141E-2</v>
      </c>
    </row>
    <row r="56" spans="2:35">
      <c r="B56" s="78">
        <v>44105</v>
      </c>
      <c r="C56" s="79">
        <v>34.169818999999997</v>
      </c>
      <c r="D56" s="82">
        <f t="shared" si="25"/>
        <v>-2.2333153487841373E-2</v>
      </c>
      <c r="E56" s="83">
        <f t="shared" si="8"/>
        <v>-2.6499820154508039E-2</v>
      </c>
      <c r="F56" s="79">
        <v>27.651627999999999</v>
      </c>
      <c r="G56" s="82">
        <v>-4.981053512860123E-2</v>
      </c>
      <c r="H56" s="82">
        <f t="shared" si="9"/>
        <v>-5.3977201795267896E-2</v>
      </c>
      <c r="I56" s="82">
        <f t="shared" si="10"/>
        <v>-2.189054127933588E-2</v>
      </c>
      <c r="J56" s="83">
        <f t="shared" si="26"/>
        <v>-3.3373801651166678E-2</v>
      </c>
      <c r="K56" s="79">
        <v>59.790900999999998</v>
      </c>
      <c r="L56" s="82">
        <v>-3.4722427388375388E-2</v>
      </c>
      <c r="M56" s="82">
        <f t="shared" si="11"/>
        <v>-3.8889094055042053E-2</v>
      </c>
      <c r="N56" s="82">
        <f t="shared" si="12"/>
        <v>-2.0796096470497915E-2</v>
      </c>
      <c r="O56" s="83">
        <f t="shared" si="13"/>
        <v>-1.9380138719778801E-2</v>
      </c>
      <c r="P56" s="79">
        <v>24.937386</v>
      </c>
      <c r="Q56" s="82">
        <v>-0.12850188763422488</v>
      </c>
      <c r="R56" s="82">
        <f t="shared" si="14"/>
        <v>-0.13266855430089156</v>
      </c>
      <c r="S56" s="82">
        <f t="shared" si="27"/>
        <v>-1.6009230408773292E-2</v>
      </c>
      <c r="T56" s="83">
        <f t="shared" si="15"/>
        <v>-0.12253104101059563</v>
      </c>
      <c r="U56" s="194">
        <v>40.204357000000002</v>
      </c>
      <c r="V56" s="82">
        <v>-9.9922854733508704E-2</v>
      </c>
      <c r="W56" s="82">
        <f t="shared" si="16"/>
        <v>-0.10408952140017537</v>
      </c>
      <c r="X56" s="82">
        <f t="shared" si="17"/>
        <v>-2.488889116346639E-2</v>
      </c>
      <c r="Y56" s="83">
        <f t="shared" si="18"/>
        <v>-8.3742864696218874E-2</v>
      </c>
      <c r="Z56" s="194">
        <v>28.135280999999999</v>
      </c>
      <c r="AA56" s="82">
        <v>-4.7300749098229344E-2</v>
      </c>
      <c r="AB56" s="82">
        <f t="shared" si="19"/>
        <v>-5.146741576489601E-2</v>
      </c>
      <c r="AC56" s="82">
        <f t="shared" si="20"/>
        <v>-3.056602414535841E-2</v>
      </c>
      <c r="AD56" s="83">
        <f t="shared" si="21"/>
        <v>-2.0928851309498196E-2</v>
      </c>
      <c r="AE56" s="195">
        <f t="shared" si="22"/>
        <v>32.268102779335123</v>
      </c>
      <c r="AF56" s="83">
        <f t="shared" si="23"/>
        <v>-6.3110711110094447E-2</v>
      </c>
      <c r="AG56" s="194">
        <v>146.90432699999999</v>
      </c>
      <c r="AH56" s="82">
        <f t="shared" si="28"/>
        <v>1.660072543155322E-2</v>
      </c>
      <c r="AI56" s="82">
        <f t="shared" si="24"/>
        <v>1.2434058764886555E-2</v>
      </c>
    </row>
    <row r="57" spans="2:35">
      <c r="B57" s="78">
        <v>44136</v>
      </c>
      <c r="C57" s="79">
        <v>43.750717000000002</v>
      </c>
      <c r="D57" s="82">
        <f t="shared" si="25"/>
        <v>0.28039065702981936</v>
      </c>
      <c r="E57" s="83">
        <f t="shared" si="8"/>
        <v>0.2762239903631527</v>
      </c>
      <c r="F57" s="79">
        <v>32.322398999999997</v>
      </c>
      <c r="G57" s="82">
        <v>0.16891486461484284</v>
      </c>
      <c r="H57" s="82">
        <f t="shared" si="9"/>
        <v>0.16474819794817616</v>
      </c>
      <c r="I57" s="82">
        <f t="shared" si="10"/>
        <v>0.22817863019945184</v>
      </c>
      <c r="J57" s="83">
        <f t="shared" si="26"/>
        <v>-6.4717573386510352E-2</v>
      </c>
      <c r="K57" s="79">
        <v>75.001022000000006</v>
      </c>
      <c r="L57" s="82">
        <v>0.2543885565464219</v>
      </c>
      <c r="M57" s="82">
        <f t="shared" si="11"/>
        <v>0.25022188987975524</v>
      </c>
      <c r="N57" s="82">
        <f t="shared" si="12"/>
        <v>0.21677055608548346</v>
      </c>
      <c r="O57" s="83">
        <f t="shared" si="13"/>
        <v>3.2164192659037111E-2</v>
      </c>
      <c r="P57" s="79">
        <v>34.893559000000003</v>
      </c>
      <c r="Q57" s="82">
        <v>0.39924685770994617</v>
      </c>
      <c r="R57" s="82">
        <f t="shared" si="14"/>
        <v>0.39508019104327952</v>
      </c>
      <c r="S57" s="82">
        <f t="shared" si="27"/>
        <v>2.6569674171897609E-2</v>
      </c>
      <c r="T57" s="83">
        <f t="shared" si="15"/>
        <v>0.36263879975290453</v>
      </c>
      <c r="U57" s="194">
        <v>52.198447999999999</v>
      </c>
      <c r="V57" s="82">
        <v>0.29832813891290422</v>
      </c>
      <c r="W57" s="82">
        <f t="shared" si="16"/>
        <v>0.29416147224623757</v>
      </c>
      <c r="X57" s="82">
        <f t="shared" si="17"/>
        <v>0.25943228266465668</v>
      </c>
      <c r="Y57" s="83">
        <f t="shared" si="18"/>
        <v>3.018695512207098E-2</v>
      </c>
      <c r="Z57" s="194">
        <v>38.909519000000003</v>
      </c>
      <c r="AA57" s="82">
        <v>0.3829440338626795</v>
      </c>
      <c r="AB57" s="82">
        <f t="shared" si="19"/>
        <v>0.37877736719601285</v>
      </c>
      <c r="AC57" s="82">
        <f t="shared" si="20"/>
        <v>0.31860854563313235</v>
      </c>
      <c r="AD57" s="83">
        <f t="shared" si="21"/>
        <v>6.0141361872919907E-2</v>
      </c>
      <c r="AE57" s="195">
        <f t="shared" si="22"/>
        <v>41.23960512861288</v>
      </c>
      <c r="AF57" s="83">
        <f t="shared" si="23"/>
        <v>0.27803005372299761</v>
      </c>
      <c r="AG57" s="194">
        <v>144.95751999999999</v>
      </c>
      <c r="AH57" s="82">
        <f t="shared" si="28"/>
        <v>-1.3252210059136016E-2</v>
      </c>
      <c r="AI57" s="82">
        <f t="shared" si="24"/>
        <v>-1.7418876725802682E-2</v>
      </c>
    </row>
    <row r="58" spans="2:35">
      <c r="B58" s="78">
        <v>44166</v>
      </c>
      <c r="C58" s="79">
        <v>45.542202000000003</v>
      </c>
      <c r="D58" s="82">
        <f t="shared" si="25"/>
        <v>4.0947557499457776E-2</v>
      </c>
      <c r="E58" s="83">
        <f t="shared" si="8"/>
        <v>3.678089083279111E-2</v>
      </c>
      <c r="F58" s="79">
        <v>35.784775000000003</v>
      </c>
      <c r="G58" s="82">
        <v>0.10712001915451896</v>
      </c>
      <c r="H58" s="82">
        <f t="shared" si="9"/>
        <v>0.1029533524878523</v>
      </c>
      <c r="I58" s="82">
        <f t="shared" si="10"/>
        <v>3.0383361259491079E-2</v>
      </c>
      <c r="J58" s="83">
        <f t="shared" si="26"/>
        <v>7.1282850093126557E-2</v>
      </c>
      <c r="K58" s="79">
        <v>73.721435999999997</v>
      </c>
      <c r="L58" s="82">
        <v>-1.7060914183276155E-2</v>
      </c>
      <c r="M58" s="82">
        <f t="shared" si="11"/>
        <v>-2.122758084994282E-2</v>
      </c>
      <c r="N58" s="82">
        <f t="shared" si="12"/>
        <v>2.8864307363967331E-2</v>
      </c>
      <c r="O58" s="83">
        <f t="shared" si="13"/>
        <v>-5.1379029349144817E-2</v>
      </c>
      <c r="P58" s="79">
        <v>35.272835000000001</v>
      </c>
      <c r="Q58" s="82">
        <v>1.0869513195830738E-2</v>
      </c>
      <c r="R58" s="82">
        <f t="shared" si="14"/>
        <v>6.7028465291640712E-3</v>
      </c>
      <c r="S58" s="82">
        <f t="shared" si="27"/>
        <v>-4.2442354563237764E-2</v>
      </c>
      <c r="T58" s="83">
        <f t="shared" si="15"/>
        <v>4.327348397392447E-2</v>
      </c>
      <c r="U58" s="194">
        <v>61.200828999999999</v>
      </c>
      <c r="V58" s="82">
        <v>0.17246453381142679</v>
      </c>
      <c r="W58" s="82">
        <f t="shared" si="16"/>
        <v>0.16829786714476011</v>
      </c>
      <c r="X58" s="82">
        <f t="shared" si="17"/>
        <v>3.4544973644922886E-2</v>
      </c>
      <c r="Y58" s="83">
        <f t="shared" si="18"/>
        <v>0.1292106590403273</v>
      </c>
      <c r="Z58" s="194">
        <v>41.391159000000002</v>
      </c>
      <c r="AA58" s="82">
        <v>6.3779765563280355E-2</v>
      </c>
      <c r="AB58" s="82">
        <f t="shared" si="19"/>
        <v>5.9613098896613689E-2</v>
      </c>
      <c r="AC58" s="82">
        <f t="shared" si="20"/>
        <v>4.2424650081696227E-2</v>
      </c>
      <c r="AD58" s="83">
        <f t="shared" si="21"/>
        <v>1.7160989124956866E-2</v>
      </c>
      <c r="AE58" s="195">
        <f t="shared" si="22"/>
        <v>44.34545748144037</v>
      </c>
      <c r="AF58" s="83">
        <f t="shared" si="23"/>
        <v>7.531236885371112E-2</v>
      </c>
      <c r="AG58" s="194">
        <v>139.97979699999999</v>
      </c>
      <c r="AH58" s="82">
        <f t="shared" si="28"/>
        <v>-3.4339184334831296E-2</v>
      </c>
      <c r="AI58" s="82">
        <f t="shared" si="24"/>
        <v>-3.8505851001497962E-2</v>
      </c>
    </row>
    <row r="59" spans="2:35">
      <c r="B59" s="78">
        <v>44197</v>
      </c>
      <c r="C59" s="79">
        <v>48.330429000000002</v>
      </c>
      <c r="D59" s="82">
        <f t="shared" si="25"/>
        <v>6.122292900988846E-2</v>
      </c>
      <c r="E59" s="83">
        <f t="shared" si="8"/>
        <v>5.7056262343221795E-2</v>
      </c>
      <c r="F59" s="79">
        <v>38.927452000000002</v>
      </c>
      <c r="G59" s="82">
        <v>8.7821622463743365E-2</v>
      </c>
      <c r="H59" s="82">
        <f t="shared" si="9"/>
        <v>8.3654955797076699E-2</v>
      </c>
      <c r="I59" s="82">
        <f t="shared" si="10"/>
        <v>4.7132111040249482E-2</v>
      </c>
      <c r="J59" s="83">
        <f t="shared" si="26"/>
        <v>3.5235703621592555E-2</v>
      </c>
      <c r="K59" s="79">
        <v>74.376152000000005</v>
      </c>
      <c r="L59" s="82">
        <v>8.8809447499098582E-3</v>
      </c>
      <c r="M59" s="82">
        <f t="shared" si="11"/>
        <v>4.7142780832431916E-3</v>
      </c>
      <c r="N59" s="82">
        <f t="shared" si="12"/>
        <v>4.4775682590201552E-2</v>
      </c>
      <c r="O59" s="83">
        <f t="shared" si="13"/>
        <v>-4.1348545642193021E-2</v>
      </c>
      <c r="P59" s="79">
        <v>35.308104999999998</v>
      </c>
      <c r="Q59" s="82">
        <v>9.9991962653400712E-4</v>
      </c>
      <c r="R59" s="82">
        <f t="shared" si="14"/>
        <v>-3.1667470401326595E-3</v>
      </c>
      <c r="S59" s="82">
        <f t="shared" si="27"/>
        <v>-3.415653540074879E-2</v>
      </c>
      <c r="T59" s="83">
        <f t="shared" si="15"/>
        <v>2.5118071242138763E-2</v>
      </c>
      <c r="U59" s="194">
        <v>59.328232</v>
      </c>
      <c r="V59" s="82">
        <v>-3.059757572891697E-2</v>
      </c>
      <c r="W59" s="82">
        <f t="shared" si="16"/>
        <v>-3.4764242395583636E-2</v>
      </c>
      <c r="X59" s="82">
        <f t="shared" si="17"/>
        <v>5.3587801553930815E-2</v>
      </c>
      <c r="Y59" s="83">
        <f t="shared" si="18"/>
        <v>-9.2894278409024353E-2</v>
      </c>
      <c r="Z59" s="194">
        <v>42.295836999999999</v>
      </c>
      <c r="AA59" s="82">
        <v>2.1856793137877473E-2</v>
      </c>
      <c r="AB59" s="82">
        <f t="shared" si="19"/>
        <v>1.7690126471210807E-2</v>
      </c>
      <c r="AC59" s="82">
        <f t="shared" si="20"/>
        <v>6.5811129368368262E-2</v>
      </c>
      <c r="AD59" s="83">
        <f t="shared" si="21"/>
        <v>-4.8148462587118052E-2</v>
      </c>
      <c r="AE59" s="195">
        <f t="shared" si="22"/>
        <v>45.337955073122117</v>
      </c>
      <c r="AF59" s="83">
        <f t="shared" si="23"/>
        <v>2.2381043021083638E-2</v>
      </c>
      <c r="AG59" s="194">
        <v>131.80207799999999</v>
      </c>
      <c r="AH59" s="82">
        <f t="shared" si="28"/>
        <v>-5.8420709097042001E-2</v>
      </c>
      <c r="AI59" s="82">
        <f t="shared" si="24"/>
        <v>-6.2587375763708666E-2</v>
      </c>
    </row>
    <row r="60" spans="2:35">
      <c r="B60" s="78">
        <v>44228</v>
      </c>
      <c r="C60" s="79">
        <v>59.181033999999997</v>
      </c>
      <c r="D60" s="82">
        <f t="shared" si="25"/>
        <v>0.22450876651643203</v>
      </c>
      <c r="E60" s="83">
        <f t="shared" si="8"/>
        <v>0.22034209984976535</v>
      </c>
      <c r="F60" s="79">
        <v>47.200831999999998</v>
      </c>
      <c r="G60" s="82">
        <v>0.21253330426044825</v>
      </c>
      <c r="H60" s="82">
        <f t="shared" si="9"/>
        <v>0.20836663759378157</v>
      </c>
      <c r="I60" s="82">
        <f t="shared" si="10"/>
        <v>0.18201662517759762</v>
      </c>
      <c r="J60" s="83">
        <f t="shared" si="26"/>
        <v>2.5062871280949278E-2</v>
      </c>
      <c r="K60" s="79">
        <v>87.295936999999995</v>
      </c>
      <c r="L60" s="82">
        <v>0.1737087043707235</v>
      </c>
      <c r="M60" s="82">
        <f t="shared" si="11"/>
        <v>0.16954203770405682</v>
      </c>
      <c r="N60" s="82">
        <f t="shared" si="12"/>
        <v>0.17291647785799369</v>
      </c>
      <c r="O60" s="83">
        <f t="shared" si="13"/>
        <v>-4.6615812891715458E-3</v>
      </c>
      <c r="P60" s="79">
        <v>45.874966000000001</v>
      </c>
      <c r="Q60" s="82">
        <v>0.29927578951065215</v>
      </c>
      <c r="R60" s="82">
        <f t="shared" si="14"/>
        <v>0.29510912284398549</v>
      </c>
      <c r="S60" s="82">
        <f t="shared" si="27"/>
        <v>-3.8507634030199296E-3</v>
      </c>
      <c r="T60" s="83">
        <f t="shared" si="15"/>
        <v>0.29308816912852803</v>
      </c>
      <c r="U60" s="194">
        <v>72.672713999999999</v>
      </c>
      <c r="V60" s="82">
        <v>0.22492633861059597</v>
      </c>
      <c r="W60" s="82">
        <f t="shared" si="16"/>
        <v>0.22075967194392929</v>
      </c>
      <c r="X60" s="82">
        <f t="shared" si="17"/>
        <v>0.20694746265881833</v>
      </c>
      <c r="Y60" s="83">
        <f t="shared" si="18"/>
        <v>9.2699748256010461E-3</v>
      </c>
      <c r="Z60" s="194">
        <v>53.917960999999998</v>
      </c>
      <c r="AA60" s="82">
        <v>0.27478174743296835</v>
      </c>
      <c r="AB60" s="82">
        <f t="shared" si="19"/>
        <v>0.2706150807663017</v>
      </c>
      <c r="AC60" s="82">
        <f t="shared" si="20"/>
        <v>0.25415198688060436</v>
      </c>
      <c r="AD60" s="83">
        <f t="shared" si="21"/>
        <v>1.6435634195736737E-2</v>
      </c>
      <c r="AE60" s="195">
        <f t="shared" si="22"/>
        <v>55.521745908974943</v>
      </c>
      <c r="AF60" s="83">
        <f t="shared" si="23"/>
        <v>0.22461954491392855</v>
      </c>
      <c r="AG60" s="194">
        <v>124.883202</v>
      </c>
      <c r="AH60" s="82">
        <f t="shared" si="28"/>
        <v>-5.2494437910151848E-2</v>
      </c>
      <c r="AI60" s="82">
        <f t="shared" si="24"/>
        <v>-5.6661104576818513E-2</v>
      </c>
    </row>
    <row r="61" spans="2:35">
      <c r="B61" s="78">
        <v>44256</v>
      </c>
      <c r="C61" s="79">
        <v>60.379742</v>
      </c>
      <c r="D61" s="82">
        <f t="shared" si="25"/>
        <v>2.0254935052334666E-2</v>
      </c>
      <c r="E61" s="83">
        <f t="shared" si="8"/>
        <v>1.6088268385668E-2</v>
      </c>
      <c r="F61" s="79">
        <v>49.291423999999999</v>
      </c>
      <c r="G61" s="82">
        <v>4.4291422659668456E-2</v>
      </c>
      <c r="H61" s="82">
        <f t="shared" si="9"/>
        <v>4.012475599300179E-2</v>
      </c>
      <c r="I61" s="82">
        <f t="shared" si="10"/>
        <v>1.328993559790587E-2</v>
      </c>
      <c r="J61" s="83">
        <f t="shared" si="26"/>
        <v>2.5547679259861258E-2</v>
      </c>
      <c r="K61" s="79">
        <v>92.770499999999998</v>
      </c>
      <c r="L61" s="82">
        <v>6.2712689595164184E-2</v>
      </c>
      <c r="M61" s="82">
        <f t="shared" si="11"/>
        <v>5.8546022928497518E-2</v>
      </c>
      <c r="N61" s="82">
        <f t="shared" si="12"/>
        <v>1.262548875580566E-2</v>
      </c>
      <c r="O61" s="83">
        <f t="shared" si="13"/>
        <v>4.4633393037457197E-2</v>
      </c>
      <c r="P61" s="79">
        <v>47.150821999999998</v>
      </c>
      <c r="Q61" s="82">
        <v>2.7811595544288803E-2</v>
      </c>
      <c r="R61" s="82">
        <f t="shared" si="14"/>
        <v>2.3644928877622137E-2</v>
      </c>
      <c r="S61" s="82">
        <f t="shared" si="27"/>
        <v>3.6870028816292477E-2</v>
      </c>
      <c r="T61" s="83">
        <f t="shared" si="15"/>
        <v>-1.9096817057147709E-2</v>
      </c>
      <c r="U61" s="194">
        <v>72.162711999999999</v>
      </c>
      <c r="V61" s="82">
        <v>-7.0177921248406605E-3</v>
      </c>
      <c r="W61" s="82">
        <f t="shared" si="16"/>
        <v>-1.1184458791507326E-2</v>
      </c>
      <c r="X61" s="82">
        <f t="shared" si="17"/>
        <v>1.5110259561192167E-2</v>
      </c>
      <c r="Y61" s="83">
        <f t="shared" si="18"/>
        <v>-3.0836952812209394E-2</v>
      </c>
      <c r="Z61" s="194">
        <v>60.574184000000002</v>
      </c>
      <c r="AA61" s="82">
        <v>0.12345094058731187</v>
      </c>
      <c r="AB61" s="82">
        <f t="shared" si="19"/>
        <v>0.11928427392064521</v>
      </c>
      <c r="AC61" s="82">
        <f t="shared" si="20"/>
        <v>1.8556895747448281E-2</v>
      </c>
      <c r="AD61" s="83">
        <f t="shared" si="21"/>
        <v>0.10069991848323634</v>
      </c>
      <c r="AE61" s="195">
        <f t="shared" si="22"/>
        <v>58.63630489202918</v>
      </c>
      <c r="AF61" s="83">
        <f t="shared" si="23"/>
        <v>5.6096200363734763E-2</v>
      </c>
      <c r="AG61" s="194">
        <v>127.97814200000001</v>
      </c>
      <c r="AH61" s="82">
        <f t="shared" si="28"/>
        <v>2.4782676536432957E-2</v>
      </c>
      <c r="AI61" s="82">
        <f t="shared" si="24"/>
        <v>2.0616009869766291E-2</v>
      </c>
    </row>
    <row r="62" spans="2:35">
      <c r="B62" s="78">
        <v>44287</v>
      </c>
      <c r="C62" s="79">
        <v>61.250286000000003</v>
      </c>
      <c r="D62" s="82">
        <f t="shared" si="25"/>
        <v>1.441781582968682E-2</v>
      </c>
      <c r="E62" s="83">
        <f t="shared" si="8"/>
        <v>1.0251149163020154E-2</v>
      </c>
      <c r="F62" s="79">
        <v>50.536288999999996</v>
      </c>
      <c r="G62" s="82">
        <v>2.5255204637626205E-2</v>
      </c>
      <c r="H62" s="82">
        <f t="shared" si="9"/>
        <v>2.1088537970959539E-2</v>
      </c>
      <c r="I62" s="82">
        <f t="shared" si="10"/>
        <v>8.4681029005228021E-3</v>
      </c>
      <c r="J62" s="83">
        <f t="shared" si="26"/>
        <v>1.1333293935202075E-2</v>
      </c>
      <c r="K62" s="79">
        <v>91.247787000000002</v>
      </c>
      <c r="L62" s="82">
        <v>-1.6413762995779901E-2</v>
      </c>
      <c r="M62" s="82">
        <f t="shared" si="11"/>
        <v>-2.0580429662446567E-2</v>
      </c>
      <c r="N62" s="82">
        <f t="shared" si="12"/>
        <v>8.0447295749426096E-3</v>
      </c>
      <c r="O62" s="83">
        <f t="shared" si="13"/>
        <v>-2.9912300372623837E-2</v>
      </c>
      <c r="P62" s="79">
        <v>45.521866000000003</v>
      </c>
      <c r="Q62" s="82">
        <v>-3.454777522224306E-2</v>
      </c>
      <c r="R62" s="82">
        <f t="shared" si="14"/>
        <v>-3.8714441888909726E-2</v>
      </c>
      <c r="S62" s="82">
        <f t="shared" si="27"/>
        <v>-2.4709467545402375E-2</v>
      </c>
      <c r="T62" s="83">
        <f t="shared" si="15"/>
        <v>-1.9876691461984716E-2</v>
      </c>
      <c r="U62" s="194">
        <v>71.605170999999999</v>
      </c>
      <c r="V62" s="82">
        <v>-7.7261647261815947E-3</v>
      </c>
      <c r="W62" s="82">
        <f t="shared" si="16"/>
        <v>-1.189283139284826E-2</v>
      </c>
      <c r="X62" s="82">
        <f t="shared" si="17"/>
        <v>9.6279799006660383E-3</v>
      </c>
      <c r="Y62" s="83">
        <f t="shared" si="18"/>
        <v>-2.6063045753024199E-2</v>
      </c>
      <c r="Z62" s="194">
        <v>61.501213</v>
      </c>
      <c r="AA62" s="82">
        <v>1.5304027867713454E-2</v>
      </c>
      <c r="AB62" s="82">
        <f t="shared" si="19"/>
        <v>1.1137361201046789E-2</v>
      </c>
      <c r="AC62" s="82">
        <f t="shared" si="20"/>
        <v>1.1824113182943286E-2</v>
      </c>
      <c r="AD62" s="83">
        <f t="shared" si="21"/>
        <v>-7.1421167185709185E-4</v>
      </c>
      <c r="AE62" s="195">
        <f t="shared" si="22"/>
        <v>58.712633002793339</v>
      </c>
      <c r="AF62" s="83">
        <f t="shared" si="23"/>
        <v>1.3017210225766012E-3</v>
      </c>
      <c r="AG62" s="194">
        <v>127.96828499999999</v>
      </c>
      <c r="AH62" s="82">
        <f t="shared" si="28"/>
        <v>-7.7020965033369748E-5</v>
      </c>
      <c r="AI62" s="82">
        <f t="shared" si="24"/>
        <v>-4.2436876317000364E-3</v>
      </c>
    </row>
    <row r="63" spans="2:35">
      <c r="B63" s="78">
        <v>44317</v>
      </c>
      <c r="C63" s="79">
        <v>65.259490999999997</v>
      </c>
      <c r="D63" s="82">
        <f t="shared" si="25"/>
        <v>6.5456102523341553E-2</v>
      </c>
      <c r="E63" s="83">
        <f t="shared" si="8"/>
        <v>6.1289435856674887E-2</v>
      </c>
      <c r="F63" s="79">
        <v>51.533943000000001</v>
      </c>
      <c r="G63" s="82">
        <v>1.9741338743729298E-2</v>
      </c>
      <c r="H63" s="82">
        <f t="shared" si="9"/>
        <v>1.5574672077062632E-2</v>
      </c>
      <c r="I63" s="82">
        <f t="shared" si="10"/>
        <v>5.0628982301961507E-2</v>
      </c>
      <c r="J63" s="83">
        <f t="shared" si="26"/>
        <v>-3.6341451360133538E-2</v>
      </c>
      <c r="K63" s="79">
        <v>91.885216</v>
      </c>
      <c r="L63" s="82">
        <v>6.9856927050735429E-3</v>
      </c>
      <c r="M63" s="82">
        <f t="shared" si="11"/>
        <v>2.8190260384068763E-3</v>
      </c>
      <c r="N63" s="82">
        <f t="shared" si="12"/>
        <v>4.8097723428548574E-2</v>
      </c>
      <c r="O63" s="83">
        <f t="shared" si="13"/>
        <v>-4.6565838525376359E-2</v>
      </c>
      <c r="P63" s="79">
        <v>49.616512</v>
      </c>
      <c r="Q63" s="82">
        <v>8.9948992864220312E-2</v>
      </c>
      <c r="R63" s="82">
        <f t="shared" si="14"/>
        <v>8.5782326197553646E-2</v>
      </c>
      <c r="S63" s="82">
        <f t="shared" si="27"/>
        <v>-3.8466352016854437E-2</v>
      </c>
      <c r="T63" s="83">
        <f t="shared" si="15"/>
        <v>0.11837696109593071</v>
      </c>
      <c r="U63" s="194">
        <v>74.534499999999994</v>
      </c>
      <c r="V63" s="82">
        <v>4.0909461692368421E-2</v>
      </c>
      <c r="W63" s="82">
        <f t="shared" si="16"/>
        <v>3.6742795025701755E-2</v>
      </c>
      <c r="X63" s="82">
        <f t="shared" si="17"/>
        <v>5.75636396629483E-2</v>
      </c>
      <c r="Y63" s="83">
        <f t="shared" si="18"/>
        <v>-2.5363079096756447E-2</v>
      </c>
      <c r="Z63" s="194">
        <v>67.472733000000005</v>
      </c>
      <c r="AA63" s="82">
        <v>9.7095971098976719E-2</v>
      </c>
      <c r="AB63" s="82">
        <f t="shared" si="19"/>
        <v>9.2929304432310053E-2</v>
      </c>
      <c r="AC63" s="82">
        <f t="shared" si="20"/>
        <v>7.0693852461177153E-2</v>
      </c>
      <c r="AD63" s="83">
        <f t="shared" si="21"/>
        <v>2.2207992281172304E-2</v>
      </c>
      <c r="AE63" s="195">
        <f t="shared" si="22"/>
        <v>61.204795009616689</v>
      </c>
      <c r="AF63" s="83">
        <f t="shared" si="23"/>
        <v>4.2446776432335687E-2</v>
      </c>
      <c r="AG63" s="194">
        <v>133.626938</v>
      </c>
      <c r="AH63" s="82">
        <f t="shared" si="28"/>
        <v>4.4219182901450882E-2</v>
      </c>
      <c r="AI63" s="82">
        <f t="shared" si="24"/>
        <v>4.0052516234784216E-2</v>
      </c>
    </row>
    <row r="64" spans="2:35">
      <c r="B64" s="78">
        <v>44348</v>
      </c>
      <c r="C64" s="79">
        <v>68.066840999999997</v>
      </c>
      <c r="D64" s="82">
        <f t="shared" si="25"/>
        <v>4.3018263810853163E-2</v>
      </c>
      <c r="E64" s="83">
        <f t="shared" si="8"/>
        <v>3.8851597144186498E-2</v>
      </c>
      <c r="F64" s="79">
        <v>56.503653999999997</v>
      </c>
      <c r="G64" s="82">
        <v>9.6435683176814058E-2</v>
      </c>
      <c r="H64" s="82">
        <f t="shared" si="9"/>
        <v>9.2269016510147392E-2</v>
      </c>
      <c r="I64" s="82">
        <f t="shared" si="10"/>
        <v>3.2093896716814584E-2</v>
      </c>
      <c r="J64" s="83">
        <f t="shared" si="26"/>
        <v>5.8887978658098146E-2</v>
      </c>
      <c r="K64" s="79">
        <v>93.861275000000006</v>
      </c>
      <c r="L64" s="82">
        <v>2.150573384950194E-2</v>
      </c>
      <c r="M64" s="82">
        <f t="shared" si="11"/>
        <v>1.7339067182835274E-2</v>
      </c>
      <c r="N64" s="82">
        <f t="shared" si="12"/>
        <v>3.0489322475872601E-2</v>
      </c>
      <c r="O64" s="83">
        <f t="shared" si="13"/>
        <v>-1.4437396428271989E-2</v>
      </c>
      <c r="P64" s="79">
        <v>54.631484999999998</v>
      </c>
      <c r="Q64" s="82">
        <v>0.10107467852637431</v>
      </c>
      <c r="R64" s="82">
        <f t="shared" si="14"/>
        <v>9.6908011859707641E-2</v>
      </c>
      <c r="S64" s="82">
        <f t="shared" si="27"/>
        <v>-1.1926210088843208E-2</v>
      </c>
      <c r="T64" s="83">
        <f t="shared" si="15"/>
        <v>0.10296250483007348</v>
      </c>
      <c r="U64" s="194">
        <v>76.762321</v>
      </c>
      <c r="V64" s="82">
        <v>2.9889796000510005E-2</v>
      </c>
      <c r="W64" s="82">
        <f t="shared" si="16"/>
        <v>2.5723129333843339E-2</v>
      </c>
      <c r="X64" s="82">
        <f t="shared" si="17"/>
        <v>3.6489801334897057E-2</v>
      </c>
      <c r="Y64" s="83">
        <f t="shared" si="18"/>
        <v>-1.5308906460563619E-2</v>
      </c>
      <c r="Z64" s="194">
        <v>70.076256000000001</v>
      </c>
      <c r="AA64" s="82">
        <v>3.8586298260661733E-2</v>
      </c>
      <c r="AB64" s="82">
        <f t="shared" si="19"/>
        <v>3.4419631593995068E-2</v>
      </c>
      <c r="AC64" s="82">
        <f t="shared" si="20"/>
        <v>4.4813091163296938E-2</v>
      </c>
      <c r="AD64" s="83">
        <f t="shared" si="21"/>
        <v>-1.0420919259262466E-2</v>
      </c>
      <c r="AE64" s="195">
        <f t="shared" si="22"/>
        <v>64.12964195731378</v>
      </c>
      <c r="AF64" s="83">
        <f t="shared" si="23"/>
        <v>4.7787872620724051E-2</v>
      </c>
      <c r="AG64" s="194">
        <v>138.61210600000001</v>
      </c>
      <c r="AH64" s="82">
        <f t="shared" si="28"/>
        <v>3.7306609540061597E-2</v>
      </c>
      <c r="AI64" s="82">
        <f t="shared" si="24"/>
        <v>3.3139942873394931E-2</v>
      </c>
    </row>
    <row r="65" spans="2:35">
      <c r="B65" s="78">
        <v>44378</v>
      </c>
      <c r="C65" s="79">
        <v>62.707672000000002</v>
      </c>
      <c r="D65" s="82">
        <f t="shared" si="25"/>
        <v>-7.873391685681419E-2</v>
      </c>
      <c r="E65" s="83">
        <f t="shared" si="8"/>
        <v>-8.2900583523480856E-2</v>
      </c>
      <c r="F65" s="79">
        <v>51.568095999999997</v>
      </c>
      <c r="G65" s="82">
        <v>-8.7349359742292076E-2</v>
      </c>
      <c r="H65" s="82">
        <f t="shared" si="9"/>
        <v>-9.1516026408958742E-2</v>
      </c>
      <c r="I65" s="82">
        <f t="shared" si="10"/>
        <v>-6.8481168367215267E-2</v>
      </c>
      <c r="J65" s="83">
        <f t="shared" si="26"/>
        <v>-2.4321999176978137E-2</v>
      </c>
      <c r="K65" s="79">
        <v>91.235588000000007</v>
      </c>
      <c r="L65" s="82">
        <v>-2.7974124579066229E-2</v>
      </c>
      <c r="M65" s="82">
        <f t="shared" si="11"/>
        <v>-3.2140791245732894E-2</v>
      </c>
      <c r="N65" s="82">
        <f t="shared" si="12"/>
        <v>-6.5057367271286803E-2</v>
      </c>
      <c r="O65" s="83">
        <f t="shared" si="13"/>
        <v>3.1629434890319247E-2</v>
      </c>
      <c r="P65" s="79">
        <v>50.289664999999999</v>
      </c>
      <c r="Q65" s="82">
        <v>-7.9474683875058516E-2</v>
      </c>
      <c r="R65" s="82">
        <f t="shared" si="14"/>
        <v>-8.3641350541725182E-2</v>
      </c>
      <c r="S65" s="82">
        <f t="shared" si="27"/>
        <v>2.612793015468123E-2</v>
      </c>
      <c r="T65" s="83">
        <f t="shared" si="15"/>
        <v>-0.11564099781488378</v>
      </c>
      <c r="U65" s="194">
        <v>65.679985000000002</v>
      </c>
      <c r="V65" s="82">
        <v>-0.14437208067223495</v>
      </c>
      <c r="W65" s="82">
        <f t="shared" si="16"/>
        <v>-0.14853874733890163</v>
      </c>
      <c r="X65" s="82">
        <f t="shared" si="17"/>
        <v>-7.7861041647589044E-2</v>
      </c>
      <c r="Y65" s="83">
        <f t="shared" si="18"/>
        <v>-7.5219940150822492E-2</v>
      </c>
      <c r="Z65" s="194">
        <v>61.190745999999997</v>
      </c>
      <c r="AA65" s="82">
        <v>-0.1267977273215054</v>
      </c>
      <c r="AB65" s="82">
        <f t="shared" si="19"/>
        <v>-0.13096439398817208</v>
      </c>
      <c r="AC65" s="82">
        <f t="shared" si="20"/>
        <v>-9.5621073006110724E-2</v>
      </c>
      <c r="AD65" s="83">
        <f t="shared" si="21"/>
        <v>-3.5370780672021956E-2</v>
      </c>
      <c r="AE65" s="195">
        <f t="shared" si="22"/>
        <v>57.565034765469683</v>
      </c>
      <c r="AF65" s="83">
        <f t="shared" si="23"/>
        <v>-0.10236463188448267</v>
      </c>
      <c r="AG65" s="194">
        <v>138.15239</v>
      </c>
      <c r="AH65" s="82">
        <f t="shared" si="28"/>
        <v>-3.3165645719286374E-3</v>
      </c>
      <c r="AI65" s="82">
        <f t="shared" si="24"/>
        <v>-7.483231238595304E-3</v>
      </c>
    </row>
    <row r="66" spans="2:35">
      <c r="B66" s="78">
        <v>44409</v>
      </c>
      <c r="C66" s="79">
        <v>61.549267</v>
      </c>
      <c r="D66" s="82">
        <f t="shared" si="25"/>
        <v>-1.8473098475095706E-2</v>
      </c>
      <c r="E66" s="83">
        <f t="shared" si="8"/>
        <v>-2.2639765141762372E-2</v>
      </c>
      <c r="F66" s="79">
        <v>48.836067</v>
      </c>
      <c r="G66" s="82">
        <v>-5.2979055111904816E-2</v>
      </c>
      <c r="H66" s="82">
        <f t="shared" si="9"/>
        <v>-5.7145721778571482E-2</v>
      </c>
      <c r="I66" s="82">
        <f t="shared" si="10"/>
        <v>-1.8701889692104567E-2</v>
      </c>
      <c r="J66" s="83">
        <f t="shared" si="26"/>
        <v>-3.9730973221701577E-2</v>
      </c>
      <c r="K66" s="79">
        <v>86.719086000000004</v>
      </c>
      <c r="L66" s="82">
        <v>-4.9503730934468249E-2</v>
      </c>
      <c r="M66" s="82">
        <f t="shared" si="11"/>
        <v>-5.3670397601134914E-2</v>
      </c>
      <c r="N66" s="82">
        <f t="shared" si="12"/>
        <v>-1.7766865481062988E-2</v>
      </c>
      <c r="O66" s="83">
        <f t="shared" si="13"/>
        <v>-3.7190673255306589E-2</v>
      </c>
      <c r="P66" s="79">
        <v>50.195090999999998</v>
      </c>
      <c r="Q66" s="82">
        <v>-1.8805852057276473E-3</v>
      </c>
      <c r="R66" s="82">
        <f t="shared" si="14"/>
        <v>-6.0472518723943139E-3</v>
      </c>
      <c r="S66" s="82">
        <f t="shared" si="27"/>
        <v>-3.0721867671358004E-2</v>
      </c>
      <c r="T66" s="83">
        <f t="shared" si="15"/>
        <v>1.8802898680486322E-2</v>
      </c>
      <c r="U66" s="194">
        <v>63.586964000000002</v>
      </c>
      <c r="V66" s="82">
        <v>-3.1866953075583071E-2</v>
      </c>
      <c r="W66" s="82">
        <f t="shared" si="16"/>
        <v>-3.6033619742249737E-2</v>
      </c>
      <c r="X66" s="82">
        <f t="shared" si="17"/>
        <v>-2.1263489612170339E-2</v>
      </c>
      <c r="Y66" s="83">
        <f t="shared" si="18"/>
        <v>-1.93123645895893E-2</v>
      </c>
      <c r="Z66" s="194">
        <v>57.729987999999999</v>
      </c>
      <c r="AA66" s="82">
        <v>-5.6556885251897393E-2</v>
      </c>
      <c r="AB66" s="82">
        <f t="shared" si="19"/>
        <v>-6.0723551918564059E-2</v>
      </c>
      <c r="AC66" s="82">
        <f t="shared" si="20"/>
        <v>-2.6113671863943984E-2</v>
      </c>
      <c r="AD66" s="83">
        <f t="shared" si="21"/>
        <v>-3.4637339744580671E-2</v>
      </c>
      <c r="AE66" s="195">
        <f t="shared" si="22"/>
        <v>54.603838643658932</v>
      </c>
      <c r="AF66" s="83">
        <f t="shared" si="23"/>
        <v>-5.1440881324491393E-2</v>
      </c>
      <c r="AG66" s="194">
        <v>134.129211</v>
      </c>
      <c r="AH66" s="82">
        <f t="shared" si="28"/>
        <v>-2.9121313065955667E-2</v>
      </c>
      <c r="AI66" s="82">
        <f t="shared" si="24"/>
        <v>-3.3287979732622333E-2</v>
      </c>
    </row>
    <row r="67" spans="2:35">
      <c r="B67" s="78">
        <v>44440</v>
      </c>
      <c r="C67" s="79">
        <v>66.879729999999995</v>
      </c>
      <c r="D67" s="82">
        <f t="shared" si="25"/>
        <v>8.6604816918453231E-2</v>
      </c>
      <c r="E67" s="83">
        <f t="shared" si="8"/>
        <v>8.2438150251786566E-2</v>
      </c>
      <c r="F67" s="79">
        <v>53.485244999999999</v>
      </c>
      <c r="G67" s="82">
        <v>9.5199681006252979E-2</v>
      </c>
      <c r="H67" s="82">
        <f t="shared" si="9"/>
        <v>9.1033014339586313E-2</v>
      </c>
      <c r="I67" s="82">
        <f t="shared" si="10"/>
        <v>6.8099168996504825E-2</v>
      </c>
      <c r="J67" s="83">
        <f t="shared" si="26"/>
        <v>2.1646704207846826E-2</v>
      </c>
      <c r="K67" s="79">
        <v>92.138694999999998</v>
      </c>
      <c r="L67" s="82">
        <v>6.2496149924827327E-2</v>
      </c>
      <c r="M67" s="82">
        <f t="shared" si="11"/>
        <v>5.8329483258160661E-2</v>
      </c>
      <c r="N67" s="82">
        <f t="shared" si="12"/>
        <v>6.4694466433724465E-2</v>
      </c>
      <c r="O67" s="83">
        <f t="shared" si="13"/>
        <v>-7.6521243107984666E-3</v>
      </c>
      <c r="P67" s="79">
        <v>61.259158999999997</v>
      </c>
      <c r="Q67" s="82">
        <v>0.22042131570196766</v>
      </c>
      <c r="R67" s="82">
        <f t="shared" si="14"/>
        <v>0.21625464903530098</v>
      </c>
      <c r="S67" s="82">
        <f t="shared" si="27"/>
        <v>-6.3211426388358905E-3</v>
      </c>
      <c r="T67" s="83">
        <f t="shared" si="15"/>
        <v>0.21670407455565951</v>
      </c>
      <c r="U67" s="194">
        <v>63.433411</v>
      </c>
      <c r="V67" s="82">
        <v>-2.4148503142876754E-3</v>
      </c>
      <c r="W67" s="82">
        <f t="shared" si="16"/>
        <v>-6.581516980954342E-3</v>
      </c>
      <c r="X67" s="82">
        <f t="shared" si="17"/>
        <v>7.7426719780404343E-2</v>
      </c>
      <c r="Y67" s="83">
        <f t="shared" si="18"/>
        <v>-8.8550471220868593E-2</v>
      </c>
      <c r="Z67" s="194">
        <v>68.631332</v>
      </c>
      <c r="AA67" s="82">
        <v>0.18883329752294431</v>
      </c>
      <c r="AB67" s="82">
        <f t="shared" si="19"/>
        <v>0.18466663085627763</v>
      </c>
      <c r="AC67" s="82">
        <f t="shared" si="20"/>
        <v>9.5087682723995148E-2</v>
      </c>
      <c r="AD67" s="83">
        <f t="shared" si="21"/>
        <v>8.9551488442321886E-2</v>
      </c>
      <c r="AE67" s="195">
        <f t="shared" si="22"/>
        <v>59.921658481550068</v>
      </c>
      <c r="AF67" s="83">
        <f t="shared" si="23"/>
        <v>9.7389120801467471E-2</v>
      </c>
      <c r="AG67" s="194">
        <v>137.435776</v>
      </c>
      <c r="AH67" s="82">
        <f t="shared" si="28"/>
        <v>2.465208715795697E-2</v>
      </c>
      <c r="AI67" s="82">
        <f t="shared" si="24"/>
        <v>2.0485420491290304E-2</v>
      </c>
    </row>
    <row r="68" spans="2:35">
      <c r="B68" s="78">
        <v>44470</v>
      </c>
      <c r="C68" s="79">
        <v>74.411034000000001</v>
      </c>
      <c r="D68" s="82">
        <f t="shared" si="25"/>
        <v>0.11260966514069359</v>
      </c>
      <c r="E68" s="83">
        <f t="shared" si="8"/>
        <v>0.10844299847402693</v>
      </c>
      <c r="F68" s="79">
        <v>58.622813999999998</v>
      </c>
      <c r="G68" s="82">
        <v>9.6055818758986611E-2</v>
      </c>
      <c r="H68" s="82">
        <f t="shared" si="9"/>
        <v>9.1889152092319945E-2</v>
      </c>
      <c r="I68" s="82">
        <f t="shared" si="10"/>
        <v>8.9580831896582155E-2</v>
      </c>
      <c r="J68" s="83">
        <f t="shared" si="26"/>
        <v>1.0211790605031273E-3</v>
      </c>
      <c r="K68" s="79">
        <v>103.98185700000001</v>
      </c>
      <c r="L68" s="82">
        <v>0.12853624636207406</v>
      </c>
      <c r="M68" s="82">
        <f t="shared" si="11"/>
        <v>0.12436957969540739</v>
      </c>
      <c r="N68" s="82">
        <f t="shared" si="12"/>
        <v>8.5102126907539724E-2</v>
      </c>
      <c r="O68" s="83">
        <f t="shared" si="13"/>
        <v>3.7980311652633006E-2</v>
      </c>
      <c r="P68" s="79">
        <v>67.333556999999999</v>
      </c>
      <c r="Q68" s="82">
        <v>9.9159017184679232E-2</v>
      </c>
      <c r="R68" s="82">
        <f t="shared" si="14"/>
        <v>9.4992350518012567E-2</v>
      </c>
      <c r="S68" s="82">
        <f t="shared" si="27"/>
        <v>3.137415934094815E-2</v>
      </c>
      <c r="T68" s="83">
        <f t="shared" si="15"/>
        <v>5.7746474058587051E-2</v>
      </c>
      <c r="U68" s="194">
        <v>67.735969999999995</v>
      </c>
      <c r="V68" s="82">
        <v>6.7827962144428877E-2</v>
      </c>
      <c r="W68" s="82">
        <f t="shared" si="16"/>
        <v>6.3661295477762211E-2</v>
      </c>
      <c r="X68" s="82">
        <f t="shared" si="17"/>
        <v>0.1018507284473348</v>
      </c>
      <c r="Y68" s="83">
        <f t="shared" si="18"/>
        <v>-4.2731667429082486E-2</v>
      </c>
      <c r="Z68" s="194">
        <v>79.053841000000006</v>
      </c>
      <c r="AA68" s="82">
        <v>0.15186225731419589</v>
      </c>
      <c r="AB68" s="82">
        <f t="shared" si="19"/>
        <v>0.14769559064752921</v>
      </c>
      <c r="AC68" s="82">
        <f t="shared" si="20"/>
        <v>0.12508278510668663</v>
      </c>
      <c r="AD68" s="83">
        <f t="shared" si="21"/>
        <v>2.2585345850881983E-2</v>
      </c>
      <c r="AE68" s="195">
        <f t="shared" si="22"/>
        <v>66.457711829426856</v>
      </c>
      <c r="AF68" s="83">
        <f t="shared" si="23"/>
        <v>0.10907664296189737</v>
      </c>
      <c r="AG68" s="194">
        <v>141.24409499999999</v>
      </c>
      <c r="AH68" s="82">
        <f t="shared" si="28"/>
        <v>2.7709808252546875E-2</v>
      </c>
      <c r="AI68" s="82">
        <f t="shared" si="24"/>
        <v>2.3543141585880209E-2</v>
      </c>
    </row>
    <row r="69" spans="2:35">
      <c r="B69" s="78">
        <v>44501</v>
      </c>
      <c r="C69" s="79">
        <v>70.132553000000001</v>
      </c>
      <c r="D69" s="82">
        <f t="shared" si="25"/>
        <v>-5.7497937738642313E-2</v>
      </c>
      <c r="E69" s="83">
        <f t="shared" si="8"/>
        <v>-6.1664604405308979E-2</v>
      </c>
      <c r="F69" s="79">
        <v>54.412734999999998</v>
      </c>
      <c r="G69" s="82">
        <v>-7.1816392164320231E-2</v>
      </c>
      <c r="H69" s="82">
        <f t="shared" si="9"/>
        <v>-7.5983058830986897E-2</v>
      </c>
      <c r="I69" s="82">
        <f t="shared" si="10"/>
        <v>-5.0938895446756415E-2</v>
      </c>
      <c r="J69" s="83">
        <f t="shared" si="26"/>
        <v>-2.6331304519465144E-2</v>
      </c>
      <c r="K69" s="79">
        <v>102.510559</v>
      </c>
      <c r="L69" s="82">
        <v>-1.414956457259664E-2</v>
      </c>
      <c r="M69" s="82">
        <f t="shared" si="11"/>
        <v>-1.8316231239263306E-2</v>
      </c>
      <c r="N69" s="82">
        <f t="shared" si="12"/>
        <v>-4.839214208062248E-2</v>
      </c>
      <c r="O69" s="83">
        <f t="shared" si="13"/>
        <v>2.8788769706124512E-2</v>
      </c>
      <c r="P69" s="79">
        <v>63.773246999999998</v>
      </c>
      <c r="Q69" s="82">
        <v>-5.2875715447499694E-2</v>
      </c>
      <c r="R69" s="82">
        <f t="shared" si="14"/>
        <v>-5.704238211416636E-2</v>
      </c>
      <c r="S69" s="82">
        <f t="shared" si="27"/>
        <v>2.3781359569944312E-2</v>
      </c>
      <c r="T69" s="83">
        <f t="shared" si="15"/>
        <v>-8.6695458802588041E-2</v>
      </c>
      <c r="U69" s="194">
        <v>62.654434000000002</v>
      </c>
      <c r="V69" s="82">
        <v>-7.5019756858874187E-2</v>
      </c>
      <c r="W69" s="82">
        <f t="shared" si="16"/>
        <v>-7.9186423525540853E-2</v>
      </c>
      <c r="X69" s="82">
        <f t="shared" si="17"/>
        <v>-5.7916001645802025E-2</v>
      </c>
      <c r="Y69" s="83">
        <f t="shared" si="18"/>
        <v>-2.5812656339248723E-2</v>
      </c>
      <c r="Z69" s="194">
        <v>74.726890999999995</v>
      </c>
      <c r="AA69" s="82">
        <v>-5.4734215887119353E-2</v>
      </c>
      <c r="AB69" s="82">
        <f t="shared" si="19"/>
        <v>-5.8900882553786019E-2</v>
      </c>
      <c r="AC69" s="82">
        <f t="shared" si="20"/>
        <v>-7.1126587885390141E-2</v>
      </c>
      <c r="AD69" s="83">
        <f t="shared" si="21"/>
        <v>1.2198245641643526E-2</v>
      </c>
      <c r="AE69" s="195">
        <f t="shared" si="22"/>
        <v>62.493795511113234</v>
      </c>
      <c r="AF69" s="83">
        <f t="shared" si="23"/>
        <v>-5.9645693617733545E-2</v>
      </c>
      <c r="AG69" s="194">
        <v>138.252151</v>
      </c>
      <c r="AH69" s="82">
        <f t="shared" si="28"/>
        <v>-2.1182789977874705E-2</v>
      </c>
      <c r="AI69" s="82">
        <f t="shared" si="24"/>
        <v>-2.5349456644541371E-2</v>
      </c>
    </row>
    <row r="70" spans="2:35">
      <c r="B70" s="78">
        <v>44531</v>
      </c>
      <c r="C70" s="79">
        <v>71.103683000000004</v>
      </c>
      <c r="D70" s="82">
        <f t="shared" si="25"/>
        <v>1.3847064714726631E-2</v>
      </c>
      <c r="E70" s="83">
        <f t="shared" si="8"/>
        <v>9.6803980480599655E-3</v>
      </c>
      <c r="F70" s="79">
        <v>56.388058000000001</v>
      </c>
      <c r="G70" s="82">
        <v>3.6302586150098959E-2</v>
      </c>
      <c r="H70" s="82">
        <f t="shared" si="9"/>
        <v>3.2135919483432293E-2</v>
      </c>
      <c r="I70" s="82">
        <f t="shared" si="10"/>
        <v>7.9966260840985386E-3</v>
      </c>
      <c r="J70" s="83">
        <f t="shared" si="26"/>
        <v>2.285215226409909E-2</v>
      </c>
      <c r="K70" s="79">
        <v>107.81117999999999</v>
      </c>
      <c r="L70" s="82">
        <v>5.1708048924013594E-2</v>
      </c>
      <c r="M70" s="82">
        <f t="shared" si="11"/>
        <v>4.7541382257346929E-2</v>
      </c>
      <c r="N70" s="82">
        <f t="shared" si="12"/>
        <v>7.5968248277348393E-3</v>
      </c>
      <c r="O70" s="83">
        <f t="shared" si="13"/>
        <v>3.8657416294377425E-2</v>
      </c>
      <c r="P70" s="79">
        <v>65.637435999999994</v>
      </c>
      <c r="Q70" s="82">
        <v>2.9231520860149907E-2</v>
      </c>
      <c r="R70" s="82">
        <f t="shared" si="14"/>
        <v>2.5064854193483241E-2</v>
      </c>
      <c r="S70" s="82">
        <f t="shared" si="27"/>
        <v>3.1933490952412484E-2</v>
      </c>
      <c r="T70" s="83">
        <f t="shared" si="15"/>
        <v>-1.2740353877406612E-2</v>
      </c>
      <c r="U70" s="194">
        <v>66.408775000000006</v>
      </c>
      <c r="V70" s="82">
        <v>5.9921393592032191E-2</v>
      </c>
      <c r="W70" s="82">
        <f t="shared" si="16"/>
        <v>5.5754726925365525E-2</v>
      </c>
      <c r="X70" s="82">
        <f t="shared" si="17"/>
        <v>9.0919248520337677E-3</v>
      </c>
      <c r="Y70" s="83">
        <f t="shared" si="18"/>
        <v>4.2120567613821852E-2</v>
      </c>
      <c r="Z70" s="194">
        <v>76.298737000000003</v>
      </c>
      <c r="AA70" s="82">
        <v>2.1034542973292103E-2</v>
      </c>
      <c r="AB70" s="82">
        <f t="shared" si="19"/>
        <v>1.6867876306625437E-2</v>
      </c>
      <c r="AC70" s="82">
        <f t="shared" si="20"/>
        <v>1.1165784475082392E-2</v>
      </c>
      <c r="AD70" s="83">
        <f t="shared" si="21"/>
        <v>5.6746321415824495E-3</v>
      </c>
      <c r="AE70" s="195">
        <f t="shared" si="22"/>
        <v>64.686442494513713</v>
      </c>
      <c r="AF70" s="83">
        <f t="shared" si="23"/>
        <v>3.5085834769158192E-2</v>
      </c>
      <c r="AG70" s="194">
        <v>133.15239</v>
      </c>
      <c r="AH70" s="82">
        <f t="shared" si="28"/>
        <v>-3.6887389911206547E-2</v>
      </c>
      <c r="AI70" s="82">
        <f t="shared" si="24"/>
        <v>-4.1054056577873213E-2</v>
      </c>
    </row>
    <row r="71" spans="2:35">
      <c r="B71" s="78">
        <v>44562</v>
      </c>
      <c r="C71" s="79">
        <v>84.564635999999993</v>
      </c>
      <c r="D71" s="82">
        <f t="shared" si="25"/>
        <v>0.18931442693341194</v>
      </c>
      <c r="E71" s="83">
        <f t="shared" ref="E71:E97" si="29">D71-$E$7/12</f>
        <v>0.18514776026674526</v>
      </c>
      <c r="F71" s="79">
        <v>69.998962000000006</v>
      </c>
      <c r="G71" s="82">
        <v>0.24137919415490439</v>
      </c>
      <c r="H71" s="82">
        <f t="shared" ref="H71:H97" si="30">G71-$E$7/12</f>
        <v>0.23721252748823771</v>
      </c>
      <c r="I71" s="82">
        <f t="shared" ref="I71:I97" si="31">$G$17*E71</f>
        <v>0.15294385642108949</v>
      </c>
      <c r="J71" s="83">
        <f t="shared" ref="J71:J97" si="32">H71-$G$13/12-I71</f>
        <v>8.2981529931913545E-2</v>
      </c>
      <c r="K71" s="79">
        <v>120.65482299999999</v>
      </c>
      <c r="L71" s="82">
        <v>0.11913090089543599</v>
      </c>
      <c r="M71" s="82">
        <f t="shared" ref="M71:M97" si="33">L71-$E$7/12</f>
        <v>0.11496423422876932</v>
      </c>
      <c r="N71" s="82">
        <f t="shared" ref="N71:N97" si="34">$H$17*E71</f>
        <v>0.14529723829649649</v>
      </c>
      <c r="O71" s="83">
        <f t="shared" ref="O71:O97" si="35">M71-$G$13/12-N71</f>
        <v>-3.162014520296183E-2</v>
      </c>
      <c r="P71" s="79">
        <v>80.810890000000001</v>
      </c>
      <c r="Q71" s="82">
        <v>0.23117073006934663</v>
      </c>
      <c r="R71" s="82">
        <f t="shared" ref="R71:R97" si="36">Q71-$E$7/12</f>
        <v>0.22700406340267995</v>
      </c>
      <c r="S71" s="82">
        <f t="shared" si="27"/>
        <v>-2.6120256280542313E-2</v>
      </c>
      <c r="T71" s="83">
        <f t="shared" ref="T71:T97" si="37">R71-$I$13/12-S71</f>
        <v>0.24725260256474491</v>
      </c>
      <c r="U71" s="194">
        <v>77.709068000000002</v>
      </c>
      <c r="V71" s="82">
        <v>0.17016264793319857</v>
      </c>
      <c r="W71" s="82">
        <f t="shared" ref="W71:W97" si="38">V71-$E$7/12</f>
        <v>0.16599598126653189</v>
      </c>
      <c r="X71" s="82">
        <f t="shared" ref="X71:X97" si="39">$J$17*E71</f>
        <v>0.17389259351840072</v>
      </c>
      <c r="Y71" s="83">
        <f t="shared" ref="Y71:Y97" si="40">W71-$J$13/12-X71</f>
        <v>-1.2438846711378737E-2</v>
      </c>
      <c r="Z71" s="194">
        <v>97.979529999999997</v>
      </c>
      <c r="AA71" s="82">
        <v>0.28415664337929991</v>
      </c>
      <c r="AB71" s="82">
        <f t="shared" ref="AB71:AB97" si="41">AA71-$E$7/12</f>
        <v>0.27998997671263326</v>
      </c>
      <c r="AC71" s="82">
        <f t="shared" ref="AC71:AC97" si="42">$K$17*E71</f>
        <v>0.21355733275833727</v>
      </c>
      <c r="AD71" s="83">
        <f t="shared" ref="AD71:AD97" si="43">AB71-$K$13/12-AC71</f>
        <v>6.6405184264335393E-2</v>
      </c>
      <c r="AE71" s="195">
        <f t="shared" ref="AE71:AE97" si="44">AE70*(1+AF71)</f>
        <v>78.359035714724968</v>
      </c>
      <c r="AF71" s="83">
        <f t="shared" ref="AF71:AF97" si="45">$F$32*E71+$G$32*H71+$H$32*M71+$I$32*R71+$J$32*W71+$K$32*AB71</f>
        <v>0.21136721533837427</v>
      </c>
      <c r="AG71" s="194">
        <v>130.795883</v>
      </c>
      <c r="AH71" s="82">
        <f t="shared" si="28"/>
        <v>-1.7697819768762613E-2</v>
      </c>
      <c r="AI71" s="82">
        <f t="shared" si="24"/>
        <v>-2.1864486435429278E-2</v>
      </c>
    </row>
    <row r="72" spans="2:35">
      <c r="B72" s="78">
        <v>44593</v>
      </c>
      <c r="C72" s="79">
        <v>90.908378999999996</v>
      </c>
      <c r="D72" s="82">
        <f t="shared" si="25"/>
        <v>7.5016499804954062E-2</v>
      </c>
      <c r="E72" s="83">
        <f t="shared" si="29"/>
        <v>7.0849833138287396E-2</v>
      </c>
      <c r="F72" s="79">
        <v>72.265900000000002</v>
      </c>
      <c r="G72" s="82">
        <v>3.2385308799293355E-2</v>
      </c>
      <c r="H72" s="82">
        <f t="shared" si="30"/>
        <v>2.821864213262669E-2</v>
      </c>
      <c r="I72" s="82">
        <f t="shared" si="31"/>
        <v>5.8526480100805509E-2</v>
      </c>
      <c r="J72" s="83">
        <f t="shared" si="32"/>
        <v>-3.1594979103413481E-2</v>
      </c>
      <c r="K72" s="79">
        <v>132.29492200000001</v>
      </c>
      <c r="L72" s="82">
        <v>9.6474377986531135E-2</v>
      </c>
      <c r="M72" s="82">
        <f t="shared" si="33"/>
        <v>9.2307711319864469E-2</v>
      </c>
      <c r="N72" s="82">
        <f t="shared" si="34"/>
        <v>5.5600376012810641E-2</v>
      </c>
      <c r="O72" s="83">
        <f t="shared" si="35"/>
        <v>3.5420194171819165E-2</v>
      </c>
      <c r="P72" s="79">
        <v>86.50103</v>
      </c>
      <c r="Q72" s="82">
        <v>7.0413034678865616E-2</v>
      </c>
      <c r="R72" s="82">
        <f t="shared" si="36"/>
        <v>6.624636801219895E-2</v>
      </c>
      <c r="S72" s="82">
        <f t="shared" ref="S72:S97" si="46">$G$17*O72</f>
        <v>2.9259339049076429E-2</v>
      </c>
      <c r="T72" s="83">
        <f t="shared" si="37"/>
        <v>3.1115311844645156E-2</v>
      </c>
      <c r="U72" s="194">
        <v>77.205001999999993</v>
      </c>
      <c r="V72" s="82">
        <v>-6.4865788893518905E-3</v>
      </c>
      <c r="W72" s="82">
        <f t="shared" si="38"/>
        <v>-1.0653245556018556E-2</v>
      </c>
      <c r="X72" s="82">
        <f t="shared" si="39"/>
        <v>6.6542858617423914E-2</v>
      </c>
      <c r="Y72" s="83">
        <f t="shared" si="40"/>
        <v>-8.1738338632952379E-2</v>
      </c>
      <c r="Z72" s="194">
        <v>101.745453</v>
      </c>
      <c r="AA72" s="82">
        <v>3.8435814093005005E-2</v>
      </c>
      <c r="AB72" s="82">
        <f t="shared" si="41"/>
        <v>3.4269147426338339E-2</v>
      </c>
      <c r="AC72" s="82">
        <f t="shared" si="42"/>
        <v>8.1721222928039558E-2</v>
      </c>
      <c r="AD72" s="83">
        <f t="shared" si="43"/>
        <v>-4.7479535191661815E-2</v>
      </c>
      <c r="AE72" s="195">
        <f t="shared" si="44"/>
        <v>81.201341213181578</v>
      </c>
      <c r="AF72" s="83">
        <f t="shared" si="45"/>
        <v>3.6272849359764298E-2</v>
      </c>
      <c r="AG72" s="194">
        <v>123.683266</v>
      </c>
      <c r="AH72" s="82">
        <f t="shared" si="28"/>
        <v>-5.4379517434810953E-2</v>
      </c>
      <c r="AI72" s="82">
        <f t="shared" si="24"/>
        <v>-5.8546184101477619E-2</v>
      </c>
    </row>
    <row r="73" spans="2:35">
      <c r="B73" s="78">
        <v>44621</v>
      </c>
      <c r="C73" s="79">
        <v>99.273949000000002</v>
      </c>
      <c r="D73" s="82">
        <f t="shared" si="25"/>
        <v>9.2021990624208572E-2</v>
      </c>
      <c r="E73" s="83">
        <f t="shared" si="29"/>
        <v>8.7855323957541906E-2</v>
      </c>
      <c r="F73" s="79">
        <v>76.952399999999997</v>
      </c>
      <c r="G73" s="82">
        <v>6.4850780243517203E-2</v>
      </c>
      <c r="H73" s="82">
        <f t="shared" si="30"/>
        <v>6.0684113576850537E-2</v>
      </c>
      <c r="I73" s="82">
        <f t="shared" si="31"/>
        <v>7.2574099917988716E-2</v>
      </c>
      <c r="J73" s="83">
        <f t="shared" si="32"/>
        <v>-1.3177127476372841E-2</v>
      </c>
      <c r="K73" s="79">
        <v>151.164917</v>
      </c>
      <c r="L73" s="82">
        <v>0.14263582240896588</v>
      </c>
      <c r="M73" s="82">
        <f t="shared" si="33"/>
        <v>0.1384691557422992</v>
      </c>
      <c r="N73" s="82">
        <f t="shared" si="34"/>
        <v>6.8945667623977372E-2</v>
      </c>
      <c r="O73" s="83">
        <f t="shared" si="35"/>
        <v>6.8236346983087157E-2</v>
      </c>
      <c r="P73" s="79">
        <v>91.646766999999997</v>
      </c>
      <c r="Q73" s="82">
        <v>5.9487580668114548E-2</v>
      </c>
      <c r="R73" s="82">
        <f t="shared" si="36"/>
        <v>5.5320914001447882E-2</v>
      </c>
      <c r="S73" s="82">
        <f t="shared" si="46"/>
        <v>5.6367573880694757E-2</v>
      </c>
      <c r="T73" s="83">
        <f t="shared" si="37"/>
        <v>-6.9183769977242404E-3</v>
      </c>
      <c r="U73" s="194">
        <v>80.021263000000005</v>
      </c>
      <c r="V73" s="82">
        <v>3.647770127640193E-2</v>
      </c>
      <c r="W73" s="82">
        <f t="shared" si="38"/>
        <v>3.2311034609735265E-2</v>
      </c>
      <c r="X73" s="82">
        <f t="shared" si="39"/>
        <v>8.2514582490038624E-2</v>
      </c>
      <c r="Y73" s="83">
        <f t="shared" si="40"/>
        <v>-5.4745782339813261E-2</v>
      </c>
      <c r="Z73" s="194">
        <v>105.561363</v>
      </c>
      <c r="AA73" s="82">
        <v>3.7504476981393919E-2</v>
      </c>
      <c r="AB73" s="82">
        <f t="shared" si="41"/>
        <v>3.3337810314727254E-2</v>
      </c>
      <c r="AC73" s="82">
        <f t="shared" si="42"/>
        <v>0.10133608219705914</v>
      </c>
      <c r="AD73" s="83">
        <f t="shared" si="43"/>
        <v>-6.8025731572292483E-2</v>
      </c>
      <c r="AE73" s="195">
        <f t="shared" si="44"/>
        <v>86.24570123035609</v>
      </c>
      <c r="AF73" s="83">
        <f t="shared" si="45"/>
        <v>6.2121634221919145E-2</v>
      </c>
      <c r="AG73" s="194">
        <v>112.004333</v>
      </c>
      <c r="AH73" s="82">
        <f t="shared" si="28"/>
        <v>-9.4426136838915653E-2</v>
      </c>
      <c r="AI73" s="82">
        <f t="shared" si="24"/>
        <v>-9.8592803505582319E-2</v>
      </c>
    </row>
    <row r="74" spans="2:35">
      <c r="B74" s="78">
        <v>44652</v>
      </c>
      <c r="C74" s="79">
        <v>98.359589</v>
      </c>
      <c r="D74" s="82">
        <f t="shared" si="25"/>
        <v>-9.2104727293562672E-3</v>
      </c>
      <c r="E74" s="83">
        <f t="shared" si="29"/>
        <v>-1.3377139396022933E-2</v>
      </c>
      <c r="F74" s="79">
        <v>79.430840000000003</v>
      </c>
      <c r="G74" s="82">
        <v>3.2207442522910412E-2</v>
      </c>
      <c r="H74" s="82">
        <f t="shared" si="30"/>
        <v>2.8040775856243746E-2</v>
      </c>
      <c r="I74" s="82">
        <f t="shared" si="31"/>
        <v>-1.105037017008792E-2</v>
      </c>
      <c r="J74" s="83">
        <f t="shared" si="32"/>
        <v>3.7804004891097004E-2</v>
      </c>
      <c r="K74" s="79">
        <v>145.44624300000001</v>
      </c>
      <c r="L74" s="82">
        <v>-3.7830695861791774E-2</v>
      </c>
      <c r="M74" s="82">
        <f t="shared" si="33"/>
        <v>-4.199736252845844E-2</v>
      </c>
      <c r="N74" s="82">
        <f t="shared" si="34"/>
        <v>-1.0497893184066239E-2</v>
      </c>
      <c r="O74" s="83">
        <f t="shared" si="35"/>
        <v>-3.278661047962686E-2</v>
      </c>
      <c r="P74" s="79">
        <v>87.802605</v>
      </c>
      <c r="Q74" s="82">
        <v>-4.1945418543787749E-2</v>
      </c>
      <c r="R74" s="82">
        <f t="shared" si="36"/>
        <v>-4.6112085210454415E-2</v>
      </c>
      <c r="S74" s="82">
        <f t="shared" si="46"/>
        <v>-2.7083830981837181E-2</v>
      </c>
      <c r="T74" s="83">
        <f t="shared" si="37"/>
        <v>-2.4899971347094599E-2</v>
      </c>
      <c r="U74" s="194">
        <v>80.363990999999999</v>
      </c>
      <c r="V74" s="82">
        <v>4.282961642332328E-3</v>
      </c>
      <c r="W74" s="82">
        <f t="shared" si="38"/>
        <v>1.162949756656614E-4</v>
      </c>
      <c r="X74" s="82">
        <f t="shared" si="39"/>
        <v>-1.2563940606574061E-2</v>
      </c>
      <c r="Y74" s="83">
        <f t="shared" si="40"/>
        <v>8.1380011227298217E-3</v>
      </c>
      <c r="Z74" s="194">
        <v>104.26814299999999</v>
      </c>
      <c r="AA74" s="82">
        <v>-1.2250883876897323E-2</v>
      </c>
      <c r="AB74" s="82">
        <f t="shared" si="41"/>
        <v>-1.6417550543563988E-2</v>
      </c>
      <c r="AC74" s="82">
        <f t="shared" si="42"/>
        <v>-1.5429763801815998E-2</v>
      </c>
      <c r="AD74" s="83">
        <f t="shared" si="43"/>
        <v>-1.0152464317085864E-3</v>
      </c>
      <c r="AE74" s="195">
        <f t="shared" si="44"/>
        <v>85.650426568707999</v>
      </c>
      <c r="AF74" s="83">
        <f t="shared" si="45"/>
        <v>-6.9020792127152657E-3</v>
      </c>
      <c r="AG74" s="194">
        <v>109.461899</v>
      </c>
      <c r="AH74" s="82">
        <f t="shared" si="28"/>
        <v>-2.2699425387408878E-2</v>
      </c>
      <c r="AI74" s="82">
        <f t="shared" si="24"/>
        <v>-2.6866092054075544E-2</v>
      </c>
    </row>
    <row r="75" spans="2:35">
      <c r="B75" s="78">
        <v>44682</v>
      </c>
      <c r="C75" s="79">
        <v>113.302773</v>
      </c>
      <c r="D75" s="82">
        <f t="shared" si="25"/>
        <v>0.15192401830796598</v>
      </c>
      <c r="E75" s="83">
        <f t="shared" si="29"/>
        <v>0.1477573516412993</v>
      </c>
      <c r="F75" s="79">
        <v>89.447036999999995</v>
      </c>
      <c r="G75" s="82">
        <v>0.12609959809061566</v>
      </c>
      <c r="H75" s="82">
        <f t="shared" si="30"/>
        <v>0.121932931423949</v>
      </c>
      <c r="I75" s="82">
        <f t="shared" si="31"/>
        <v>0.12205699459733775</v>
      </c>
      <c r="J75" s="83">
        <f t="shared" si="32"/>
        <v>-1.4112043086234177E-3</v>
      </c>
      <c r="K75" s="79">
        <v>162.14743000000001</v>
      </c>
      <c r="L75" s="82">
        <v>0.11482721489065906</v>
      </c>
      <c r="M75" s="82">
        <f t="shared" si="33"/>
        <v>0.11066054822399239</v>
      </c>
      <c r="N75" s="82">
        <f t="shared" si="34"/>
        <v>0.11595460350454551</v>
      </c>
      <c r="O75" s="83">
        <f t="shared" si="35"/>
        <v>-6.5811964157877767E-3</v>
      </c>
      <c r="P75" s="79">
        <v>103.282043</v>
      </c>
      <c r="Q75" s="82">
        <v>0.17629816336314863</v>
      </c>
      <c r="R75" s="82">
        <f t="shared" si="36"/>
        <v>0.17213149669648195</v>
      </c>
      <c r="S75" s="82">
        <f t="shared" si="46"/>
        <v>-5.436487906983466E-3</v>
      </c>
      <c r="T75" s="83">
        <f t="shared" si="37"/>
        <v>0.17169626748498806</v>
      </c>
      <c r="U75" s="194">
        <v>93.378219999999999</v>
      </c>
      <c r="V75" s="82">
        <v>0.16194104894566519</v>
      </c>
      <c r="W75" s="82">
        <f t="shared" si="38"/>
        <v>0.15777438227899851</v>
      </c>
      <c r="X75" s="82">
        <f t="shared" si="39"/>
        <v>0.13877515478069108</v>
      </c>
      <c r="Y75" s="83">
        <f t="shared" si="40"/>
        <v>1.4456993038797522E-2</v>
      </c>
      <c r="Z75" s="194">
        <v>123.047836</v>
      </c>
      <c r="AA75" s="82">
        <v>0.18010959493159873</v>
      </c>
      <c r="AB75" s="82">
        <f t="shared" si="41"/>
        <v>0.17594292826493205</v>
      </c>
      <c r="AC75" s="82">
        <f t="shared" si="42"/>
        <v>0.17042963882733611</v>
      </c>
      <c r="AD75" s="83">
        <f t="shared" si="43"/>
        <v>5.4858297476353401E-3</v>
      </c>
      <c r="AE75" s="195">
        <f t="shared" si="44"/>
        <v>98.020832906034869</v>
      </c>
      <c r="AF75" s="83">
        <f t="shared" si="45"/>
        <v>0.14442901025604871</v>
      </c>
      <c r="AG75" s="194">
        <v>108.058441</v>
      </c>
      <c r="AH75" s="82">
        <f t="shared" si="28"/>
        <v>-1.2821429308475629E-2</v>
      </c>
      <c r="AI75" s="82">
        <f t="shared" si="24"/>
        <v>-1.6988095975142295E-2</v>
      </c>
    </row>
    <row r="76" spans="2:35">
      <c r="B76" s="78">
        <v>44713</v>
      </c>
      <c r="C76" s="79">
        <v>92.957984999999994</v>
      </c>
      <c r="D76" s="82">
        <f t="shared" si="25"/>
        <v>-0.17956125398625511</v>
      </c>
      <c r="E76" s="83">
        <f t="shared" si="29"/>
        <v>-0.18372792065292179</v>
      </c>
      <c r="F76" s="79">
        <v>80.611571999999995</v>
      </c>
      <c r="G76" s="82">
        <v>-9.8778733162508181E-2</v>
      </c>
      <c r="H76" s="82">
        <f t="shared" si="30"/>
        <v>-0.10294539982917485</v>
      </c>
      <c r="I76" s="82">
        <f t="shared" si="31"/>
        <v>-0.15177097836021133</v>
      </c>
      <c r="J76" s="83">
        <f t="shared" si="32"/>
        <v>4.7538437395801825E-2</v>
      </c>
      <c r="K76" s="79">
        <v>135.51376300000001</v>
      </c>
      <c r="L76" s="82">
        <v>-0.16425586887192722</v>
      </c>
      <c r="M76" s="82">
        <f t="shared" si="33"/>
        <v>-0.1684225355385939</v>
      </c>
      <c r="N76" s="82">
        <f t="shared" si="34"/>
        <v>-0.14418299973149687</v>
      </c>
      <c r="O76" s="83">
        <f t="shared" si="35"/>
        <v>-2.5526676942331711E-2</v>
      </c>
      <c r="P76" s="79">
        <v>82.924599000000001</v>
      </c>
      <c r="Q76" s="82">
        <v>-0.19710535741435709</v>
      </c>
      <c r="R76" s="82">
        <f t="shared" si="36"/>
        <v>-0.20127202408102376</v>
      </c>
      <c r="S76" s="82">
        <f t="shared" si="46"/>
        <v>-2.1086662931005751E-2</v>
      </c>
      <c r="T76" s="83">
        <f t="shared" si="37"/>
        <v>-0.18605707826849538</v>
      </c>
      <c r="U76" s="194">
        <v>76.726333999999994</v>
      </c>
      <c r="V76" s="82">
        <v>-0.17832730159131327</v>
      </c>
      <c r="W76" s="82">
        <f t="shared" si="38"/>
        <v>-0.18249396825797995</v>
      </c>
      <c r="X76" s="82">
        <f t="shared" si="39"/>
        <v>-0.17255906621851755</v>
      </c>
      <c r="Y76" s="83">
        <f t="shared" si="40"/>
        <v>-1.4477136498972309E-2</v>
      </c>
      <c r="Z76" s="194">
        <v>99.221694999999997</v>
      </c>
      <c r="AA76" s="82">
        <v>-0.1936331574331791</v>
      </c>
      <c r="AB76" s="82">
        <f t="shared" si="41"/>
        <v>-0.19779982409984578</v>
      </c>
      <c r="AC76" s="82">
        <f t="shared" si="42"/>
        <v>-0.21191962911862855</v>
      </c>
      <c r="AD76" s="83">
        <f t="shared" si="43"/>
        <v>1.409234532882217E-2</v>
      </c>
      <c r="AE76" s="195">
        <f t="shared" si="44"/>
        <v>82.064745048332725</v>
      </c>
      <c r="AF76" s="83">
        <f t="shared" si="45"/>
        <v>-0.16278261859902815</v>
      </c>
      <c r="AG76" s="194">
        <v>110.663155</v>
      </c>
      <c r="AH76" s="82">
        <f t="shared" si="28"/>
        <v>2.4104678689562009E-2</v>
      </c>
      <c r="AI76" s="82">
        <f t="shared" si="24"/>
        <v>1.9938012022895343E-2</v>
      </c>
    </row>
    <row r="77" spans="2:35">
      <c r="B77" s="78">
        <v>44743</v>
      </c>
      <c r="C77" s="79">
        <v>103.78877300000001</v>
      </c>
      <c r="D77" s="82">
        <f t="shared" si="25"/>
        <v>0.1165127234631862</v>
      </c>
      <c r="E77" s="83">
        <f t="shared" si="29"/>
        <v>0.11234605679651953</v>
      </c>
      <c r="F77" s="79">
        <v>91.238663000000003</v>
      </c>
      <c r="G77" s="82">
        <v>0.13183083689274788</v>
      </c>
      <c r="H77" s="82">
        <f t="shared" si="30"/>
        <v>0.1276641702260812</v>
      </c>
      <c r="I77" s="82">
        <f t="shared" si="31"/>
        <v>9.2805006959885181E-2</v>
      </c>
      <c r="J77" s="83">
        <f t="shared" si="32"/>
        <v>3.3572022130961346E-2</v>
      </c>
      <c r="K77" s="79">
        <v>153.297729</v>
      </c>
      <c r="L77" s="82">
        <v>0.13123365189113656</v>
      </c>
      <c r="M77" s="82">
        <f t="shared" si="33"/>
        <v>0.12706698522446988</v>
      </c>
      <c r="N77" s="82">
        <f t="shared" si="34"/>
        <v>8.8165105332724536E-2</v>
      </c>
      <c r="O77" s="83">
        <f t="shared" si="35"/>
        <v>3.7614738756510668E-2</v>
      </c>
      <c r="P77" s="79">
        <v>90.658469999999994</v>
      </c>
      <c r="Q77" s="82">
        <v>9.3263893865799696E-2</v>
      </c>
      <c r="R77" s="82">
        <f t="shared" si="36"/>
        <v>8.9097227199133031E-2</v>
      </c>
      <c r="S77" s="82">
        <f t="shared" si="46"/>
        <v>3.1072172817020322E-2</v>
      </c>
      <c r="T77" s="83">
        <f t="shared" si="37"/>
        <v>5.2153337263635344E-2</v>
      </c>
      <c r="U77" s="194">
        <v>83.286308000000005</v>
      </c>
      <c r="V77" s="82">
        <v>8.5498337506911382E-2</v>
      </c>
      <c r="W77" s="82">
        <f t="shared" si="38"/>
        <v>8.1331670840244716E-2</v>
      </c>
      <c r="X77" s="82">
        <f t="shared" si="39"/>
        <v>0.10551651912918796</v>
      </c>
      <c r="Y77" s="83">
        <f t="shared" si="40"/>
        <v>-2.8727082748453134E-2</v>
      </c>
      <c r="Z77" s="194">
        <v>101.296165</v>
      </c>
      <c r="AA77" s="82">
        <v>2.0907423522648072E-2</v>
      </c>
      <c r="AB77" s="82">
        <f t="shared" si="41"/>
        <v>1.6740756855981406E-2</v>
      </c>
      <c r="AC77" s="82">
        <f t="shared" si="42"/>
        <v>0.12958473924186426</v>
      </c>
      <c r="AD77" s="83">
        <f t="shared" si="43"/>
        <v>-0.11287144207584345</v>
      </c>
      <c r="AE77" s="195">
        <f t="shared" si="44"/>
        <v>89.007791803486072</v>
      </c>
      <c r="AF77" s="83">
        <f t="shared" si="45"/>
        <v>8.460450039860816E-2</v>
      </c>
      <c r="AG77" s="194">
        <v>105.64173099999999</v>
      </c>
      <c r="AH77" s="82">
        <f t="shared" si="28"/>
        <v>-4.5375753113129802E-2</v>
      </c>
      <c r="AI77" s="82">
        <f t="shared" si="24"/>
        <v>-4.9542419779796468E-2</v>
      </c>
    </row>
    <row r="78" spans="2:35">
      <c r="B78" s="78">
        <v>44774</v>
      </c>
      <c r="C78" s="79">
        <v>107.110916</v>
      </c>
      <c r="D78" s="82">
        <f t="shared" si="25"/>
        <v>3.2008693271670108E-2</v>
      </c>
      <c r="E78" s="83">
        <f t="shared" si="29"/>
        <v>2.7842026605003442E-2</v>
      </c>
      <c r="F78" s="79">
        <v>89.977340999999996</v>
      </c>
      <c r="G78" s="82">
        <v>-1.3824424410953995E-2</v>
      </c>
      <c r="H78" s="82">
        <f t="shared" si="30"/>
        <v>-1.7991091077620661E-2</v>
      </c>
      <c r="I78" s="82">
        <f t="shared" si="31"/>
        <v>2.299928939681932E-2</v>
      </c>
      <c r="J78" s="83">
        <f t="shared" si="32"/>
        <v>-4.2277521609674643E-2</v>
      </c>
      <c r="K78" s="79">
        <v>147.94378699999999</v>
      </c>
      <c r="L78" s="82">
        <v>-3.4925122732901159E-2</v>
      </c>
      <c r="M78" s="82">
        <f t="shared" si="33"/>
        <v>-3.9091789399567825E-2</v>
      </c>
      <c r="N78" s="82">
        <f t="shared" si="34"/>
        <v>2.1849411348300155E-2</v>
      </c>
      <c r="O78" s="83">
        <f t="shared" si="35"/>
        <v>-6.2228341883102639E-2</v>
      </c>
      <c r="P78" s="79">
        <v>101.843063</v>
      </c>
      <c r="Q78" s="82">
        <v>0.12337063486732136</v>
      </c>
      <c r="R78" s="82">
        <f t="shared" si="36"/>
        <v>0.11920396820065469</v>
      </c>
      <c r="S78" s="82">
        <f t="shared" si="46"/>
        <v>-5.1404578551637846E-2</v>
      </c>
      <c r="T78" s="83">
        <f t="shared" si="37"/>
        <v>0.16473682963381517</v>
      </c>
      <c r="U78" s="194">
        <v>83.716774000000001</v>
      </c>
      <c r="V78" s="82">
        <v>5.1685086100825561E-3</v>
      </c>
      <c r="W78" s="82">
        <f t="shared" si="38"/>
        <v>1.0018419434158895E-3</v>
      </c>
      <c r="X78" s="82">
        <f t="shared" si="39"/>
        <v>2.6149504634444973E-2</v>
      </c>
      <c r="Y78" s="83">
        <f t="shared" si="40"/>
        <v>-2.9689897150538984E-2</v>
      </c>
      <c r="Z78" s="194">
        <v>111.316765</v>
      </c>
      <c r="AA78" s="82">
        <v>9.892378452826911E-2</v>
      </c>
      <c r="AB78" s="82">
        <f t="shared" si="41"/>
        <v>9.4757117861602444E-2</v>
      </c>
      <c r="AC78" s="82">
        <f t="shared" si="42"/>
        <v>3.2114182379440581E-2</v>
      </c>
      <c r="AD78" s="83">
        <f t="shared" si="43"/>
        <v>6.2615475792201267E-2</v>
      </c>
      <c r="AE78" s="195">
        <f t="shared" si="44"/>
        <v>90.756655329966478</v>
      </c>
      <c r="AF78" s="83">
        <f t="shared" si="45"/>
        <v>1.964843179506812E-2</v>
      </c>
      <c r="AG78" s="194">
        <v>96.913337999999996</v>
      </c>
      <c r="AH78" s="82">
        <f t="shared" si="28"/>
        <v>-8.2622585955165695E-2</v>
      </c>
      <c r="AI78" s="82">
        <f t="shared" si="24"/>
        <v>-8.6789252621832361E-2</v>
      </c>
    </row>
    <row r="79" spans="2:35">
      <c r="B79" s="78">
        <v>44805</v>
      </c>
      <c r="C79" s="79">
        <v>95.870361000000003</v>
      </c>
      <c r="D79" s="82">
        <f t="shared" si="25"/>
        <v>-0.10494313203334005</v>
      </c>
      <c r="E79" s="83">
        <f t="shared" si="29"/>
        <v>-0.10910979870000671</v>
      </c>
      <c r="F79" s="79">
        <v>82.982024999999993</v>
      </c>
      <c r="G79" s="82">
        <v>-7.7745307010128273E-2</v>
      </c>
      <c r="H79" s="82">
        <f t="shared" si="30"/>
        <v>-8.1911973676794939E-2</v>
      </c>
      <c r="I79" s="82">
        <f t="shared" si="31"/>
        <v>-9.013165140353635E-2</v>
      </c>
      <c r="J79" s="83">
        <f t="shared" si="32"/>
        <v>6.9325365915067494E-3</v>
      </c>
      <c r="K79" s="79">
        <v>135.69665499999999</v>
      </c>
      <c r="L79" s="82">
        <v>-8.278233407665847E-2</v>
      </c>
      <c r="M79" s="82">
        <f t="shared" si="33"/>
        <v>-8.6949000743325136E-2</v>
      </c>
      <c r="N79" s="82">
        <f t="shared" si="34"/>
        <v>-8.5625407508886239E-2</v>
      </c>
      <c r="O79" s="83">
        <f t="shared" si="35"/>
        <v>-2.6107343696735591E-3</v>
      </c>
      <c r="P79" s="79">
        <v>95.655440999999996</v>
      </c>
      <c r="Q79" s="82">
        <v>-6.0756440524574629E-2</v>
      </c>
      <c r="R79" s="82">
        <f t="shared" si="36"/>
        <v>-6.4923107191241294E-2</v>
      </c>
      <c r="S79" s="82">
        <f t="shared" si="46"/>
        <v>-2.1566330697907698E-3</v>
      </c>
      <c r="T79" s="83">
        <f t="shared" si="37"/>
        <v>-6.8638191239927884E-2</v>
      </c>
      <c r="U79" s="194">
        <v>76.366837000000004</v>
      </c>
      <c r="V79" s="82">
        <v>-8.7795272665427748E-2</v>
      </c>
      <c r="W79" s="82">
        <f t="shared" si="38"/>
        <v>-9.1961939332094414E-2</v>
      </c>
      <c r="X79" s="82">
        <f t="shared" si="39"/>
        <v>-0.10247699376368119</v>
      </c>
      <c r="Y79" s="83">
        <f t="shared" si="40"/>
        <v>5.9728199720768815E-3</v>
      </c>
      <c r="Z79" s="194">
        <v>102.534386</v>
      </c>
      <c r="AA79" s="82">
        <v>-7.8895384715860217E-2</v>
      </c>
      <c r="AB79" s="82">
        <f t="shared" si="41"/>
        <v>-8.3062051382526883E-2</v>
      </c>
      <c r="AC79" s="82">
        <f t="shared" si="42"/>
        <v>-0.12585190096062804</v>
      </c>
      <c r="AD79" s="83">
        <f t="shared" si="43"/>
        <v>4.2762389888140559E-2</v>
      </c>
      <c r="AE79" s="195">
        <f t="shared" si="44"/>
        <v>83.080456767447117</v>
      </c>
      <c r="AF79" s="83">
        <f t="shared" si="45"/>
        <v>-8.4580007213915037E-2</v>
      </c>
      <c r="AG79" s="194">
        <v>91.108147000000002</v>
      </c>
      <c r="AH79" s="82">
        <f t="shared" si="28"/>
        <v>-5.9900846671899766E-2</v>
      </c>
      <c r="AI79" s="82">
        <f t="shared" si="24"/>
        <v>-6.4067513338566431E-2</v>
      </c>
    </row>
    <row r="80" spans="2:35">
      <c r="B80" s="78">
        <v>44835</v>
      </c>
      <c r="C80" s="79">
        <v>120.40392300000001</v>
      </c>
      <c r="D80" s="82">
        <f t="shared" si="25"/>
        <v>0.2559035112009227</v>
      </c>
      <c r="E80" s="83">
        <f t="shared" si="29"/>
        <v>0.25173684453425604</v>
      </c>
      <c r="F80" s="79">
        <v>105.317123</v>
      </c>
      <c r="G80" s="82">
        <v>0.26915585634358763</v>
      </c>
      <c r="H80" s="82">
        <f t="shared" si="30"/>
        <v>0.26498918967692098</v>
      </c>
      <c r="I80" s="82">
        <f t="shared" si="31"/>
        <v>0.20795068625661753</v>
      </c>
      <c r="J80" s="83">
        <f t="shared" si="32"/>
        <v>5.5751362285068801E-2</v>
      </c>
      <c r="K80" s="79">
        <v>170.86047400000001</v>
      </c>
      <c r="L80" s="82">
        <v>0.25913548863824265</v>
      </c>
      <c r="M80" s="82">
        <f t="shared" si="33"/>
        <v>0.254968821971576</v>
      </c>
      <c r="N80" s="82">
        <f t="shared" si="34"/>
        <v>0.19755393333197938</v>
      </c>
      <c r="O80" s="83">
        <f t="shared" si="35"/>
        <v>5.6127747504361974E-2</v>
      </c>
      <c r="P80" s="79">
        <v>119.54885899999999</v>
      </c>
      <c r="Q80" s="82">
        <v>0.24978629286754317</v>
      </c>
      <c r="R80" s="82">
        <f t="shared" si="36"/>
        <v>0.24561962620087649</v>
      </c>
      <c r="S80" s="82">
        <f t="shared" si="46"/>
        <v>4.6365098574126046E-2</v>
      </c>
      <c r="T80" s="83">
        <f t="shared" si="37"/>
        <v>0.19338281050827308</v>
      </c>
      <c r="U80" s="194">
        <v>98.665726000000006</v>
      </c>
      <c r="V80" s="82">
        <v>0.29199702221528434</v>
      </c>
      <c r="W80" s="82">
        <f t="shared" si="38"/>
        <v>0.28783035554861769</v>
      </c>
      <c r="X80" s="82">
        <f t="shared" si="39"/>
        <v>0.23643371498057902</v>
      </c>
      <c r="Y80" s="83">
        <f t="shared" si="40"/>
        <v>4.6854406108528757E-2</v>
      </c>
      <c r="Z80" s="194">
        <v>126.831993</v>
      </c>
      <c r="AA80" s="82">
        <v>0.23697032720320776</v>
      </c>
      <c r="AB80" s="82">
        <f t="shared" si="41"/>
        <v>0.23280366053654108</v>
      </c>
      <c r="AC80" s="82">
        <f t="shared" si="42"/>
        <v>0.29036402599892491</v>
      </c>
      <c r="AD80" s="83">
        <f t="shared" si="43"/>
        <v>-5.7587825152344424E-2</v>
      </c>
      <c r="AE80" s="195">
        <f t="shared" si="44"/>
        <v>104.46684694915733</v>
      </c>
      <c r="AF80" s="83">
        <f t="shared" si="45"/>
        <v>0.25741782139659475</v>
      </c>
      <c r="AG80" s="194">
        <v>97.616104000000007</v>
      </c>
      <c r="AH80" s="82">
        <f t="shared" si="28"/>
        <v>7.1431120204870524E-2</v>
      </c>
      <c r="AI80" s="82">
        <f t="shared" si="24"/>
        <v>6.7264453538203858E-2</v>
      </c>
    </row>
    <row r="81" spans="2:35">
      <c r="B81" s="78">
        <v>44866</v>
      </c>
      <c r="C81" s="79">
        <v>121.98088799999999</v>
      </c>
      <c r="D81" s="82">
        <f t="shared" si="25"/>
        <v>1.3097289197130157E-2</v>
      </c>
      <c r="E81" s="83">
        <f t="shared" si="29"/>
        <v>8.9306225304634917E-3</v>
      </c>
      <c r="F81" s="79">
        <v>105.82086200000001</v>
      </c>
      <c r="G81" s="82">
        <v>4.7830683715126554E-3</v>
      </c>
      <c r="H81" s="82">
        <f t="shared" si="30"/>
        <v>6.1640170484598879E-4</v>
      </c>
      <c r="I81" s="82">
        <f t="shared" si="31"/>
        <v>7.3772636951281775E-3</v>
      </c>
      <c r="J81" s="83">
        <f t="shared" si="32"/>
        <v>-8.0480031255168519E-3</v>
      </c>
      <c r="K81" s="79">
        <v>173.13673399999999</v>
      </c>
      <c r="L81" s="82">
        <v>1.332233223232171E-2</v>
      </c>
      <c r="M81" s="82">
        <f t="shared" si="33"/>
        <v>9.155665565655044E-3</v>
      </c>
      <c r="N81" s="82">
        <f t="shared" si="34"/>
        <v>7.0084282309186424E-3</v>
      </c>
      <c r="O81" s="83">
        <f t="shared" si="35"/>
        <v>8.6009619950173748E-4</v>
      </c>
      <c r="P81" s="79">
        <v>117.102715</v>
      </c>
      <c r="Q81" s="82">
        <v>-2.0461458356536788E-2</v>
      </c>
      <c r="R81" s="82">
        <f t="shared" si="36"/>
        <v>-2.4628125023203454E-2</v>
      </c>
      <c r="S81" s="82">
        <f t="shared" si="46"/>
        <v>7.1049430711663745E-4</v>
      </c>
      <c r="T81" s="83">
        <f t="shared" si="37"/>
        <v>-3.1210336448797459E-2</v>
      </c>
      <c r="U81" s="194">
        <v>102.591919</v>
      </c>
      <c r="V81" s="82">
        <v>3.9792875998297506E-2</v>
      </c>
      <c r="W81" s="82">
        <f t="shared" si="38"/>
        <v>3.562620933163084E-2</v>
      </c>
      <c r="X81" s="82">
        <f t="shared" si="39"/>
        <v>8.387728327465439E-3</v>
      </c>
      <c r="Y81" s="83">
        <f t="shared" si="40"/>
        <v>2.2696246544655498E-2</v>
      </c>
      <c r="Z81" s="194">
        <v>132.639297</v>
      </c>
      <c r="AA81" s="82">
        <v>4.5787374799038272E-2</v>
      </c>
      <c r="AB81" s="82">
        <f t="shared" si="41"/>
        <v>4.1620708132371606E-2</v>
      </c>
      <c r="AC81" s="82">
        <f t="shared" si="42"/>
        <v>1.0300961376630014E-2</v>
      </c>
      <c r="AD81" s="83">
        <f t="shared" si="43"/>
        <v>3.1292287065780994E-2</v>
      </c>
      <c r="AE81" s="195">
        <f t="shared" si="44"/>
        <v>106.57835009416389</v>
      </c>
      <c r="AF81" s="83">
        <f t="shared" si="45"/>
        <v>2.0212184120328706E-2</v>
      </c>
      <c r="AG81" s="194">
        <v>94.836792000000003</v>
      </c>
      <c r="AH81" s="82">
        <f t="shared" si="28"/>
        <v>-2.8471859520228349E-2</v>
      </c>
      <c r="AI81" s="82">
        <f t="shared" si="24"/>
        <v>-3.2638526186895014E-2</v>
      </c>
    </row>
    <row r="82" spans="2:35">
      <c r="B82" s="78">
        <v>44896</v>
      </c>
      <c r="C82" s="79">
        <v>115.911957</v>
      </c>
      <c r="D82" s="82">
        <f t="shared" si="25"/>
        <v>-4.9753130178885052E-2</v>
      </c>
      <c r="E82" s="83">
        <f t="shared" si="29"/>
        <v>-5.3919796845551718E-2</v>
      </c>
      <c r="F82" s="79">
        <v>105.676338</v>
      </c>
      <c r="G82" s="82">
        <v>-1.3657420405439602E-3</v>
      </c>
      <c r="H82" s="82">
        <f t="shared" si="30"/>
        <v>-5.5324087072106268E-3</v>
      </c>
      <c r="I82" s="82">
        <f t="shared" si="31"/>
        <v>-4.4541190534085985E-2</v>
      </c>
      <c r="J82" s="83">
        <f t="shared" si="32"/>
        <v>3.7721640691640697E-2</v>
      </c>
      <c r="K82" s="79">
        <v>170.84011799999999</v>
      </c>
      <c r="L82" s="82">
        <v>-1.326475293221141E-2</v>
      </c>
      <c r="M82" s="82">
        <f t="shared" si="33"/>
        <v>-1.7431419598878076E-2</v>
      </c>
      <c r="N82" s="82">
        <f t="shared" si="34"/>
        <v>-4.2314298373794364E-2</v>
      </c>
      <c r="O82" s="83">
        <f t="shared" si="35"/>
        <v>2.3595737639681626E-2</v>
      </c>
      <c r="P82" s="79">
        <v>112.30611399999999</v>
      </c>
      <c r="Q82" s="82">
        <v>-4.0960630161307576E-2</v>
      </c>
      <c r="R82" s="82">
        <f t="shared" si="36"/>
        <v>-4.5127296827974242E-2</v>
      </c>
      <c r="S82" s="82">
        <f t="shared" si="46"/>
        <v>1.9491583935521962E-2</v>
      </c>
      <c r="T82" s="83">
        <f t="shared" si="37"/>
        <v>-7.0490597881973566E-2</v>
      </c>
      <c r="U82" s="194">
        <v>99.334243999999998</v>
      </c>
      <c r="V82" s="82">
        <v>-3.175371931584603E-2</v>
      </c>
      <c r="W82" s="82">
        <f t="shared" si="38"/>
        <v>-3.5920385982512695E-2</v>
      </c>
      <c r="X82" s="82">
        <f t="shared" si="39"/>
        <v>-5.0642002376640995E-2</v>
      </c>
      <c r="Y82" s="83">
        <f t="shared" si="40"/>
        <v>1.0179381934618398E-2</v>
      </c>
      <c r="Z82" s="194">
        <v>121.04164900000001</v>
      </c>
      <c r="AA82" s="82">
        <v>-8.7437495993363035E-2</v>
      </c>
      <c r="AB82" s="82">
        <f t="shared" si="41"/>
        <v>-9.16041626600297E-2</v>
      </c>
      <c r="AC82" s="82">
        <f t="shared" si="42"/>
        <v>-6.2193396131919931E-2</v>
      </c>
      <c r="AD82" s="83">
        <f t="shared" si="43"/>
        <v>-2.9438226218070365E-2</v>
      </c>
      <c r="AE82" s="195">
        <f t="shared" si="44"/>
        <v>102.26778544810227</v>
      </c>
      <c r="AF82" s="83">
        <f t="shared" si="45"/>
        <v>-4.0445030742671112E-2</v>
      </c>
      <c r="AG82" s="194">
        <v>102.576324</v>
      </c>
      <c r="AH82" s="82">
        <f t="shared" si="28"/>
        <v>8.1608960370570083E-2</v>
      </c>
      <c r="AI82" s="82">
        <f t="shared" si="24"/>
        <v>7.7442293703903417E-2</v>
      </c>
    </row>
    <row r="83" spans="2:35">
      <c r="B83" s="78">
        <v>44927</v>
      </c>
      <c r="C83" s="79">
        <v>120.72434199999999</v>
      </c>
      <c r="D83" s="82">
        <f t="shared" si="25"/>
        <v>4.1517589078407191E-2</v>
      </c>
      <c r="E83" s="83">
        <f t="shared" si="29"/>
        <v>3.7350922411740525E-2</v>
      </c>
      <c r="F83" s="79">
        <v>111.14698799999999</v>
      </c>
      <c r="G83" s="82">
        <v>5.1767974775961623E-2</v>
      </c>
      <c r="H83" s="82">
        <f t="shared" si="30"/>
        <v>4.7601308109294957E-2</v>
      </c>
      <c r="I83" s="82">
        <f t="shared" si="31"/>
        <v>3.0854243693287313E-2</v>
      </c>
      <c r="J83" s="83">
        <f t="shared" si="32"/>
        <v>1.5459923280772982E-2</v>
      </c>
      <c r="K83" s="79">
        <v>165.63372799999999</v>
      </c>
      <c r="L83" s="82">
        <v>-3.0475218941255933E-2</v>
      </c>
      <c r="M83" s="82">
        <f t="shared" si="33"/>
        <v>-3.4641885607922598E-2</v>
      </c>
      <c r="N83" s="82">
        <f t="shared" si="34"/>
        <v>2.9311647445445042E-2</v>
      </c>
      <c r="O83" s="83">
        <f t="shared" si="35"/>
        <v>-6.5240674188602299E-2</v>
      </c>
      <c r="P83" s="79">
        <v>116.713036</v>
      </c>
      <c r="Q83" s="82">
        <v>3.9240267898504655E-2</v>
      </c>
      <c r="R83" s="82">
        <f t="shared" si="36"/>
        <v>3.5073601231837989E-2</v>
      </c>
      <c r="S83" s="82">
        <f t="shared" si="46"/>
        <v>-5.3892957125384493E-2</v>
      </c>
      <c r="T83" s="83">
        <f t="shared" si="37"/>
        <v>8.309484123874511E-2</v>
      </c>
      <c r="U83" s="194">
        <v>95.697968000000003</v>
      </c>
      <c r="V83" s="82">
        <v>-3.6606469768874383E-2</v>
      </c>
      <c r="W83" s="82">
        <f t="shared" si="38"/>
        <v>-4.0773136435541049E-2</v>
      </c>
      <c r="X83" s="82">
        <f t="shared" si="39"/>
        <v>3.5080352898272174E-2</v>
      </c>
      <c r="Y83" s="83">
        <f t="shared" si="40"/>
        <v>-8.0395723793323132E-2</v>
      </c>
      <c r="Z83" s="194">
        <v>125.064758</v>
      </c>
      <c r="AA83" s="82">
        <v>3.3237394179915558E-2</v>
      </c>
      <c r="AB83" s="82">
        <f t="shared" si="41"/>
        <v>2.9070727513248892E-2</v>
      </c>
      <c r="AC83" s="82">
        <f t="shared" si="42"/>
        <v>4.3082148845997113E-2</v>
      </c>
      <c r="AD83" s="83">
        <f t="shared" si="43"/>
        <v>-1.4038881022708817E-2</v>
      </c>
      <c r="AE83" s="195">
        <f t="shared" si="44"/>
        <v>103.10837841904137</v>
      </c>
      <c r="AF83" s="83">
        <f t="shared" si="45"/>
        <v>8.2195284395365463E-3</v>
      </c>
      <c r="AG83" s="194">
        <v>97.350371999999993</v>
      </c>
      <c r="AH83" s="82">
        <f t="shared" si="28"/>
        <v>-5.0946961211049135E-2</v>
      </c>
      <c r="AI83" s="82">
        <f t="shared" si="24"/>
        <v>-5.5113627877715801E-2</v>
      </c>
    </row>
    <row r="84" spans="2:35">
      <c r="B84" s="78">
        <v>44958</v>
      </c>
      <c r="C84" s="79">
        <v>112.71987900000001</v>
      </c>
      <c r="D84" s="82">
        <f t="shared" si="25"/>
        <v>-6.6303637422186035E-2</v>
      </c>
      <c r="E84" s="83">
        <f t="shared" si="29"/>
        <v>-7.04703040888527E-2</v>
      </c>
      <c r="F84" s="79">
        <v>105.302689</v>
      </c>
      <c r="G84" s="82">
        <v>-5.2581712785595203E-2</v>
      </c>
      <c r="H84" s="82">
        <f t="shared" si="30"/>
        <v>-5.6748379452261868E-2</v>
      </c>
      <c r="I84" s="82">
        <f t="shared" si="31"/>
        <v>-5.8212964904290336E-2</v>
      </c>
      <c r="J84" s="83">
        <f t="shared" si="32"/>
        <v>1.7744431679380529E-4</v>
      </c>
      <c r="K84" s="79">
        <v>153.02226300000001</v>
      </c>
      <c r="L84" s="82">
        <v>-7.6140681926811338E-2</v>
      </c>
      <c r="M84" s="82">
        <f t="shared" si="33"/>
        <v>-8.0307348593478003E-2</v>
      </c>
      <c r="N84" s="82">
        <f t="shared" si="34"/>
        <v>-5.5302535398067537E-2</v>
      </c>
      <c r="O84" s="83">
        <f t="shared" si="35"/>
        <v>-2.6291954330645129E-2</v>
      </c>
      <c r="P84" s="79">
        <v>98.976707000000005</v>
      </c>
      <c r="Q84" s="82">
        <v>-0.15196527832589324</v>
      </c>
      <c r="R84" s="82">
        <f t="shared" si="36"/>
        <v>-0.15613194499255992</v>
      </c>
      <c r="S84" s="82">
        <f t="shared" si="46"/>
        <v>-2.171883085370644E-2</v>
      </c>
      <c r="T84" s="83">
        <f t="shared" si="37"/>
        <v>-0.14028483125733085</v>
      </c>
      <c r="U84" s="194">
        <v>97.883553000000006</v>
      </c>
      <c r="V84" s="82">
        <v>2.2838363715309118E-2</v>
      </c>
      <c r="W84" s="82">
        <f t="shared" si="38"/>
        <v>1.8671697048642452E-2</v>
      </c>
      <c r="X84" s="82">
        <f t="shared" si="39"/>
        <v>-6.618640120942347E-2</v>
      </c>
      <c r="Y84" s="83">
        <f t="shared" si="40"/>
        <v>8.0315863798556014E-2</v>
      </c>
      <c r="Z84" s="194">
        <v>107.559769</v>
      </c>
      <c r="AA84" s="82">
        <v>-0.13996739992892315</v>
      </c>
      <c r="AB84" s="82">
        <f t="shared" si="41"/>
        <v>-0.14413406659558983</v>
      </c>
      <c r="AC84" s="82">
        <f t="shared" si="42"/>
        <v>-8.1283457916003707E-2</v>
      </c>
      <c r="AD84" s="83">
        <f t="shared" si="43"/>
        <v>-6.2878068369546722E-2</v>
      </c>
      <c r="AE84" s="195">
        <f t="shared" si="44"/>
        <v>95.30355086270626</v>
      </c>
      <c r="AF84" s="83">
        <f t="shared" si="45"/>
        <v>-7.569537680648615E-2</v>
      </c>
      <c r="AG84" s="194">
        <v>102.072548</v>
      </c>
      <c r="AH84" s="82">
        <f t="shared" si="28"/>
        <v>4.8507015463690406E-2</v>
      </c>
      <c r="AI84" s="82">
        <f t="shared" si="24"/>
        <v>4.434034879702374E-2</v>
      </c>
    </row>
    <row r="85" spans="2:35">
      <c r="B85" s="78">
        <v>44986</v>
      </c>
      <c r="C85" s="79">
        <v>110.428741</v>
      </c>
      <c r="D85" s="82">
        <f t="shared" si="25"/>
        <v>-2.0325944459184564E-2</v>
      </c>
      <c r="E85" s="83">
        <f t="shared" si="29"/>
        <v>-2.449261112585123E-2</v>
      </c>
      <c r="F85" s="79">
        <v>105.871628</v>
      </c>
      <c r="G85" s="82">
        <v>5.4028914684220997E-3</v>
      </c>
      <c r="H85" s="82">
        <f t="shared" si="30"/>
        <v>1.2362248017554331E-3</v>
      </c>
      <c r="I85" s="82">
        <f t="shared" si="31"/>
        <v>-2.0232458626628032E-2</v>
      </c>
      <c r="J85" s="83">
        <f t="shared" si="32"/>
        <v>2.0181542293148801E-2</v>
      </c>
      <c r="K85" s="79">
        <v>156.66995199999999</v>
      </c>
      <c r="L85" s="82">
        <v>2.3837635965427983E-2</v>
      </c>
      <c r="M85" s="82">
        <f t="shared" si="33"/>
        <v>1.9670969298761318E-2</v>
      </c>
      <c r="N85" s="82">
        <f t="shared" si="34"/>
        <v>-1.9220911720072339E-2</v>
      </c>
      <c r="O85" s="83">
        <f t="shared" si="35"/>
        <v>3.7604739883598998E-2</v>
      </c>
      <c r="P85" s="79">
        <v>95.434921000000003</v>
      </c>
      <c r="Q85" s="82">
        <v>-3.5784035530703195E-2</v>
      </c>
      <c r="R85" s="82">
        <f t="shared" si="36"/>
        <v>-3.9950702197369861E-2</v>
      </c>
      <c r="S85" s="82">
        <f t="shared" si="46"/>
        <v>3.1063913110390484E-2</v>
      </c>
      <c r="T85" s="83">
        <f t="shared" si="37"/>
        <v>-7.6886332426237713E-2</v>
      </c>
      <c r="U85" s="194">
        <v>97.735457999999994</v>
      </c>
      <c r="V85" s="82">
        <v>-1.5129712342992763E-3</v>
      </c>
      <c r="W85" s="82">
        <f t="shared" si="38"/>
        <v>-5.6796379009659429E-3</v>
      </c>
      <c r="X85" s="82">
        <f t="shared" si="39"/>
        <v>-2.3003700744614889E-2</v>
      </c>
      <c r="Y85" s="83">
        <f t="shared" si="40"/>
        <v>1.2781828384139046E-2</v>
      </c>
      <c r="Z85" s="194">
        <v>109.091988</v>
      </c>
      <c r="AA85" s="82">
        <v>1.4245279756969431E-2</v>
      </c>
      <c r="AB85" s="82">
        <f t="shared" si="41"/>
        <v>1.0078613090302765E-2</v>
      </c>
      <c r="AC85" s="82">
        <f t="shared" si="42"/>
        <v>-2.8250823541090594E-2</v>
      </c>
      <c r="AD85" s="83">
        <f t="shared" si="43"/>
        <v>3.8301976941432767E-2</v>
      </c>
      <c r="AE85" s="195">
        <f t="shared" si="44"/>
        <v>95.734427674048632</v>
      </c>
      <c r="AF85" s="83">
        <f t="shared" si="45"/>
        <v>4.5210992396609757E-3</v>
      </c>
      <c r="AG85" s="194">
        <v>102.410629</v>
      </c>
      <c r="AH85" s="82">
        <f t="shared" si="28"/>
        <v>3.3121638150934718E-3</v>
      </c>
      <c r="AI85" s="82">
        <f t="shared" si="24"/>
        <v>-8.5450285157319481E-4</v>
      </c>
    </row>
    <row r="86" spans="2:35">
      <c r="B86" s="78">
        <v>45017</v>
      </c>
      <c r="C86" s="79">
        <v>114.113365</v>
      </c>
      <c r="D86" s="82">
        <f t="shared" si="25"/>
        <v>3.3366530910643899E-2</v>
      </c>
      <c r="E86" s="83">
        <f t="shared" si="29"/>
        <v>2.9199864243977233E-2</v>
      </c>
      <c r="F86" s="79">
        <v>114.25174699999999</v>
      </c>
      <c r="G86" s="82">
        <v>7.9153585887996369E-2</v>
      </c>
      <c r="H86" s="82">
        <f t="shared" si="30"/>
        <v>7.4986919221329704E-2</v>
      </c>
      <c r="I86" s="82">
        <f t="shared" si="31"/>
        <v>2.4120949872750333E-2</v>
      </c>
      <c r="J86" s="83">
        <f t="shared" si="32"/>
        <v>4.9578828213344708E-2</v>
      </c>
      <c r="K86" s="79">
        <v>161.874359</v>
      </c>
      <c r="L86" s="82">
        <v>3.3218922541062623E-2</v>
      </c>
      <c r="M86" s="82">
        <f t="shared" si="33"/>
        <v>2.9052255874395957E-2</v>
      </c>
      <c r="N86" s="82">
        <f t="shared" si="34"/>
        <v>2.2914993015146615E-2</v>
      </c>
      <c r="O86" s="83">
        <f t="shared" si="35"/>
        <v>4.8501217240146804E-3</v>
      </c>
      <c r="P86" s="79">
        <v>99.587851999999998</v>
      </c>
      <c r="Q86" s="82">
        <v>4.3515842591832721E-2</v>
      </c>
      <c r="R86" s="82">
        <f t="shared" si="36"/>
        <v>3.9349175925166055E-2</v>
      </c>
      <c r="S86" s="82">
        <f t="shared" si="46"/>
        <v>4.0065098249840603E-3</v>
      </c>
      <c r="T86" s="83">
        <f t="shared" si="37"/>
        <v>2.9470948981704631E-2</v>
      </c>
      <c r="U86" s="194">
        <v>95.441017000000002</v>
      </c>
      <c r="V86" s="82">
        <v>-2.3476034664921652E-2</v>
      </c>
      <c r="W86" s="82">
        <f t="shared" si="38"/>
        <v>-2.7642701331588318E-2</v>
      </c>
      <c r="X86" s="82">
        <f t="shared" si="39"/>
        <v>2.7424799071049961E-2</v>
      </c>
      <c r="Y86" s="83">
        <f t="shared" si="40"/>
        <v>-5.9609734862148184E-2</v>
      </c>
      <c r="Z86" s="194">
        <v>114.74897799999999</v>
      </c>
      <c r="AA86" s="82">
        <v>5.1855228818453503E-2</v>
      </c>
      <c r="AB86" s="82">
        <f t="shared" si="41"/>
        <v>4.7688562151786837E-2</v>
      </c>
      <c r="AC86" s="82">
        <f t="shared" si="42"/>
        <v>3.3680370293787197E-2</v>
      </c>
      <c r="AD86" s="83">
        <f t="shared" si="43"/>
        <v>1.3980732168039044E-2</v>
      </c>
      <c r="AE86" s="195">
        <f t="shared" si="44"/>
        <v>99.226258326967681</v>
      </c>
      <c r="AF86" s="83">
        <f t="shared" si="45"/>
        <v>3.6474137233136653E-2</v>
      </c>
      <c r="AG86" s="194">
        <v>99.323784000000003</v>
      </c>
      <c r="AH86" s="82">
        <f t="shared" si="28"/>
        <v>-3.0141842015246278E-2</v>
      </c>
      <c r="AI86" s="82">
        <f t="shared" si="24"/>
        <v>-3.4308508681912944E-2</v>
      </c>
    </row>
    <row r="87" spans="2:35">
      <c r="B87" s="78">
        <v>45047</v>
      </c>
      <c r="C87" s="79">
        <v>103.31094400000001</v>
      </c>
      <c r="D87" s="82">
        <f t="shared" si="25"/>
        <v>-9.466394229983488E-2</v>
      </c>
      <c r="E87" s="83">
        <f t="shared" si="29"/>
        <v>-9.8830608966501546E-2</v>
      </c>
      <c r="F87" s="79">
        <v>98.650031999999996</v>
      </c>
      <c r="G87" s="82">
        <v>-0.13655559244971549</v>
      </c>
      <c r="H87" s="82">
        <f t="shared" si="30"/>
        <v>-0.14072225911638217</v>
      </c>
      <c r="I87" s="82">
        <f t="shared" si="31"/>
        <v>-8.1640385203711155E-2</v>
      </c>
      <c r="J87" s="83">
        <f t="shared" si="32"/>
        <v>-6.0369015047905691E-2</v>
      </c>
      <c r="K87" s="79">
        <v>144.62875399999999</v>
      </c>
      <c r="L87" s="82">
        <v>-0.10653697785453475</v>
      </c>
      <c r="M87" s="82">
        <f t="shared" si="33"/>
        <v>-0.11070364452120142</v>
      </c>
      <c r="N87" s="82">
        <f t="shared" si="34"/>
        <v>-7.7558672712568763E-2</v>
      </c>
      <c r="O87" s="83">
        <f t="shared" si="35"/>
        <v>-3.4432112943867318E-2</v>
      </c>
      <c r="P87" s="79">
        <v>96.113074999999995</v>
      </c>
      <c r="Q87" s="82">
        <v>-3.4891574928235247E-2</v>
      </c>
      <c r="R87" s="82">
        <f t="shared" si="36"/>
        <v>-3.9058241594901913E-2</v>
      </c>
      <c r="S87" s="82">
        <f t="shared" si="46"/>
        <v>-2.8443120947153303E-2</v>
      </c>
      <c r="T87" s="83">
        <f t="shared" si="37"/>
        <v>-1.6486837766225976E-2</v>
      </c>
      <c r="U87" s="194">
        <v>88.316681000000003</v>
      </c>
      <c r="V87" s="82">
        <v>-7.464648034921928E-2</v>
      </c>
      <c r="W87" s="82">
        <f t="shared" si="38"/>
        <v>-7.8813147015885945E-2</v>
      </c>
      <c r="X87" s="82">
        <f t="shared" si="39"/>
        <v>-9.2822677884020058E-2</v>
      </c>
      <c r="Y87" s="83">
        <f t="shared" si="40"/>
        <v>9.4672964086242178E-3</v>
      </c>
      <c r="Z87" s="194">
        <v>103.75009900000001</v>
      </c>
      <c r="AA87" s="82">
        <v>-9.5851651070913979E-2</v>
      </c>
      <c r="AB87" s="82">
        <f t="shared" si="41"/>
        <v>-0.10001831773758064</v>
      </c>
      <c r="AC87" s="82">
        <f t="shared" si="42"/>
        <v>-0.11399544458631602</v>
      </c>
      <c r="AD87" s="83">
        <f t="shared" si="43"/>
        <v>1.3949667158774784E-2</v>
      </c>
      <c r="AE87" s="195">
        <f t="shared" si="44"/>
        <v>88.61160179751694</v>
      </c>
      <c r="AF87" s="83">
        <f t="shared" si="45"/>
        <v>-0.10697426979936724</v>
      </c>
      <c r="AG87" s="194">
        <v>99.526131000000007</v>
      </c>
      <c r="AH87" s="82">
        <f t="shared" si="28"/>
        <v>2.0372461846600576E-3</v>
      </c>
      <c r="AI87" s="82">
        <f t="shared" si="24"/>
        <v>-2.129420482006609E-3</v>
      </c>
    </row>
    <row r="88" spans="2:35">
      <c r="B88" s="78">
        <v>45078</v>
      </c>
      <c r="C88" s="79">
        <v>110.161255</v>
      </c>
      <c r="D88" s="82">
        <f t="shared" si="25"/>
        <v>6.6307699211421323E-2</v>
      </c>
      <c r="E88" s="83">
        <f t="shared" si="29"/>
        <v>6.2141032544754657E-2</v>
      </c>
      <c r="F88" s="79">
        <v>104.443375</v>
      </c>
      <c r="G88" s="82">
        <v>5.872621511161813E-2</v>
      </c>
      <c r="H88" s="82">
        <f t="shared" si="30"/>
        <v>5.4559548444951464E-2</v>
      </c>
      <c r="I88" s="82">
        <f t="shared" si="31"/>
        <v>5.1332455470649581E-2</v>
      </c>
      <c r="J88" s="83">
        <f t="shared" si="32"/>
        <v>1.9399518390672207E-3</v>
      </c>
      <c r="K88" s="79">
        <v>152.570618</v>
      </c>
      <c r="L88" s="82">
        <v>5.4912068176982354E-2</v>
      </c>
      <c r="M88" s="82">
        <f t="shared" si="33"/>
        <v>5.0745401510315688E-2</v>
      </c>
      <c r="N88" s="82">
        <f t="shared" si="34"/>
        <v>4.8766025582148306E-2</v>
      </c>
      <c r="O88" s="83">
        <f t="shared" si="35"/>
        <v>6.9223479293271939E-4</v>
      </c>
      <c r="P88" s="79">
        <v>100.80178100000001</v>
      </c>
      <c r="Q88" s="82">
        <v>4.8783227464109347E-2</v>
      </c>
      <c r="R88" s="82">
        <f t="shared" si="36"/>
        <v>4.4616560797442681E-2</v>
      </c>
      <c r="S88" s="82">
        <f t="shared" si="46"/>
        <v>5.7183008116032017E-4</v>
      </c>
      <c r="T88" s="83">
        <f t="shared" si="37"/>
        <v>3.8173013597804999E-2</v>
      </c>
      <c r="U88" s="194">
        <v>92.964989000000003</v>
      </c>
      <c r="V88" s="82">
        <v>5.2632276794912558E-2</v>
      </c>
      <c r="W88" s="82">
        <f t="shared" si="38"/>
        <v>4.8465610128245892E-2</v>
      </c>
      <c r="X88" s="82">
        <f t="shared" si="39"/>
        <v>5.8363467630127168E-2</v>
      </c>
      <c r="Y88" s="83">
        <f t="shared" si="40"/>
        <v>-1.4440091961391177E-2</v>
      </c>
      <c r="Z88" s="194">
        <v>110.66419999999999</v>
      </c>
      <c r="AA88" s="82">
        <v>6.6641873758597425E-2</v>
      </c>
      <c r="AB88" s="82">
        <f t="shared" si="41"/>
        <v>6.2475207091930759E-2</v>
      </c>
      <c r="AC88" s="82">
        <f t="shared" si="42"/>
        <v>7.1676120445570451E-2</v>
      </c>
      <c r="AD88" s="83">
        <f t="shared" si="43"/>
        <v>-9.2283730436002881E-3</v>
      </c>
      <c r="AE88" s="195">
        <f t="shared" si="44"/>
        <v>93.445457736709827</v>
      </c>
      <c r="AF88" s="83">
        <f t="shared" si="45"/>
        <v>5.455105021392747E-2</v>
      </c>
      <c r="AG88" s="194">
        <v>96.989067000000006</v>
      </c>
      <c r="AH88" s="82">
        <f t="shared" si="28"/>
        <v>-2.5491436012920032E-2</v>
      </c>
      <c r="AI88" s="82">
        <f t="shared" si="24"/>
        <v>-2.9658102679586698E-2</v>
      </c>
    </row>
    <row r="89" spans="2:35">
      <c r="B89" s="78">
        <v>45108</v>
      </c>
      <c r="C89" s="79">
        <v>120.35257</v>
      </c>
      <c r="D89" s="82">
        <f t="shared" si="25"/>
        <v>9.2512698770543356E-2</v>
      </c>
      <c r="E89" s="83">
        <f t="shared" si="29"/>
        <v>8.834603210387669E-2</v>
      </c>
      <c r="F89" s="79">
        <v>104.43362399999999</v>
      </c>
      <c r="G89" s="82">
        <v>-9.3361594261098801E-5</v>
      </c>
      <c r="H89" s="82">
        <f t="shared" si="30"/>
        <v>-4.2600282609277654E-3</v>
      </c>
      <c r="I89" s="82">
        <f t="shared" si="31"/>
        <v>7.2979456138175011E-2</v>
      </c>
      <c r="J89" s="83">
        <f t="shared" si="32"/>
        <v>-7.8526625534337438E-2</v>
      </c>
      <c r="K89" s="79">
        <v>158.68893399999999</v>
      </c>
      <c r="L89" s="82">
        <v>4.0101535146170653E-2</v>
      </c>
      <c r="M89" s="82">
        <f t="shared" si="33"/>
        <v>3.5934868479503987E-2</v>
      </c>
      <c r="N89" s="82">
        <f t="shared" si="34"/>
        <v>6.9330757556306646E-2</v>
      </c>
      <c r="O89" s="83">
        <f t="shared" si="35"/>
        <v>-3.4683030212037322E-2</v>
      </c>
      <c r="P89" s="79">
        <v>115.217491</v>
      </c>
      <c r="Q89" s="82">
        <v>0.14301046922970517</v>
      </c>
      <c r="R89" s="82">
        <f t="shared" si="36"/>
        <v>0.13884380256303849</v>
      </c>
      <c r="S89" s="82">
        <f t="shared" si="46"/>
        <v>-2.8650394611070572E-2</v>
      </c>
      <c r="T89" s="83">
        <f t="shared" si="37"/>
        <v>0.16162248005563171</v>
      </c>
      <c r="U89" s="194">
        <v>108.725578</v>
      </c>
      <c r="V89" s="82">
        <v>0.16953252153883436</v>
      </c>
      <c r="W89" s="82">
        <f t="shared" si="38"/>
        <v>0.16536585487216768</v>
      </c>
      <c r="X89" s="82">
        <f t="shared" si="39"/>
        <v>8.2975460396980769E-2</v>
      </c>
      <c r="Y89" s="83">
        <f t="shared" si="40"/>
        <v>7.7848160015677001E-2</v>
      </c>
      <c r="Z89" s="194">
        <v>128.15733299999999</v>
      </c>
      <c r="AA89" s="82">
        <v>0.15807400225185742</v>
      </c>
      <c r="AB89" s="82">
        <f t="shared" si="41"/>
        <v>0.15390733558519074</v>
      </c>
      <c r="AC89" s="82">
        <f t="shared" si="42"/>
        <v>0.1019020859269615</v>
      </c>
      <c r="AD89" s="83">
        <f t="shared" si="43"/>
        <v>5.1977789968268642E-2</v>
      </c>
      <c r="AE89" s="195">
        <f t="shared" si="44"/>
        <v>101.71900169173071</v>
      </c>
      <c r="AF89" s="83">
        <f t="shared" si="45"/>
        <v>8.8538749291937405E-2</v>
      </c>
      <c r="AG89" s="194">
        <v>93.937079999999995</v>
      </c>
      <c r="AH89" s="82">
        <f t="shared" si="28"/>
        <v>-3.1467330230117718E-2</v>
      </c>
      <c r="AI89" s="82">
        <f t="shared" si="24"/>
        <v>-3.5633996896784384E-2</v>
      </c>
    </row>
    <row r="90" spans="2:35">
      <c r="B90" s="78">
        <v>45139</v>
      </c>
      <c r="C90" s="79">
        <v>122.69562500000001</v>
      </c>
      <c r="D90" s="82">
        <f t="shared" si="25"/>
        <v>1.946825896613591E-2</v>
      </c>
      <c r="E90" s="83">
        <f t="shared" si="29"/>
        <v>1.5301592299469244E-2</v>
      </c>
      <c r="F90" s="79">
        <v>108.28027299999999</v>
      </c>
      <c r="G90" s="82">
        <v>3.6833434028871848E-2</v>
      </c>
      <c r="H90" s="82">
        <f t="shared" si="30"/>
        <v>3.2666767362205182E-2</v>
      </c>
      <c r="I90" s="82">
        <f t="shared" si="31"/>
        <v>1.2640090986206845E-2</v>
      </c>
      <c r="J90" s="83">
        <f t="shared" si="32"/>
        <v>1.8739535240763674E-2</v>
      </c>
      <c r="K90" s="79">
        <v>156.20671100000001</v>
      </c>
      <c r="L90" s="82">
        <v>-1.5642067392046211E-2</v>
      </c>
      <c r="M90" s="82">
        <f t="shared" si="33"/>
        <v>-1.9808734058712876E-2</v>
      </c>
      <c r="N90" s="82">
        <f t="shared" si="34"/>
        <v>1.2008133932858305E-2</v>
      </c>
      <c r="O90" s="83">
        <f t="shared" si="35"/>
        <v>-3.3104009126805847E-2</v>
      </c>
      <c r="P90" s="79">
        <v>116.499641</v>
      </c>
      <c r="Q90" s="82">
        <v>1.1128084710679831E-2</v>
      </c>
      <c r="R90" s="82">
        <f t="shared" si="36"/>
        <v>6.9614180440131642E-3</v>
      </c>
      <c r="S90" s="82">
        <f t="shared" si="46"/>
        <v>-2.7346022504178325E-2</v>
      </c>
      <c r="T90" s="83">
        <f t="shared" si="37"/>
        <v>2.8435723429714121E-2</v>
      </c>
      <c r="U90" s="194">
        <v>111.26950100000001</v>
      </c>
      <c r="V90" s="82">
        <v>2.3397649815207311E-2</v>
      </c>
      <c r="W90" s="82">
        <f t="shared" si="38"/>
        <v>1.9230983148540645E-2</v>
      </c>
      <c r="X90" s="82">
        <f t="shared" si="39"/>
        <v>1.4371405660443266E-2</v>
      </c>
      <c r="Y90" s="83">
        <f t="shared" si="40"/>
        <v>3.1734302858747732E-4</v>
      </c>
      <c r="Z90" s="194">
        <v>125.21917000000001</v>
      </c>
      <c r="AA90" s="82">
        <v>-2.2926218353810368E-2</v>
      </c>
      <c r="AB90" s="82">
        <f t="shared" si="41"/>
        <v>-2.7092885020477034E-2</v>
      </c>
      <c r="AC90" s="82">
        <f t="shared" si="42"/>
        <v>1.7649509957464466E-2</v>
      </c>
      <c r="AD90" s="83">
        <f t="shared" si="43"/>
        <v>-4.4769854667902093E-2</v>
      </c>
      <c r="AE90" s="195">
        <f t="shared" si="44"/>
        <v>101.85711723450054</v>
      </c>
      <c r="AF90" s="83">
        <f t="shared" si="45"/>
        <v>1.3578145722310496E-3</v>
      </c>
      <c r="AG90" s="194">
        <v>86.447044000000005</v>
      </c>
      <c r="AH90" s="82">
        <f t="shared" si="28"/>
        <v>-7.9734605333697695E-2</v>
      </c>
      <c r="AI90" s="82">
        <f t="shared" si="24"/>
        <v>-8.390127200036436E-2</v>
      </c>
    </row>
    <row r="91" spans="2:35">
      <c r="B91" s="78">
        <v>45170</v>
      </c>
      <c r="C91" s="79">
        <v>124.772881</v>
      </c>
      <c r="D91" s="82">
        <f t="shared" si="25"/>
        <v>1.693015541507692E-2</v>
      </c>
      <c r="E91" s="83">
        <f t="shared" si="29"/>
        <v>1.2763488748410254E-2</v>
      </c>
      <c r="F91" s="79">
        <v>115.441681</v>
      </c>
      <c r="G91" s="82">
        <v>6.6137698045885207E-2</v>
      </c>
      <c r="H91" s="82">
        <f t="shared" si="30"/>
        <v>6.1971031379218541E-2</v>
      </c>
      <c r="I91" s="82">
        <f t="shared" si="31"/>
        <v>1.0543455604089577E-2</v>
      </c>
      <c r="J91" s="83">
        <f t="shared" si="32"/>
        <v>5.0140434639894302E-2</v>
      </c>
      <c r="K91" s="79">
        <v>165.06958</v>
      </c>
      <c r="L91" s="82">
        <v>5.6738080862607676E-2</v>
      </c>
      <c r="M91" s="82">
        <f t="shared" si="33"/>
        <v>5.257141419594101E-2</v>
      </c>
      <c r="N91" s="82">
        <f t="shared" si="34"/>
        <v>1.0016322441603451E-2</v>
      </c>
      <c r="O91" s="83">
        <f t="shared" si="35"/>
        <v>4.1267950619102899E-2</v>
      </c>
      <c r="P91" s="79">
        <v>117.76359600000001</v>
      </c>
      <c r="Q91" s="82">
        <v>1.0849432574646434E-2</v>
      </c>
      <c r="R91" s="82">
        <f t="shared" si="36"/>
        <v>6.6827659079797671E-3</v>
      </c>
      <c r="S91" s="82">
        <f t="shared" si="46"/>
        <v>3.4089958772319739E-2</v>
      </c>
      <c r="T91" s="83">
        <f t="shared" si="37"/>
        <v>-3.3278909982817337E-2</v>
      </c>
      <c r="U91" s="194">
        <v>118.203568</v>
      </c>
      <c r="V91" s="82">
        <v>6.2317768460200096E-2</v>
      </c>
      <c r="W91" s="82">
        <f t="shared" si="38"/>
        <v>5.815110179353343E-2</v>
      </c>
      <c r="X91" s="82">
        <f t="shared" si="39"/>
        <v>1.1987593895850274E-2</v>
      </c>
      <c r="Y91" s="83">
        <f t="shared" si="40"/>
        <v>4.1621273438173255E-2</v>
      </c>
      <c r="Z91" s="194">
        <v>123.408356</v>
      </c>
      <c r="AA91" s="82">
        <v>-1.4461156386837648E-2</v>
      </c>
      <c r="AB91" s="82">
        <f t="shared" si="41"/>
        <v>-1.8627823053504314E-2</v>
      </c>
      <c r="AC91" s="82">
        <f t="shared" si="42"/>
        <v>1.4721952941124057E-2</v>
      </c>
      <c r="AD91" s="83">
        <f t="shared" si="43"/>
        <v>-3.3377235684588967E-2</v>
      </c>
      <c r="AE91" s="195">
        <f t="shared" si="44"/>
        <v>105.29954136605906</v>
      </c>
      <c r="AF91" s="83">
        <f t="shared" si="45"/>
        <v>3.37965988536E-2</v>
      </c>
      <c r="AG91" s="194">
        <v>81.710632000000004</v>
      </c>
      <c r="AH91" s="82">
        <f t="shared" si="28"/>
        <v>-5.4789750821323646E-2</v>
      </c>
      <c r="AI91" s="82">
        <f t="shared" si="24"/>
        <v>-5.8956417487990312E-2</v>
      </c>
    </row>
    <row r="92" spans="2:35">
      <c r="B92" s="78">
        <v>45200</v>
      </c>
      <c r="C92" s="79">
        <v>118.870102</v>
      </c>
      <c r="D92" s="82">
        <f t="shared" si="25"/>
        <v>-4.7308188708089505E-2</v>
      </c>
      <c r="E92" s="83">
        <f t="shared" si="29"/>
        <v>-5.147485537475617E-2</v>
      </c>
      <c r="F92" s="79">
        <v>103.925003</v>
      </c>
      <c r="G92" s="82">
        <v>-9.9761870238185502E-2</v>
      </c>
      <c r="H92" s="82">
        <f t="shared" si="30"/>
        <v>-0.10392853690485217</v>
      </c>
      <c r="I92" s="82">
        <f t="shared" si="31"/>
        <v>-4.2521512970994851E-2</v>
      </c>
      <c r="J92" s="83">
        <f t="shared" si="32"/>
        <v>-6.2694165069091978E-2</v>
      </c>
      <c r="K92" s="79">
        <v>142.66154499999999</v>
      </c>
      <c r="L92" s="82">
        <v>-0.1357490277736213</v>
      </c>
      <c r="M92" s="82">
        <f t="shared" si="33"/>
        <v>-0.13991569444028798</v>
      </c>
      <c r="N92" s="82">
        <f t="shared" si="34"/>
        <v>-4.0395597099788336E-2</v>
      </c>
      <c r="O92" s="83">
        <f t="shared" si="35"/>
        <v>-0.10080723847573432</v>
      </c>
      <c r="P92" s="79">
        <v>117.366737</v>
      </c>
      <c r="Q92" s="82">
        <v>-3.3699633289051567E-3</v>
      </c>
      <c r="R92" s="82">
        <f t="shared" si="36"/>
        <v>-7.5366299955718233E-3</v>
      </c>
      <c r="S92" s="82">
        <f t="shared" si="46"/>
        <v>-8.3273207223390142E-2</v>
      </c>
      <c r="T92" s="83">
        <f t="shared" si="37"/>
        <v>6.9864860109340954E-2</v>
      </c>
      <c r="U92" s="194">
        <v>112.222061</v>
      </c>
      <c r="V92" s="82">
        <v>-5.0603438637317644E-2</v>
      </c>
      <c r="W92" s="82">
        <f t="shared" si="38"/>
        <v>-5.4770105303984309E-2</v>
      </c>
      <c r="X92" s="82">
        <f t="shared" si="39"/>
        <v>-4.834568935214207E-2</v>
      </c>
      <c r="Y92" s="83">
        <f t="shared" si="40"/>
        <v>-1.0966650411352141E-2</v>
      </c>
      <c r="Z92" s="194">
        <v>122.91184199999999</v>
      </c>
      <c r="AA92" s="82">
        <v>-4.0233418229800311E-3</v>
      </c>
      <c r="AB92" s="82">
        <f t="shared" si="41"/>
        <v>-8.1900084896466968E-3</v>
      </c>
      <c r="AC92" s="82">
        <f t="shared" si="42"/>
        <v>-5.9373296237105674E-2</v>
      </c>
      <c r="AD92" s="83">
        <f t="shared" si="43"/>
        <v>5.1155828057498381E-2</v>
      </c>
      <c r="AE92" s="195">
        <f t="shared" si="44"/>
        <v>97.956022743362098</v>
      </c>
      <c r="AF92" s="83">
        <f t="shared" si="45"/>
        <v>-6.9739322008708873E-2</v>
      </c>
      <c r="AG92" s="194">
        <v>89.795624000000004</v>
      </c>
      <c r="AH92" s="82">
        <f t="shared" si="28"/>
        <v>9.894663401942605E-2</v>
      </c>
      <c r="AI92" s="82">
        <f t="shared" si="24"/>
        <v>9.4779967352759384E-2</v>
      </c>
    </row>
    <row r="93" spans="2:35">
      <c r="B93" s="78">
        <v>45231</v>
      </c>
      <c r="C93" s="79">
        <v>117.462761</v>
      </c>
      <c r="D93" s="82">
        <f t="shared" si="25"/>
        <v>-1.1839318519302755E-2</v>
      </c>
      <c r="E93" s="83">
        <f t="shared" si="29"/>
        <v>-1.6005985185969421E-2</v>
      </c>
      <c r="F93" s="79">
        <v>100.87155199999999</v>
      </c>
      <c r="G93" s="82">
        <v>-2.9381293354401095E-2</v>
      </c>
      <c r="H93" s="82">
        <f t="shared" si="30"/>
        <v>-3.354796002106776E-2</v>
      </c>
      <c r="I93" s="82">
        <f t="shared" si="31"/>
        <v>-1.3221964427947149E-2</v>
      </c>
      <c r="J93" s="83">
        <f t="shared" si="32"/>
        <v>-2.1613136728355273E-2</v>
      </c>
      <c r="K93" s="79">
        <v>140.576401</v>
      </c>
      <c r="L93" s="82">
        <v>-1.4616020035392085E-2</v>
      </c>
      <c r="M93" s="82">
        <f t="shared" si="33"/>
        <v>-1.8782686702058751E-2</v>
      </c>
      <c r="N93" s="82">
        <f t="shared" si="34"/>
        <v>-1.2560915888938796E-2</v>
      </c>
      <c r="O93" s="83">
        <f t="shared" si="35"/>
        <v>-7.5089119483546171E-3</v>
      </c>
      <c r="P93" s="79">
        <v>114.17570499999999</v>
      </c>
      <c r="Q93" s="82">
        <v>-2.7188555135515213E-2</v>
      </c>
      <c r="R93" s="82">
        <f t="shared" si="36"/>
        <v>-3.1355221802181879E-2</v>
      </c>
      <c r="S93" s="82">
        <f t="shared" si="46"/>
        <v>-6.2028400951390046E-3</v>
      </c>
      <c r="T93" s="83">
        <f t="shared" si="37"/>
        <v>-3.1024098825520239E-2</v>
      </c>
      <c r="U93" s="194">
        <v>126.80197099999999</v>
      </c>
      <c r="V93" s="82">
        <v>0.1299201767467093</v>
      </c>
      <c r="W93" s="82">
        <f t="shared" si="38"/>
        <v>0.12575351008004262</v>
      </c>
      <c r="X93" s="82">
        <f t="shared" si="39"/>
        <v>-1.5032978372492048E-2</v>
      </c>
      <c r="Y93" s="83">
        <f t="shared" si="40"/>
        <v>0.13624425399302476</v>
      </c>
      <c r="Z93" s="194">
        <v>120.55905199999999</v>
      </c>
      <c r="AA93" s="82">
        <v>-1.9142093729260012E-2</v>
      </c>
      <c r="AB93" s="82">
        <f t="shared" si="41"/>
        <v>-2.3308760395926678E-2</v>
      </c>
      <c r="AC93" s="82">
        <f t="shared" si="42"/>
        <v>-1.8461986791308959E-2</v>
      </c>
      <c r="AD93" s="83">
        <f t="shared" si="43"/>
        <v>-4.8742332945783153E-3</v>
      </c>
      <c r="AE93" s="195">
        <f t="shared" si="44"/>
        <v>98.329846071951565</v>
      </c>
      <c r="AF93" s="83">
        <f t="shared" si="45"/>
        <v>3.8162362876742965E-3</v>
      </c>
      <c r="AG93" s="194">
        <v>97.307541000000001</v>
      </c>
      <c r="AH93" s="82">
        <f t="shared" si="28"/>
        <v>8.3655713556820999E-2</v>
      </c>
      <c r="AI93" s="82">
        <f t="shared" si="24"/>
        <v>7.9489046890154333E-2</v>
      </c>
    </row>
    <row r="94" spans="2:35">
      <c r="B94" s="78">
        <v>45261</v>
      </c>
      <c r="C94" s="79">
        <v>116.23382599999999</v>
      </c>
      <c r="D94" s="82">
        <f t="shared" si="25"/>
        <v>-1.0462337080600403E-2</v>
      </c>
      <c r="E94" s="83">
        <f t="shared" si="29"/>
        <v>-1.4629003747267069E-2</v>
      </c>
      <c r="F94" s="79">
        <v>99.059380000000004</v>
      </c>
      <c r="G94" s="82">
        <v>-1.7965144424465618E-2</v>
      </c>
      <c r="H94" s="82">
        <f t="shared" si="30"/>
        <v>-2.2131811091132284E-2</v>
      </c>
      <c r="I94" s="82">
        <f t="shared" si="31"/>
        <v>-1.2084489952684895E-2</v>
      </c>
      <c r="J94" s="83">
        <f t="shared" si="32"/>
        <v>-1.1334462273682051E-2</v>
      </c>
      <c r="K94" s="79">
        <v>147.54997299999999</v>
      </c>
      <c r="L94" s="82">
        <v>4.9606989156024683E-2</v>
      </c>
      <c r="M94" s="82">
        <f t="shared" si="33"/>
        <v>4.5440322489358018E-2</v>
      </c>
      <c r="N94" s="82">
        <f t="shared" si="34"/>
        <v>-1.148031086330553E-2</v>
      </c>
      <c r="O94" s="83">
        <f t="shared" si="35"/>
        <v>5.5633492217428887E-2</v>
      </c>
      <c r="P94" s="79">
        <v>115.247856</v>
      </c>
      <c r="Q94" s="82">
        <v>9.3903602346927517E-3</v>
      </c>
      <c r="R94" s="82">
        <f t="shared" si="36"/>
        <v>5.2236935680260851E-3</v>
      </c>
      <c r="S94" s="82">
        <f t="shared" si="46"/>
        <v>4.5956812189612666E-2</v>
      </c>
      <c r="T94" s="83">
        <f t="shared" si="37"/>
        <v>-4.6604835740063952E-2</v>
      </c>
      <c r="U94" s="194">
        <v>132.18490600000001</v>
      </c>
      <c r="V94" s="82">
        <v>4.2451508896498291E-2</v>
      </c>
      <c r="W94" s="82">
        <f t="shared" si="38"/>
        <v>3.8284842229831625E-2</v>
      </c>
      <c r="X94" s="82">
        <f t="shared" si="39"/>
        <v>-1.3739703891301048E-2</v>
      </c>
      <c r="Y94" s="83">
        <f t="shared" si="40"/>
        <v>4.748231166162277E-2</v>
      </c>
      <c r="Z94" s="194">
        <v>118.48230700000001</v>
      </c>
      <c r="AA94" s="82">
        <v>-1.722595662082671E-2</v>
      </c>
      <c r="AB94" s="82">
        <f t="shared" si="41"/>
        <v>-2.1392623287493376E-2</v>
      </c>
      <c r="AC94" s="82">
        <f t="shared" si="42"/>
        <v>-1.6873717600888568E-2</v>
      </c>
      <c r="AD94" s="83">
        <f t="shared" si="43"/>
        <v>-4.546365376565404E-3</v>
      </c>
      <c r="AE94" s="195">
        <f t="shared" si="44"/>
        <v>98.745830411324064</v>
      </c>
      <c r="AF94" s="83">
        <f t="shared" si="45"/>
        <v>4.2304992430081435E-3</v>
      </c>
      <c r="AG94" s="194">
        <v>95.731498999999999</v>
      </c>
      <c r="AH94" s="82">
        <f t="shared" si="28"/>
        <v>-1.6196504235987175E-2</v>
      </c>
      <c r="AI94" s="82">
        <f t="shared" si="24"/>
        <v>-2.036317090265384E-2</v>
      </c>
    </row>
    <row r="95" spans="2:35">
      <c r="B95" s="78">
        <v>45292</v>
      </c>
      <c r="C95" s="79">
        <v>116.360001</v>
      </c>
      <c r="D95" s="82">
        <f>C95/C94-1</f>
        <v>1.0855273747936156E-3</v>
      </c>
      <c r="E95" s="83">
        <f t="shared" si="29"/>
        <v>-3.081139291873051E-3</v>
      </c>
      <c r="F95" s="79">
        <v>101.86331199999999</v>
      </c>
      <c r="G95" s="82">
        <v>2.8305567832142664E-2</v>
      </c>
      <c r="H95" s="82">
        <f t="shared" si="30"/>
        <v>2.4138901165475998E-2</v>
      </c>
      <c r="I95" s="82">
        <f t="shared" si="31"/>
        <v>-2.5452175321520744E-3</v>
      </c>
      <c r="J95" s="83">
        <f t="shared" si="32"/>
        <v>2.5396977562393411E-2</v>
      </c>
      <c r="K95" s="79">
        <v>145.838638</v>
      </c>
      <c r="L95" s="82">
        <v>-1.1598341668283441E-2</v>
      </c>
      <c r="M95" s="82">
        <f t="shared" si="33"/>
        <v>-1.5765008334950106E-2</v>
      </c>
      <c r="N95" s="82">
        <f t="shared" si="34"/>
        <v>-2.4179662193644477E-3</v>
      </c>
      <c r="O95" s="83">
        <f t="shared" si="35"/>
        <v>-1.4634183250820321E-2</v>
      </c>
      <c r="P95" s="79">
        <v>111.077606</v>
      </c>
      <c r="Q95" s="82">
        <v>-3.6185054930653049E-2</v>
      </c>
      <c r="R95" s="82">
        <f t="shared" si="36"/>
        <v>-4.0351721597319715E-2</v>
      </c>
      <c r="S95" s="82">
        <f t="shared" si="46"/>
        <v>-1.2088768552904739E-2</v>
      </c>
      <c r="T95" s="83">
        <f t="shared" si="37"/>
        <v>-3.4134670162892344E-2</v>
      </c>
      <c r="U95" s="194">
        <v>143.27477999999999</v>
      </c>
      <c r="V95" s="82">
        <v>8.3896674254169135E-2</v>
      </c>
      <c r="W95" s="82">
        <f t="shared" si="38"/>
        <v>7.9730007587502469E-2</v>
      </c>
      <c r="X95" s="82">
        <f t="shared" si="39"/>
        <v>-2.8938362618231859E-3</v>
      </c>
      <c r="Y95" s="83">
        <f t="shared" si="40"/>
        <v>7.8081609389815759E-2</v>
      </c>
      <c r="Z95" s="194">
        <v>112.89772000000001</v>
      </c>
      <c r="AA95" s="82">
        <v>-4.7134353992617672E-2</v>
      </c>
      <c r="AB95" s="82">
        <f t="shared" si="41"/>
        <v>-5.1301020659284338E-2</v>
      </c>
      <c r="AC95" s="82">
        <f t="shared" si="42"/>
        <v>-3.5539176281761667E-3</v>
      </c>
      <c r="AD95" s="83">
        <f t="shared" si="43"/>
        <v>-4.7774562721068767E-2</v>
      </c>
      <c r="AE95" s="195">
        <f t="shared" si="44"/>
        <v>99.029649513982193</v>
      </c>
      <c r="AF95" s="83">
        <f t="shared" si="45"/>
        <v>2.874238856221947E-3</v>
      </c>
      <c r="AG95" s="194">
        <v>93.275313999999995</v>
      </c>
      <c r="AH95" s="82">
        <f>AG95/AG94-1</f>
        <v>-2.5657020162193511E-2</v>
      </c>
      <c r="AI95" s="82">
        <f t="shared" si="24"/>
        <v>-2.9823686828860177E-2</v>
      </c>
    </row>
    <row r="96" spans="2:35">
      <c r="B96" s="78">
        <v>45323</v>
      </c>
      <c r="C96" s="79">
        <v>120.08000199999999</v>
      </c>
      <c r="D96" s="82">
        <f t="shared" si="25"/>
        <v>3.196975737392771E-2</v>
      </c>
      <c r="E96" s="83">
        <f t="shared" si="29"/>
        <v>2.7803090707261044E-2</v>
      </c>
      <c r="F96" s="79">
        <v>103.557571</v>
      </c>
      <c r="G96" s="82">
        <v>1.6632671437190272E-2</v>
      </c>
      <c r="H96" s="82">
        <f t="shared" si="30"/>
        <v>1.2466004770523606E-2</v>
      </c>
      <c r="I96" s="82">
        <f t="shared" si="31"/>
        <v>2.2967125862432731E-2</v>
      </c>
      <c r="J96" s="83">
        <f t="shared" si="32"/>
        <v>-1.1788262227143789E-2</v>
      </c>
      <c r="K96" s="79">
        <v>150.369202</v>
      </c>
      <c r="L96" s="82">
        <v>3.106559456486413E-2</v>
      </c>
      <c r="M96" s="82">
        <f t="shared" si="33"/>
        <v>2.6898927898197464E-2</v>
      </c>
      <c r="N96" s="82">
        <f t="shared" si="34"/>
        <v>2.1818855869776329E-2</v>
      </c>
      <c r="O96" s="83">
        <f t="shared" si="35"/>
        <v>3.7929308931864726E-3</v>
      </c>
      <c r="P96" s="79">
        <v>111.742859</v>
      </c>
      <c r="Q96" s="82">
        <v>5.9890829840174575E-3</v>
      </c>
      <c r="R96" s="82">
        <f t="shared" si="36"/>
        <v>1.8224163173507909E-3</v>
      </c>
      <c r="S96" s="82">
        <f t="shared" si="46"/>
        <v>3.1332027841269026E-3</v>
      </c>
      <c r="T96" s="83">
        <f t="shared" si="37"/>
        <v>-7.1825035852534792E-3</v>
      </c>
      <c r="U96" s="194">
        <v>141.487686</v>
      </c>
      <c r="V96" s="82">
        <v>-1.2473193118844761E-2</v>
      </c>
      <c r="W96" s="82">
        <f t="shared" si="38"/>
        <v>-1.6639859785511427E-2</v>
      </c>
      <c r="X96" s="82">
        <f t="shared" si="39"/>
        <v>2.6112935657160892E-2</v>
      </c>
      <c r="Y96" s="83">
        <f t="shared" si="40"/>
        <v>-4.729502990218222E-2</v>
      </c>
      <c r="Z96" s="194">
        <v>114.459999</v>
      </c>
      <c r="AA96" s="82">
        <v>1.383800310581984E-2</v>
      </c>
      <c r="AB96" s="82">
        <f t="shared" si="41"/>
        <v>9.6713364391531748E-3</v>
      </c>
      <c r="AC96" s="82">
        <f t="shared" si="42"/>
        <v>3.2069272052367558E-2</v>
      </c>
      <c r="AD96" s="83">
        <f t="shared" si="43"/>
        <v>-2.2425395303174979E-2</v>
      </c>
      <c r="AE96" s="195">
        <f t="shared" si="44"/>
        <v>99.855301579917139</v>
      </c>
      <c r="AF96" s="83">
        <f t="shared" si="45"/>
        <v>8.3374228828142251E-3</v>
      </c>
      <c r="AG96" s="194">
        <v>94.012603999999996</v>
      </c>
      <c r="AH96" s="82">
        <f t="shared" ref="AH96" si="47">AG96/AG95-1</f>
        <v>7.9044494023359224E-3</v>
      </c>
      <c r="AI96" s="82">
        <f t="shared" si="24"/>
        <v>3.7377827356692558E-3</v>
      </c>
    </row>
    <row r="97" spans="2:35">
      <c r="B97" s="78">
        <v>45352</v>
      </c>
      <c r="C97" s="79">
        <v>131.699997</v>
      </c>
      <c r="D97" s="82">
        <f>C97/C96-1</f>
        <v>9.6768777535496842E-2</v>
      </c>
      <c r="E97" s="83">
        <f t="shared" si="29"/>
        <v>9.2602110868830176E-2</v>
      </c>
      <c r="F97" s="79">
        <v>116.239998</v>
      </c>
      <c r="G97" s="82">
        <v>0.12246740511130771</v>
      </c>
      <c r="H97" s="82">
        <f t="shared" si="30"/>
        <v>0.11830073844464105</v>
      </c>
      <c r="I97" s="82">
        <f t="shared" si="31"/>
        <v>7.649524859824082E-2</v>
      </c>
      <c r="J97" s="83">
        <f t="shared" si="32"/>
        <v>4.0518348711165567E-2</v>
      </c>
      <c r="K97" s="79">
        <v>157.740005</v>
      </c>
      <c r="L97" s="82">
        <v>4.901803628644652E-2</v>
      </c>
      <c r="M97" s="82">
        <f t="shared" si="33"/>
        <v>4.4851369619779854E-2</v>
      </c>
      <c r="N97" s="82">
        <f t="shared" si="34"/>
        <v>7.2670773604187389E-2</v>
      </c>
      <c r="O97" s="83">
        <f t="shared" si="35"/>
        <v>-2.9106545119642196E-2</v>
      </c>
      <c r="P97" s="79">
        <v>127.279999</v>
      </c>
      <c r="Q97" s="82">
        <v>0.13904369495324986</v>
      </c>
      <c r="R97" s="82">
        <f t="shared" si="36"/>
        <v>0.13487702828658318</v>
      </c>
      <c r="S97" s="82">
        <f t="shared" si="46"/>
        <v>-2.4043862325306732E-2</v>
      </c>
      <c r="T97" s="83">
        <f t="shared" si="37"/>
        <v>0.15304917349341254</v>
      </c>
      <c r="U97" s="194">
        <v>163.33999600000001</v>
      </c>
      <c r="V97" s="82">
        <v>0.15444672690455907</v>
      </c>
      <c r="W97" s="82">
        <f t="shared" si="38"/>
        <v>0.15028006023789239</v>
      </c>
      <c r="X97" s="82">
        <f t="shared" si="39"/>
        <v>8.6972811343003983E-2</v>
      </c>
      <c r="Y97" s="83">
        <f t="shared" si="40"/>
        <v>5.8765014435378501E-2</v>
      </c>
      <c r="Z97" s="194">
        <v>127.839996</v>
      </c>
      <c r="AA97" s="82">
        <v>0.11689670729422263</v>
      </c>
      <c r="AB97" s="82">
        <f t="shared" si="41"/>
        <v>0.11273004062755597</v>
      </c>
      <c r="AC97" s="82">
        <f t="shared" si="42"/>
        <v>0.10681122891493701</v>
      </c>
      <c r="AD97" s="83">
        <f t="shared" si="43"/>
        <v>5.8913520226583638E-3</v>
      </c>
      <c r="AE97" s="195">
        <f t="shared" si="44"/>
        <v>110.76298649958794</v>
      </c>
      <c r="AF97" s="83">
        <f t="shared" si="45"/>
        <v>0.1092349103862158</v>
      </c>
      <c r="AG97" s="194">
        <v>92.374397000000002</v>
      </c>
      <c r="AH97" s="82">
        <f>AG97/AG96-1</f>
        <v>-1.7425397556268041E-2</v>
      </c>
      <c r="AI97" s="82">
        <f t="shared" si="24"/>
        <v>-2.1592064222934707E-2</v>
      </c>
    </row>
    <row r="98" spans="2:35">
      <c r="B98" s="84" t="s">
        <v>171</v>
      </c>
      <c r="E98" s="52"/>
      <c r="F98" s="85"/>
      <c r="J98" s="52"/>
      <c r="O98" s="52"/>
      <c r="T98" s="52"/>
      <c r="Y98" s="52"/>
      <c r="AD98" s="52"/>
      <c r="AE98" s="84" t="s">
        <v>171</v>
      </c>
      <c r="AG98">
        <v>91.544998000000007</v>
      </c>
    </row>
    <row r="99" spans="2:35">
      <c r="E99" s="52"/>
      <c r="F99"/>
      <c r="G99"/>
      <c r="H99"/>
      <c r="I99"/>
      <c r="J99" s="166"/>
      <c r="K99"/>
      <c r="L99"/>
      <c r="M99"/>
      <c r="N99"/>
      <c r="O99" s="166"/>
      <c r="P99"/>
      <c r="Q99"/>
      <c r="R99"/>
      <c r="S99"/>
      <c r="T99" s="166"/>
      <c r="U99"/>
      <c r="V99"/>
      <c r="W99"/>
      <c r="X99"/>
      <c r="Y99" s="166"/>
      <c r="Z99"/>
      <c r="AA99"/>
      <c r="AB99"/>
      <c r="AC99"/>
      <c r="AD99" s="166"/>
      <c r="AE99"/>
      <c r="AF99"/>
      <c r="AG99"/>
      <c r="AH99"/>
      <c r="AI99"/>
    </row>
    <row r="100" spans="2:35">
      <c r="E100" s="265"/>
      <c r="F100" s="274"/>
      <c r="G100" s="266"/>
      <c r="H100" s="266"/>
      <c r="I100" s="266"/>
      <c r="J100" s="166"/>
      <c r="K100" s="274"/>
      <c r="L100" s="266"/>
      <c r="M100" s="266"/>
      <c r="N100" s="266"/>
      <c r="O100" s="166"/>
      <c r="P100" s="274"/>
      <c r="Q100" s="266"/>
      <c r="R100" s="266"/>
      <c r="S100" s="266"/>
      <c r="T100" s="166"/>
      <c r="U100" s="274"/>
      <c r="V100" s="266"/>
      <c r="W100" s="266"/>
      <c r="X100" s="266"/>
      <c r="Y100" s="166"/>
      <c r="Z100" s="274"/>
      <c r="AA100" s="266"/>
      <c r="AB100" s="266"/>
      <c r="AC100" s="266"/>
      <c r="AD100" s="166"/>
      <c r="AE100"/>
      <c r="AF100"/>
      <c r="AG100"/>
      <c r="AH100"/>
      <c r="AI100"/>
    </row>
    <row r="101" spans="2:35">
      <c r="E101" s="265"/>
      <c r="F101" s="275"/>
      <c r="G101" s="267"/>
      <c r="H101" s="268"/>
      <c r="I101" s="268"/>
      <c r="J101" s="280"/>
      <c r="K101" s="275"/>
      <c r="L101" s="267"/>
      <c r="M101" s="268"/>
      <c r="N101" s="268"/>
      <c r="O101" s="280"/>
      <c r="P101" s="275"/>
      <c r="Q101" s="267"/>
      <c r="R101" s="268"/>
      <c r="S101" s="268"/>
      <c r="T101" s="280"/>
      <c r="U101" s="275"/>
      <c r="V101" s="267"/>
      <c r="W101" s="268"/>
      <c r="X101" s="268"/>
      <c r="Y101" s="280"/>
      <c r="Z101" s="275"/>
      <c r="AA101" s="267"/>
      <c r="AB101" s="268"/>
      <c r="AC101" s="268"/>
      <c r="AD101" s="280"/>
      <c r="AE101"/>
      <c r="AF101"/>
      <c r="AG101"/>
      <c r="AH101"/>
      <c r="AI101"/>
    </row>
    <row r="102" spans="2:35">
      <c r="E102" s="265"/>
      <c r="F102" s="274" t="s">
        <v>112</v>
      </c>
      <c r="G102" s="266"/>
      <c r="H102" s="266"/>
      <c r="I102" s="266"/>
      <c r="J102" s="166"/>
      <c r="K102" s="274" t="s">
        <v>112</v>
      </c>
      <c r="L102" s="266"/>
      <c r="M102" s="266"/>
      <c r="N102" s="266"/>
      <c r="O102" s="166"/>
      <c r="P102" s="274" t="s">
        <v>112</v>
      </c>
      <c r="Q102" s="266"/>
      <c r="R102" s="266"/>
      <c r="S102" s="266"/>
      <c r="T102" s="166"/>
      <c r="U102" s="274" t="s">
        <v>112</v>
      </c>
      <c r="V102" s="266"/>
      <c r="W102" s="266"/>
      <c r="X102" s="266"/>
      <c r="Y102" s="166"/>
      <c r="Z102" s="274" t="s">
        <v>112</v>
      </c>
      <c r="AA102" s="266"/>
      <c r="AB102" s="266"/>
      <c r="AC102" s="266"/>
      <c r="AD102" s="166"/>
      <c r="AE102"/>
      <c r="AF102"/>
      <c r="AG102"/>
      <c r="AH102"/>
      <c r="AI102"/>
    </row>
    <row r="103" spans="2:35" ht="16.2" thickBot="1">
      <c r="E103" s="265"/>
      <c r="F103" s="274"/>
      <c r="G103" s="266"/>
      <c r="H103" s="266"/>
      <c r="I103" s="266"/>
      <c r="J103" s="166"/>
      <c r="K103" s="274"/>
      <c r="L103" s="266"/>
      <c r="M103" s="266"/>
      <c r="N103" s="266"/>
      <c r="O103" s="166"/>
      <c r="P103" s="274"/>
      <c r="Q103" s="266"/>
      <c r="R103" s="266"/>
      <c r="S103" s="266"/>
      <c r="T103" s="166"/>
      <c r="U103" s="274"/>
      <c r="V103" s="266"/>
      <c r="W103" s="266"/>
      <c r="X103" s="266"/>
      <c r="Y103" s="166"/>
      <c r="Z103" s="274"/>
      <c r="AA103" s="266"/>
      <c r="AB103" s="266"/>
      <c r="AC103" s="266"/>
      <c r="AD103" s="166"/>
      <c r="AE103"/>
      <c r="AF103"/>
      <c r="AG103"/>
      <c r="AH103"/>
      <c r="AI103"/>
    </row>
    <row r="104" spans="2:35">
      <c r="E104" s="265"/>
      <c r="F104" s="276" t="s">
        <v>113</v>
      </c>
      <c r="G104" s="272"/>
      <c r="H104" s="266"/>
      <c r="I104" s="266"/>
      <c r="J104" s="166"/>
      <c r="K104" s="276" t="s">
        <v>113</v>
      </c>
      <c r="L104" s="272"/>
      <c r="M104" s="266"/>
      <c r="N104" s="266"/>
      <c r="O104" s="166"/>
      <c r="P104" s="276" t="s">
        <v>113</v>
      </c>
      <c r="Q104" s="272"/>
      <c r="R104" s="266"/>
      <c r="S104" s="266"/>
      <c r="T104" s="166"/>
      <c r="U104" s="276" t="s">
        <v>113</v>
      </c>
      <c r="V104" s="272"/>
      <c r="W104" s="266"/>
      <c r="X104" s="266"/>
      <c r="Y104" s="166"/>
      <c r="Z104" s="276" t="s">
        <v>113</v>
      </c>
      <c r="AA104" s="272"/>
      <c r="AB104" s="266"/>
      <c r="AC104" s="266"/>
      <c r="AD104" s="166"/>
      <c r="AE104"/>
      <c r="AF104"/>
      <c r="AG104"/>
      <c r="AH104"/>
      <c r="AI104"/>
    </row>
    <row r="105" spans="2:35">
      <c r="E105" s="265"/>
      <c r="F105" s="277" t="s">
        <v>114</v>
      </c>
      <c r="G105" s="269">
        <v>0.92826683242595665</v>
      </c>
      <c r="H105" s="266"/>
      <c r="I105" s="266"/>
      <c r="J105" s="166"/>
      <c r="K105" s="277" t="s">
        <v>114</v>
      </c>
      <c r="L105" s="269">
        <v>0.92915346875638682</v>
      </c>
      <c r="M105" s="266"/>
      <c r="N105" s="266"/>
      <c r="O105" s="166"/>
      <c r="P105" s="277" t="s">
        <v>114</v>
      </c>
      <c r="Q105" s="269">
        <v>0.93942098015843156</v>
      </c>
      <c r="R105" s="266"/>
      <c r="S105" s="266"/>
      <c r="T105" s="166"/>
      <c r="U105" s="277" t="s">
        <v>114</v>
      </c>
      <c r="V105" s="269">
        <v>0.86667135583011046</v>
      </c>
      <c r="W105" s="266"/>
      <c r="X105" s="266"/>
      <c r="Y105" s="166"/>
      <c r="Z105" s="277" t="s">
        <v>114</v>
      </c>
      <c r="AA105" s="269">
        <v>0.94567539521604305</v>
      </c>
      <c r="AB105" s="266"/>
      <c r="AC105" s="266"/>
      <c r="AD105" s="166"/>
      <c r="AE105"/>
      <c r="AF105"/>
      <c r="AG105"/>
      <c r="AH105"/>
      <c r="AI105"/>
    </row>
    <row r="106" spans="2:35">
      <c r="E106" s="265"/>
      <c r="F106" s="277" t="s">
        <v>115</v>
      </c>
      <c r="G106" s="269">
        <v>0.86167931218211902</v>
      </c>
      <c r="H106" s="266"/>
      <c r="I106" s="266"/>
      <c r="J106" s="166"/>
      <c r="K106" s="277" t="s">
        <v>115</v>
      </c>
      <c r="L106" s="269">
        <v>0.86332616850202593</v>
      </c>
      <c r="M106" s="266"/>
      <c r="N106" s="266"/>
      <c r="O106" s="166"/>
      <c r="P106" s="277" t="s">
        <v>115</v>
      </c>
      <c r="Q106" s="269">
        <v>0.88251177796182823</v>
      </c>
      <c r="R106" s="266"/>
      <c r="S106" s="266"/>
      <c r="T106" s="166"/>
      <c r="U106" s="277" t="s">
        <v>115</v>
      </c>
      <c r="V106" s="269">
        <v>0.75111923901640198</v>
      </c>
      <c r="W106" s="266"/>
      <c r="X106" s="266"/>
      <c r="Y106" s="166"/>
      <c r="Z106" s="277" t="s">
        <v>115</v>
      </c>
      <c r="AA106" s="269">
        <v>0.89430195311701921</v>
      </c>
      <c r="AB106" s="266"/>
      <c r="AC106" s="266"/>
      <c r="AD106" s="166"/>
      <c r="AE106"/>
      <c r="AF106"/>
      <c r="AG106"/>
      <c r="AH106"/>
      <c r="AI106"/>
    </row>
    <row r="107" spans="2:35">
      <c r="E107" s="265"/>
      <c r="F107" s="277" t="s">
        <v>116</v>
      </c>
      <c r="G107" s="269">
        <v>0.85925263344847203</v>
      </c>
      <c r="H107" s="266"/>
      <c r="I107" s="266"/>
      <c r="J107" s="166"/>
      <c r="K107" s="277" t="s">
        <v>116</v>
      </c>
      <c r="L107" s="269">
        <v>0.8609283819845176</v>
      </c>
      <c r="M107" s="266"/>
      <c r="N107" s="266"/>
      <c r="O107" s="166"/>
      <c r="P107" s="277" t="s">
        <v>116</v>
      </c>
      <c r="Q107" s="269">
        <v>0.88045058108396557</v>
      </c>
      <c r="R107" s="266"/>
      <c r="S107" s="266"/>
      <c r="T107" s="166"/>
      <c r="U107" s="277" t="s">
        <v>116</v>
      </c>
      <c r="V107" s="269">
        <v>0.74675290987633891</v>
      </c>
      <c r="W107" s="266"/>
      <c r="X107" s="266"/>
      <c r="Y107" s="166"/>
      <c r="Z107" s="277" t="s">
        <v>116</v>
      </c>
      <c r="AA107" s="269">
        <v>0.89244760141731783</v>
      </c>
      <c r="AB107" s="266"/>
      <c r="AC107" s="266"/>
      <c r="AD107" s="166"/>
      <c r="AE107"/>
      <c r="AF107"/>
      <c r="AG107"/>
      <c r="AH107"/>
      <c r="AI107"/>
    </row>
    <row r="108" spans="2:35">
      <c r="E108" s="265"/>
      <c r="F108" s="277" t="s">
        <v>117</v>
      </c>
      <c r="G108" s="269">
        <v>3.7955475610453482E-2</v>
      </c>
      <c r="H108" s="266"/>
      <c r="I108" s="266"/>
      <c r="J108" s="166"/>
      <c r="K108" s="277" t="s">
        <v>117</v>
      </c>
      <c r="L108" s="269">
        <v>3.5808345589820843E-2</v>
      </c>
      <c r="M108" s="266"/>
      <c r="N108" s="266"/>
      <c r="O108" s="166"/>
      <c r="P108" s="277" t="s">
        <v>117</v>
      </c>
      <c r="Q108" s="269">
        <v>4.5454955124791939E-2</v>
      </c>
      <c r="R108" s="266"/>
      <c r="S108" s="266"/>
      <c r="T108" s="166"/>
      <c r="U108" s="277" t="s">
        <v>117</v>
      </c>
      <c r="V108" s="269">
        <v>6.2000325456349918E-2</v>
      </c>
      <c r="W108" s="266"/>
      <c r="X108" s="266"/>
      <c r="Y108" s="166"/>
      <c r="Z108" s="277" t="s">
        <v>117</v>
      </c>
      <c r="AA108" s="269">
        <v>4.5475506416748829E-2</v>
      </c>
      <c r="AB108" s="266"/>
      <c r="AC108" s="266"/>
      <c r="AD108" s="166"/>
      <c r="AE108" s="266"/>
      <c r="AF108" s="266"/>
      <c r="AG108" s="266"/>
      <c r="AH108" s="266"/>
      <c r="AI108"/>
    </row>
    <row r="109" spans="2:35" ht="16.2" thickBot="1">
      <c r="E109" s="265"/>
      <c r="F109" s="278" t="s">
        <v>118</v>
      </c>
      <c r="G109" s="270">
        <v>59</v>
      </c>
      <c r="H109" s="266"/>
      <c r="I109" s="266"/>
      <c r="J109" s="166"/>
      <c r="K109" s="278" t="s">
        <v>118</v>
      </c>
      <c r="L109" s="270">
        <v>59</v>
      </c>
      <c r="M109" s="266"/>
      <c r="N109" s="266"/>
      <c r="O109" s="166"/>
      <c r="P109" s="278" t="s">
        <v>118</v>
      </c>
      <c r="Q109" s="270">
        <v>59</v>
      </c>
      <c r="R109" s="266"/>
      <c r="S109" s="266"/>
      <c r="T109" s="166"/>
      <c r="U109" s="278" t="s">
        <v>118</v>
      </c>
      <c r="V109" s="270">
        <v>59</v>
      </c>
      <c r="W109" s="266"/>
      <c r="X109" s="266"/>
      <c r="Y109" s="166"/>
      <c r="Z109" s="278" t="s">
        <v>118</v>
      </c>
      <c r="AA109" s="270">
        <v>59</v>
      </c>
      <c r="AB109" s="266"/>
      <c r="AC109" s="266"/>
      <c r="AD109" s="166"/>
      <c r="AE109" s="266"/>
      <c r="AF109" s="266"/>
      <c r="AG109" s="266"/>
      <c r="AH109" s="266"/>
      <c r="AI109"/>
    </row>
    <row r="110" spans="2:35">
      <c r="E110" s="265"/>
      <c r="F110" s="274"/>
      <c r="G110" s="266"/>
      <c r="H110" s="266"/>
      <c r="I110" s="266"/>
      <c r="J110" s="166"/>
      <c r="K110" s="274"/>
      <c r="L110" s="266"/>
      <c r="M110" s="266"/>
      <c r="N110" s="266"/>
      <c r="O110" s="166"/>
      <c r="P110" s="274"/>
      <c r="Q110" s="266"/>
      <c r="R110" s="266"/>
      <c r="S110" s="266"/>
      <c r="T110" s="166"/>
      <c r="U110" s="274"/>
      <c r="V110" s="266"/>
      <c r="W110" s="266"/>
      <c r="X110" s="266"/>
      <c r="Y110" s="166"/>
      <c r="Z110" s="274"/>
      <c r="AA110" s="266"/>
      <c r="AB110" s="266"/>
      <c r="AC110" s="266"/>
      <c r="AD110" s="166"/>
      <c r="AE110" s="266"/>
      <c r="AF110" s="266"/>
      <c r="AG110" s="266"/>
      <c r="AH110" s="266"/>
      <c r="AI110"/>
    </row>
    <row r="111" spans="2:35" ht="16.2" thickBot="1">
      <c r="E111" s="265"/>
      <c r="F111" s="274" t="s">
        <v>119</v>
      </c>
      <c r="G111" s="266"/>
      <c r="H111" s="266"/>
      <c r="I111" s="266"/>
      <c r="J111" s="166"/>
      <c r="K111" s="274" t="s">
        <v>119</v>
      </c>
      <c r="L111" s="266"/>
      <c r="M111" s="266"/>
      <c r="N111" s="266"/>
      <c r="O111" s="166"/>
      <c r="P111" s="274" t="s">
        <v>119</v>
      </c>
      <c r="Q111" s="266"/>
      <c r="R111" s="266"/>
      <c r="S111" s="266"/>
      <c r="T111" s="166"/>
      <c r="U111" s="274" t="s">
        <v>119</v>
      </c>
      <c r="V111" s="266"/>
      <c r="W111" s="266"/>
      <c r="X111" s="266"/>
      <c r="Y111" s="166"/>
      <c r="Z111" s="274" t="s">
        <v>119</v>
      </c>
      <c r="AA111" s="266"/>
      <c r="AB111" s="266"/>
      <c r="AC111" s="266"/>
      <c r="AD111" s="166"/>
      <c r="AE111" s="266"/>
      <c r="AF111" s="266"/>
      <c r="AG111" s="266"/>
      <c r="AH111" s="266"/>
      <c r="AI111"/>
    </row>
    <row r="112" spans="2:35">
      <c r="E112" s="265"/>
      <c r="F112" s="279"/>
      <c r="G112" s="271" t="s">
        <v>124</v>
      </c>
      <c r="H112" s="271" t="s">
        <v>125</v>
      </c>
      <c r="I112" s="271" t="s">
        <v>126</v>
      </c>
      <c r="J112" s="281" t="s">
        <v>127</v>
      </c>
      <c r="K112" s="279"/>
      <c r="L112" s="271" t="s">
        <v>124</v>
      </c>
      <c r="M112" s="271" t="s">
        <v>125</v>
      </c>
      <c r="N112" s="271" t="s">
        <v>126</v>
      </c>
      <c r="O112" s="281" t="s">
        <v>127</v>
      </c>
      <c r="P112" s="279"/>
      <c r="Q112" s="271" t="s">
        <v>124</v>
      </c>
      <c r="R112" s="271" t="s">
        <v>125</v>
      </c>
      <c r="S112" s="271" t="s">
        <v>126</v>
      </c>
      <c r="T112" s="281" t="s">
        <v>127</v>
      </c>
      <c r="U112" s="279"/>
      <c r="V112" s="271" t="s">
        <v>124</v>
      </c>
      <c r="W112" s="271" t="s">
        <v>125</v>
      </c>
      <c r="X112" s="271" t="s">
        <v>126</v>
      </c>
      <c r="Y112" s="281" t="s">
        <v>127</v>
      </c>
      <c r="Z112" s="279"/>
      <c r="AA112" s="271" t="s">
        <v>124</v>
      </c>
      <c r="AB112" s="271" t="s">
        <v>125</v>
      </c>
      <c r="AC112" s="271" t="s">
        <v>126</v>
      </c>
      <c r="AD112" s="281" t="s">
        <v>127</v>
      </c>
      <c r="AE112" s="273"/>
      <c r="AF112" s="266"/>
      <c r="AG112" s="266"/>
      <c r="AH112" s="266"/>
      <c r="AI112"/>
    </row>
    <row r="113" spans="3:35">
      <c r="E113" s="265"/>
      <c r="F113" s="277" t="s">
        <v>120</v>
      </c>
      <c r="G113" s="269">
        <v>1</v>
      </c>
      <c r="H113" s="269">
        <v>0.51154313141790042</v>
      </c>
      <c r="I113" s="269">
        <v>0.51154313141790042</v>
      </c>
      <c r="J113" s="282">
        <v>355.08586292636636</v>
      </c>
      <c r="K113" s="277" t="s">
        <v>120</v>
      </c>
      <c r="L113" s="269">
        <v>1</v>
      </c>
      <c r="M113" s="269">
        <v>0.46167132820922513</v>
      </c>
      <c r="N113" s="269">
        <v>0.46167132820922513</v>
      </c>
      <c r="O113" s="282">
        <v>360.0513065688433</v>
      </c>
      <c r="P113" s="277" t="s">
        <v>120</v>
      </c>
      <c r="Q113" s="269">
        <v>1</v>
      </c>
      <c r="R113" s="269">
        <v>0.88463374312598519</v>
      </c>
      <c r="S113" s="269">
        <v>0.88463374312598519</v>
      </c>
      <c r="T113" s="282">
        <v>428.15501393391395</v>
      </c>
      <c r="U113" s="277" t="s">
        <v>120</v>
      </c>
      <c r="V113" s="269">
        <v>1</v>
      </c>
      <c r="W113" s="269">
        <v>0.66127233537554109</v>
      </c>
      <c r="X113" s="269">
        <v>0.66127233537554109</v>
      </c>
      <c r="Y113" s="282">
        <v>172.02533636883439</v>
      </c>
      <c r="Z113" s="277" t="s">
        <v>120</v>
      </c>
      <c r="AA113" s="269">
        <v>1</v>
      </c>
      <c r="AB113" s="269">
        <v>0.99734900950123151</v>
      </c>
      <c r="AC113" s="269">
        <v>0.99734900950123151</v>
      </c>
      <c r="AD113" s="282">
        <v>482.27202707071012</v>
      </c>
      <c r="AE113" s="269"/>
      <c r="AF113" s="266"/>
      <c r="AG113" s="266"/>
      <c r="AH113" s="266"/>
      <c r="AI113"/>
    </row>
    <row r="114" spans="3:35">
      <c r="E114" s="265"/>
      <c r="F114" s="277" t="s">
        <v>121</v>
      </c>
      <c r="G114" s="269">
        <v>57</v>
      </c>
      <c r="H114" s="269">
        <v>8.2115233342496569E-2</v>
      </c>
      <c r="I114" s="269">
        <v>1.4406181288157292E-3</v>
      </c>
      <c r="J114" s="282"/>
      <c r="K114" s="277" t="s">
        <v>121</v>
      </c>
      <c r="L114" s="269">
        <v>57</v>
      </c>
      <c r="M114" s="269">
        <v>7.3087543991162393E-2</v>
      </c>
      <c r="N114" s="269">
        <v>1.2822376138800419E-3</v>
      </c>
      <c r="O114" s="282"/>
      <c r="P114" s="277" t="s">
        <v>121</v>
      </c>
      <c r="Q114" s="269">
        <v>57</v>
      </c>
      <c r="R114" s="269">
        <v>0.11777071788762038</v>
      </c>
      <c r="S114" s="269">
        <v>2.0661529453968488E-3</v>
      </c>
      <c r="T114" s="282"/>
      <c r="U114" s="277" t="s">
        <v>121</v>
      </c>
      <c r="V114" s="269">
        <v>57</v>
      </c>
      <c r="W114" s="269">
        <v>0.21911030033151876</v>
      </c>
      <c r="X114" s="269">
        <v>3.8440403566933116E-3</v>
      </c>
      <c r="Y114" s="282"/>
      <c r="Z114" s="277" t="s">
        <v>121</v>
      </c>
      <c r="AA114" s="269">
        <v>57</v>
      </c>
      <c r="AB114" s="269">
        <v>0.11787723598000653</v>
      </c>
      <c r="AC114" s="269">
        <v>2.0680216838597637E-3</v>
      </c>
      <c r="AD114" s="282"/>
      <c r="AE114" s="269"/>
      <c r="AF114" s="266"/>
      <c r="AG114" s="266"/>
      <c r="AH114" s="266"/>
      <c r="AI114" s="167"/>
    </row>
    <row r="115" spans="3:35" ht="16.2" thickBot="1">
      <c r="E115" s="265"/>
      <c r="F115" s="278" t="s">
        <v>122</v>
      </c>
      <c r="G115" s="270">
        <v>58</v>
      </c>
      <c r="H115" s="270">
        <v>0.59365836476039702</v>
      </c>
      <c r="I115" s="270"/>
      <c r="J115" s="283"/>
      <c r="K115" s="278" t="s">
        <v>122</v>
      </c>
      <c r="L115" s="270">
        <v>58</v>
      </c>
      <c r="M115" s="270">
        <v>0.53475887220038754</v>
      </c>
      <c r="N115" s="270"/>
      <c r="O115" s="283"/>
      <c r="P115" s="278" t="s">
        <v>122</v>
      </c>
      <c r="Q115" s="270">
        <v>58</v>
      </c>
      <c r="R115" s="270">
        <v>1.0024044610136056</v>
      </c>
      <c r="S115" s="270"/>
      <c r="T115" s="283"/>
      <c r="U115" s="278" t="s">
        <v>122</v>
      </c>
      <c r="V115" s="270">
        <v>58</v>
      </c>
      <c r="W115" s="270">
        <v>0.88038263570705988</v>
      </c>
      <c r="X115" s="270"/>
      <c r="Y115" s="283"/>
      <c r="Z115" s="278" t="s">
        <v>122</v>
      </c>
      <c r="AA115" s="270">
        <v>58</v>
      </c>
      <c r="AB115" s="270">
        <v>1.1152262454812381</v>
      </c>
      <c r="AC115" s="270"/>
      <c r="AD115" s="283"/>
      <c r="AE115" s="269"/>
      <c r="AF115" s="266"/>
      <c r="AG115" s="266"/>
      <c r="AH115" s="266"/>
      <c r="AI115"/>
    </row>
    <row r="116" spans="3:35" ht="16.2" thickBot="1">
      <c r="E116" s="265"/>
      <c r="F116" s="274"/>
      <c r="G116" s="266"/>
      <c r="H116" s="266"/>
      <c r="I116" s="266"/>
      <c r="J116" s="166"/>
      <c r="K116" s="274"/>
      <c r="L116" s="266"/>
      <c r="M116" s="266"/>
      <c r="N116" s="266"/>
      <c r="O116" s="166"/>
      <c r="P116" s="274"/>
      <c r="Q116" s="266"/>
      <c r="R116" s="266"/>
      <c r="S116" s="266"/>
      <c r="T116" s="166"/>
      <c r="U116" s="274"/>
      <c r="V116" s="266"/>
      <c r="W116" s="266"/>
      <c r="X116" s="266"/>
      <c r="Y116" s="166"/>
      <c r="Z116" s="274"/>
      <c r="AA116" s="266"/>
      <c r="AB116" s="266"/>
      <c r="AC116" s="266"/>
      <c r="AD116" s="166"/>
      <c r="AE116" s="266"/>
      <c r="AF116" s="266"/>
      <c r="AG116" s="266"/>
      <c r="AH116" s="266"/>
      <c r="AI116"/>
    </row>
    <row r="117" spans="3:35">
      <c r="F117" s="279"/>
      <c r="G117" s="271" t="s">
        <v>128</v>
      </c>
      <c r="H117" s="271" t="s">
        <v>117</v>
      </c>
      <c r="I117" s="271" t="s">
        <v>129</v>
      </c>
      <c r="J117" s="281" t="s">
        <v>130</v>
      </c>
      <c r="K117" s="279"/>
      <c r="L117" s="271" t="s">
        <v>128</v>
      </c>
      <c r="M117" s="271" t="s">
        <v>117</v>
      </c>
      <c r="N117" s="271" t="s">
        <v>129</v>
      </c>
      <c r="O117" s="281" t="s">
        <v>130</v>
      </c>
      <c r="P117" s="279"/>
      <c r="Q117" s="271" t="s">
        <v>128</v>
      </c>
      <c r="R117" s="271" t="s">
        <v>117</v>
      </c>
      <c r="S117" s="271" t="s">
        <v>129</v>
      </c>
      <c r="T117" s="281" t="s">
        <v>130</v>
      </c>
      <c r="U117" s="279"/>
      <c r="V117" s="271" t="s">
        <v>128</v>
      </c>
      <c r="W117" s="271" t="s">
        <v>117</v>
      </c>
      <c r="X117" s="271" t="s">
        <v>129</v>
      </c>
      <c r="Y117" s="281" t="s">
        <v>130</v>
      </c>
      <c r="Z117" s="279"/>
      <c r="AA117" s="271" t="s">
        <v>128</v>
      </c>
      <c r="AB117" s="271" t="s">
        <v>117</v>
      </c>
      <c r="AC117" s="271" t="s">
        <v>129</v>
      </c>
      <c r="AD117" s="281" t="s">
        <v>130</v>
      </c>
      <c r="AE117" s="273"/>
      <c r="AF117" s="273"/>
      <c r="AG117" s="273"/>
      <c r="AH117" s="273"/>
      <c r="AI117"/>
    </row>
    <row r="118" spans="3:35">
      <c r="C118" s="85"/>
      <c r="D118" s="85"/>
      <c r="E118" s="85"/>
      <c r="F118" s="277" t="s">
        <v>123</v>
      </c>
      <c r="G118" s="269">
        <v>1.2871411352346589E-3</v>
      </c>
      <c r="H118" s="269">
        <v>4.9706048979513903E-3</v>
      </c>
      <c r="I118" s="269">
        <v>0.25895060292664734</v>
      </c>
      <c r="J118" s="282">
        <v>0.79660623419514853</v>
      </c>
      <c r="K118" s="277" t="s">
        <v>123</v>
      </c>
      <c r="L118" s="269">
        <v>-1.005873915915929E-3</v>
      </c>
      <c r="M118" s="269">
        <v>4.6894192501510581E-3</v>
      </c>
      <c r="N118" s="269">
        <v>-0.21449861107716639</v>
      </c>
      <c r="O118" s="282">
        <v>0.8309237912023959</v>
      </c>
      <c r="P118" s="277" t="s">
        <v>123</v>
      </c>
      <c r="Q118" s="269">
        <v>5.8717171184773619E-3</v>
      </c>
      <c r="R118" s="269">
        <v>5.9527280042098773E-3</v>
      </c>
      <c r="S118" s="269">
        <v>0.98639096466775855</v>
      </c>
      <c r="T118" s="282">
        <v>0.32810998964848148</v>
      </c>
      <c r="U118" s="277" t="s">
        <v>123</v>
      </c>
      <c r="V118" s="269">
        <v>4.5422344595098911E-3</v>
      </c>
      <c r="W118" s="269">
        <v>8.1194904406107927E-3</v>
      </c>
      <c r="X118" s="269">
        <v>0.5594235860899911</v>
      </c>
      <c r="Y118" s="282">
        <v>0.57806432996360257</v>
      </c>
      <c r="Z118" s="277" t="s">
        <v>123</v>
      </c>
      <c r="AA118" s="269">
        <v>2.7459689960585704E-5</v>
      </c>
      <c r="AB118" s="269">
        <v>5.9554193774786135E-3</v>
      </c>
      <c r="AC118" s="269">
        <v>4.6108742676341128E-3</v>
      </c>
      <c r="AD118" s="282">
        <v>0.99633716738439415</v>
      </c>
      <c r="AE118" s="269"/>
      <c r="AF118" s="269"/>
      <c r="AG118" s="269"/>
      <c r="AH118" s="269"/>
      <c r="AI118"/>
    </row>
    <row r="119" spans="3:35" ht="16.2" thickBot="1">
      <c r="C119" s="85"/>
      <c r="D119" s="85"/>
      <c r="E119" s="85"/>
      <c r="F119" s="278" t="s">
        <v>131</v>
      </c>
      <c r="G119" s="270">
        <v>0.8260637676671917</v>
      </c>
      <c r="H119" s="270">
        <v>4.3837611427450525E-2</v>
      </c>
      <c r="I119" s="270">
        <v>18.843722109136667</v>
      </c>
      <c r="J119" s="283">
        <v>3.7028370544832687E-26</v>
      </c>
      <c r="K119" s="278" t="s">
        <v>131</v>
      </c>
      <c r="L119" s="270">
        <v>0.78476368327202362</v>
      </c>
      <c r="M119" s="270">
        <v>4.1357730724736211E-2</v>
      </c>
      <c r="N119" s="270">
        <v>18.975017959644813</v>
      </c>
      <c r="O119" s="283">
        <v>2.6295753242207261E-26</v>
      </c>
      <c r="P119" s="278" t="s">
        <v>131</v>
      </c>
      <c r="Q119" s="270">
        <v>1.0863110454856963</v>
      </c>
      <c r="R119" s="270">
        <v>5.2499320010207677E-2</v>
      </c>
      <c r="S119" s="270">
        <v>20.691906967070814</v>
      </c>
      <c r="T119" s="283">
        <v>3.4922186601441299E-28</v>
      </c>
      <c r="U119" s="278" t="s">
        <v>131</v>
      </c>
      <c r="V119" s="270">
        <v>0.93920981419311322</v>
      </c>
      <c r="W119" s="270">
        <v>7.1608802999227214E-2</v>
      </c>
      <c r="X119" s="270">
        <v>13.115842953040968</v>
      </c>
      <c r="Y119" s="283">
        <v>7.3720681493638762E-19</v>
      </c>
      <c r="Z119" s="278" t="s">
        <v>131</v>
      </c>
      <c r="AA119" s="270">
        <v>1.153442701389755</v>
      </c>
      <c r="AB119" s="270">
        <v>5.2523056231046653E-2</v>
      </c>
      <c r="AC119" s="270">
        <v>21.960692773014017</v>
      </c>
      <c r="AD119" s="283">
        <v>1.7037207972755842E-29</v>
      </c>
      <c r="AE119" s="269"/>
      <c r="AF119" s="269"/>
      <c r="AG119" s="269"/>
      <c r="AH119" s="269"/>
      <c r="AI119"/>
    </row>
    <row r="120" spans="3:35">
      <c r="C120" s="85"/>
      <c r="D120" s="85"/>
      <c r="E120" s="85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</row>
    <row r="121" spans="3:35"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</row>
    <row r="122" spans="3:35"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</row>
  </sheetData>
  <mergeCells count="9">
    <mergeCell ref="F21:F24"/>
    <mergeCell ref="Z36:AD36"/>
    <mergeCell ref="AG36:AI36"/>
    <mergeCell ref="C36:E36"/>
    <mergeCell ref="F36:J36"/>
    <mergeCell ref="K36:O36"/>
    <mergeCell ref="P36:T36"/>
    <mergeCell ref="U36:Y36"/>
    <mergeCell ref="AE36:AF36"/>
  </mergeCells>
  <pageMargins left="0.25" right="0.25" top="0.75" bottom="0.75" header="0.3" footer="0.3"/>
  <pageSetup scale="4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8"/>
  <sheetViews>
    <sheetView showGridLines="0" zoomScale="79" workbookViewId="0">
      <selection activeCell="L22" sqref="L22"/>
    </sheetView>
  </sheetViews>
  <sheetFormatPr defaultColWidth="10.81640625" defaultRowHeight="15.6"/>
  <cols>
    <col min="1" max="1" width="1.81640625" style="4" customWidth="1"/>
    <col min="2" max="2" width="30.81640625" style="4" customWidth="1"/>
    <col min="3" max="4" width="19.453125" style="4" customWidth="1"/>
    <col min="5" max="5" width="13.6328125" style="4" customWidth="1"/>
    <col min="6" max="16384" width="10.81640625" style="4"/>
  </cols>
  <sheetData>
    <row r="2" spans="2:6" ht="17.399999999999999">
      <c r="B2" s="235" t="s">
        <v>204</v>
      </c>
    </row>
    <row r="4" spans="2:6">
      <c r="B4" s="5" t="s">
        <v>205</v>
      </c>
      <c r="C4" s="6"/>
    </row>
    <row r="5" spans="2:6">
      <c r="B5" s="4" t="s">
        <v>158</v>
      </c>
      <c r="C5" s="4">
        <v>8.43</v>
      </c>
      <c r="F5" s="236"/>
    </row>
    <row r="6" spans="2:6">
      <c r="B6" s="4" t="s">
        <v>159</v>
      </c>
      <c r="C6" s="237">
        <v>3.2599999999999997E-2</v>
      </c>
      <c r="E6" s="236"/>
    </row>
    <row r="7" spans="2:6">
      <c r="B7" s="4" t="s">
        <v>160</v>
      </c>
      <c r="C7" s="237">
        <v>4.9200000000000001E-2</v>
      </c>
    </row>
    <row r="8" spans="2:6">
      <c r="B8" s="6" t="s">
        <v>161</v>
      </c>
      <c r="C8" s="30" t="s">
        <v>162</v>
      </c>
      <c r="F8" s="236"/>
    </row>
    <row r="9" spans="2:6">
      <c r="B9" s="5" t="s">
        <v>163</v>
      </c>
      <c r="C9" s="5">
        <v>0.59</v>
      </c>
    </row>
    <row r="10" spans="2:6">
      <c r="B10" s="28" t="s">
        <v>164</v>
      </c>
      <c r="C10" s="238">
        <f>PV(C7/2,C5*2,-C6/2*100,-100)</f>
        <v>88.65751165251578</v>
      </c>
      <c r="D10" s="4" t="str">
        <f ca="1">_xlfn.FORMULATEXT(C10)</f>
        <v>=PV(C7/2,C5*2,-C6/2*100,-100)</v>
      </c>
    </row>
    <row r="11" spans="2:6">
      <c r="B11" s="28" t="s">
        <v>165</v>
      </c>
      <c r="C11" s="239">
        <f>MDURATION(DATE(2000,1,1),DATE(2007,1,1),C6,C7,2)</f>
        <v>6.1197462366268915</v>
      </c>
      <c r="D11" s="4" t="str">
        <f ca="1">_xlfn.FORMULATEXT(C11)</f>
        <v>=MDURATION(DATE(2000,1,1),DATE(2007,1,1),C6,C7,2)</v>
      </c>
    </row>
    <row r="13" spans="2:6">
      <c r="B13" s="5" t="s">
        <v>166</v>
      </c>
      <c r="C13" s="240" t="s">
        <v>170</v>
      </c>
    </row>
    <row r="14" spans="2:6">
      <c r="B14" s="244" t="s">
        <v>167</v>
      </c>
      <c r="C14" s="245">
        <f>-C11*1%</f>
        <v>-6.1197462366268919E-2</v>
      </c>
      <c r="D14" s="4" t="str">
        <f ca="1">_xlfn.FORMULATEXT(C14)</f>
        <v>=-C11*1%</v>
      </c>
    </row>
    <row r="15" spans="2:6">
      <c r="B15" s="241" t="s">
        <v>168</v>
      </c>
      <c r="C15" s="259">
        <f>C10*(1+C14)</f>
        <v>83.2318969196739</v>
      </c>
      <c r="D15" s="4" t="str">
        <f t="shared" ref="D15:D17" ca="1" si="0">_xlfn.FORMULATEXT(C15)</f>
        <v>=C10*(1+C14)</v>
      </c>
    </row>
    <row r="16" spans="2:6">
      <c r="B16" s="242" t="s">
        <v>169</v>
      </c>
      <c r="C16" s="243">
        <f>C14+1/2*C9*-1%^2</f>
        <v>-6.1167962366268917E-2</v>
      </c>
      <c r="D16" s="4" t="str">
        <f t="shared" ca="1" si="0"/>
        <v>=C14+1/2*C9*-1%^2</v>
      </c>
    </row>
    <row r="17" spans="2:4">
      <c r="B17" s="242" t="s">
        <v>168</v>
      </c>
      <c r="C17" s="260">
        <f>C10*(1+C16)</f>
        <v>83.234512316267654</v>
      </c>
      <c r="D17" s="4" t="str">
        <f t="shared" ca="1" si="0"/>
        <v>=C10*(1+C16)</v>
      </c>
    </row>
    <row r="18" spans="2:4">
      <c r="B18" s="244"/>
    </row>
  </sheetData>
  <pageMargins left="0.25" right="0.25" top="0.75" bottom="0.75" header="0.3" footer="0.3"/>
  <pageSetup orientation="landscape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Capital Allocation</vt:lpstr>
      <vt:lpstr>Asset Classes Allocation</vt:lpstr>
      <vt:lpstr>Security Allocation</vt:lpstr>
      <vt:lpstr>Data. Securities</vt:lpstr>
      <vt:lpstr>Data. Bond Duration &amp; Convexity</vt:lpstr>
      <vt:lpstr>'Asset Classes Allocation'!Print_Area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Ahn</dc:creator>
  <cp:lastModifiedBy>hp</cp:lastModifiedBy>
  <dcterms:created xsi:type="dcterms:W3CDTF">2024-03-23T17:37:03Z</dcterms:created>
  <dcterms:modified xsi:type="dcterms:W3CDTF">2024-04-07T18:56:31Z</dcterms:modified>
</cp:coreProperties>
</file>