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autoCompressPictures="0"/>
  <bookViews>
    <workbookView xWindow="0" yWindow="0" windowWidth="24000" windowHeight="10425" tabRatio="788" firstSheet="5" activeTab="5"/>
  </bookViews>
  <sheets>
    <sheet name="Projetos" sheetId="29" r:id="rId1"/>
    <sheet name="Dique" sheetId="30" r:id="rId2"/>
    <sheet name="Orçamento - Dique" sheetId="31" r:id="rId3"/>
    <sheet name="Full Year Calendar" sheetId="34" r:id="rId4"/>
    <sheet name="Weekly lesson planner 1" sheetId="33" r:id="rId5"/>
    <sheet name="Semanas" sheetId="36" r:id="rId6"/>
    <sheet name="Mecanismos de Incentivo" sheetId="28" r:id="rId7"/>
    <sheet name="January" sheetId="14" r:id="rId8"/>
    <sheet name="February" sheetId="15" r:id="rId9"/>
    <sheet name="June" sheetId="19" r:id="rId10"/>
    <sheet name="March" sheetId="16" r:id="rId11"/>
    <sheet name="April" sheetId="17" r:id="rId12"/>
    <sheet name="May" sheetId="18" r:id="rId13"/>
    <sheet name="July" sheetId="20" r:id="rId14"/>
    <sheet name="August" sheetId="21" r:id="rId15"/>
    <sheet name="September" sheetId="22" r:id="rId16"/>
    <sheet name="October" sheetId="23" r:id="rId17"/>
    <sheet name="November" sheetId="24" r:id="rId18"/>
    <sheet name="December" sheetId="25" r:id="rId19"/>
  </sheets>
  <definedNames>
    <definedName name="Apr">'Full Year Calendar'!DaysAndWeeks+DATE('Full Year Calendar'!CalendarYear,4,1)-WEEKDAY(DATE('Full Year Calendar'!CalendarYear,4,1),WeekdayOption)+1</definedName>
    <definedName name="_xlnm.Print_Area" localSheetId="11">April!$A:$I</definedName>
    <definedName name="_xlnm.Print_Area" localSheetId="14">August!$A:$I</definedName>
    <definedName name="_xlnm.Print_Area" localSheetId="18">December!$A:$I</definedName>
    <definedName name="_xlnm.Print_Area" localSheetId="8">February!$A:$I</definedName>
    <definedName name="_xlnm.Print_Area" localSheetId="3">'Full Year Calendar'!$B$2:$AC$26</definedName>
    <definedName name="_xlnm.Print_Area" localSheetId="7">January!$A:$I</definedName>
    <definedName name="_xlnm.Print_Area" localSheetId="13">July!$A:$I</definedName>
    <definedName name="_xlnm.Print_Area" localSheetId="9">June!$A:$I</definedName>
    <definedName name="_xlnm.Print_Area" localSheetId="10">March!$A:$I</definedName>
    <definedName name="_xlnm.Print_Area" localSheetId="12">May!$A:$I</definedName>
    <definedName name="_xlnm.Print_Area" localSheetId="17">November!$A:$I</definedName>
    <definedName name="_xlnm.Print_Area" localSheetId="16">October!$A:$I</definedName>
    <definedName name="_xlnm.Print_Area" localSheetId="15">September!$A:$I</definedName>
    <definedName name="_xlnm.Print_Area" localSheetId="4">'Weekly lesson planner 1'!$A$1:$J$30</definedName>
    <definedName name="Aug">'Full Year Calendar'!DaysAndWeeks+DATE('Full Year Calendar'!CalendarYear,8,1)-WEEKDAY(DATE('Full Year Calendar'!CalendarYear,8,1),WeekdayOption)+1</definedName>
    <definedName name="Calendar">'Full Year Calendar'!DaysAndWeeks + DateOfFirst - WEEKDAY(DateOfFirst,2)</definedName>
    <definedName name="CalendarYear" localSheetId="3">'Full Year Calendar'!$B$2</definedName>
    <definedName name="CalendarYear" localSheetId="6">#REF!</definedName>
    <definedName name="CalendarYear" localSheetId="0">#REF!</definedName>
    <definedName name="CalendarYear">January!$K$5</definedName>
    <definedName name="ColumnTitleRegion1..H10.1">'Full Year Calendar'!$B$4</definedName>
    <definedName name="ColumnTitleRegion1..H12.1">January!$B$3</definedName>
    <definedName name="ColumnTitleRegion1..H12.10">October!$B$3</definedName>
    <definedName name="ColumnTitleRegion1..H12.11">November!$B$3</definedName>
    <definedName name="ColumnTitleRegion1..H12.12">December!$B$3</definedName>
    <definedName name="ColumnTitleRegion1..H12.2">February!$B$3</definedName>
    <definedName name="ColumnTitleRegion1..H12.3">March!$B$3</definedName>
    <definedName name="ColumnTitleRegion1..H12.4">April!$B$3</definedName>
    <definedName name="ColumnTitleRegion1..H12.5">May!$B$3</definedName>
    <definedName name="ColumnTitleRegion1..H12.6">June!$B$3</definedName>
    <definedName name="ColumnTitleRegion1..H12.7">July!$B$3</definedName>
    <definedName name="ColumnTitleRegion1..H12.8">August!$B$3</definedName>
    <definedName name="ColumnTitleRegion1..H12.9">September!$B$3</definedName>
    <definedName name="ColumnTitleRegion10..O26.1">'Full Year Calendar'!$I$20</definedName>
    <definedName name="ColumnTitleRegion11..V26.1">'Full Year Calendar'!$P$20</definedName>
    <definedName name="ColumnTitleRegion12..AC26.1">'Full Year Calendar'!$W$20</definedName>
    <definedName name="ColumnTitleRegion2..C14.1">January!$B$3</definedName>
    <definedName name="ColumnTitleRegion2..C14.10">October!$B$3</definedName>
    <definedName name="ColumnTitleRegion2..C14.11">November!$B$3</definedName>
    <definedName name="ColumnTitleRegion2..C14.12">December!$B$3</definedName>
    <definedName name="ColumnTitleRegion2..C14.2">February!$B$3</definedName>
    <definedName name="ColumnTitleRegion2..C14.3">March!$B$3</definedName>
    <definedName name="ColumnTitleRegion2..C14.4">April!$B$3</definedName>
    <definedName name="ColumnTitleRegion2..C14.5">May!$B$3</definedName>
    <definedName name="ColumnTitleRegion2..C14.6">June!$B$3</definedName>
    <definedName name="ColumnTitleRegion2..C14.7">July!$B$3</definedName>
    <definedName name="ColumnTitleRegion2..C14.8">August!$B$3</definedName>
    <definedName name="ColumnTitleRegion2..C14.9">September!$B$3</definedName>
    <definedName name="ColumnTitleRegion2..O10.1">'Full Year Calendar'!$I$4</definedName>
    <definedName name="ColumnTitleRegion3..V10.1">'Full Year Calendar'!$P$4</definedName>
    <definedName name="ColumnTitleRegion4..AC10.1">'Full Year Calendar'!$W$4</definedName>
    <definedName name="ColumnTitleRegion5..H18.1">'Full Year Calendar'!$B$12</definedName>
    <definedName name="ColumnTitleRegion6..O18.1">'Full Year Calendar'!$I$12</definedName>
    <definedName name="ColumnTitleRegion7..V18.1">'Full Year Calendar'!$P$12</definedName>
    <definedName name="ColumnTitleRegion8..AC18.1">'Full Year Calendar'!$W$12</definedName>
    <definedName name="ColumnTitleRegion9..H26.1">'Full Year Calendar'!$B$20</definedName>
    <definedName name="DayHeaders">LEFT(TEXT('Full Year Calendar'!$B$7:$H$7,"ddd"),2)</definedName>
    <definedName name="DaysAndWeeks" localSheetId="3">{0,1,2,3,4,5,6} + {0;1;2;3;4;5}*7</definedName>
    <definedName name="DaysAndWeeks" localSheetId="6">{0,1,2,3,4,5,6} + {0;1;2;3;4;5}*7</definedName>
    <definedName name="DaysAndWeeks" localSheetId="0">{0,1,2,3,4,5,6} + {0;1;2;3;4;5}*7</definedName>
    <definedName name="DaysAndWeeks">{0,1,2,3,4,5,6} + {0;1;2;3;4;5}*7</definedName>
    <definedName name="Dec">'Full Year Calendar'!DaysAndWeeks+DATE('Full Year Calendar'!CalendarYear,12,1)-WEEKDAY(DATE('Full Year Calendar'!CalendarYear,12,1),WeekdayOption)+1</definedName>
    <definedName name="Feb">'Full Year Calendar'!DaysAndWeeks+DATE('Full Year Calendar'!CalendarYear,2,1)-WEEKDAY(DATE('Full Year Calendar'!CalendarYear,2,1),WeekdayOption)+1</definedName>
    <definedName name="Jan">'Full Year Calendar'!DaysAndWeeks+DATE('Full Year Calendar'!CalendarYear,1,1)-WEEKDAY(DATE('Full Year Calendar'!CalendarYear,1,1),WeekdayOption)+1</definedName>
    <definedName name="Jul">'Full Year Calendar'!DaysAndWeeks+DATE('Full Year Calendar'!CalendarYear,7,1)-WEEKDAY(DATE('Full Year Calendar'!CalendarYear,7,1),WeekdayOption)+1</definedName>
    <definedName name="Jun">'Full Year Calendar'!DaysAndWeeks+DATE('Full Year Calendar'!CalendarYear,6,1)-WEEKDAY(DATE('Full Year Calendar'!CalendarYear,6,1),WeekdayOption)+1</definedName>
    <definedName name="Mar">'Full Year Calendar'!DaysAndWeeks+DATE('Full Year Calendar'!CalendarYear,3,1)-WEEKDAY(DATE('Full Year Calendar'!CalendarYear,3,1),WeekdayOption)+1</definedName>
    <definedName name="May">'Full Year Calendar'!DaysAndWeeks+DATE('Full Year Calendar'!CalendarYear,5,1)-WEEKDAY(DATE('Full Year Calendar'!CalendarYear,5,1),WeekdayOption)+1</definedName>
    <definedName name="MonthHeaders">UPPER(TEXT('Full Year Calendar'!D5,"mmmm"))</definedName>
    <definedName name="Nov">'Full Year Calendar'!DaysAndWeeks+DATE('Full Year Calendar'!CalendarYear,11,1)-WEEKDAY(DATE('Full Year Calendar'!CalendarYear,11,1),WeekdayOption)+1</definedName>
    <definedName name="Oct">'Full Year Calendar'!DaysAndWeeks+DATE('Full Year Calendar'!CalendarYear,10,1)-WEEKDAY(DATE('Full Year Calendar'!CalendarYear,10,1),WeekdayOption)+1</definedName>
    <definedName name="RowTitleRegion1..K1">'Full Year Calendar'!$B$1</definedName>
    <definedName name="RowTitleRegion1..K3">January!$K$4</definedName>
    <definedName name="Sep">'Full Year Calendar'!DaysAndWeeks+DATE('Full Year Calendar'!CalendarYear,9,1)-WEEKDAY(DATE('Full Year Calendar'!CalendarYear,9,1),WeekdayOption)+1</definedName>
    <definedName name="WeekdayOption">MATCH('Full Year Calendar'!WeekStart,Weekdays,0)+10</definedName>
    <definedName name="Weekdays">{"Monday","Tuesday","Wednesday","Thursday","Friday","Saturday","Sunday"}</definedName>
    <definedName name="WeekStart" localSheetId="3">'Full Year Calendar'!$K$1</definedName>
    <definedName name="WeekStart" localSheetId="6">#REF!</definedName>
    <definedName name="WeekStart" localSheetId="0">#REF!</definedName>
    <definedName name="WeekStart" localSheetId="4">'Weekly lesson planner 1'!$C$5</definedName>
    <definedName name="WeekStart">January!$L$5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" i="36" l="1"/>
  <c r="R55" i="36"/>
  <c r="Q55" i="36"/>
  <c r="P55" i="36"/>
  <c r="O55" i="36"/>
  <c r="N55" i="36"/>
  <c r="M55" i="36"/>
  <c r="M3" i="36"/>
  <c r="N2" i="36"/>
  <c r="N3" i="36"/>
  <c r="O2" i="36"/>
  <c r="M4" i="36"/>
  <c r="M5" i="36"/>
  <c r="O3" i="36"/>
  <c r="P2" i="36"/>
  <c r="N4" i="36"/>
  <c r="P3" i="36"/>
  <c r="Q2" i="36"/>
  <c r="O4" i="36"/>
  <c r="N5" i="36"/>
  <c r="M6" i="36"/>
  <c r="M7" i="36"/>
  <c r="O5" i="36"/>
  <c r="R2" i="36"/>
  <c r="Q3" i="36"/>
  <c r="N6" i="36"/>
  <c r="P4" i="36"/>
  <c r="N7" i="36"/>
  <c r="P5" i="36"/>
  <c r="O6" i="36"/>
  <c r="Q4" i="36"/>
  <c r="M8" i="36"/>
  <c r="R3" i="36"/>
  <c r="Q5" i="36"/>
  <c r="P6" i="36"/>
  <c r="R4" i="36"/>
  <c r="M9" i="36"/>
  <c r="O7" i="36"/>
  <c r="N8" i="36"/>
  <c r="R5" i="36"/>
  <c r="N9" i="36"/>
  <c r="M10" i="36"/>
  <c r="P7" i="36"/>
  <c r="O8" i="36"/>
  <c r="Q6" i="36"/>
  <c r="Q7" i="36"/>
  <c r="P8" i="36"/>
  <c r="N10" i="36"/>
  <c r="O9" i="36"/>
  <c r="M11" i="36"/>
  <c r="R6" i="36"/>
  <c r="R7" i="36"/>
  <c r="O10" i="36"/>
  <c r="P9" i="36"/>
  <c r="M12" i="36"/>
  <c r="N11" i="36"/>
  <c r="Q8" i="36"/>
  <c r="Q9" i="36"/>
  <c r="M13" i="36"/>
  <c r="O11" i="36"/>
  <c r="N12" i="36"/>
  <c r="P10" i="36"/>
  <c r="R8" i="36"/>
  <c r="N13" i="36"/>
  <c r="M14" i="36"/>
  <c r="R9" i="36"/>
  <c r="P11" i="36"/>
  <c r="O12" i="36"/>
  <c r="Q10" i="36"/>
  <c r="P12" i="36"/>
  <c r="M15" i="36"/>
  <c r="Q11" i="36"/>
  <c r="O13" i="36"/>
  <c r="R10" i="36"/>
  <c r="N14" i="36"/>
  <c r="M16" i="36"/>
  <c r="O14" i="36"/>
  <c r="N15" i="36"/>
  <c r="R11" i="36"/>
  <c r="Q12" i="36"/>
  <c r="P13" i="36"/>
  <c r="P14" i="36"/>
  <c r="R12" i="36"/>
  <c r="O15" i="36"/>
  <c r="Q13" i="36"/>
  <c r="N16" i="36"/>
  <c r="M17" i="36"/>
  <c r="M18" i="36"/>
  <c r="Q14" i="36"/>
  <c r="R13" i="36"/>
  <c r="N17" i="36"/>
  <c r="O16" i="36"/>
  <c r="P15" i="36"/>
  <c r="P16" i="36"/>
  <c r="N18" i="36"/>
  <c r="Q15" i="36"/>
  <c r="O17" i="36"/>
  <c r="R14" i="36"/>
  <c r="M19" i="36"/>
  <c r="M20" i="36"/>
  <c r="O18" i="36"/>
  <c r="N19" i="36"/>
  <c r="R15" i="36"/>
  <c r="Q16" i="36"/>
  <c r="P17" i="36"/>
  <c r="P18" i="36"/>
  <c r="R16" i="36"/>
  <c r="O19" i="36"/>
  <c r="Q17" i="36"/>
  <c r="N20" i="36"/>
  <c r="M21" i="36"/>
  <c r="M22" i="36"/>
  <c r="Q18" i="36"/>
  <c r="R17" i="36"/>
  <c r="N21" i="36"/>
  <c r="O20" i="36"/>
  <c r="P19" i="36"/>
  <c r="P20" i="36"/>
  <c r="N22" i="36"/>
  <c r="Q19" i="36"/>
  <c r="O21" i="36"/>
  <c r="R18" i="36"/>
  <c r="M23" i="36"/>
  <c r="M24" i="36"/>
  <c r="O22" i="36"/>
  <c r="N23" i="36"/>
  <c r="R19" i="36"/>
  <c r="Q20" i="36"/>
  <c r="P21" i="36"/>
  <c r="P22" i="36"/>
  <c r="R20" i="36"/>
  <c r="O23" i="36"/>
  <c r="Q21" i="36"/>
  <c r="N24" i="36"/>
  <c r="M25" i="36"/>
  <c r="M26" i="36"/>
  <c r="Q22" i="36"/>
  <c r="R21" i="36"/>
  <c r="N25" i="36"/>
  <c r="O24" i="36"/>
  <c r="P23" i="36"/>
  <c r="P24" i="36"/>
  <c r="N26" i="36"/>
  <c r="Q23" i="36"/>
  <c r="O25" i="36"/>
  <c r="R22" i="36"/>
  <c r="M27" i="36"/>
  <c r="M28" i="36"/>
  <c r="O26" i="36"/>
  <c r="N27" i="36"/>
  <c r="R23" i="36"/>
  <c r="Q24" i="36"/>
  <c r="P25" i="36"/>
  <c r="P26" i="36"/>
  <c r="R24" i="36"/>
  <c r="O27" i="36"/>
  <c r="Q25" i="36"/>
  <c r="N28" i="36"/>
  <c r="M29" i="36"/>
  <c r="M30" i="36"/>
  <c r="Q26" i="36"/>
  <c r="R25" i="36"/>
  <c r="N29" i="36"/>
  <c r="O28" i="36"/>
  <c r="P27" i="36"/>
  <c r="P28" i="36"/>
  <c r="N30" i="36"/>
  <c r="Q27" i="36"/>
  <c r="O29" i="36"/>
  <c r="R26" i="36"/>
  <c r="M31" i="36"/>
  <c r="M32" i="36"/>
  <c r="O30" i="36"/>
  <c r="N31" i="36"/>
  <c r="R27" i="36"/>
  <c r="Q28" i="36"/>
  <c r="P29" i="36"/>
  <c r="P30" i="36"/>
  <c r="O31" i="36"/>
  <c r="R28" i="36"/>
  <c r="Q29" i="36"/>
  <c r="N32" i="36"/>
  <c r="M33" i="36"/>
  <c r="Q30" i="36"/>
  <c r="O32" i="36"/>
  <c r="M34" i="36"/>
  <c r="N33" i="36"/>
  <c r="R29" i="36"/>
  <c r="P31" i="36"/>
  <c r="P32" i="36"/>
  <c r="N34" i="36"/>
  <c r="O33" i="36"/>
  <c r="R30" i="36"/>
  <c r="M35" i="36"/>
  <c r="Q31" i="36"/>
  <c r="Q32" i="36"/>
  <c r="R31" i="36"/>
  <c r="N35" i="36"/>
  <c r="M36" i="36"/>
  <c r="O34" i="36"/>
  <c r="P33" i="36"/>
  <c r="P34" i="36"/>
  <c r="M37" i="36"/>
  <c r="R32" i="36"/>
  <c r="O35" i="36"/>
  <c r="N36" i="36"/>
  <c r="Q33" i="36"/>
  <c r="Q34" i="36"/>
  <c r="O36" i="36"/>
  <c r="M38" i="36"/>
  <c r="N37" i="36"/>
  <c r="R33" i="36"/>
  <c r="P35" i="36"/>
  <c r="P36" i="36"/>
  <c r="N38" i="36"/>
  <c r="O37" i="36"/>
  <c r="R34" i="36"/>
  <c r="M39" i="36"/>
  <c r="Q35" i="36"/>
  <c r="Q36" i="36"/>
  <c r="R35" i="36"/>
  <c r="N39" i="36"/>
  <c r="M40" i="36"/>
  <c r="O38" i="36"/>
  <c r="P37" i="36"/>
  <c r="M41" i="36"/>
  <c r="R36" i="36"/>
  <c r="P38" i="36"/>
  <c r="O39" i="36"/>
  <c r="N40" i="36"/>
  <c r="Q37" i="36"/>
  <c r="Q38" i="36"/>
  <c r="R37" i="36"/>
  <c r="O40" i="36"/>
  <c r="N41" i="36"/>
  <c r="P39" i="36"/>
  <c r="M42" i="36"/>
  <c r="N42" i="36"/>
  <c r="R38" i="36"/>
  <c r="M43" i="36"/>
  <c r="P40" i="36"/>
  <c r="O41" i="36"/>
  <c r="Q39" i="36"/>
  <c r="Q40" i="36"/>
  <c r="P41" i="36"/>
  <c r="R39" i="36"/>
  <c r="O42" i="36"/>
  <c r="M44" i="36"/>
  <c r="N43" i="36"/>
  <c r="N44" i="36"/>
  <c r="O43" i="36"/>
  <c r="P42" i="36"/>
  <c r="M45" i="36"/>
  <c r="R40" i="36"/>
  <c r="Q41" i="36"/>
  <c r="Q42" i="36"/>
  <c r="M46" i="36"/>
  <c r="O44" i="36"/>
  <c r="R41" i="36"/>
  <c r="P43" i="36"/>
  <c r="N45" i="36"/>
  <c r="N46" i="36"/>
  <c r="R42" i="36"/>
  <c r="M47" i="36"/>
  <c r="P44" i="36"/>
  <c r="O45" i="36"/>
  <c r="Q43" i="36"/>
  <c r="Q44" i="36"/>
  <c r="P45" i="36"/>
  <c r="R43" i="36"/>
  <c r="O46" i="36"/>
  <c r="M48" i="36"/>
  <c r="N47" i="36"/>
  <c r="N48" i="36"/>
  <c r="O47" i="36"/>
  <c r="P46" i="36"/>
  <c r="M49" i="36"/>
  <c r="R44" i="36"/>
  <c r="Q45" i="36"/>
  <c r="M50" i="36"/>
  <c r="O48" i="36"/>
  <c r="Q46" i="36"/>
  <c r="R45" i="36"/>
  <c r="P47" i="36"/>
  <c r="N49" i="36"/>
  <c r="N50" i="36"/>
  <c r="R46" i="36"/>
  <c r="O49" i="36"/>
  <c r="P48" i="36"/>
  <c r="Q47" i="36"/>
  <c r="M51" i="36"/>
  <c r="P49" i="36"/>
  <c r="R47" i="36"/>
  <c r="M52" i="36"/>
  <c r="Q48" i="36"/>
  <c r="O50" i="36"/>
  <c r="N51" i="36"/>
  <c r="N52" i="36"/>
  <c r="Q49" i="36"/>
  <c r="R48" i="36"/>
  <c r="O51" i="36"/>
  <c r="M53" i="36"/>
  <c r="P50" i="36"/>
  <c r="P51" i="36"/>
  <c r="Q50" i="36"/>
  <c r="O52" i="36"/>
  <c r="M54" i="36"/>
  <c r="R49" i="36"/>
  <c r="N53" i="36"/>
  <c r="Q51" i="36"/>
  <c r="N54" i="36"/>
  <c r="R50" i="36"/>
  <c r="O53" i="36"/>
  <c r="P52" i="36"/>
  <c r="O54" i="36"/>
  <c r="P53" i="36"/>
  <c r="R51" i="36"/>
  <c r="Q52" i="36"/>
  <c r="Q53" i="36"/>
  <c r="P54" i="36"/>
  <c r="R52" i="36"/>
  <c r="R53" i="36"/>
  <c r="Q54" i="36"/>
  <c r="R54" i="36"/>
  <c r="E4" i="36"/>
  <c r="F3" i="36"/>
  <c r="AI5" i="34"/>
  <c r="B2" i="34"/>
  <c r="A18" i="15"/>
  <c r="E5" i="15" s="1"/>
  <c r="A18" i="14"/>
  <c r="B18" i="14" s="1"/>
  <c r="C18" i="14" s="1"/>
  <c r="D18" i="14" s="1"/>
  <c r="E18" i="14" s="1"/>
  <c r="F18" i="14" s="1"/>
  <c r="G18" i="14" s="1"/>
  <c r="H18" i="14" s="1"/>
  <c r="I18" i="14" s="1"/>
  <c r="J18" i="14" s="1"/>
  <c r="K18" i="14" s="1"/>
  <c r="L18" i="14" s="1"/>
  <c r="M18" i="14" s="1"/>
  <c r="N18" i="14" s="1"/>
  <c r="O18" i="14" s="1"/>
  <c r="P18" i="14" s="1"/>
  <c r="Q18" i="14" s="1"/>
  <c r="R18" i="14" s="1"/>
  <c r="S18" i="14" s="1"/>
  <c r="T18" i="14" s="1"/>
  <c r="U18" i="14" s="1"/>
  <c r="V18" i="14" s="1"/>
  <c r="W18" i="14" s="1"/>
  <c r="X18" i="14" s="1"/>
  <c r="B6" i="14" a="1"/>
  <c r="B6" i="14" s="1"/>
  <c r="B5" i="14" l="1"/>
  <c r="F4" i="36"/>
  <c r="G3" i="36"/>
  <c r="E5" i="36"/>
  <c r="E5" i="14"/>
  <c r="D5" i="14"/>
  <c r="C5" i="14"/>
  <c r="D6" i="14"/>
  <c r="H6" i="14"/>
  <c r="E6" i="14"/>
  <c r="G6" i="14"/>
  <c r="C6" i="14"/>
  <c r="F6" i="14"/>
  <c r="P5" i="34" a="1"/>
  <c r="P6" i="34" s="1"/>
  <c r="E6" i="36" l="1"/>
  <c r="G4" i="36"/>
  <c r="H3" i="36"/>
  <c r="F5" i="36"/>
  <c r="P8" i="34"/>
  <c r="R8" i="34"/>
  <c r="Q8" i="34"/>
  <c r="R10" i="34"/>
  <c r="V5" i="34"/>
  <c r="P13" i="34" a="1"/>
  <c r="T13" i="34" s="1"/>
  <c r="Q10" i="34"/>
  <c r="P9" i="34"/>
  <c r="V7" i="34"/>
  <c r="U6" i="34"/>
  <c r="T5" i="34"/>
  <c r="P10" i="34"/>
  <c r="V8" i="34"/>
  <c r="U7" i="34"/>
  <c r="T6" i="34"/>
  <c r="S5" i="34"/>
  <c r="V9" i="34"/>
  <c r="U8" i="34"/>
  <c r="T7" i="34"/>
  <c r="S6" i="34"/>
  <c r="R5" i="34"/>
  <c r="U10" i="34"/>
  <c r="T9" i="34"/>
  <c r="S8" i="34"/>
  <c r="R7" i="34"/>
  <c r="Q6" i="34"/>
  <c r="P5" i="34"/>
  <c r="U9" i="34"/>
  <c r="S7" i="34"/>
  <c r="P3" i="34" s="1"/>
  <c r="Q5" i="34"/>
  <c r="R9" i="34"/>
  <c r="Q9" i="34"/>
  <c r="S9" i="34"/>
  <c r="Q7" i="34"/>
  <c r="P7" i="34"/>
  <c r="V6" i="34"/>
  <c r="V10" i="34"/>
  <c r="T8" i="34"/>
  <c r="R6" i="34"/>
  <c r="T10" i="34"/>
  <c r="S10" i="34"/>
  <c r="U5" i="34"/>
  <c r="B5" i="34" a="1"/>
  <c r="I21" i="34" a="1"/>
  <c r="I13" i="34" a="1"/>
  <c r="I5" i="34" a="1"/>
  <c r="W21" i="34" a="1"/>
  <c r="W13" i="34" a="1"/>
  <c r="W5" i="34" a="1"/>
  <c r="B13" i="34" a="1"/>
  <c r="B21" i="34" a="1"/>
  <c r="P21" i="34" a="1"/>
  <c r="H4" i="36" l="1"/>
  <c r="I3" i="36"/>
  <c r="G5" i="36"/>
  <c r="F6" i="36"/>
  <c r="E7" i="36"/>
  <c r="P15" i="34"/>
  <c r="Q17" i="34"/>
  <c r="S14" i="34"/>
  <c r="U16" i="34"/>
  <c r="S17" i="34"/>
  <c r="V17" i="34"/>
  <c r="S18" i="34"/>
  <c r="P18" i="34"/>
  <c r="P13" i="34"/>
  <c r="U14" i="34"/>
  <c r="U18" i="34"/>
  <c r="V15" i="34"/>
  <c r="R14" i="34"/>
  <c r="R16" i="34"/>
  <c r="S15" i="34"/>
  <c r="P11" i="34" s="1"/>
  <c r="V13" i="34"/>
  <c r="Q15" i="34"/>
  <c r="Q13" i="34"/>
  <c r="T15" i="34"/>
  <c r="T18" i="34"/>
  <c r="Q16" i="34"/>
  <c r="P16" i="34"/>
  <c r="R18" i="34"/>
  <c r="Q14" i="34"/>
  <c r="T16" i="34"/>
  <c r="S13" i="34"/>
  <c r="P17" i="34"/>
  <c r="P14" i="34"/>
  <c r="R15" i="34"/>
  <c r="U17" i="34"/>
  <c r="T14" i="34"/>
  <c r="Q18" i="34"/>
  <c r="R17" i="34"/>
  <c r="S16" i="34"/>
  <c r="V18" i="34"/>
  <c r="U15" i="34"/>
  <c r="U13" i="34"/>
  <c r="V14" i="34"/>
  <c r="T17" i="34"/>
  <c r="R13" i="34"/>
  <c r="V16" i="34"/>
  <c r="AC26" i="34"/>
  <c r="AB25" i="34"/>
  <c r="AA24" i="34"/>
  <c r="Z23" i="34"/>
  <c r="W19" i="34" s="1"/>
  <c r="Y22" i="34"/>
  <c r="X21" i="34"/>
  <c r="AB26" i="34"/>
  <c r="AA25" i="34"/>
  <c r="Z24" i="34"/>
  <c r="Y23" i="34"/>
  <c r="X22" i="34"/>
  <c r="W21" i="34"/>
  <c r="AA26" i="34"/>
  <c r="Z25" i="34"/>
  <c r="Y24" i="34"/>
  <c r="X23" i="34"/>
  <c r="W22" i="34"/>
  <c r="Z26" i="34"/>
  <c r="Y25" i="34"/>
  <c r="X24" i="34"/>
  <c r="W23" i="34"/>
  <c r="AC21" i="34"/>
  <c r="Y26" i="34"/>
  <c r="X25" i="34"/>
  <c r="W24" i="34"/>
  <c r="AC22" i="34"/>
  <c r="AB21" i="34"/>
  <c r="W25" i="34"/>
  <c r="X26" i="34"/>
  <c r="AC23" i="34"/>
  <c r="AB22" i="34"/>
  <c r="AA21" i="34"/>
  <c r="W26" i="34"/>
  <c r="AC24" i="34"/>
  <c r="AB23" i="34"/>
  <c r="AA22" i="34"/>
  <c r="Z21" i="34"/>
  <c r="AC25" i="34"/>
  <c r="AA23" i="34"/>
  <c r="Z22" i="34"/>
  <c r="AB24" i="34"/>
  <c r="Y21" i="34"/>
  <c r="M10" i="34"/>
  <c r="L9" i="34"/>
  <c r="K8" i="34"/>
  <c r="J7" i="34"/>
  <c r="I6" i="34"/>
  <c r="L10" i="34"/>
  <c r="K9" i="34"/>
  <c r="J8" i="34"/>
  <c r="I7" i="34"/>
  <c r="O5" i="34"/>
  <c r="K10" i="34"/>
  <c r="J9" i="34"/>
  <c r="I8" i="34"/>
  <c r="O6" i="34"/>
  <c r="N5" i="34"/>
  <c r="I10" i="34"/>
  <c r="O8" i="34"/>
  <c r="N7" i="34"/>
  <c r="M6" i="34"/>
  <c r="L5" i="34"/>
  <c r="I9" i="34"/>
  <c r="N6" i="34"/>
  <c r="N8" i="34"/>
  <c r="L6" i="34"/>
  <c r="O10" i="34"/>
  <c r="K6" i="34"/>
  <c r="N10" i="34"/>
  <c r="J6" i="34"/>
  <c r="M8" i="34"/>
  <c r="L8" i="34"/>
  <c r="J10" i="34"/>
  <c r="O7" i="34"/>
  <c r="M5" i="34"/>
  <c r="K5" i="34"/>
  <c r="M9" i="34"/>
  <c r="M7" i="34"/>
  <c r="L7" i="34"/>
  <c r="I3" i="34" s="1"/>
  <c r="K7" i="34"/>
  <c r="J5" i="34"/>
  <c r="O9" i="34"/>
  <c r="I5" i="34"/>
  <c r="N9" i="34"/>
  <c r="M18" i="34"/>
  <c r="L17" i="34"/>
  <c r="K16" i="34"/>
  <c r="J15" i="34"/>
  <c r="I14" i="34"/>
  <c r="L18" i="34"/>
  <c r="K17" i="34"/>
  <c r="J16" i="34"/>
  <c r="I15" i="34"/>
  <c r="O13" i="34"/>
  <c r="K18" i="34"/>
  <c r="J17" i="34"/>
  <c r="I16" i="34"/>
  <c r="O14" i="34"/>
  <c r="N13" i="34"/>
  <c r="I17" i="34"/>
  <c r="M13" i="34"/>
  <c r="J18" i="34"/>
  <c r="O15" i="34"/>
  <c r="N14" i="34"/>
  <c r="I18" i="34"/>
  <c r="O16" i="34"/>
  <c r="N15" i="34"/>
  <c r="M14" i="34"/>
  <c r="L13" i="34"/>
  <c r="N18" i="34"/>
  <c r="L15" i="34"/>
  <c r="I11" i="34" s="1"/>
  <c r="N17" i="34"/>
  <c r="L14" i="34"/>
  <c r="K14" i="34"/>
  <c r="O17" i="34"/>
  <c r="K15" i="34"/>
  <c r="M17" i="34"/>
  <c r="N16" i="34"/>
  <c r="J14" i="34"/>
  <c r="M16" i="34"/>
  <c r="K13" i="34"/>
  <c r="J13" i="34"/>
  <c r="I13" i="34"/>
  <c r="O18" i="34"/>
  <c r="L16" i="34"/>
  <c r="M15" i="34"/>
  <c r="Q26" i="34"/>
  <c r="P25" i="34"/>
  <c r="V23" i="34"/>
  <c r="U22" i="34"/>
  <c r="T21" i="34"/>
  <c r="P26" i="34"/>
  <c r="V24" i="34"/>
  <c r="U23" i="34"/>
  <c r="T22" i="34"/>
  <c r="S21" i="34"/>
  <c r="V25" i="34"/>
  <c r="U24" i="34"/>
  <c r="T23" i="34"/>
  <c r="S22" i="34"/>
  <c r="R21" i="34"/>
  <c r="V26" i="34"/>
  <c r="U25" i="34"/>
  <c r="T24" i="34"/>
  <c r="S23" i="34"/>
  <c r="P19" i="34" s="1"/>
  <c r="R22" i="34"/>
  <c r="Q21" i="34"/>
  <c r="U26" i="34"/>
  <c r="T25" i="34"/>
  <c r="S24" i="34"/>
  <c r="R23" i="34"/>
  <c r="Q22" i="34"/>
  <c r="P21" i="34"/>
  <c r="P22" i="34"/>
  <c r="T26" i="34"/>
  <c r="S25" i="34"/>
  <c r="R24" i="34"/>
  <c r="Q23" i="34"/>
  <c r="S26" i="34"/>
  <c r="R25" i="34"/>
  <c r="Q24" i="34"/>
  <c r="P23" i="34"/>
  <c r="V21" i="34"/>
  <c r="V22" i="34"/>
  <c r="U21" i="34"/>
  <c r="R26" i="34"/>
  <c r="Q25" i="34"/>
  <c r="P24" i="34"/>
  <c r="M26" i="34"/>
  <c r="L25" i="34"/>
  <c r="K24" i="34"/>
  <c r="J23" i="34"/>
  <c r="I22" i="34"/>
  <c r="L26" i="34"/>
  <c r="K25" i="34"/>
  <c r="J24" i="34"/>
  <c r="I23" i="34"/>
  <c r="O21" i="34"/>
  <c r="K26" i="34"/>
  <c r="J25" i="34"/>
  <c r="I24" i="34"/>
  <c r="O22" i="34"/>
  <c r="N21" i="34"/>
  <c r="J26" i="34"/>
  <c r="I25" i="34"/>
  <c r="O23" i="34"/>
  <c r="N22" i="34"/>
  <c r="M21" i="34"/>
  <c r="I26" i="34"/>
  <c r="O24" i="34"/>
  <c r="N23" i="34"/>
  <c r="M22" i="34"/>
  <c r="L21" i="34"/>
  <c r="O25" i="34"/>
  <c r="N24" i="34"/>
  <c r="M23" i="34"/>
  <c r="L22" i="34"/>
  <c r="K21" i="34"/>
  <c r="O26" i="34"/>
  <c r="N25" i="34"/>
  <c r="M24" i="34"/>
  <c r="L23" i="34"/>
  <c r="I19" i="34" s="1"/>
  <c r="K22" i="34"/>
  <c r="J21" i="34"/>
  <c r="N26" i="34"/>
  <c r="M25" i="34"/>
  <c r="L24" i="34"/>
  <c r="K23" i="34"/>
  <c r="J22" i="34"/>
  <c r="I21" i="34"/>
  <c r="H25" i="34"/>
  <c r="G24" i="34"/>
  <c r="F23" i="34"/>
  <c r="E22" i="34"/>
  <c r="D21" i="34"/>
  <c r="H26" i="34"/>
  <c r="G25" i="34"/>
  <c r="F24" i="34"/>
  <c r="E23" i="34"/>
  <c r="B19" i="34" s="1"/>
  <c r="D22" i="34"/>
  <c r="C21" i="34"/>
  <c r="G26" i="34"/>
  <c r="F25" i="34"/>
  <c r="E24" i="34"/>
  <c r="D23" i="34"/>
  <c r="C22" i="34"/>
  <c r="B21" i="34"/>
  <c r="F26" i="34"/>
  <c r="E25" i="34"/>
  <c r="D24" i="34"/>
  <c r="C23" i="34"/>
  <c r="B22" i="34"/>
  <c r="E26" i="34"/>
  <c r="D25" i="34"/>
  <c r="C24" i="34"/>
  <c r="B23" i="34"/>
  <c r="H21" i="34"/>
  <c r="C26" i="34"/>
  <c r="B25" i="34"/>
  <c r="H23" i="34"/>
  <c r="G22" i="34"/>
  <c r="F21" i="34"/>
  <c r="D26" i="34"/>
  <c r="G21" i="34"/>
  <c r="C25" i="34"/>
  <c r="B26" i="34"/>
  <c r="E21" i="34"/>
  <c r="H24" i="34"/>
  <c r="B24" i="34"/>
  <c r="G23" i="34"/>
  <c r="H22" i="34"/>
  <c r="F22" i="34"/>
  <c r="H9" i="34"/>
  <c r="G8" i="34"/>
  <c r="F7" i="34"/>
  <c r="E6" i="34"/>
  <c r="D5" i="34"/>
  <c r="H10" i="34"/>
  <c r="G9" i="34"/>
  <c r="F8" i="34"/>
  <c r="E7" i="34"/>
  <c r="B3" i="34" s="1"/>
  <c r="D6" i="34"/>
  <c r="C5" i="34"/>
  <c r="G10" i="34"/>
  <c r="F9" i="34"/>
  <c r="E8" i="34"/>
  <c r="D7" i="34"/>
  <c r="C6" i="34"/>
  <c r="B5" i="34"/>
  <c r="E10" i="34"/>
  <c r="D9" i="34"/>
  <c r="C8" i="34"/>
  <c r="B7" i="34"/>
  <c r="H5" i="34"/>
  <c r="F10" i="34"/>
  <c r="D8" i="34"/>
  <c r="B6" i="34"/>
  <c r="D10" i="34"/>
  <c r="B8" i="34"/>
  <c r="G5" i="34"/>
  <c r="H7" i="34"/>
  <c r="G7" i="34"/>
  <c r="C10" i="34"/>
  <c r="F5" i="34"/>
  <c r="B10" i="34"/>
  <c r="E5" i="34"/>
  <c r="E9" i="34"/>
  <c r="C7" i="34"/>
  <c r="F6" i="34"/>
  <c r="C9" i="34"/>
  <c r="B9" i="34"/>
  <c r="H8" i="34"/>
  <c r="H6" i="34"/>
  <c r="G6" i="34"/>
  <c r="H17" i="34"/>
  <c r="G16" i="34"/>
  <c r="F15" i="34"/>
  <c r="E14" i="34"/>
  <c r="D13" i="34"/>
  <c r="H18" i="34"/>
  <c r="G17" i="34"/>
  <c r="F16" i="34"/>
  <c r="E15" i="34"/>
  <c r="B11" i="34" s="1"/>
  <c r="D14" i="34"/>
  <c r="C13" i="34"/>
  <c r="G18" i="34"/>
  <c r="F17" i="34"/>
  <c r="E16" i="34"/>
  <c r="D15" i="34"/>
  <c r="C14" i="34"/>
  <c r="B13" i="34"/>
  <c r="E17" i="34"/>
  <c r="C15" i="34"/>
  <c r="F18" i="34"/>
  <c r="D16" i="34"/>
  <c r="B14" i="34"/>
  <c r="E18" i="34"/>
  <c r="D17" i="34"/>
  <c r="C16" i="34"/>
  <c r="B15" i="34"/>
  <c r="H13" i="34"/>
  <c r="D18" i="34"/>
  <c r="G15" i="34"/>
  <c r="B18" i="34"/>
  <c r="G14" i="34"/>
  <c r="F14" i="34"/>
  <c r="C18" i="34"/>
  <c r="H14" i="34"/>
  <c r="C17" i="34"/>
  <c r="B17" i="34"/>
  <c r="G13" i="34"/>
  <c r="H16" i="34"/>
  <c r="F13" i="34"/>
  <c r="E13" i="34"/>
  <c r="B16" i="34"/>
  <c r="H15" i="34"/>
  <c r="AC10" i="34"/>
  <c r="AB9" i="34"/>
  <c r="AA8" i="34"/>
  <c r="Z7" i="34"/>
  <c r="W3" i="34" s="1"/>
  <c r="Y6" i="34"/>
  <c r="X5" i="34"/>
  <c r="AB10" i="34"/>
  <c r="AA9" i="34"/>
  <c r="Z8" i="34"/>
  <c r="Y7" i="34"/>
  <c r="X6" i="34"/>
  <c r="W5" i="34"/>
  <c r="AA10" i="34"/>
  <c r="Z9" i="34"/>
  <c r="Y8" i="34"/>
  <c r="X7" i="34"/>
  <c r="W6" i="34"/>
  <c r="Y10" i="34"/>
  <c r="X9" i="34"/>
  <c r="W8" i="34"/>
  <c r="AC6" i="34"/>
  <c r="AB5" i="34"/>
  <c r="Z10" i="34"/>
  <c r="X8" i="34"/>
  <c r="AC5" i="34"/>
  <c r="W10" i="34"/>
  <c r="Z5" i="34"/>
  <c r="AA7" i="34"/>
  <c r="X10" i="34"/>
  <c r="AC7" i="34"/>
  <c r="AA5" i="34"/>
  <c r="AB7" i="34"/>
  <c r="AC9" i="34"/>
  <c r="Y5" i="34"/>
  <c r="Y9" i="34"/>
  <c r="W7" i="34"/>
  <c r="W9" i="34"/>
  <c r="AB6" i="34"/>
  <c r="AA6" i="34"/>
  <c r="AC8" i="34"/>
  <c r="AB8" i="34"/>
  <c r="Z6" i="34"/>
  <c r="AC18" i="34"/>
  <c r="AB17" i="34"/>
  <c r="AA16" i="34"/>
  <c r="Z15" i="34"/>
  <c r="W11" i="34" s="1"/>
  <c r="Y14" i="34"/>
  <c r="X13" i="34"/>
  <c r="AB18" i="34"/>
  <c r="AA17" i="34"/>
  <c r="Z16" i="34"/>
  <c r="Y15" i="34"/>
  <c r="X14" i="34"/>
  <c r="W13" i="34"/>
  <c r="AA18" i="34"/>
  <c r="Z17" i="34"/>
  <c r="Y16" i="34"/>
  <c r="X15" i="34"/>
  <c r="W14" i="34"/>
  <c r="Y17" i="34"/>
  <c r="Z18" i="34"/>
  <c r="X16" i="34"/>
  <c r="W15" i="34"/>
  <c r="AC13" i="34"/>
  <c r="Y18" i="34"/>
  <c r="X17" i="34"/>
  <c r="W16" i="34"/>
  <c r="AC14" i="34"/>
  <c r="AB13" i="34"/>
  <c r="X18" i="34"/>
  <c r="AA15" i="34"/>
  <c r="AC17" i="34"/>
  <c r="AA14" i="34"/>
  <c r="W17" i="34"/>
  <c r="W18" i="34"/>
  <c r="AB14" i="34"/>
  <c r="Z14" i="34"/>
  <c r="AC16" i="34"/>
  <c r="AA13" i="34"/>
  <c r="AB16" i="34"/>
  <c r="Z13" i="34"/>
  <c r="AC15" i="34"/>
  <c r="AB15" i="34"/>
  <c r="Y13" i="34"/>
  <c r="E8" i="36" l="1"/>
  <c r="G6" i="36"/>
  <c r="J3" i="36"/>
  <c r="I4" i="36"/>
  <c r="F7" i="36"/>
  <c r="H5" i="36"/>
  <c r="W20" i="34" a="1"/>
  <c r="P20" i="34" a="1"/>
  <c r="I20" i="34" a="1"/>
  <c r="B20" i="34" a="1"/>
  <c r="W12" i="34" a="1"/>
  <c r="P12" i="34" a="1"/>
  <c r="I12" i="34" a="1"/>
  <c r="W4" i="34" a="1"/>
  <c r="I4" i="34" a="1"/>
  <c r="B12" i="34" a="1"/>
  <c r="B4" i="34" a="1"/>
  <c r="P4" i="34" a="1"/>
  <c r="F8" i="36" l="1"/>
  <c r="H6" i="36"/>
  <c r="G7" i="36"/>
  <c r="I5" i="36"/>
  <c r="E9" i="36"/>
  <c r="K3" i="36"/>
  <c r="K4" i="36" s="1"/>
  <c r="K5" i="36" s="1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J4" i="36"/>
  <c r="R12" i="34"/>
  <c r="Q12" i="34"/>
  <c r="P12" i="34"/>
  <c r="V12" i="34"/>
  <c r="U12" i="34"/>
  <c r="T12" i="34"/>
  <c r="S12" i="34"/>
  <c r="Y12" i="34"/>
  <c r="X12" i="34"/>
  <c r="W12" i="34"/>
  <c r="AC12" i="34"/>
  <c r="AA12" i="34"/>
  <c r="Z12" i="34"/>
  <c r="AB12" i="34"/>
  <c r="Y4" i="34"/>
  <c r="X4" i="34"/>
  <c r="W4" i="34"/>
  <c r="AC4" i="34"/>
  <c r="AB4" i="34"/>
  <c r="AA4" i="34"/>
  <c r="Z4" i="34"/>
  <c r="D20" i="34"/>
  <c r="C20" i="34"/>
  <c r="B20" i="34"/>
  <c r="H20" i="34"/>
  <c r="G20" i="34"/>
  <c r="F20" i="34"/>
  <c r="E20" i="34"/>
  <c r="Q4" i="34"/>
  <c r="P4" i="34"/>
  <c r="V4" i="34"/>
  <c r="U4" i="34"/>
  <c r="T4" i="34"/>
  <c r="S4" i="34"/>
  <c r="R4" i="34"/>
  <c r="C4" i="34"/>
  <c r="B4" i="34"/>
  <c r="H4" i="34"/>
  <c r="G4" i="34"/>
  <c r="F4" i="34"/>
  <c r="D4" i="34"/>
  <c r="E4" i="34"/>
  <c r="K20" i="34"/>
  <c r="J20" i="34"/>
  <c r="I20" i="34"/>
  <c r="O20" i="34"/>
  <c r="M20" i="34"/>
  <c r="L20" i="34"/>
  <c r="N20" i="34"/>
  <c r="D12" i="34"/>
  <c r="C12" i="34"/>
  <c r="B12" i="34"/>
  <c r="H12" i="34"/>
  <c r="F12" i="34"/>
  <c r="E12" i="34"/>
  <c r="G12" i="34"/>
  <c r="R20" i="34"/>
  <c r="Q20" i="34"/>
  <c r="P20" i="34"/>
  <c r="V20" i="34"/>
  <c r="U20" i="34"/>
  <c r="T20" i="34"/>
  <c r="S20" i="34"/>
  <c r="K12" i="34"/>
  <c r="J12" i="34"/>
  <c r="I12" i="34"/>
  <c r="O12" i="34"/>
  <c r="N12" i="34"/>
  <c r="M12" i="34"/>
  <c r="L12" i="34"/>
  <c r="J4" i="34"/>
  <c r="I4" i="34"/>
  <c r="O4" i="34"/>
  <c r="L4" i="34"/>
  <c r="K4" i="34"/>
  <c r="N4" i="34"/>
  <c r="M4" i="34"/>
  <c r="Y20" i="34"/>
  <c r="X20" i="34"/>
  <c r="W20" i="34"/>
  <c r="AC20" i="34"/>
  <c r="AA20" i="34"/>
  <c r="AB20" i="34"/>
  <c r="Z20" i="34"/>
  <c r="C5" i="33"/>
  <c r="C15" i="33" s="1"/>
  <c r="I191" i="31"/>
  <c r="I190" i="31"/>
  <c r="I189" i="31"/>
  <c r="I188" i="31"/>
  <c r="I185" i="31"/>
  <c r="I184" i="31"/>
  <c r="I183" i="31"/>
  <c r="I182" i="31"/>
  <c r="I180" i="31"/>
  <c r="I179" i="31"/>
  <c r="I178" i="31"/>
  <c r="I177" i="31"/>
  <c r="I176" i="31"/>
  <c r="I175" i="31"/>
  <c r="I174" i="31"/>
  <c r="I173" i="31"/>
  <c r="I171" i="31"/>
  <c r="I170" i="31"/>
  <c r="I169" i="31" s="1"/>
  <c r="I167" i="31"/>
  <c r="I166" i="31" s="1"/>
  <c r="I165" i="31"/>
  <c r="I164" i="31"/>
  <c r="I163" i="31"/>
  <c r="I162" i="31"/>
  <c r="I161" i="31"/>
  <c r="I159" i="31"/>
  <c r="I158" i="31" s="1"/>
  <c r="I157" i="31"/>
  <c r="I156" i="31"/>
  <c r="I155" i="31"/>
  <c r="I154" i="31"/>
  <c r="I153" i="31"/>
  <c r="I151" i="31"/>
  <c r="I150" i="31"/>
  <c r="I149" i="31" s="1"/>
  <c r="I148" i="31"/>
  <c r="I147" i="31"/>
  <c r="I146" i="31"/>
  <c r="K145" i="31"/>
  <c r="I145" i="31"/>
  <c r="I144" i="31"/>
  <c r="I142" i="31"/>
  <c r="I141" i="31" s="1"/>
  <c r="I140" i="31"/>
  <c r="I139" i="31"/>
  <c r="I137" i="31"/>
  <c r="I136" i="31"/>
  <c r="I135" i="31"/>
  <c r="I133" i="31"/>
  <c r="I132" i="31"/>
  <c r="I131" i="31"/>
  <c r="I130" i="31" s="1"/>
  <c r="I129" i="31"/>
  <c r="I128" i="31"/>
  <c r="I127" i="31"/>
  <c r="I126" i="31"/>
  <c r="I125" i="31"/>
  <c r="I124" i="31"/>
  <c r="I122" i="31"/>
  <c r="I121" i="31"/>
  <c r="K119" i="31"/>
  <c r="I119" i="31"/>
  <c r="K118" i="31"/>
  <c r="I118" i="31"/>
  <c r="I116" i="31"/>
  <c r="I115" i="31" s="1"/>
  <c r="K114" i="31"/>
  <c r="I114" i="31"/>
  <c r="K113" i="31"/>
  <c r="I113" i="31"/>
  <c r="K112" i="31"/>
  <c r="I112" i="31"/>
  <c r="K110" i="31"/>
  <c r="I110" i="31"/>
  <c r="K109" i="31"/>
  <c r="I109" i="31"/>
  <c r="I108" i="31" s="1"/>
  <c r="K107" i="31"/>
  <c r="I107" i="31"/>
  <c r="K106" i="31"/>
  <c r="I106" i="31"/>
  <c r="I105" i="31" s="1"/>
  <c r="K104" i="31"/>
  <c r="I104" i="31"/>
  <c r="K103" i="31"/>
  <c r="I103" i="31"/>
  <c r="K102" i="31"/>
  <c r="I102" i="31"/>
  <c r="K101" i="31"/>
  <c r="I101" i="31"/>
  <c r="K99" i="31"/>
  <c r="I99" i="31"/>
  <c r="K98" i="31"/>
  <c r="I98" i="31"/>
  <c r="I97" i="31" s="1"/>
  <c r="K96" i="31"/>
  <c r="I96" i="31"/>
  <c r="K95" i="31"/>
  <c r="I95" i="31"/>
  <c r="K93" i="31"/>
  <c r="I93" i="31"/>
  <c r="K92" i="31"/>
  <c r="I92" i="31"/>
  <c r="K91" i="31"/>
  <c r="I91" i="31"/>
  <c r="K90" i="31"/>
  <c r="I90" i="31"/>
  <c r="I88" i="31"/>
  <c r="K87" i="31"/>
  <c r="I87" i="31"/>
  <c r="K86" i="31"/>
  <c r="I86" i="31"/>
  <c r="K85" i="31"/>
  <c r="I85" i="31"/>
  <c r="K84" i="31"/>
  <c r="I84" i="31"/>
  <c r="K82" i="31"/>
  <c r="I82" i="31"/>
  <c r="K81" i="31"/>
  <c r="I81" i="31"/>
  <c r="K80" i="31"/>
  <c r="I80" i="31"/>
  <c r="K79" i="31"/>
  <c r="I79" i="31"/>
  <c r="K78" i="31"/>
  <c r="I78" i="31"/>
  <c r="I75" i="31"/>
  <c r="I74" i="31" s="1"/>
  <c r="I73" i="31"/>
  <c r="I72" i="31" s="1"/>
  <c r="I71" i="31"/>
  <c r="I69" i="31"/>
  <c r="I68" i="31"/>
  <c r="I67" i="31"/>
  <c r="I66" i="31"/>
  <c r="I65" i="31"/>
  <c r="I63" i="31"/>
  <c r="I59" i="31"/>
  <c r="I58" i="31"/>
  <c r="I57" i="31"/>
  <c r="I56" i="31"/>
  <c r="I55" i="31"/>
  <c r="I54" i="31" s="1"/>
  <c r="I53" i="31"/>
  <c r="I52" i="31"/>
  <c r="I50" i="31"/>
  <c r="I49" i="31" s="1"/>
  <c r="K48" i="31"/>
  <c r="I48" i="31"/>
  <c r="K47" i="31"/>
  <c r="I47" i="31"/>
  <c r="K46" i="31"/>
  <c r="I46" i="31"/>
  <c r="K44" i="31"/>
  <c r="I44" i="31"/>
  <c r="K43" i="31"/>
  <c r="I43" i="31"/>
  <c r="I42" i="31" s="1"/>
  <c r="K41" i="31"/>
  <c r="I41" i="31"/>
  <c r="K40" i="31"/>
  <c r="I40" i="31"/>
  <c r="K38" i="31"/>
  <c r="I38" i="31"/>
  <c r="I36" i="31" s="1"/>
  <c r="K37" i="31"/>
  <c r="I37" i="31"/>
  <c r="K36" i="31"/>
  <c r="K34" i="31"/>
  <c r="K33" i="31"/>
  <c r="I33" i="31"/>
  <c r="I32" i="31"/>
  <c r="K31" i="31"/>
  <c r="I31" i="31"/>
  <c r="K30" i="31"/>
  <c r="I30" i="31"/>
  <c r="I28" i="31"/>
  <c r="K27" i="31"/>
  <c r="I27" i="31"/>
  <c r="I26" i="31"/>
  <c r="K25" i="31"/>
  <c r="I25" i="31"/>
  <c r="K24" i="31"/>
  <c r="I24" i="31"/>
  <c r="K22" i="31"/>
  <c r="I22" i="31"/>
  <c r="K21" i="31"/>
  <c r="I21" i="31"/>
  <c r="K20" i="31"/>
  <c r="I20" i="31"/>
  <c r="K19" i="31"/>
  <c r="I19" i="31"/>
  <c r="K18" i="31"/>
  <c r="I18" i="31"/>
  <c r="K16" i="31"/>
  <c r="I16" i="31"/>
  <c r="K15" i="31"/>
  <c r="I15" i="31"/>
  <c r="K14" i="31"/>
  <c r="I14" i="31"/>
  <c r="K13" i="31"/>
  <c r="I13" i="31"/>
  <c r="I10" i="31"/>
  <c r="I9" i="31"/>
  <c r="I8" i="31"/>
  <c r="I7" i="31"/>
  <c r="J6" i="31" s="1"/>
  <c r="L49" i="31" l="1"/>
  <c r="I45" i="31"/>
  <c r="I138" i="31"/>
  <c r="I187" i="31"/>
  <c r="J186" i="31" s="1"/>
  <c r="I143" i="31"/>
  <c r="I29" i="31"/>
  <c r="I77" i="31"/>
  <c r="I83" i="31"/>
  <c r="I160" i="31"/>
  <c r="I12" i="31"/>
  <c r="I60" i="31"/>
  <c r="I152" i="31"/>
  <c r="I6" i="36"/>
  <c r="H7" i="36"/>
  <c r="J5" i="36"/>
  <c r="E10" i="36"/>
  <c r="G8" i="36"/>
  <c r="F9" i="36"/>
  <c r="I111" i="31"/>
  <c r="I94" i="31"/>
  <c r="I35" i="31"/>
  <c r="I100" i="31"/>
  <c r="I134" i="31"/>
  <c r="I23" i="31"/>
  <c r="J11" i="31" s="1"/>
  <c r="I39" i="31"/>
  <c r="I117" i="31"/>
  <c r="I17" i="31"/>
  <c r="I51" i="31"/>
  <c r="K77" i="31"/>
  <c r="I89" i="31"/>
  <c r="I120" i="31"/>
  <c r="I172" i="31"/>
  <c r="I181" i="31"/>
  <c r="C10" i="33"/>
  <c r="C25" i="33"/>
  <c r="C20" i="33"/>
  <c r="J76" i="31" l="1"/>
  <c r="J6" i="36"/>
  <c r="F10" i="36"/>
  <c r="E11" i="36"/>
  <c r="H8" i="36"/>
  <c r="G9" i="36"/>
  <c r="I7" i="36"/>
  <c r="J168" i="31"/>
  <c r="J192" i="31"/>
  <c r="H197" i="31" s="1"/>
  <c r="I197" i="31" s="1"/>
  <c r="I196" i="31" s="1"/>
  <c r="J200" i="31" s="1"/>
  <c r="I8" i="36" l="1"/>
  <c r="H9" i="36"/>
  <c r="F11" i="36"/>
  <c r="G10" i="36"/>
  <c r="E12" i="36"/>
  <c r="J7" i="36"/>
  <c r="J195" i="31"/>
  <c r="J8" i="36" l="1"/>
  <c r="G11" i="36"/>
  <c r="H10" i="36"/>
  <c r="E13" i="36"/>
  <c r="F12" i="36"/>
  <c r="I9" i="36"/>
  <c r="B3" i="24"/>
  <c r="B3" i="23"/>
  <c r="B3" i="22"/>
  <c r="B3" i="21"/>
  <c r="B3" i="20"/>
  <c r="I10" i="36" l="1"/>
  <c r="E14" i="36"/>
  <c r="G12" i="36"/>
  <c r="F13" i="36"/>
  <c r="H11" i="36"/>
  <c r="J9" i="36"/>
  <c r="B3" i="19"/>
  <c r="B3" i="18"/>
  <c r="B3" i="17"/>
  <c r="F14" i="36" l="1"/>
  <c r="E15" i="36"/>
  <c r="J10" i="36"/>
  <c r="H12" i="36"/>
  <c r="G13" i="36"/>
  <c r="I11" i="36"/>
  <c r="B3" i="16"/>
  <c r="H13" i="36" l="1"/>
  <c r="E16" i="36"/>
  <c r="I12" i="36"/>
  <c r="G14" i="36"/>
  <c r="J11" i="36"/>
  <c r="F15" i="36"/>
  <c r="B3" i="25"/>
  <c r="E17" i="36" l="1"/>
  <c r="G15" i="36"/>
  <c r="F16" i="36"/>
  <c r="J12" i="36"/>
  <c r="I13" i="36"/>
  <c r="H14" i="36"/>
  <c r="B3" i="15"/>
  <c r="H15" i="36" l="1"/>
  <c r="J13" i="36"/>
  <c r="G16" i="36"/>
  <c r="I14" i="36"/>
  <c r="F17" i="36"/>
  <c r="E18" i="36"/>
  <c r="B2" i="17"/>
  <c r="E19" i="36" l="1"/>
  <c r="I15" i="36"/>
  <c r="J14" i="36"/>
  <c r="F18" i="36"/>
  <c r="G17" i="36"/>
  <c r="H16" i="36"/>
  <c r="B2" i="19"/>
  <c r="B2" i="18"/>
  <c r="B2" i="21"/>
  <c r="B2" i="20"/>
  <c r="B2" i="23"/>
  <c r="B2" i="22"/>
  <c r="B2" i="25"/>
  <c r="B2" i="24"/>
  <c r="B2" i="16"/>
  <c r="B2" i="15"/>
  <c r="B2" i="14"/>
  <c r="B14" i="25" a="1"/>
  <c r="C14" i="25" s="1"/>
  <c r="B12" i="25" a="1"/>
  <c r="H12" i="25" s="1"/>
  <c r="B10" i="25" a="1"/>
  <c r="G10" i="25" s="1"/>
  <c r="B8" i="25" a="1"/>
  <c r="G8" i="25" s="1"/>
  <c r="B6" i="25" a="1"/>
  <c r="H6" i="25" s="1"/>
  <c r="B4" i="25" a="1"/>
  <c r="G4" i="25" s="1"/>
  <c r="G3" i="25" s="1"/>
  <c r="B14" i="24" a="1"/>
  <c r="C14" i="24" s="1"/>
  <c r="B12" i="24" a="1"/>
  <c r="H12" i="24" s="1"/>
  <c r="B10" i="24" a="1"/>
  <c r="G10" i="24" s="1"/>
  <c r="B8" i="24" a="1"/>
  <c r="G8" i="24" s="1"/>
  <c r="B6" i="24" a="1"/>
  <c r="H6" i="24" s="1"/>
  <c r="B4" i="24" a="1"/>
  <c r="G4" i="24" s="1"/>
  <c r="G3" i="24" s="1"/>
  <c r="B14" i="23" a="1"/>
  <c r="C14" i="23" s="1"/>
  <c r="B12" i="23" a="1"/>
  <c r="H12" i="23" s="1"/>
  <c r="B10" i="23" a="1"/>
  <c r="G10" i="23" s="1"/>
  <c r="B8" i="23" a="1"/>
  <c r="G8" i="23" s="1"/>
  <c r="B6" i="23" a="1"/>
  <c r="H6" i="23" s="1"/>
  <c r="B4" i="23" a="1"/>
  <c r="G4" i="23" s="1"/>
  <c r="G3" i="23" s="1"/>
  <c r="B14" i="22" a="1"/>
  <c r="C14" i="22" s="1"/>
  <c r="B12" i="22" a="1"/>
  <c r="H12" i="22" s="1"/>
  <c r="B10" i="22" a="1"/>
  <c r="G10" i="22" s="1"/>
  <c r="B8" i="22" a="1"/>
  <c r="H8" i="22" s="1"/>
  <c r="B6" i="22" a="1"/>
  <c r="G6" i="22" s="1"/>
  <c r="B4" i="22" a="1"/>
  <c r="H4" i="22" s="1"/>
  <c r="H3" i="22" s="1"/>
  <c r="B14" i="21" a="1"/>
  <c r="C14" i="21" s="1"/>
  <c r="B12" i="21" a="1"/>
  <c r="H12" i="21" s="1"/>
  <c r="B10" i="21" a="1"/>
  <c r="G10" i="21" s="1"/>
  <c r="B8" i="21" a="1"/>
  <c r="G8" i="21" s="1"/>
  <c r="B6" i="21" a="1"/>
  <c r="H6" i="21" s="1"/>
  <c r="B4" i="21" a="1"/>
  <c r="G4" i="21" s="1"/>
  <c r="G3" i="21" s="1"/>
  <c r="B14" i="20" a="1"/>
  <c r="C14" i="20" s="1"/>
  <c r="B12" i="20" a="1"/>
  <c r="H12" i="20" s="1"/>
  <c r="B10" i="20" a="1"/>
  <c r="G10" i="20" s="1"/>
  <c r="B8" i="20" a="1"/>
  <c r="H8" i="20" s="1"/>
  <c r="B6" i="20" a="1"/>
  <c r="G6" i="20" s="1"/>
  <c r="B4" i="20" a="1"/>
  <c r="E4" i="20" s="1"/>
  <c r="E3" i="20" s="1"/>
  <c r="B14" i="19" a="1"/>
  <c r="C14" i="19" s="1"/>
  <c r="B12" i="19" a="1"/>
  <c r="H12" i="19" s="1"/>
  <c r="B10" i="19" a="1"/>
  <c r="G10" i="19" s="1"/>
  <c r="B8" i="19" a="1"/>
  <c r="H8" i="19" s="1"/>
  <c r="B6" i="19" a="1"/>
  <c r="G6" i="19" s="1"/>
  <c r="B4" i="19" a="1"/>
  <c r="H4" i="19" s="1"/>
  <c r="H3" i="19" s="1"/>
  <c r="B14" i="18" a="1"/>
  <c r="C14" i="18" s="1"/>
  <c r="B12" i="18" a="1"/>
  <c r="G12" i="18" s="1"/>
  <c r="B10" i="18" a="1"/>
  <c r="G10" i="18" s="1"/>
  <c r="B8" i="18" a="1"/>
  <c r="G8" i="18" s="1"/>
  <c r="B6" i="18" a="1"/>
  <c r="G6" i="18" s="1"/>
  <c r="B4" i="18" a="1"/>
  <c r="G4" i="18" s="1"/>
  <c r="G3" i="18" s="1"/>
  <c r="B14" i="17" a="1"/>
  <c r="B14" i="17" s="1"/>
  <c r="B12" i="17" a="1"/>
  <c r="G12" i="17" s="1"/>
  <c r="B10" i="17" a="1"/>
  <c r="H10" i="17" s="1"/>
  <c r="B8" i="17" a="1"/>
  <c r="H8" i="17" s="1"/>
  <c r="B6" i="17" a="1"/>
  <c r="G6" i="17" s="1"/>
  <c r="B4" i="17" a="1"/>
  <c r="H4" i="17" s="1"/>
  <c r="H3" i="17" s="1"/>
  <c r="B14" i="16" a="1"/>
  <c r="C14" i="16" s="1"/>
  <c r="B12" i="16" a="1"/>
  <c r="H12" i="16" s="1"/>
  <c r="B10" i="16" a="1"/>
  <c r="G10" i="16" s="1"/>
  <c r="B8" i="16" a="1"/>
  <c r="H8" i="16" s="1"/>
  <c r="B6" i="16" a="1"/>
  <c r="G6" i="16" s="1"/>
  <c r="B4" i="16" a="1"/>
  <c r="H4" i="16" s="1"/>
  <c r="H3" i="16" s="1"/>
  <c r="B14" i="15" a="1"/>
  <c r="C14" i="15" s="1"/>
  <c r="B12" i="15" a="1"/>
  <c r="H12" i="15" s="1"/>
  <c r="B10" i="15" a="1"/>
  <c r="G10" i="15" s="1"/>
  <c r="B8" i="15" a="1"/>
  <c r="H8" i="15" s="1"/>
  <c r="B6" i="15" a="1"/>
  <c r="G6" i="15" s="1"/>
  <c r="B4" i="15" a="1"/>
  <c r="H4" i="15" s="1"/>
  <c r="H3" i="15" s="1"/>
  <c r="H17" i="36" l="1"/>
  <c r="F19" i="36"/>
  <c r="I16" i="36"/>
  <c r="G18" i="36"/>
  <c r="J15" i="36"/>
  <c r="E20" i="36"/>
  <c r="B8" i="18"/>
  <c r="B4" i="18"/>
  <c r="B12" i="18"/>
  <c r="F4" i="18"/>
  <c r="F3" i="18" s="1"/>
  <c r="F8" i="18"/>
  <c r="F12" i="18"/>
  <c r="D6" i="18"/>
  <c r="H6" i="18"/>
  <c r="D10" i="18"/>
  <c r="H10" i="18"/>
  <c r="D4" i="18"/>
  <c r="D3" i="18" s="1"/>
  <c r="H4" i="18"/>
  <c r="H3" i="18" s="1"/>
  <c r="B6" i="18"/>
  <c r="F6" i="18"/>
  <c r="D8" i="18"/>
  <c r="H8" i="18"/>
  <c r="B10" i="18"/>
  <c r="F10" i="18"/>
  <c r="D12" i="18"/>
  <c r="H12" i="18"/>
  <c r="B14" i="18"/>
  <c r="C6" i="25"/>
  <c r="E6" i="25"/>
  <c r="G6" i="25"/>
  <c r="C12" i="25"/>
  <c r="E12" i="25"/>
  <c r="G12" i="25"/>
  <c r="B4" i="25"/>
  <c r="D4" i="25"/>
  <c r="D3" i="25" s="1"/>
  <c r="F4" i="25"/>
  <c r="F3" i="25" s="1"/>
  <c r="H4" i="25"/>
  <c r="H3" i="25" s="1"/>
  <c r="B6" i="25"/>
  <c r="D6" i="25"/>
  <c r="F6" i="25"/>
  <c r="B8" i="25"/>
  <c r="D8" i="25"/>
  <c r="F8" i="25"/>
  <c r="H8" i="25"/>
  <c r="B10" i="25"/>
  <c r="D10" i="25"/>
  <c r="F10" i="25"/>
  <c r="H10" i="25"/>
  <c r="B12" i="25"/>
  <c r="D12" i="25"/>
  <c r="F12" i="25"/>
  <c r="B14" i="25"/>
  <c r="C4" i="25"/>
  <c r="C3" i="25" s="1"/>
  <c r="E4" i="25"/>
  <c r="E3" i="25" s="1"/>
  <c r="C8" i="25"/>
  <c r="E8" i="25"/>
  <c r="C10" i="25"/>
  <c r="E10" i="25"/>
  <c r="C6" i="24"/>
  <c r="E6" i="24"/>
  <c r="G6" i="24"/>
  <c r="C12" i="24"/>
  <c r="E12" i="24"/>
  <c r="G12" i="24"/>
  <c r="B4" i="24"/>
  <c r="D4" i="24"/>
  <c r="D3" i="24" s="1"/>
  <c r="F4" i="24"/>
  <c r="F3" i="24" s="1"/>
  <c r="H4" i="24"/>
  <c r="H3" i="24" s="1"/>
  <c r="B6" i="24"/>
  <c r="D6" i="24"/>
  <c r="F6" i="24"/>
  <c r="B8" i="24"/>
  <c r="D8" i="24"/>
  <c r="F8" i="24"/>
  <c r="H8" i="24"/>
  <c r="B10" i="24"/>
  <c r="D10" i="24"/>
  <c r="F10" i="24"/>
  <c r="H10" i="24"/>
  <c r="B12" i="24"/>
  <c r="D12" i="24"/>
  <c r="F12" i="24"/>
  <c r="B14" i="24"/>
  <c r="C4" i="24"/>
  <c r="C3" i="24" s="1"/>
  <c r="E4" i="24"/>
  <c r="E3" i="24" s="1"/>
  <c r="C8" i="24"/>
  <c r="E8" i="24"/>
  <c r="C10" i="24"/>
  <c r="E10" i="24"/>
  <c r="C6" i="23"/>
  <c r="E6" i="23"/>
  <c r="G6" i="23"/>
  <c r="C12" i="23"/>
  <c r="E12" i="23"/>
  <c r="G12" i="23"/>
  <c r="B4" i="23"/>
  <c r="D4" i="23"/>
  <c r="D3" i="23" s="1"/>
  <c r="F4" i="23"/>
  <c r="F3" i="23" s="1"/>
  <c r="H4" i="23"/>
  <c r="H3" i="23" s="1"/>
  <c r="B6" i="23"/>
  <c r="D6" i="23"/>
  <c r="F6" i="23"/>
  <c r="B8" i="23"/>
  <c r="D8" i="23"/>
  <c r="F8" i="23"/>
  <c r="H8" i="23"/>
  <c r="B10" i="23"/>
  <c r="D10" i="23"/>
  <c r="F10" i="23"/>
  <c r="H10" i="23"/>
  <c r="B12" i="23"/>
  <c r="D12" i="23"/>
  <c r="F12" i="23"/>
  <c r="B14" i="23"/>
  <c r="C4" i="23"/>
  <c r="C3" i="23" s="1"/>
  <c r="E4" i="23"/>
  <c r="E3" i="23" s="1"/>
  <c r="C8" i="23"/>
  <c r="E8" i="23"/>
  <c r="C10" i="23"/>
  <c r="E10" i="23"/>
  <c r="C4" i="22"/>
  <c r="C3" i="22" s="1"/>
  <c r="E4" i="22"/>
  <c r="E3" i="22" s="1"/>
  <c r="G4" i="22"/>
  <c r="G3" i="22" s="1"/>
  <c r="C8" i="22"/>
  <c r="E8" i="22"/>
  <c r="G8" i="22"/>
  <c r="C12" i="22"/>
  <c r="E12" i="22"/>
  <c r="G12" i="22"/>
  <c r="B4" i="22"/>
  <c r="D4" i="22"/>
  <c r="D3" i="22" s="1"/>
  <c r="F4" i="22"/>
  <c r="F3" i="22" s="1"/>
  <c r="B6" i="22"/>
  <c r="D6" i="22"/>
  <c r="F6" i="22"/>
  <c r="H6" i="22"/>
  <c r="B8" i="22"/>
  <c r="D8" i="22"/>
  <c r="F8" i="22"/>
  <c r="B10" i="22"/>
  <c r="D10" i="22"/>
  <c r="F10" i="22"/>
  <c r="H10" i="22"/>
  <c r="B12" i="22"/>
  <c r="D12" i="22"/>
  <c r="F12" i="22"/>
  <c r="B14" i="22"/>
  <c r="C6" i="22"/>
  <c r="E6" i="22"/>
  <c r="C10" i="22"/>
  <c r="E10" i="22"/>
  <c r="C6" i="21"/>
  <c r="E6" i="21"/>
  <c r="G6" i="21"/>
  <c r="C12" i="21"/>
  <c r="E12" i="21"/>
  <c r="G12" i="21"/>
  <c r="B4" i="21"/>
  <c r="D4" i="21"/>
  <c r="D3" i="21" s="1"/>
  <c r="F4" i="21"/>
  <c r="F3" i="21" s="1"/>
  <c r="H4" i="21"/>
  <c r="H3" i="21" s="1"/>
  <c r="B6" i="21"/>
  <c r="D6" i="21"/>
  <c r="F6" i="21"/>
  <c r="B8" i="21"/>
  <c r="D8" i="21"/>
  <c r="F8" i="21"/>
  <c r="H8" i="21"/>
  <c r="B10" i="21"/>
  <c r="D10" i="21"/>
  <c r="F10" i="21"/>
  <c r="H10" i="21"/>
  <c r="B12" i="21"/>
  <c r="D12" i="21"/>
  <c r="F12" i="21"/>
  <c r="B14" i="21"/>
  <c r="C4" i="21"/>
  <c r="C3" i="21" s="1"/>
  <c r="E4" i="21"/>
  <c r="E3" i="21" s="1"/>
  <c r="C8" i="21"/>
  <c r="E8" i="21"/>
  <c r="C10" i="21"/>
  <c r="E10" i="21"/>
  <c r="C4" i="20"/>
  <c r="C3" i="20" s="1"/>
  <c r="G4" i="20"/>
  <c r="G3" i="20" s="1"/>
  <c r="C8" i="20"/>
  <c r="E8" i="20"/>
  <c r="G8" i="20"/>
  <c r="C12" i="20"/>
  <c r="E12" i="20"/>
  <c r="G12" i="20"/>
  <c r="B4" i="20"/>
  <c r="D4" i="20"/>
  <c r="D3" i="20" s="1"/>
  <c r="F4" i="20"/>
  <c r="F3" i="20" s="1"/>
  <c r="H4" i="20"/>
  <c r="H3" i="20" s="1"/>
  <c r="B6" i="20"/>
  <c r="D6" i="20"/>
  <c r="F6" i="20"/>
  <c r="H6" i="20"/>
  <c r="B8" i="20"/>
  <c r="D8" i="20"/>
  <c r="F8" i="20"/>
  <c r="B10" i="20"/>
  <c r="D10" i="20"/>
  <c r="F10" i="20"/>
  <c r="H10" i="20"/>
  <c r="B12" i="20"/>
  <c r="D12" i="20"/>
  <c r="F12" i="20"/>
  <c r="B14" i="20"/>
  <c r="C6" i="20"/>
  <c r="E6" i="20"/>
  <c r="C10" i="20"/>
  <c r="E10" i="20"/>
  <c r="C4" i="19"/>
  <c r="C3" i="19" s="1"/>
  <c r="E4" i="19"/>
  <c r="E3" i="19" s="1"/>
  <c r="G4" i="19"/>
  <c r="G3" i="19" s="1"/>
  <c r="C8" i="19"/>
  <c r="E8" i="19"/>
  <c r="G8" i="19"/>
  <c r="C12" i="19"/>
  <c r="E12" i="19"/>
  <c r="G12" i="19"/>
  <c r="B4" i="19"/>
  <c r="D4" i="19"/>
  <c r="D3" i="19" s="1"/>
  <c r="F4" i="19"/>
  <c r="F3" i="19" s="1"/>
  <c r="B6" i="19"/>
  <c r="D6" i="19"/>
  <c r="F6" i="19"/>
  <c r="H6" i="19"/>
  <c r="B8" i="19"/>
  <c r="D8" i="19"/>
  <c r="F8" i="19"/>
  <c r="B10" i="19"/>
  <c r="D10" i="19"/>
  <c r="F10" i="19"/>
  <c r="H10" i="19"/>
  <c r="B12" i="19"/>
  <c r="D12" i="19"/>
  <c r="F12" i="19"/>
  <c r="B14" i="19"/>
  <c r="C6" i="19"/>
  <c r="E6" i="19"/>
  <c r="C10" i="19"/>
  <c r="E10" i="19"/>
  <c r="C4" i="18"/>
  <c r="C3" i="18" s="1"/>
  <c r="E4" i="18"/>
  <c r="E3" i="18" s="1"/>
  <c r="C6" i="18"/>
  <c r="E6" i="18"/>
  <c r="C8" i="18"/>
  <c r="E8" i="18"/>
  <c r="C10" i="18"/>
  <c r="E10" i="18"/>
  <c r="C12" i="18"/>
  <c r="E12" i="18"/>
  <c r="C4" i="17"/>
  <c r="C3" i="17" s="1"/>
  <c r="E4" i="17"/>
  <c r="E3" i="17" s="1"/>
  <c r="G4" i="17"/>
  <c r="G3" i="17" s="1"/>
  <c r="C8" i="17"/>
  <c r="E8" i="17"/>
  <c r="G8" i="17"/>
  <c r="C10" i="17"/>
  <c r="E10" i="17"/>
  <c r="G10" i="17"/>
  <c r="C14" i="17"/>
  <c r="B4" i="17"/>
  <c r="D4" i="17"/>
  <c r="D3" i="17" s="1"/>
  <c r="F4" i="17"/>
  <c r="F3" i="17" s="1"/>
  <c r="B6" i="17"/>
  <c r="D6" i="17"/>
  <c r="F6" i="17"/>
  <c r="H6" i="17"/>
  <c r="B8" i="17"/>
  <c r="D8" i="17"/>
  <c r="F8" i="17"/>
  <c r="B10" i="17"/>
  <c r="D10" i="17"/>
  <c r="F10" i="17"/>
  <c r="B12" i="17"/>
  <c r="D12" i="17"/>
  <c r="F12" i="17"/>
  <c r="H12" i="17"/>
  <c r="C6" i="17"/>
  <c r="E6" i="17"/>
  <c r="C12" i="17"/>
  <c r="E12" i="17"/>
  <c r="C4" i="16"/>
  <c r="C3" i="16" s="1"/>
  <c r="E4" i="16"/>
  <c r="E3" i="16" s="1"/>
  <c r="G4" i="16"/>
  <c r="G3" i="16" s="1"/>
  <c r="C8" i="16"/>
  <c r="E8" i="16"/>
  <c r="G8" i="16"/>
  <c r="C12" i="16"/>
  <c r="E12" i="16"/>
  <c r="G12" i="16"/>
  <c r="B4" i="16"/>
  <c r="D4" i="16"/>
  <c r="D3" i="16" s="1"/>
  <c r="F4" i="16"/>
  <c r="F3" i="16" s="1"/>
  <c r="B6" i="16"/>
  <c r="D6" i="16"/>
  <c r="F6" i="16"/>
  <c r="H6" i="16"/>
  <c r="B8" i="16"/>
  <c r="D8" i="16"/>
  <c r="F8" i="16"/>
  <c r="B10" i="16"/>
  <c r="D10" i="16"/>
  <c r="F10" i="16"/>
  <c r="H10" i="16"/>
  <c r="B12" i="16"/>
  <c r="D12" i="16"/>
  <c r="F12" i="16"/>
  <c r="B14" i="16"/>
  <c r="C6" i="16"/>
  <c r="E6" i="16"/>
  <c r="C10" i="16"/>
  <c r="E10" i="16"/>
  <c r="C4" i="15"/>
  <c r="C3" i="15" s="1"/>
  <c r="E4" i="15"/>
  <c r="E3" i="15" s="1"/>
  <c r="G4" i="15"/>
  <c r="G3" i="15" s="1"/>
  <c r="C8" i="15"/>
  <c r="E8" i="15"/>
  <c r="G8" i="15"/>
  <c r="C12" i="15"/>
  <c r="E12" i="15"/>
  <c r="G12" i="15"/>
  <c r="B4" i="15"/>
  <c r="D4" i="15"/>
  <c r="D3" i="15" s="1"/>
  <c r="F4" i="15"/>
  <c r="F3" i="15" s="1"/>
  <c r="B6" i="15"/>
  <c r="D6" i="15"/>
  <c r="F6" i="15"/>
  <c r="H6" i="15"/>
  <c r="B8" i="15"/>
  <c r="D8" i="15"/>
  <c r="F8" i="15"/>
  <c r="B10" i="15"/>
  <c r="D10" i="15"/>
  <c r="F10" i="15"/>
  <c r="H10" i="15"/>
  <c r="B12" i="15"/>
  <c r="D12" i="15"/>
  <c r="F12" i="15"/>
  <c r="B14" i="15"/>
  <c r="C6" i="15"/>
  <c r="E6" i="15"/>
  <c r="C10" i="15"/>
  <c r="E10" i="15"/>
  <c r="B3" i="14"/>
  <c r="E21" i="36" l="1"/>
  <c r="G19" i="36"/>
  <c r="F20" i="36"/>
  <c r="J16" i="36"/>
  <c r="I17" i="36"/>
  <c r="H18" i="36"/>
  <c r="B14" i="14" a="1"/>
  <c r="C14" i="14" s="1"/>
  <c r="B12" i="14" a="1"/>
  <c r="C12" i="14" s="1"/>
  <c r="B10" i="14" a="1"/>
  <c r="B10" i="14" s="1"/>
  <c r="B8" i="14" a="1"/>
  <c r="B8" i="14" s="1"/>
  <c r="B4" i="14" a="1"/>
  <c r="B4" i="14" s="1"/>
  <c r="H19" i="36" l="1"/>
  <c r="J17" i="36"/>
  <c r="G20" i="36"/>
  <c r="I18" i="36"/>
  <c r="F21" i="36"/>
  <c r="E22" i="36"/>
  <c r="G10" i="14"/>
  <c r="E10" i="14"/>
  <c r="C10" i="14"/>
  <c r="G8" i="14"/>
  <c r="C8" i="14"/>
  <c r="H10" i="14"/>
  <c r="F10" i="14"/>
  <c r="D10" i="14"/>
  <c r="E8" i="14"/>
  <c r="B14" i="14"/>
  <c r="H12" i="14"/>
  <c r="F12" i="14"/>
  <c r="D12" i="14"/>
  <c r="B12" i="14"/>
  <c r="G12" i="14"/>
  <c r="E12" i="14"/>
  <c r="H8" i="14"/>
  <c r="F8" i="14"/>
  <c r="D8" i="14"/>
  <c r="G4" i="14"/>
  <c r="G3" i="14" s="1"/>
  <c r="E4" i="14"/>
  <c r="E3" i="14" s="1"/>
  <c r="C4" i="14"/>
  <c r="C3" i="14" s="1"/>
  <c r="H4" i="14"/>
  <c r="H3" i="14" s="1"/>
  <c r="F4" i="14"/>
  <c r="F3" i="14" s="1"/>
  <c r="D4" i="14"/>
  <c r="D3" i="14" s="1"/>
  <c r="E23" i="36" l="1"/>
  <c r="I19" i="36"/>
  <c r="J18" i="36"/>
  <c r="F22" i="36"/>
  <c r="G21" i="36"/>
  <c r="H20" i="36"/>
  <c r="H21" i="36" l="1"/>
  <c r="F23" i="36"/>
  <c r="I20" i="36"/>
  <c r="G22" i="36"/>
  <c r="J19" i="36"/>
  <c r="E24" i="36"/>
  <c r="E25" i="36" l="1"/>
  <c r="G23" i="36"/>
  <c r="F24" i="36"/>
  <c r="J20" i="36"/>
  <c r="I21" i="36"/>
  <c r="H22" i="36"/>
  <c r="H23" i="36" l="1"/>
  <c r="J21" i="36"/>
  <c r="G24" i="36"/>
  <c r="I22" i="36"/>
  <c r="F25" i="36"/>
  <c r="E26" i="36"/>
  <c r="E27" i="36" l="1"/>
  <c r="I23" i="36"/>
  <c r="J22" i="36"/>
  <c r="F26" i="36"/>
  <c r="G25" i="36"/>
  <c r="H24" i="36"/>
  <c r="H25" i="36" l="1"/>
  <c r="F27" i="36"/>
  <c r="I24" i="36"/>
  <c r="G26" i="36"/>
  <c r="J23" i="36"/>
  <c r="E28" i="36"/>
  <c r="E29" i="36" l="1"/>
  <c r="G27" i="36"/>
  <c r="F28" i="36"/>
  <c r="J24" i="36"/>
  <c r="I25" i="36"/>
  <c r="H26" i="36"/>
  <c r="H27" i="36" l="1"/>
  <c r="J25" i="36"/>
  <c r="G28" i="36"/>
  <c r="I26" i="36"/>
  <c r="F29" i="36"/>
  <c r="E30" i="36"/>
  <c r="E31" i="36" l="1"/>
  <c r="I27" i="36"/>
  <c r="J26" i="36"/>
  <c r="F30" i="36"/>
  <c r="G29" i="36"/>
  <c r="H28" i="36"/>
  <c r="H29" i="36" l="1"/>
  <c r="F31" i="36"/>
  <c r="I28" i="36"/>
  <c r="G30" i="36"/>
  <c r="J27" i="36"/>
  <c r="E32" i="36"/>
  <c r="E33" i="36" l="1"/>
  <c r="G31" i="36"/>
  <c r="F32" i="36"/>
  <c r="J28" i="36"/>
  <c r="I29" i="36"/>
  <c r="H30" i="36"/>
  <c r="H31" i="36" l="1"/>
  <c r="G32" i="36"/>
  <c r="J29" i="36"/>
  <c r="I30" i="36"/>
  <c r="F33" i="36"/>
  <c r="E34" i="36"/>
  <c r="I31" i="36" l="1"/>
  <c r="G33" i="36"/>
  <c r="E35" i="36"/>
  <c r="F34" i="36"/>
  <c r="J30" i="36"/>
  <c r="H32" i="36"/>
  <c r="H33" i="36" l="1"/>
  <c r="F35" i="36"/>
  <c r="G34" i="36"/>
  <c r="J31" i="36"/>
  <c r="E36" i="36"/>
  <c r="I32" i="36"/>
  <c r="I33" i="36" l="1"/>
  <c r="J32" i="36"/>
  <c r="F36" i="36"/>
  <c r="E37" i="36"/>
  <c r="G35" i="36"/>
  <c r="H34" i="36"/>
  <c r="H35" i="36" l="1"/>
  <c r="E38" i="36"/>
  <c r="J33" i="36"/>
  <c r="G36" i="36"/>
  <c r="F37" i="36"/>
  <c r="I34" i="36"/>
  <c r="I35" i="36" l="1"/>
  <c r="G37" i="36"/>
  <c r="E39" i="36"/>
  <c r="F38" i="36"/>
  <c r="J34" i="36"/>
  <c r="H36" i="36"/>
  <c r="H37" i="36" l="1"/>
  <c r="F39" i="36"/>
  <c r="G38" i="36"/>
  <c r="J35" i="36"/>
  <c r="E40" i="36"/>
  <c r="I36" i="36"/>
  <c r="I37" i="36" l="1"/>
  <c r="J36" i="36"/>
  <c r="F40" i="36"/>
  <c r="E41" i="36"/>
  <c r="G39" i="36"/>
  <c r="H38" i="36"/>
  <c r="E42" i="36" l="1"/>
  <c r="J37" i="36"/>
  <c r="H39" i="36"/>
  <c r="G40" i="36"/>
  <c r="F41" i="36"/>
  <c r="I38" i="36"/>
  <c r="I39" i="36" l="1"/>
  <c r="J38" i="36"/>
  <c r="G41" i="36"/>
  <c r="F42" i="36"/>
  <c r="H40" i="36"/>
  <c r="E43" i="36"/>
  <c r="F43" i="36" l="1"/>
  <c r="J39" i="36"/>
  <c r="E44" i="36"/>
  <c r="H41" i="36"/>
  <c r="G42" i="36"/>
  <c r="I40" i="36"/>
  <c r="I41" i="36" l="1"/>
  <c r="H42" i="36"/>
  <c r="J40" i="36"/>
  <c r="G43" i="36"/>
  <c r="E45" i="36"/>
  <c r="F44" i="36"/>
  <c r="F45" i="36" l="1"/>
  <c r="G44" i="36"/>
  <c r="H43" i="36"/>
  <c r="E46" i="36"/>
  <c r="J41" i="36"/>
  <c r="I42" i="36"/>
  <c r="I43" i="36" l="1"/>
  <c r="E47" i="36"/>
  <c r="G45" i="36"/>
  <c r="J42" i="36"/>
  <c r="H44" i="36"/>
  <c r="F46" i="36"/>
  <c r="F47" i="36" l="1"/>
  <c r="J43" i="36"/>
  <c r="E48" i="36"/>
  <c r="H45" i="36"/>
  <c r="G46" i="36"/>
  <c r="I44" i="36"/>
  <c r="I45" i="36" l="1"/>
  <c r="H46" i="36"/>
  <c r="J44" i="36"/>
  <c r="G47" i="36"/>
  <c r="E49" i="36"/>
  <c r="F48" i="36"/>
  <c r="F49" i="36" l="1"/>
  <c r="G48" i="36"/>
  <c r="H47" i="36"/>
  <c r="E50" i="36"/>
  <c r="J45" i="36"/>
  <c r="I46" i="36"/>
  <c r="E51" i="36" l="1"/>
  <c r="G49" i="36"/>
  <c r="I47" i="36"/>
  <c r="J46" i="36"/>
  <c r="H48" i="36"/>
  <c r="F50" i="36"/>
  <c r="F51" i="36" l="1"/>
  <c r="J47" i="36"/>
  <c r="G50" i="36"/>
  <c r="H49" i="36"/>
  <c r="I48" i="36"/>
  <c r="E52" i="36"/>
  <c r="H50" i="36" l="1"/>
  <c r="J48" i="36"/>
  <c r="E53" i="36"/>
  <c r="I49" i="36"/>
  <c r="G51" i="36"/>
  <c r="F52" i="36"/>
  <c r="F53" i="36" l="1"/>
  <c r="I50" i="36"/>
  <c r="J49" i="36"/>
  <c r="G52" i="36"/>
  <c r="E54" i="36"/>
  <c r="H51" i="36"/>
  <c r="H52" i="36" l="1"/>
  <c r="I51" i="36"/>
  <c r="G53" i="36"/>
  <c r="E55" i="36"/>
  <c r="J50" i="36"/>
  <c r="F54" i="36"/>
  <c r="I52" i="36" l="1"/>
  <c r="F55" i="36"/>
  <c r="J51" i="36"/>
  <c r="G54" i="36"/>
  <c r="H53" i="36"/>
  <c r="G55" i="36" l="1"/>
  <c r="H54" i="36"/>
  <c r="J52" i="36"/>
  <c r="I53" i="36"/>
  <c r="I54" i="36" l="1"/>
  <c r="H55" i="36"/>
  <c r="J53" i="36"/>
  <c r="J54" i="36" l="1"/>
  <c r="I55" i="36"/>
  <c r="J55" i="36" l="1"/>
</calcChain>
</file>

<file path=xl/sharedStrings.xml><?xml version="1.0" encoding="utf-8"?>
<sst xmlns="http://schemas.openxmlformats.org/spreadsheetml/2006/main" count="718" uniqueCount="506">
  <si>
    <t>Notes</t>
  </si>
  <si>
    <t xml:space="preserve"> </t>
  </si>
  <si>
    <t>Calendar Settings</t>
  </si>
  <si>
    <t>Year</t>
  </si>
  <si>
    <t>Week Start</t>
  </si>
  <si>
    <t>Monday</t>
  </si>
  <si>
    <t>Imposto de Renda</t>
  </si>
  <si>
    <t>Federal</t>
  </si>
  <si>
    <t>Lei de Incentivo a Cultura (Rouanet)</t>
  </si>
  <si>
    <t>Lei do Audiovisual</t>
  </si>
  <si>
    <t>ICMS</t>
  </si>
  <si>
    <t>Estadual</t>
  </si>
  <si>
    <t>Lei do ICMS</t>
  </si>
  <si>
    <t>https://portaldoiss.prefeitura.rio/a-lei-do-iss/</t>
  </si>
  <si>
    <t>ISS</t>
  </si>
  <si>
    <t>Municipal</t>
  </si>
  <si>
    <t>Lei do ISS</t>
  </si>
  <si>
    <t>OBSERVAÇÕES</t>
  </si>
  <si>
    <t>SITE</t>
  </si>
  <si>
    <t>EMPRESAS</t>
  </si>
  <si>
    <t>RESTRIÇÕES</t>
  </si>
  <si>
    <t>VALOR</t>
  </si>
  <si>
    <t>PROJETO</t>
  </si>
  <si>
    <t>PRAZO PARA INSCRIÇÃO DE PROJETOS</t>
  </si>
  <si>
    <t>PERÍODO</t>
  </si>
  <si>
    <t>IMPOSTO</t>
  </si>
  <si>
    <t>ESFERA</t>
  </si>
  <si>
    <t>LEI</t>
  </si>
  <si>
    <t>CRONOGRAMA MECANISMOS DE INCENTIVO</t>
  </si>
  <si>
    <t>PROJETOS 2024</t>
  </si>
  <si>
    <t>PROJETOS</t>
  </si>
  <si>
    <t>FORMATO/GÊNERO</t>
  </si>
  <si>
    <t>PRODUTORA</t>
  </si>
  <si>
    <t>COPRODUTORES</t>
  </si>
  <si>
    <t>ESTÁGIO DE PRODUÇÃO</t>
  </si>
  <si>
    <t>STATUS</t>
  </si>
  <si>
    <t>Dique</t>
  </si>
  <si>
    <t>Curta-Metragem / Drama / Suspense</t>
  </si>
  <si>
    <t>mãmu</t>
  </si>
  <si>
    <t>Clarissa, Maria Clara, Carol</t>
  </si>
  <si>
    <t>Desenvolvimento</t>
  </si>
  <si>
    <t>A Grande Colheita</t>
  </si>
  <si>
    <t>Longa-Metragem / Terror</t>
  </si>
  <si>
    <t>Film-In</t>
  </si>
  <si>
    <t>Thassilo Weber</t>
  </si>
  <si>
    <t>3Tabelas</t>
  </si>
  <si>
    <t>Podcast / Videocast / Educacional</t>
  </si>
  <si>
    <t>Eduardo Kenzo</t>
  </si>
  <si>
    <t>N/A</t>
  </si>
  <si>
    <t>LEIS DE INCENTIVO</t>
  </si>
  <si>
    <t>EDITAIS</t>
  </si>
  <si>
    <t>EDITAL</t>
  </si>
  <si>
    <t>Fechar roteiro, fecha rouanet, contratos iniciais, film comission vassouras, ajustar orçamento</t>
  </si>
  <si>
    <t xml:space="preserve">contratos, reunião fefe, joão pedro pinho, decisões roteiro, tiktok (fechar modelo de negócios - final a x final b) </t>
  </si>
  <si>
    <t>reunião kenzo (mudanças criativas), pedir prorrogação iss, definir roteiros, participantes</t>
  </si>
  <si>
    <t>Prorrogação até 31/01/2023 (Kenzo)</t>
  </si>
  <si>
    <t>Tarefas</t>
  </si>
  <si>
    <t>Fechar roteiro</t>
  </si>
  <si>
    <t>fecha rouanet</t>
  </si>
  <si>
    <t>contratos iniciais</t>
  </si>
  <si>
    <t>film comission vassouras</t>
  </si>
  <si>
    <t>ajustar orçamento</t>
  </si>
  <si>
    <t>Prazo</t>
  </si>
  <si>
    <t>Responsável</t>
  </si>
  <si>
    <t xml:space="preserve">
ORÇAMENTO | DIQUE</t>
  </si>
  <si>
    <t>Itens</t>
  </si>
  <si>
    <t>Descrição dos Itens</t>
  </si>
  <si>
    <t>qtde
unid/s</t>
  </si>
  <si>
    <t>unidade</t>
  </si>
  <si>
    <t>qtde 
item</t>
  </si>
  <si>
    <t>Valor
unitário</t>
  </si>
  <si>
    <t>Sub-Total</t>
  </si>
  <si>
    <t>Total</t>
  </si>
  <si>
    <t>Alimentação</t>
  </si>
  <si>
    <t>Desenvolvimento de Projeto</t>
  </si>
  <si>
    <t>1.1</t>
  </si>
  <si>
    <t>Roteiro</t>
  </si>
  <si>
    <t>1.1.2</t>
  </si>
  <si>
    <t>Aquisição dos direitos sobre a obra literária</t>
  </si>
  <si>
    <t>sócia</t>
  </si>
  <si>
    <t>1.1.3</t>
  </si>
  <si>
    <t>fee</t>
  </si>
  <si>
    <t>1.1.4</t>
  </si>
  <si>
    <t>Consultoria técnica</t>
  </si>
  <si>
    <t>2.1</t>
  </si>
  <si>
    <t>Equipe Direção</t>
  </si>
  <si>
    <t>2.1.1</t>
  </si>
  <si>
    <t>1º Assistente de Direção</t>
  </si>
  <si>
    <t>semana</t>
  </si>
  <si>
    <t>2.1.2</t>
  </si>
  <si>
    <t>2º Assistente de Direção/ estagiária</t>
  </si>
  <si>
    <t>2.1.3</t>
  </si>
  <si>
    <t>Continuísta</t>
  </si>
  <si>
    <t>semanas</t>
  </si>
  <si>
    <t>2.1.4</t>
  </si>
  <si>
    <t>Assistente de continuidade</t>
  </si>
  <si>
    <t>2.2</t>
  </si>
  <si>
    <t>Equipe Produção</t>
  </si>
  <si>
    <t>2.2.1</t>
  </si>
  <si>
    <t>sócios</t>
  </si>
  <si>
    <t>2.2.2</t>
  </si>
  <si>
    <t>Diretora de produção</t>
  </si>
  <si>
    <t>2.2.3</t>
  </si>
  <si>
    <t>Coordenadora de produção</t>
  </si>
  <si>
    <t>2.2.4</t>
  </si>
  <si>
    <t>Assistente de produção</t>
  </si>
  <si>
    <t>2.2.5</t>
  </si>
  <si>
    <t>Platô</t>
  </si>
  <si>
    <t>2.3</t>
  </si>
  <si>
    <t>Equipe Arte</t>
  </si>
  <si>
    <t>2.3.1</t>
  </si>
  <si>
    <t>Diretor de Arte</t>
  </si>
  <si>
    <t>pacote</t>
  </si>
  <si>
    <t>2.3.2</t>
  </si>
  <si>
    <t>Assistente de Arte / produtora de objetos</t>
  </si>
  <si>
    <t>2.3.3</t>
  </si>
  <si>
    <t>Ajudante de Arte / Contrarregra (amiga irmã carol)</t>
  </si>
  <si>
    <t>Pintor/Faz-tudo de set (cleberson)</t>
  </si>
  <si>
    <t>2.3.4</t>
  </si>
  <si>
    <t>Designer (fora do set) - Manu</t>
  </si>
  <si>
    <t>a definir</t>
  </si>
  <si>
    <t>2.4</t>
  </si>
  <si>
    <t>Equipe Figurino</t>
  </si>
  <si>
    <t>2.4.1</t>
  </si>
  <si>
    <t>Figurinista</t>
  </si>
  <si>
    <t>2.4.2</t>
  </si>
  <si>
    <t>Assistente de figurino (anna julia)</t>
  </si>
  <si>
    <t>2.5</t>
  </si>
  <si>
    <t>Equipe Maquiagem</t>
  </si>
  <si>
    <t>2.5.1</t>
  </si>
  <si>
    <t>2.5.2</t>
  </si>
  <si>
    <t>Assistente de maquiagem e cabelo</t>
  </si>
  <si>
    <t>verba</t>
  </si>
  <si>
    <t>2.6</t>
  </si>
  <si>
    <t>Equipe Fotografia</t>
  </si>
  <si>
    <t>2.6.1</t>
  </si>
  <si>
    <t>Diretor de Fotografia</t>
  </si>
  <si>
    <t>2.6.2</t>
  </si>
  <si>
    <t>1º Assistente de câmera (Foquista)</t>
  </si>
  <si>
    <t>2.6.3</t>
  </si>
  <si>
    <t>2º Assistente de câmera / Video Assist</t>
  </si>
  <si>
    <t>2.7</t>
  </si>
  <si>
    <t>Equipe Elétrica</t>
  </si>
  <si>
    <t>2.7.1</t>
  </si>
  <si>
    <t>Gaffer</t>
  </si>
  <si>
    <t>2.7.2</t>
  </si>
  <si>
    <t>Assistente de elétrica</t>
  </si>
  <si>
    <t>2.8</t>
  </si>
  <si>
    <t>Equipe Maquinária</t>
  </si>
  <si>
    <t>2.8.1</t>
  </si>
  <si>
    <t>Maquinista Chefe</t>
  </si>
  <si>
    <t>2.8.2</t>
  </si>
  <si>
    <t>Assistente de maquinária</t>
  </si>
  <si>
    <t>2.9</t>
  </si>
  <si>
    <t>Equipe Som</t>
  </si>
  <si>
    <t>2.9.1</t>
  </si>
  <si>
    <t>Diretor de Som</t>
  </si>
  <si>
    <t>2.9.2</t>
  </si>
  <si>
    <t>Microfonista</t>
  </si>
  <si>
    <t>2.9.3</t>
  </si>
  <si>
    <t>Assistente de som</t>
  </si>
  <si>
    <t>2.10</t>
  </si>
  <si>
    <t>Equipe Financeiro</t>
  </si>
  <si>
    <t>2.10.1</t>
  </si>
  <si>
    <t>Controller (fora do set)</t>
  </si>
  <si>
    <t>2.11</t>
  </si>
  <si>
    <t>Despesas de Produção</t>
  </si>
  <si>
    <t>2.11.1</t>
  </si>
  <si>
    <t>Infraestrutura de escritório (material, café, papel higienico, etc)</t>
  </si>
  <si>
    <t>Impressão de Roteiro</t>
  </si>
  <si>
    <t>unidades</t>
  </si>
  <si>
    <t>2.12</t>
  </si>
  <si>
    <t>2.12.1</t>
  </si>
  <si>
    <t>ticket</t>
  </si>
  <si>
    <t>2.12.2</t>
  </si>
  <si>
    <t>Alimentação ensaios</t>
  </si>
  <si>
    <t>2.12.3</t>
  </si>
  <si>
    <t>Alimentação visita de locação - primeira visita</t>
  </si>
  <si>
    <t>reembolso jessica</t>
  </si>
  <si>
    <t>2.12.4</t>
  </si>
  <si>
    <t>Alimentação visita executiva/técnica</t>
  </si>
  <si>
    <t>2.12.5</t>
  </si>
  <si>
    <t>2.13</t>
  </si>
  <si>
    <t>Transporte</t>
  </si>
  <si>
    <t>2.13.1</t>
  </si>
  <si>
    <t>Vans e Carros</t>
  </si>
  <si>
    <t>diária</t>
  </si>
  <si>
    <t>2.13.3</t>
  </si>
  <si>
    <t>diárias</t>
  </si>
  <si>
    <t>Caminhões e pickups</t>
  </si>
  <si>
    <t>2.13.5</t>
  </si>
  <si>
    <t>Pickup ou caminhãozinho baú de luz, câmera, maquinária e arte</t>
  </si>
  <si>
    <t>Combustível e Outros</t>
  </si>
  <si>
    <t>Combustível - carros</t>
  </si>
  <si>
    <t>tickets</t>
  </si>
  <si>
    <t>Combustível - caminhão e van</t>
  </si>
  <si>
    <t>Uber</t>
  </si>
  <si>
    <t>Pedágio Van</t>
  </si>
  <si>
    <t>Pedágio Caminhão</t>
  </si>
  <si>
    <t>Pedágio Carro</t>
  </si>
  <si>
    <t>Motoboy</t>
  </si>
  <si>
    <t>2.15</t>
  </si>
  <si>
    <t>Hospedagem</t>
  </si>
  <si>
    <t>2.15.1</t>
  </si>
  <si>
    <t>Hospedagem equipe - preparação Vassouras</t>
  </si>
  <si>
    <t>2.16</t>
  </si>
  <si>
    <t>Segurança</t>
  </si>
  <si>
    <t>2.16.1</t>
  </si>
  <si>
    <t>Segurança - equipamento/casa</t>
  </si>
  <si>
    <t>Produção/Filmagem - 04 diárias</t>
  </si>
  <si>
    <t>3.1</t>
  </si>
  <si>
    <t>3.1.1</t>
  </si>
  <si>
    <t>Diretor (pelo filme)</t>
  </si>
  <si>
    <t>sócio</t>
  </si>
  <si>
    <t>3.1.2</t>
  </si>
  <si>
    <t>3.1.3</t>
  </si>
  <si>
    <t>2º Assistente de Direção</t>
  </si>
  <si>
    <t>3.1.4</t>
  </si>
  <si>
    <t>Continuista</t>
  </si>
  <si>
    <t>3.1.5</t>
  </si>
  <si>
    <t>3.2</t>
  </si>
  <si>
    <t>3.2.2</t>
  </si>
  <si>
    <t>3.2.4</t>
  </si>
  <si>
    <t>Diretor de Produção</t>
  </si>
  <si>
    <t>Semana</t>
  </si>
  <si>
    <t>3.2.5</t>
  </si>
  <si>
    <t>Coordenador de produção</t>
  </si>
  <si>
    <t>3.2.6</t>
  </si>
  <si>
    <t>3.3</t>
  </si>
  <si>
    <t>3.3.1</t>
  </si>
  <si>
    <t>3.3.2</t>
  </si>
  <si>
    <t>3.3.3</t>
  </si>
  <si>
    <t>Ajudante de Arte / Contrarregra</t>
  </si>
  <si>
    <t>Limpeza de set</t>
  </si>
  <si>
    <t>3.4</t>
  </si>
  <si>
    <t>3.4.1</t>
  </si>
  <si>
    <t>Assistente de figurino</t>
  </si>
  <si>
    <t>3.5</t>
  </si>
  <si>
    <t>3.5.1</t>
  </si>
  <si>
    <t>Maquiador e cabeleireiro</t>
  </si>
  <si>
    <t>3.5.2</t>
  </si>
  <si>
    <t>3.6</t>
  </si>
  <si>
    <t>3.6.1</t>
  </si>
  <si>
    <t>3.6.2</t>
  </si>
  <si>
    <t>Foquista</t>
  </si>
  <si>
    <t>Assistente de câmera / video assist</t>
  </si>
  <si>
    <t>3.6.5</t>
  </si>
  <si>
    <t>Logger</t>
  </si>
  <si>
    <t>3.7</t>
  </si>
  <si>
    <t>3.7.1</t>
  </si>
  <si>
    <t>3.7.2</t>
  </si>
  <si>
    <t>1º Assistente de Elétrica</t>
  </si>
  <si>
    <t>3.8</t>
  </si>
  <si>
    <t>3.8.1</t>
  </si>
  <si>
    <t>Maquinista chefe</t>
  </si>
  <si>
    <t>3.9</t>
  </si>
  <si>
    <t>Som</t>
  </si>
  <si>
    <t>3.9.1</t>
  </si>
  <si>
    <t>Diretor de som</t>
  </si>
  <si>
    <t>acima</t>
  </si>
  <si>
    <t>3.9.2</t>
  </si>
  <si>
    <t>Microfonista (beto)</t>
  </si>
  <si>
    <t>Assistente de som (lui)</t>
  </si>
  <si>
    <t>3.10</t>
  </si>
  <si>
    <t>3.10.1</t>
  </si>
  <si>
    <t>3.11</t>
  </si>
  <si>
    <t>Elenco</t>
  </si>
  <si>
    <t>3.11.1</t>
  </si>
  <si>
    <t>Elenco principal</t>
  </si>
  <si>
    <t>Participações especiais</t>
  </si>
  <si>
    <t>cache</t>
  </si>
  <si>
    <t>3.15</t>
  </si>
  <si>
    <t>Equipamentos e Consumiveis</t>
  </si>
  <si>
    <t>3.15.1</t>
  </si>
  <si>
    <t>Kit de Câmera e Lentes</t>
  </si>
  <si>
    <t>Drone</t>
  </si>
  <si>
    <t>Grua, steadicam, etc?</t>
  </si>
  <si>
    <t>3.15.2</t>
  </si>
  <si>
    <t>3.15.3</t>
  </si>
  <si>
    <t>Equipamento de Som Direto</t>
  </si>
  <si>
    <t>Equipamento de maquinária</t>
  </si>
  <si>
    <t>Equipamentos de elétrica</t>
  </si>
  <si>
    <t>3.15.5</t>
  </si>
  <si>
    <t>Consumíveis de Elétrica, Câmera e Som</t>
  </si>
  <si>
    <t>3.16</t>
  </si>
  <si>
    <t>Efeitos Especiais</t>
  </si>
  <si>
    <t>3.16.1</t>
  </si>
  <si>
    <t>Pacote Efeitista, Equipamentos e Materiais</t>
  </si>
  <si>
    <t>3.19</t>
  </si>
  <si>
    <t>Locações</t>
  </si>
  <si>
    <t>3.19.1</t>
  </si>
  <si>
    <t>3.20</t>
  </si>
  <si>
    <t>Cenários</t>
  </si>
  <si>
    <t>3.20.1</t>
  </si>
  <si>
    <t>Decoração / dressing</t>
  </si>
  <si>
    <t>Construção de cenário/ manutenção</t>
  </si>
  <si>
    <t>3.20.2</t>
  </si>
  <si>
    <t>Objetos de Cena</t>
  </si>
  <si>
    <t>3.21</t>
  </si>
  <si>
    <t>Figurino</t>
  </si>
  <si>
    <t>3.21.1</t>
  </si>
  <si>
    <t>Compra e aluguel de roupas e acessórios</t>
  </si>
  <si>
    <t>3.21.2</t>
  </si>
  <si>
    <t>Costura e reparos</t>
  </si>
  <si>
    <t>3.22</t>
  </si>
  <si>
    <t>Maquiagem</t>
  </si>
  <si>
    <t>3.22.1</t>
  </si>
  <si>
    <t>Compra maquiagem, aluguel de perucas, visagismo</t>
  </si>
  <si>
    <t>3.23</t>
  </si>
  <si>
    <t>3.23.1</t>
  </si>
  <si>
    <t>Infraestrutura de Set (barracas, pranchões, cadeiras, etc)</t>
  </si>
  <si>
    <t>3.23.2</t>
  </si>
  <si>
    <t>3.23.3</t>
  </si>
  <si>
    <t>Impressora</t>
  </si>
  <si>
    <t>3.23.4</t>
  </si>
  <si>
    <t>Rádio</t>
  </si>
  <si>
    <t>18 reais a diaria</t>
  </si>
  <si>
    <t>3.23.5</t>
  </si>
  <si>
    <t>Repelente, kit primeiro socorros etc</t>
  </si>
  <si>
    <t>Alimentação de Set (Catering)</t>
  </si>
  <si>
    <t>OBS. Preciso entender melhor</t>
  </si>
  <si>
    <t>esquema da cozinheira da fazenda</t>
  </si>
  <si>
    <t>3.22.2</t>
  </si>
  <si>
    <t>Alimentação extra</t>
  </si>
  <si>
    <t>Carro de produção</t>
  </si>
  <si>
    <t>Van de camera e som</t>
  </si>
  <si>
    <t>Van de arte/ figurino / maquiagem</t>
  </si>
  <si>
    <t>Caminhões e Outros Veículos</t>
  </si>
  <si>
    <t>3.23.6</t>
  </si>
  <si>
    <t>Pickup arte, figurino, maquiagem, elétrica e maquinária</t>
  </si>
  <si>
    <t>3.23.9</t>
  </si>
  <si>
    <t>Combustível</t>
  </si>
  <si>
    <t>3.23.10</t>
  </si>
  <si>
    <t>Taxis e uber</t>
  </si>
  <si>
    <t>3.23.11</t>
  </si>
  <si>
    <t>Estacionamento, Pedágio, Zona Azul</t>
  </si>
  <si>
    <t>3.23.12</t>
  </si>
  <si>
    <t>Km fora do município</t>
  </si>
  <si>
    <t>km</t>
  </si>
  <si>
    <t>3.25</t>
  </si>
  <si>
    <t>Viagens</t>
  </si>
  <si>
    <t>3.25.2</t>
  </si>
  <si>
    <t>Pós Produção (8 semanas)</t>
  </si>
  <si>
    <t>4.1</t>
  </si>
  <si>
    <t>Equipe</t>
  </si>
  <si>
    <t>4.1.1</t>
  </si>
  <si>
    <t>Coordenador de Pós Produção</t>
  </si>
  <si>
    <t>4.1.2</t>
  </si>
  <si>
    <t>Montador</t>
  </si>
  <si>
    <t>4.2</t>
  </si>
  <si>
    <t>Laboratório de imagem</t>
  </si>
  <si>
    <t>4.2.1</t>
  </si>
  <si>
    <t>Intermediação Digital - captura, render, export e correção de cor</t>
  </si>
  <si>
    <t>4.2.2</t>
  </si>
  <si>
    <t>Lettering (Manu)</t>
  </si>
  <si>
    <t>4.4</t>
  </si>
  <si>
    <t>Edição de Som e Mixagem</t>
  </si>
  <si>
    <t>4.4.1</t>
  </si>
  <si>
    <t>4.5</t>
  </si>
  <si>
    <t>Música</t>
  </si>
  <si>
    <t>4.5.1</t>
  </si>
  <si>
    <t>Trilha Original</t>
  </si>
  <si>
    <t>4.7</t>
  </si>
  <si>
    <t>Tradução, Legendagem e Acessibilidade</t>
  </si>
  <si>
    <t>4.7.1</t>
  </si>
  <si>
    <t>Legendagem, audiodescrição e LIBRAS</t>
  </si>
  <si>
    <t>serviço</t>
  </si>
  <si>
    <t>4.8</t>
  </si>
  <si>
    <t>Material sensível e Masters</t>
  </si>
  <si>
    <t>4.8.1</t>
  </si>
  <si>
    <t>HD's, DVDs, Fitas, negativos e outras mídias</t>
  </si>
  <si>
    <t>4.8.2</t>
  </si>
  <si>
    <t>Masters e Deliveries</t>
  </si>
  <si>
    <t>4.9</t>
  </si>
  <si>
    <t>Despesas de Pós</t>
  </si>
  <si>
    <t>4.9.4</t>
  </si>
  <si>
    <t>Remessas de Material Sensível (motoboy, correio, courrier)</t>
  </si>
  <si>
    <t>Despesas Administrativas</t>
  </si>
  <si>
    <t>5.1</t>
  </si>
  <si>
    <t>Contabilidade e Jurídico</t>
  </si>
  <si>
    <t>5.1.1</t>
  </si>
  <si>
    <t>Assessoria Contábil</t>
  </si>
  <si>
    <t>5.1.2</t>
  </si>
  <si>
    <t>Assessoria Jurídica</t>
  </si>
  <si>
    <t>5.2</t>
  </si>
  <si>
    <t>Seguros</t>
  </si>
  <si>
    <t>5.2.1</t>
  </si>
  <si>
    <t>Seguro do Filme</t>
  </si>
  <si>
    <t>Total da Produção</t>
  </si>
  <si>
    <t>verba pra divulgacao/lançamento</t>
  </si>
  <si>
    <t>7.1</t>
  </si>
  <si>
    <t>Gerenciamento e Execução</t>
  </si>
  <si>
    <t>tributos/impostos</t>
  </si>
  <si>
    <t>7.1.1</t>
  </si>
  <si>
    <t>TOTAL DO PROJETO</t>
  </si>
  <si>
    <t>150 / 200</t>
  </si>
  <si>
    <t xml:space="preserve">Pré Produção -  1,5 semanas de pré </t>
  </si>
  <si>
    <t xml:space="preserve">Produtor Executivo </t>
  </si>
  <si>
    <t xml:space="preserve">Maquiador e Cabeleireiro </t>
  </si>
  <si>
    <t xml:space="preserve">Alimentação visita técnica - fotografia </t>
  </si>
  <si>
    <t xml:space="preserve">Assistente de Arte </t>
  </si>
  <si>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erador com geradorista</t>
    </r>
  </si>
  <si>
    <t xml:space="preserve">Equipamento de luz </t>
  </si>
  <si>
    <t xml:space="preserve">Van de equipe </t>
  </si>
  <si>
    <t>6</t>
  </si>
  <si>
    <t>7</t>
  </si>
  <si>
    <r>
      <rPr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Gerenciamento</t>
    </r>
    <r>
      <rPr>
        <sz val="8"/>
        <color rgb="FF000000"/>
        <rFont val="Arial"/>
        <family val="2"/>
      </rPr>
      <t xml:space="preserve"> ( ate 10% somatorio itens 1 a 7)</t>
    </r>
  </si>
  <si>
    <t>Resumo</t>
  </si>
  <si>
    <t>Rio Filme</t>
  </si>
  <si>
    <t>Itaú Rumos</t>
  </si>
  <si>
    <t>10/10/2024 - 10/12/2024</t>
  </si>
  <si>
    <t>01/08/2024 - 01/09/2024</t>
  </si>
  <si>
    <t>01/07/2024 - 01/08/2024</t>
  </si>
  <si>
    <t>01/05/2024 - 31/05/2024</t>
  </si>
  <si>
    <t>Status</t>
  </si>
  <si>
    <t>Clarissa e Jessica</t>
  </si>
  <si>
    <t>Alice</t>
  </si>
  <si>
    <t>Carol e Jessica</t>
  </si>
  <si>
    <t>Carol, Jessica, Maria Clara</t>
  </si>
  <si>
    <t>Observações</t>
  </si>
  <si>
    <t>Weekly lesson planner</t>
  </si>
  <si>
    <t>8:00 – 8:45</t>
  </si>
  <si>
    <t>8:45 – 9:30</t>
  </si>
  <si>
    <t>9:30 – 10:15</t>
  </si>
  <si>
    <t>10:30 – 11:30</t>
  </si>
  <si>
    <t>11:30 – 12:00</t>
  </si>
  <si>
    <t>MON</t>
  </si>
  <si>
    <t>TUE</t>
  </si>
  <si>
    <t xml:space="preserve"> WED</t>
  </si>
  <si>
    <t>THU</t>
  </si>
  <si>
    <t>FRI</t>
  </si>
  <si>
    <t>SABADO</t>
  </si>
  <si>
    <t>DOMINGO</t>
  </si>
  <si>
    <t xml:space="preserve">SELECT FIRST DAY OF THE WEEK: </t>
  </si>
  <si>
    <t>SUNDAY</t>
  </si>
  <si>
    <r>
      <rPr>
        <b/>
        <sz val="11"/>
        <color theme="1" tint="0.1498764000366222"/>
        <rFont val="Lucida Bright"/>
        <family val="2"/>
        <scheme val="minor"/>
      </rPr>
      <t>TIP:</t>
    </r>
    <r>
      <rPr>
        <sz val="11"/>
        <color theme="1" tint="0.24994659260841701"/>
        <rFont val="Lucida Bright"/>
        <family val="2"/>
        <scheme val="minor"/>
      </rPr>
      <t xml:space="preserve"> To change the calendar year, type over the year in cell below.</t>
    </r>
  </si>
  <si>
    <t>Aquisição dos direitos de roteiro</t>
  </si>
  <si>
    <t>Coluna1</t>
  </si>
  <si>
    <t>9Tabelas</t>
  </si>
  <si>
    <t>10tabelas</t>
  </si>
  <si>
    <t>Diquet</t>
  </si>
  <si>
    <t>19tabelas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</si>
  <si>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</si>
  <si>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</si>
  <si>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</si>
  <si>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</si>
  <si>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</si>
  <si>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</si>
  <si>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</si>
  <si>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</si>
  <si>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Sem 9</t>
  </si>
  <si>
    <t>Sem 10</t>
  </si>
  <si>
    <t>Sem 11</t>
  </si>
  <si>
    <t>Sem 12</t>
  </si>
  <si>
    <t>Sem 13</t>
  </si>
  <si>
    <t>Sem 14</t>
  </si>
  <si>
    <t>Sem 15</t>
  </si>
  <si>
    <t>Sem 16</t>
  </si>
  <si>
    <t>Sem 17</t>
  </si>
  <si>
    <t>Sem 18</t>
  </si>
  <si>
    <t>Sem 19</t>
  </si>
  <si>
    <t>Sem 20</t>
  </si>
  <si>
    <t>Sem 21</t>
  </si>
  <si>
    <t>Sem 22</t>
  </si>
  <si>
    <t>Sem 23</t>
  </si>
  <si>
    <t>Sem 24</t>
  </si>
  <si>
    <t>Sem 25</t>
  </si>
  <si>
    <t>Sem 26</t>
  </si>
  <si>
    <t>Sem 27</t>
  </si>
  <si>
    <t>Sem 28</t>
  </si>
  <si>
    <t>Sem 29</t>
  </si>
  <si>
    <t>Sem 30</t>
  </si>
  <si>
    <t>Sem 31</t>
  </si>
  <si>
    <t>Sem 32</t>
  </si>
  <si>
    <t>Sem 33</t>
  </si>
  <si>
    <t>Sem 34</t>
  </si>
  <si>
    <t>Sem 35</t>
  </si>
  <si>
    <t>Sem 36</t>
  </si>
  <si>
    <t>Sem 37</t>
  </si>
  <si>
    <t>Sem 38</t>
  </si>
  <si>
    <t>Sem 39</t>
  </si>
  <si>
    <t>Sem 40</t>
  </si>
  <si>
    <t>Sem 41</t>
  </si>
  <si>
    <t>Sem 42</t>
  </si>
  <si>
    <t>Sem 43</t>
  </si>
  <si>
    <t>Sem 44</t>
  </si>
  <si>
    <t>Sem 45</t>
  </si>
  <si>
    <t>Sem 46</t>
  </si>
  <si>
    <t>Sem 47</t>
  </si>
  <si>
    <t>Sem 48</t>
  </si>
  <si>
    <t>Sem 49</t>
  </si>
  <si>
    <t>Sem 50</t>
  </si>
  <si>
    <t>Sem 51</t>
  </si>
  <si>
    <t>Sem 52</t>
  </si>
  <si>
    <t>Sem 53</t>
  </si>
  <si>
    <t>Seg</t>
  </si>
  <si>
    <t>Ter</t>
  </si>
  <si>
    <t>Qua</t>
  </si>
  <si>
    <t>Qui</t>
  </si>
  <si>
    <t>Sex</t>
  </si>
  <si>
    <t>Sáb</t>
  </si>
  <si>
    <t>Dom</t>
  </si>
  <si>
    <t xml:space="preserve">Data </t>
  </si>
  <si>
    <t>Nome</t>
  </si>
  <si>
    <t>Medico</t>
  </si>
  <si>
    <t>Prazo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</si>
</sst>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d"/>
    <numFmt numFmtId="169" formatCode="#,##0.00;[Red]#,##0.00"/>
    <numFmt numFmtId="170" formatCode="_(&quot;R$ &quot;* #,##0.00_);_(&quot;R$ &quot;* \(#,##0.00\);_(&quot;R$ &quot;* &quot;-&quot;??_);_(@_)"/>
    <numFmt numFmtId="171" formatCode="#,##0.0"/>
    <numFmt numFmtId="172" formatCode="mmm\ dd"/>
    <numFmt numFmtId="173" formatCode="mmm\,\ dd"/>
    <numFmt numFmtId="174" formatCode="[$-416]d\-mmm;@"/>
  </numFmts>
  <fonts count="86" x14ac:knownFonts="1">
    <font>
      <sz val="11"/>
      <color theme="1" tint="0.24994659260841701"/>
      <name val="Lucida Bright"/>
      <family val="2"/>
      <scheme val="minor"/>
    </font>
    <font>
      <sz val="12"/>
      <color theme="1"/>
      <name val="Lucida Bright"/>
      <family val="2"/>
      <scheme val="minor"/>
    </font>
    <font>
      <sz val="8"/>
      <name val="Arial"/>
      <family val="2"/>
    </font>
    <font>
      <b/>
      <sz val="11"/>
      <color theme="0"/>
      <name val="Lucida Bright"/>
      <family val="2"/>
      <scheme val="minor"/>
    </font>
    <font>
      <b/>
      <sz val="14"/>
      <color theme="0"/>
      <name val="Lucida Bright"/>
      <family val="2"/>
      <scheme val="minor"/>
    </font>
    <font>
      <sz val="35"/>
      <color theme="4"/>
      <name val="Lucida Bright"/>
      <family val="2"/>
      <scheme val="minor"/>
    </font>
    <font>
      <sz val="12"/>
      <color theme="4" tint="-0.24994659260841701"/>
      <name val="Cambria"/>
      <family val="1"/>
      <scheme val="major"/>
    </font>
    <font>
      <sz val="11"/>
      <color theme="1" tint="0.34998626667073579"/>
      <name val="Lucida Bright"/>
      <family val="2"/>
      <scheme val="minor"/>
    </font>
    <font>
      <sz val="11"/>
      <color theme="4" tint="-0.24994659260841701"/>
      <name val="Lucida Bright"/>
      <family val="2"/>
      <scheme val="minor"/>
    </font>
    <font>
      <sz val="11"/>
      <color indexed="63"/>
      <name val="Lucida Bright"/>
      <family val="2"/>
      <scheme val="minor"/>
    </font>
    <font>
      <sz val="11"/>
      <name val="Lucida Bright"/>
      <family val="2"/>
      <scheme val="minor"/>
    </font>
    <font>
      <b/>
      <sz val="11"/>
      <color theme="1" tint="0.34998626667073579"/>
      <name val="Lucida Bright"/>
      <family val="2"/>
      <scheme val="minor"/>
    </font>
    <font>
      <sz val="11"/>
      <color theme="1" tint="0.24994659260841701"/>
      <name val="Lucida Bright"/>
      <family val="2"/>
      <scheme val="minor"/>
    </font>
    <font>
      <sz val="12"/>
      <color theme="8" tint="-0.249977111117893"/>
      <name val="Lucida Bright"/>
      <family val="1"/>
      <scheme val="minor"/>
    </font>
    <font>
      <sz val="11"/>
      <color theme="1" tint="0.14999847407452621"/>
      <name val="Lucida Bright"/>
      <family val="1"/>
      <scheme val="minor"/>
    </font>
    <font>
      <sz val="35"/>
      <color theme="1" tint="0.14999847407452621"/>
      <name val="Lucida Bright"/>
      <family val="1"/>
      <scheme val="minor"/>
    </font>
    <font>
      <sz val="12"/>
      <color theme="1" tint="0.14999847407452621"/>
      <name val="Lucida Bright"/>
      <family val="1"/>
      <scheme val="minor"/>
    </font>
    <font>
      <sz val="10"/>
      <color theme="1" tint="0.14999847407452621"/>
      <name val="Lucida Bright"/>
      <family val="1"/>
      <scheme val="minor"/>
    </font>
    <font>
      <sz val="9"/>
      <color theme="1" tint="0.14999847407452621"/>
      <name val="Lucida Bright"/>
      <family val="1"/>
      <scheme val="minor"/>
    </font>
    <font>
      <sz val="11"/>
      <color theme="1" tint="0.14999847407452621"/>
      <name val="Lucida Bright"/>
      <family val="2"/>
      <scheme val="minor"/>
    </font>
    <font>
      <sz val="35"/>
      <color theme="9" tint="-0.499984740745262"/>
      <name val="Cambria"/>
      <family val="1"/>
      <scheme val="major"/>
    </font>
    <font>
      <sz val="35"/>
      <color theme="8" tint="-0.499984740745262"/>
      <name val="Cambria"/>
      <family val="1"/>
      <scheme val="major"/>
    </font>
    <font>
      <sz val="35"/>
      <color theme="5" tint="-0.499984740745262"/>
      <name val="Cambria"/>
      <family val="1"/>
      <scheme val="major"/>
    </font>
    <font>
      <sz val="35"/>
      <color theme="7" tint="-0.499984740745262"/>
      <name val="Cambria"/>
      <family val="1"/>
      <scheme val="major"/>
    </font>
    <font>
      <sz val="12"/>
      <color theme="8" tint="-0.499984740745262"/>
      <name val="Lucida Bright"/>
      <family val="1"/>
      <scheme val="minor"/>
    </font>
    <font>
      <sz val="12"/>
      <color theme="9" tint="-0.499984740745262"/>
      <name val="Lucida Bright"/>
      <family val="1"/>
      <scheme val="minor"/>
    </font>
    <font>
      <sz val="12"/>
      <color theme="7" tint="-0.499984740745262"/>
      <name val="Lucida Bright"/>
      <family val="1"/>
      <scheme val="minor"/>
    </font>
    <font>
      <sz val="12"/>
      <color theme="5" tint="-0.499984740745262"/>
      <name val="Lucida Bright"/>
      <family val="1"/>
      <scheme val="minor"/>
    </font>
    <font>
      <u/>
      <sz val="12"/>
      <color theme="10"/>
      <name val="Lucida Bright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  <font>
      <b/>
      <sz val="16"/>
      <color theme="1"/>
      <name val="Calibri"/>
      <family val="2"/>
    </font>
    <font>
      <sz val="14"/>
      <color theme="1"/>
      <name val="Calibri"/>
      <family val="2"/>
    </font>
    <font>
      <sz val="12"/>
      <color theme="1" tint="0.24994659260841701"/>
      <name val="Calibri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11"/>
      <name val="Calibri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Lucida Bright"/>
      <family val="2"/>
      <scheme val="minor"/>
    </font>
    <font>
      <sz val="16"/>
      <color rgb="FF000000"/>
      <name val="Arial"/>
      <family val="2"/>
    </font>
    <font>
      <b/>
      <sz val="11"/>
      <color theme="1"/>
      <name val="Lucida Bright"/>
      <family val="2"/>
      <scheme val="minor"/>
    </font>
    <font>
      <sz val="11"/>
      <color theme="1"/>
      <name val="Lucida Bright"/>
      <family val="2"/>
      <scheme val="minor"/>
    </font>
    <font>
      <b/>
      <sz val="8"/>
      <color theme="1"/>
      <name val="Arial"/>
      <family val="2"/>
    </font>
    <font>
      <i/>
      <sz val="11"/>
      <color theme="1"/>
      <name val="Lucida Bright"/>
      <family val="2"/>
      <scheme val="minor"/>
    </font>
    <font>
      <sz val="8"/>
      <color theme="1"/>
      <name val="Arial"/>
      <family val="2"/>
    </font>
    <font>
      <b/>
      <sz val="16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36"/>
      <color theme="1" tint="0.249977111117893"/>
      <name val="Lucida Bright"/>
      <family val="2"/>
      <scheme val="minor"/>
    </font>
    <font>
      <sz val="32"/>
      <color theme="1" tint="0.249977111117893"/>
      <name val="Cambria"/>
      <family val="2"/>
      <scheme val="major"/>
    </font>
    <font>
      <sz val="32"/>
      <color theme="1" tint="0.249977111117893"/>
      <name val="Lucida Bright"/>
      <family val="2"/>
      <scheme val="minor"/>
    </font>
    <font>
      <b/>
      <sz val="14"/>
      <color theme="1" tint="0.249977111117893"/>
      <name val="Lucida Bright"/>
      <family val="2"/>
      <scheme val="minor"/>
    </font>
    <font>
      <sz val="14"/>
      <color theme="1" tint="0.249977111117893"/>
      <name val="Lucida Bright"/>
      <family val="2"/>
      <scheme val="minor"/>
    </font>
    <font>
      <b/>
      <sz val="12"/>
      <color theme="1" tint="0.249977111117893"/>
      <name val="Cambria"/>
      <family val="2"/>
      <scheme val="major"/>
    </font>
    <font>
      <b/>
      <sz val="16"/>
      <color theme="0"/>
      <name val="Cambria"/>
      <family val="2"/>
      <scheme val="major"/>
    </font>
    <font>
      <b/>
      <sz val="14"/>
      <color theme="4" tint="-0.249977111117893"/>
      <name val="Lucida Bright"/>
      <family val="2"/>
      <scheme val="minor"/>
    </font>
    <font>
      <b/>
      <sz val="14"/>
      <color theme="4" tint="-0.249977111117893"/>
      <name val="Cambria"/>
      <family val="2"/>
      <scheme val="major"/>
    </font>
    <font>
      <b/>
      <sz val="14"/>
      <color theme="4"/>
      <name val="Lucida Bright"/>
      <family val="2"/>
      <scheme val="minor"/>
    </font>
    <font>
      <sz val="10"/>
      <color theme="2" tint="-0.749992370372631"/>
      <name val="Lucida Bright"/>
      <family val="2"/>
      <scheme val="minor"/>
    </font>
    <font>
      <b/>
      <sz val="14"/>
      <color theme="8" tint="-0.249977111117893"/>
      <name val="Lucida Bright"/>
      <family val="2"/>
      <scheme val="minor"/>
    </font>
    <font>
      <b/>
      <sz val="14"/>
      <color theme="8" tint="-0.249977111117893"/>
      <name val="Cambria"/>
      <family val="2"/>
      <scheme val="major"/>
    </font>
    <font>
      <b/>
      <sz val="14"/>
      <color theme="8"/>
      <name val="Lucida Bright"/>
      <family val="2"/>
      <scheme val="minor"/>
    </font>
    <font>
      <b/>
      <sz val="14"/>
      <color theme="5"/>
      <name val="Lucida Bright"/>
      <family val="2"/>
      <scheme val="minor"/>
    </font>
    <font>
      <b/>
      <sz val="14"/>
      <color theme="5"/>
      <name val="Cambria"/>
      <family val="2"/>
      <scheme val="major"/>
    </font>
    <font>
      <sz val="10"/>
      <color theme="0"/>
      <name val="Lucida Bright"/>
      <family val="2"/>
      <scheme val="minor"/>
    </font>
    <font>
      <b/>
      <sz val="14"/>
      <color theme="9" tint="-0.249977111117893"/>
      <name val="Lucida Bright"/>
      <family val="2"/>
      <scheme val="minor"/>
    </font>
    <font>
      <b/>
      <sz val="14"/>
      <color theme="9" tint="-0.249977111117893"/>
      <name val="Cambria"/>
      <family val="2"/>
      <scheme val="major"/>
    </font>
    <font>
      <b/>
      <sz val="14"/>
      <color theme="7" tint="-0.249977111117893"/>
      <name val="Lucida Bright"/>
      <family val="2"/>
      <scheme val="minor"/>
    </font>
    <font>
      <b/>
      <sz val="14"/>
      <color theme="7" tint="-0.249977111117893"/>
      <name val="Cambria"/>
      <family val="2"/>
      <scheme val="major"/>
    </font>
    <font>
      <b/>
      <sz val="14"/>
      <color theme="7"/>
      <name val="Lucida Bright"/>
      <family val="2"/>
      <scheme val="minor"/>
    </font>
    <font>
      <sz val="11"/>
      <color theme="0" tint="-0.249977111117893"/>
      <name val="Lucida Bright"/>
      <family val="2"/>
      <scheme val="minor"/>
    </font>
    <font>
      <sz val="11"/>
      <color theme="1" tint="0.14996795556505021"/>
      <name val="Cambria"/>
      <family val="2"/>
      <scheme val="major"/>
    </font>
    <font>
      <sz val="11"/>
      <color theme="0"/>
      <name val="Lucida Bright"/>
      <family val="2"/>
      <scheme val="minor"/>
    </font>
    <font>
      <sz val="11"/>
      <color theme="1" tint="0.1498764000366222"/>
      <name val="Cambria"/>
      <family val="2"/>
      <scheme val="major"/>
    </font>
    <font>
      <b/>
      <sz val="11"/>
      <color theme="1" tint="0.1498764000366222"/>
      <name val="Lucida Bright"/>
      <family val="2"/>
      <scheme val="minor"/>
    </font>
    <font>
      <sz val="11"/>
      <color theme="1" tint="0.1498764000366222"/>
      <name val="Lucida Bright"/>
      <family val="2"/>
      <scheme val="minor"/>
    </font>
    <font>
      <b/>
      <sz val="28"/>
      <color theme="4"/>
      <name val="Cambria"/>
      <family val="2"/>
      <scheme val="major"/>
    </font>
    <font>
      <b/>
      <sz val="12"/>
      <color theme="4" tint="-0.24994659260841701"/>
      <name val="Cambria"/>
      <family val="2"/>
      <scheme val="major"/>
    </font>
    <font>
      <b/>
      <sz val="11"/>
      <color theme="4"/>
      <name val="Cambria"/>
      <family val="2"/>
      <scheme val="major"/>
    </font>
    <font>
      <sz val="8"/>
      <name val="Lucida Bright"/>
      <family val="2"/>
      <scheme val="minor"/>
    </font>
    <font>
      <sz val="11"/>
      <color theme="1" tint="0.24994659260841701"/>
      <name val="Arial Black"/>
      <family val="2"/>
    </font>
    <font>
      <b/>
      <sz val="11"/>
      <color theme="1" tint="0.24994659260841701"/>
      <name val="Lucida Bright"/>
      <family val="1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9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medium">
        <color theme="8" tint="-0.2499465926084170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medium">
        <color theme="9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/>
      <top/>
      <bottom style="medium">
        <color theme="5" tint="-0.2499465926084170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1" tint="0.89999084444715716"/>
      </right>
      <top style="thin">
        <color theme="4" tint="0.39997558519241921"/>
      </top>
      <bottom/>
      <diagonal/>
    </border>
    <border>
      <left/>
      <right style="thin">
        <color theme="1" tint="0.89999084444715716"/>
      </right>
      <top/>
      <bottom style="thin">
        <color theme="1" tint="0.89999084444715716"/>
      </bottom>
      <diagonal/>
    </border>
    <border>
      <left style="thin">
        <color theme="1" tint="0.89999084444715716"/>
      </left>
      <right style="thin">
        <color theme="1" tint="0.89999084444715716"/>
      </right>
      <top/>
      <bottom style="thin">
        <color theme="1" tint="0.89999084444715716"/>
      </bottom>
      <diagonal/>
    </border>
    <border>
      <left/>
      <right style="thin">
        <color theme="1" tint="0.89999084444715716"/>
      </right>
      <top/>
      <bottom/>
      <diagonal/>
    </border>
    <border>
      <left/>
      <right style="thin">
        <color theme="1" tint="0.89999084444715716"/>
      </right>
      <top style="thin">
        <color theme="1" tint="0.89999084444715716"/>
      </top>
      <bottom style="thin">
        <color theme="1" tint="0.89999084444715716"/>
      </bottom>
      <diagonal/>
    </border>
    <border>
      <left style="thin">
        <color theme="1" tint="0.89999084444715716"/>
      </left>
      <right style="thin">
        <color theme="1" tint="0.89999084444715716"/>
      </right>
      <top style="thin">
        <color theme="1" tint="0.89999084444715716"/>
      </top>
      <bottom style="thin">
        <color theme="1" tint="0.89999084444715716"/>
      </bottom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1" tint="0.89999084444715716"/>
      </right>
      <top style="thin">
        <color theme="1" tint="0.89999084444715716"/>
      </top>
      <bottom/>
      <diagonal/>
    </border>
    <border>
      <left style="thin">
        <color theme="1" tint="0.89999084444715716"/>
      </left>
      <right style="thin">
        <color theme="1" tint="0.89999084444715716"/>
      </right>
      <top style="thin">
        <color theme="1" tint="0.89999084444715716"/>
      </top>
      <bottom/>
      <diagonal/>
    </border>
    <border>
      <left/>
      <right style="thin">
        <color theme="1" tint="0.89999084444715716"/>
      </right>
      <top/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1" tint="0.89999084444715716"/>
      </right>
      <top style="thin">
        <color theme="8" tint="0.39997558519241921"/>
      </top>
      <bottom/>
      <diagonal/>
    </border>
    <border>
      <left/>
      <right/>
      <top/>
      <bottom style="thin">
        <color theme="8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/>
      <diagonal/>
    </border>
    <border>
      <left/>
      <right style="thin">
        <color theme="1" tint="0.89999084444715716"/>
      </right>
      <top/>
      <bottom style="thin">
        <color theme="5" tint="0.39997558519241921"/>
      </bottom>
      <diagonal/>
    </border>
    <border>
      <left/>
      <right/>
      <top style="thin">
        <color theme="8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1" tint="0.89999084444715716"/>
      </right>
      <top style="thin">
        <color theme="5" tint="0.39997558519241921"/>
      </top>
      <bottom/>
      <diagonal/>
    </border>
    <border>
      <left/>
      <right/>
      <top/>
      <bottom style="thin">
        <color theme="5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/>
      <diagonal/>
    </border>
    <border>
      <left/>
      <right style="thin">
        <color theme="1" tint="0.89999084444715716"/>
      </right>
      <top/>
      <bottom style="thin">
        <color theme="9" tint="0.39997558519241921"/>
      </bottom>
      <diagonal/>
    </border>
    <border>
      <left/>
      <right/>
      <top style="thin">
        <color theme="5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1" tint="0.89999084444715716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1" tint="0.89999084444715716"/>
      </right>
      <top/>
      <bottom style="dotted">
        <color theme="2" tint="-9.9978637043366805E-2"/>
      </bottom>
      <diagonal/>
    </border>
    <border>
      <left style="thin">
        <color theme="1" tint="0.89999084444715716"/>
      </left>
      <right style="thin">
        <color theme="1" tint="0.89999084444715716"/>
      </right>
      <top/>
      <bottom style="dotted">
        <color theme="2" tint="-9.9978637043366805E-2"/>
      </bottom>
      <diagonal/>
    </border>
    <border>
      <left style="thin">
        <color theme="9" tint="0.39997558519241921"/>
      </left>
      <right style="thin">
        <color theme="1" tint="0.89999084444715716"/>
      </right>
      <top style="dotted">
        <color theme="2" tint="-9.9978637043366805E-2"/>
      </top>
      <bottom style="dotted">
        <color theme="2" tint="-9.9978637043366805E-2"/>
      </bottom>
      <diagonal/>
    </border>
    <border>
      <left style="thin">
        <color theme="1" tint="0.89999084444715716"/>
      </left>
      <right style="thin">
        <color theme="1" tint="0.89999084444715716"/>
      </right>
      <top style="dotted">
        <color theme="2" tint="-9.9978637043366805E-2"/>
      </top>
      <bottom style="dotted">
        <color theme="2" tint="-9.9978637043366805E-2"/>
      </bottom>
      <diagonal/>
    </border>
    <border>
      <left style="thin">
        <color theme="9" tint="0.39997558519241921"/>
      </left>
      <right style="thin">
        <color theme="1" tint="0.89999084444715716"/>
      </right>
      <top/>
      <bottom style="thin">
        <color theme="1" tint="0.89999084444715716"/>
      </bottom>
      <diagonal/>
    </border>
    <border>
      <left style="thin">
        <color theme="1" tint="0.89999084444715716"/>
      </left>
      <right style="thin">
        <color theme="1" tint="0.89999084444715716"/>
      </right>
      <top style="dotted">
        <color theme="2" tint="-9.9978637043366805E-2"/>
      </top>
      <bottom/>
      <diagonal/>
    </border>
    <border>
      <left style="thin">
        <color theme="1" tint="0.89999084444715716"/>
      </left>
      <right style="thin">
        <color theme="1" tint="0.89999084444715716"/>
      </right>
      <top/>
      <bottom/>
      <diagonal/>
    </border>
    <border>
      <left/>
      <right/>
      <top/>
      <bottom style="thin">
        <color theme="7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1" tint="0.89999084444715716"/>
      </right>
      <top style="thin">
        <color theme="1" tint="0.89999084444715716"/>
      </top>
      <bottom/>
      <diagonal/>
    </border>
    <border>
      <left/>
      <right style="thin">
        <color theme="1" tint="0.89999084444715716"/>
      </right>
      <top/>
      <bottom style="thin">
        <color theme="7" tint="0.39997558519241921"/>
      </bottom>
      <diagonal/>
    </border>
    <border>
      <left/>
      <right/>
      <top style="thin">
        <color theme="7"/>
      </top>
      <bottom/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1" tint="0.89999084444715716"/>
      </right>
      <top style="thin">
        <color theme="7" tint="0.39997558519241921"/>
      </top>
      <bottom/>
      <diagonal/>
    </border>
    <border>
      <left style="thin">
        <color theme="7" tint="0.39997558519241921"/>
      </left>
      <right style="dotted">
        <color theme="2" tint="-9.9978637043366805E-2"/>
      </right>
      <top/>
      <bottom style="dotted">
        <color theme="2" tint="-9.9978637043366805E-2"/>
      </bottom>
      <diagonal/>
    </border>
    <border>
      <left style="dotted">
        <color theme="2" tint="-9.9978637043366805E-2"/>
      </left>
      <right/>
      <top/>
      <bottom style="dotted">
        <color theme="2" tint="-9.9978637043366805E-2"/>
      </bottom>
      <diagonal/>
    </border>
    <border>
      <left style="dotted">
        <color theme="2" tint="-9.9978637043366805E-2"/>
      </left>
      <right style="dotted">
        <color theme="2" tint="-9.9978637043366805E-2"/>
      </right>
      <top/>
      <bottom style="dotted">
        <color theme="2" tint="-9.9978637043366805E-2"/>
      </bottom>
      <diagonal/>
    </border>
    <border>
      <left/>
      <right style="thin">
        <color theme="1" tint="0.89999084444715716"/>
      </right>
      <top/>
      <bottom style="dotted">
        <color theme="2" tint="-9.9978637043366805E-2"/>
      </bottom>
      <diagonal/>
    </border>
    <border>
      <left style="thin">
        <color theme="7" tint="0.39997558519241921"/>
      </left>
      <right style="dotted">
        <color theme="2" tint="-9.9978637043366805E-2"/>
      </right>
      <top style="dotted">
        <color theme="2" tint="-9.9978637043366805E-2"/>
      </top>
      <bottom style="dotted">
        <color theme="2" tint="-9.9978637043366805E-2"/>
      </bottom>
      <diagonal/>
    </border>
    <border>
      <left style="dotted">
        <color theme="2" tint="-9.9978637043366805E-2"/>
      </left>
      <right/>
      <top style="dotted">
        <color theme="2" tint="-9.9978637043366805E-2"/>
      </top>
      <bottom style="dotted">
        <color theme="2" tint="-9.9978637043366805E-2"/>
      </bottom>
      <diagonal/>
    </border>
    <border>
      <left style="dotted">
        <color theme="2" tint="-9.9978637043366805E-2"/>
      </left>
      <right style="dotted">
        <color theme="2" tint="-9.9978637043366805E-2"/>
      </right>
      <top style="dotted">
        <color theme="2" tint="-9.9978637043366805E-2"/>
      </top>
      <bottom style="dotted">
        <color theme="2" tint="-9.9978637043366805E-2"/>
      </bottom>
      <diagonal/>
    </border>
    <border>
      <left/>
      <right style="thin">
        <color theme="1" tint="0.89999084444715716"/>
      </right>
      <top style="dotted">
        <color theme="2" tint="-9.9978637043366805E-2"/>
      </top>
      <bottom style="dotted">
        <color theme="2" tint="-9.9978637043366805E-2"/>
      </bottom>
      <diagonal/>
    </border>
    <border>
      <left style="thin">
        <color theme="7" tint="0.39997558519241921"/>
      </left>
      <right style="dotted">
        <color theme="2" tint="-9.9978637043366805E-2"/>
      </right>
      <top/>
      <bottom style="thin">
        <color theme="1" tint="0.89999084444715716"/>
      </bottom>
      <diagonal/>
    </border>
    <border>
      <left style="dotted">
        <color theme="2" tint="-9.9978637043366805E-2"/>
      </left>
      <right/>
      <top/>
      <bottom style="thin">
        <color theme="1" tint="0.89999084444715716"/>
      </bottom>
      <diagonal/>
    </border>
    <border>
      <left style="dotted">
        <color theme="2" tint="-9.9978637043366805E-2"/>
      </left>
      <right style="dotted">
        <color theme="2" tint="-9.9978637043366805E-2"/>
      </right>
      <top/>
      <bottom style="thin">
        <color theme="1" tint="0.89999084444715716"/>
      </bottom>
      <diagonal/>
    </border>
    <border>
      <left style="thin">
        <color theme="8" tint="0.39997558519241921"/>
      </left>
      <right style="thin">
        <color theme="8" tint="0.39997558519241921"/>
      </right>
      <top/>
      <bottom/>
      <diagonal/>
    </border>
    <border>
      <left style="thin">
        <color theme="8" tint="0.39997558519241921"/>
      </left>
      <right style="thin">
        <color theme="8" tint="0.39997558519241921"/>
      </right>
      <top/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8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/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7" tint="0.39997558519241921"/>
      </bottom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/>
      <diagonal/>
    </border>
    <border>
      <left style="thin">
        <color theme="7" tint="0.39997558519241921"/>
      </left>
      <right style="thin">
        <color theme="7" tint="0.39997558519241921"/>
      </right>
      <top/>
      <bottom/>
      <diagonal/>
    </border>
    <border>
      <left style="thin">
        <color theme="7" tint="0.39997558519241921"/>
      </left>
      <right style="thin">
        <color theme="7" tint="0.39997558519241921"/>
      </right>
      <top/>
      <bottom style="thin">
        <color theme="7" tint="0.39997558519241921"/>
      </bottom>
      <diagonal/>
    </border>
    <border>
      <left/>
      <right/>
      <top style="thick">
        <color theme="0"/>
      </top>
      <bottom/>
      <diagonal/>
    </border>
    <border>
      <left/>
      <right/>
      <top/>
      <bottom style="thin">
        <color theme="4" tint="-0.24994659260841701"/>
      </bottom>
      <diagonal/>
    </border>
  </borders>
  <cellStyleXfs count="28">
    <xf numFmtId="0" fontId="0" fillId="0" borderId="0">
      <alignment vertical="top"/>
    </xf>
    <xf numFmtId="0" fontId="9" fillId="2" borderId="0" applyNumberFormat="0" applyBorder="0" applyAlignment="0" applyProtection="0"/>
    <xf numFmtId="0" fontId="8" fillId="0" borderId="3" applyNumberFormat="0" applyFill="0" applyProtection="0">
      <alignment horizontal="left" vertical="center" indent="1"/>
    </xf>
    <xf numFmtId="0" fontId="3" fillId="3" borderId="1" applyNumberFormat="0" applyAlignment="0" applyProtection="0"/>
    <xf numFmtId="0" fontId="4" fillId="4" borderId="2" applyNumberFormat="0" applyProtection="0">
      <alignment vertical="center"/>
    </xf>
    <xf numFmtId="0" fontId="5" fillId="0" borderId="0" applyFill="0" applyBorder="0" applyProtection="0">
      <alignment vertical="center"/>
    </xf>
    <xf numFmtId="167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1" fillId="5" borderId="0" applyBorder="0" applyProtection="0">
      <alignment horizontal="left" vertical="top" wrapText="1" indent="1"/>
    </xf>
    <xf numFmtId="168" fontId="7" fillId="0" borderId="0">
      <alignment horizontal="left" indent="1"/>
    </xf>
    <xf numFmtId="0" fontId="10" fillId="5" borderId="0" applyNumberFormat="0" applyFont="0" applyBorder="0" applyAlignment="0">
      <alignment horizontal="left" vertical="center" indent="1"/>
    </xf>
    <xf numFmtId="0" fontId="6" fillId="0" borderId="0">
      <alignment horizontal="left" indent="1"/>
    </xf>
    <xf numFmtId="0" fontId="8" fillId="0" borderId="0" applyFill="0" applyProtection="0"/>
    <xf numFmtId="0" fontId="12" fillId="0" borderId="0" applyFill="0" applyProtection="0"/>
    <xf numFmtId="0" fontId="1" fillId="0" borderId="0"/>
    <xf numFmtId="0" fontId="28" fillId="0" borderId="0" applyNumberFormat="0" applyFill="0" applyBorder="0" applyAlignment="0" applyProtection="0"/>
    <xf numFmtId="0" fontId="45" fillId="0" borderId="0">
      <alignment vertical="top"/>
    </xf>
    <xf numFmtId="0" fontId="75" fillId="24" borderId="90" applyProtection="0">
      <alignment horizontal="right" vertical="center"/>
    </xf>
    <xf numFmtId="0" fontId="76" fillId="4" borderId="0" applyNumberFormat="0" applyBorder="0" applyProtection="0">
      <alignment horizontal="center" vertical="center"/>
    </xf>
    <xf numFmtId="0" fontId="77" fillId="24" borderId="90">
      <alignment horizontal="right" vertical="center" indent="1"/>
    </xf>
    <xf numFmtId="0" fontId="79" fillId="0" borderId="0" applyFill="0" applyBorder="0" applyProtection="0">
      <alignment horizontal="right"/>
    </xf>
    <xf numFmtId="0" fontId="80" fillId="0" borderId="0">
      <alignment horizontal="right"/>
    </xf>
    <xf numFmtId="0" fontId="81" fillId="0" borderId="91">
      <alignment horizontal="right"/>
    </xf>
    <xf numFmtId="0" fontId="82" fillId="0" borderId="0">
      <alignment horizontal="right"/>
    </xf>
    <xf numFmtId="168" fontId="79" fillId="0" borderId="0" applyFont="0" applyFill="0" applyBorder="0" applyProtection="0">
      <alignment horizontal="right"/>
    </xf>
  </cellStyleXfs>
  <cellXfs count="317">
    <xf numFmtId="0" fontId="0" fillId="0" borderId="0" xfId="0">
      <alignment vertical="top"/>
    </xf>
    <xf numFmtId="0" fontId="14" fillId="0" borderId="0" xfId="0" applyFont="1">
      <alignment vertical="top"/>
    </xf>
    <xf numFmtId="0" fontId="14" fillId="0" borderId="0" xfId="2" applyFont="1" applyFill="1" applyBorder="1" applyAlignment="1">
      <alignment vertical="center"/>
    </xf>
    <xf numFmtId="0" fontId="15" fillId="0" borderId="0" xfId="5" applyFont="1" applyFill="1" applyAlignment="1">
      <alignment horizontal="left" vertical="center"/>
    </xf>
    <xf numFmtId="0" fontId="17" fillId="0" borderId="0" xfId="0" applyFont="1">
      <alignment vertical="top"/>
    </xf>
    <xf numFmtId="0" fontId="18" fillId="0" borderId="0" xfId="0" applyFont="1" applyAlignment="1">
      <alignment horizontal="left" vertical="top" wrapText="1" indent="1"/>
    </xf>
    <xf numFmtId="0" fontId="16" fillId="0" borderId="0" xfId="0" applyFont="1" applyAlignment="1">
      <alignment horizontal="left" vertical="center" indent="1"/>
    </xf>
    <xf numFmtId="168" fontId="16" fillId="6" borderId="0" xfId="13" applyNumberFormat="1" applyFont="1" applyFill="1" applyBorder="1" applyAlignment="1">
      <alignment horizontal="left" vertical="center" wrapText="1" indent="1"/>
    </xf>
    <xf numFmtId="168" fontId="16" fillId="0" borderId="0" xfId="12" applyFont="1" applyAlignment="1">
      <alignment horizontal="left" vertical="center" indent="1"/>
    </xf>
    <xf numFmtId="0" fontId="18" fillId="6" borderId="0" xfId="13" applyFont="1" applyFill="1" applyBorder="1" applyAlignment="1">
      <alignment horizontal="left" vertical="top" wrapText="1" indent="1"/>
    </xf>
    <xf numFmtId="0" fontId="17" fillId="6" borderId="7" xfId="14" applyFont="1" applyFill="1" applyBorder="1" applyAlignment="1">
      <alignment horizontal="center" vertical="center"/>
    </xf>
    <xf numFmtId="0" fontId="17" fillId="6" borderId="8" xfId="14" applyFont="1" applyFill="1" applyBorder="1" applyAlignment="1">
      <alignment horizontal="center" vertical="center"/>
    </xf>
    <xf numFmtId="0" fontId="17" fillId="0" borderId="5" xfId="16" applyFont="1" applyFill="1" applyBorder="1" applyAlignment="1">
      <alignment horizontal="center" vertical="center"/>
    </xf>
    <xf numFmtId="0" fontId="17" fillId="0" borderId="6" xfId="16" applyFont="1" applyFill="1" applyBorder="1" applyAlignment="1">
      <alignment horizontal="center" vertical="center"/>
    </xf>
    <xf numFmtId="0" fontId="19" fillId="0" borderId="0" xfId="0" applyFont="1">
      <alignment vertical="top"/>
    </xf>
    <xf numFmtId="168" fontId="16" fillId="7" borderId="0" xfId="13" applyNumberFormat="1" applyFont="1" applyFill="1" applyBorder="1" applyAlignment="1">
      <alignment horizontal="left" vertical="center" wrapText="1" indent="1"/>
    </xf>
    <xf numFmtId="0" fontId="18" fillId="7" borderId="0" xfId="13" applyFont="1" applyFill="1" applyBorder="1" applyAlignment="1">
      <alignment horizontal="left" vertical="top" wrapText="1" indent="1"/>
    </xf>
    <xf numFmtId="168" fontId="16" fillId="8" borderId="0" xfId="13" applyNumberFormat="1" applyFont="1" applyFill="1" applyBorder="1" applyAlignment="1">
      <alignment horizontal="left" vertical="center" wrapText="1" indent="1"/>
    </xf>
    <xf numFmtId="0" fontId="18" fillId="8" borderId="0" xfId="13" applyFont="1" applyFill="1" applyBorder="1" applyAlignment="1">
      <alignment horizontal="left" vertical="top" wrapText="1" indent="1"/>
    </xf>
    <xf numFmtId="168" fontId="16" fillId="9" borderId="0" xfId="13" applyNumberFormat="1" applyFont="1" applyFill="1" applyBorder="1" applyAlignment="1">
      <alignment horizontal="left" vertical="center" wrapText="1" indent="1"/>
    </xf>
    <xf numFmtId="0" fontId="18" fillId="9" borderId="0" xfId="13" applyFont="1" applyFill="1" applyBorder="1" applyAlignment="1">
      <alignment horizontal="left" vertical="top" wrapText="1" indent="1"/>
    </xf>
    <xf numFmtId="0" fontId="24" fillId="0" borderId="4" xfId="2" applyFont="1" applyFill="1" applyBorder="1" applyAlignment="1">
      <alignment horizontal="left" vertical="top" indent="1"/>
    </xf>
    <xf numFmtId="0" fontId="25" fillId="0" borderId="9" xfId="2" applyFont="1" applyFill="1" applyBorder="1" applyAlignment="1">
      <alignment horizontal="left" vertical="top" indent="1"/>
    </xf>
    <xf numFmtId="0" fontId="26" fillId="0" borderId="10" xfId="2" applyFont="1" applyFill="1" applyBorder="1" applyAlignment="1">
      <alignment horizontal="left" vertical="top" indent="1"/>
    </xf>
    <xf numFmtId="0" fontId="27" fillId="0" borderId="11" xfId="2" applyFont="1" applyFill="1" applyBorder="1" applyAlignment="1">
      <alignment horizontal="left" vertical="top" indent="1"/>
    </xf>
    <xf numFmtId="0" fontId="30" fillId="0" borderId="0" xfId="17" applyFont="1"/>
    <xf numFmtId="0" fontId="32" fillId="0" borderId="0" xfId="18" applyFont="1"/>
    <xf numFmtId="0" fontId="30" fillId="0" borderId="0" xfId="17" applyFont="1" applyAlignment="1">
      <alignment wrapText="1"/>
    </xf>
    <xf numFmtId="0" fontId="31" fillId="0" borderId="0" xfId="17" applyFont="1" applyAlignment="1">
      <alignment vertical="center"/>
    </xf>
    <xf numFmtId="0" fontId="29" fillId="0" borderId="0" xfId="17" applyFont="1" applyAlignment="1">
      <alignment horizontal="center" vertical="center"/>
    </xf>
    <xf numFmtId="0" fontId="34" fillId="0" borderId="0" xfId="17" applyFont="1" applyAlignment="1">
      <alignment vertical="center"/>
    </xf>
    <xf numFmtId="0" fontId="29" fillId="0" borderId="0" xfId="17" applyFont="1" applyAlignment="1">
      <alignment horizontal="center" vertical="center" wrapText="1"/>
    </xf>
    <xf numFmtId="0" fontId="34" fillId="0" borderId="0" xfId="17" applyFont="1"/>
    <xf numFmtId="0" fontId="0" fillId="0" borderId="0" xfId="0" applyAlignment="1"/>
    <xf numFmtId="0" fontId="35" fillId="0" borderId="0" xfId="0" applyFont="1" applyAlignment="1"/>
    <xf numFmtId="14" fontId="30" fillId="0" borderId="0" xfId="17" applyNumberFormat="1" applyFont="1"/>
    <xf numFmtId="14" fontId="29" fillId="0" borderId="0" xfId="17" applyNumberFormat="1" applyFont="1" applyAlignment="1">
      <alignment horizontal="center" vertical="center"/>
    </xf>
    <xf numFmtId="14" fontId="29" fillId="0" borderId="0" xfId="17" applyNumberFormat="1" applyFont="1" applyAlignment="1">
      <alignment horizontal="center" vertical="center" wrapText="1"/>
    </xf>
    <xf numFmtId="0" fontId="36" fillId="0" borderId="0" xfId="0" applyFont="1" applyAlignment="1"/>
    <xf numFmtId="1" fontId="36" fillId="0" borderId="0" xfId="0" applyNumberFormat="1" applyFont="1" applyAlignment="1"/>
    <xf numFmtId="0" fontId="37" fillId="11" borderId="21" xfId="0" applyFont="1" applyFill="1" applyBorder="1" applyAlignment="1">
      <alignment horizontal="center" vertical="center" wrapText="1"/>
    </xf>
    <xf numFmtId="0" fontId="37" fillId="11" borderId="22" xfId="0" applyFont="1" applyFill="1" applyBorder="1" applyAlignment="1">
      <alignment horizontal="center" vertical="center" wrapText="1"/>
    </xf>
    <xf numFmtId="0" fontId="37" fillId="11" borderId="23" xfId="0" applyFont="1" applyFill="1" applyBorder="1" applyAlignment="1">
      <alignment horizontal="center" vertical="center"/>
    </xf>
    <xf numFmtId="0" fontId="37" fillId="11" borderId="23" xfId="0" applyFont="1" applyFill="1" applyBorder="1" applyAlignment="1">
      <alignment horizontal="center" vertical="center" wrapText="1"/>
    </xf>
    <xf numFmtId="169" fontId="37" fillId="11" borderId="23" xfId="0" applyNumberFormat="1" applyFont="1" applyFill="1" applyBorder="1" applyAlignment="1">
      <alignment horizontal="center" vertical="center" wrapText="1"/>
    </xf>
    <xf numFmtId="169" fontId="37" fillId="11" borderId="21" xfId="0" applyNumberFormat="1" applyFont="1" applyFill="1" applyBorder="1" applyAlignment="1">
      <alignment horizontal="center" vertical="center" wrapText="1"/>
    </xf>
    <xf numFmtId="169" fontId="37" fillId="11" borderId="23" xfId="0" applyNumberFormat="1" applyFont="1" applyFill="1" applyBorder="1" applyAlignment="1">
      <alignment horizontal="center" vertical="center"/>
    </xf>
    <xf numFmtId="49" fontId="37" fillId="10" borderId="23" xfId="0" applyNumberFormat="1" applyFont="1" applyFill="1" applyBorder="1" applyAlignment="1">
      <alignment horizontal="left"/>
    </xf>
    <xf numFmtId="49" fontId="39" fillId="11" borderId="23" xfId="0" applyNumberFormat="1" applyFont="1" applyFill="1" applyBorder="1" applyAlignment="1">
      <alignment horizontal="left"/>
    </xf>
    <xf numFmtId="0" fontId="37" fillId="11" borderId="23" xfId="0" applyFont="1" applyFill="1" applyBorder="1" applyAlignment="1"/>
    <xf numFmtId="0" fontId="37" fillId="11" borderId="23" xfId="0" applyFont="1" applyFill="1" applyBorder="1" applyAlignment="1">
      <alignment horizontal="center"/>
    </xf>
    <xf numFmtId="170" fontId="37" fillId="11" borderId="23" xfId="0" applyNumberFormat="1" applyFont="1" applyFill="1" applyBorder="1" applyAlignment="1"/>
    <xf numFmtId="170" fontId="40" fillId="11" borderId="23" xfId="0" applyNumberFormat="1" applyFont="1" applyFill="1" applyBorder="1" applyAlignment="1"/>
    <xf numFmtId="170" fontId="37" fillId="0" borderId="23" xfId="0" applyNumberFormat="1" applyFont="1" applyBorder="1" applyAlignment="1">
      <alignment vertical="center"/>
    </xf>
    <xf numFmtId="49" fontId="39" fillId="10" borderId="23" xfId="0" applyNumberFormat="1" applyFont="1" applyFill="1" applyBorder="1" applyAlignment="1">
      <alignment horizontal="left"/>
    </xf>
    <xf numFmtId="39" fontId="37" fillId="0" borderId="23" xfId="0" applyNumberFormat="1" applyFont="1" applyBorder="1" applyAlignment="1">
      <alignment horizontal="left"/>
    </xf>
    <xf numFmtId="0" fontId="37" fillId="0" borderId="23" xfId="0" applyFont="1" applyBorder="1" applyAlignment="1">
      <alignment horizontal="center"/>
    </xf>
    <xf numFmtId="170" fontId="37" fillId="0" borderId="23" xfId="0" applyNumberFormat="1" applyFont="1" applyBorder="1" applyAlignment="1"/>
    <xf numFmtId="49" fontId="40" fillId="10" borderId="23" xfId="0" applyNumberFormat="1" applyFont="1" applyFill="1" applyBorder="1" applyAlignment="1">
      <alignment horizontal="left"/>
    </xf>
    <xf numFmtId="39" fontId="40" fillId="0" borderId="23" xfId="0" applyNumberFormat="1" applyFont="1" applyBorder="1" applyAlignment="1">
      <alignment horizontal="left"/>
    </xf>
    <xf numFmtId="0" fontId="40" fillId="0" borderId="23" xfId="0" applyFont="1" applyBorder="1" applyAlignment="1">
      <alignment horizontal="center"/>
    </xf>
    <xf numFmtId="170" fontId="40" fillId="12" borderId="23" xfId="0" applyNumberFormat="1" applyFont="1" applyFill="1" applyBorder="1" applyAlignment="1"/>
    <xf numFmtId="170" fontId="40" fillId="0" borderId="23" xfId="0" applyNumberFormat="1" applyFont="1" applyBorder="1" applyAlignment="1"/>
    <xf numFmtId="39" fontId="37" fillId="11" borderId="23" xfId="0" applyNumberFormat="1" applyFont="1" applyFill="1" applyBorder="1" applyAlignment="1">
      <alignment horizontal="left"/>
    </xf>
    <xf numFmtId="0" fontId="40" fillId="11" borderId="23" xfId="0" applyFont="1" applyFill="1" applyBorder="1" applyAlignment="1">
      <alignment horizontal="center"/>
    </xf>
    <xf numFmtId="170" fontId="40" fillId="11" borderId="23" xfId="0" applyNumberFormat="1" applyFont="1" applyFill="1" applyBorder="1" applyAlignment="1">
      <alignment horizontal="right"/>
    </xf>
    <xf numFmtId="49" fontId="39" fillId="0" borderId="23" xfId="0" applyNumberFormat="1" applyFont="1" applyBorder="1" applyAlignment="1">
      <alignment horizontal="left"/>
    </xf>
    <xf numFmtId="170" fontId="40" fillId="0" borderId="23" xfId="0" applyNumberFormat="1" applyFont="1" applyBorder="1" applyAlignment="1">
      <alignment horizontal="right"/>
    </xf>
    <xf numFmtId="170" fontId="37" fillId="11" borderId="23" xfId="0" applyNumberFormat="1" applyFont="1" applyFill="1" applyBorder="1" applyAlignment="1">
      <alignment vertical="center"/>
    </xf>
    <xf numFmtId="39" fontId="40" fillId="10" borderId="23" xfId="0" applyNumberFormat="1" applyFont="1" applyFill="1" applyBorder="1" applyAlignment="1"/>
    <xf numFmtId="0" fontId="40" fillId="10" borderId="23" xfId="0" applyFont="1" applyFill="1" applyBorder="1" applyAlignment="1">
      <alignment horizontal="center"/>
    </xf>
    <xf numFmtId="0" fontId="40" fillId="0" borderId="0" xfId="0" applyFont="1" applyAlignment="1">
      <alignment horizontal="center"/>
    </xf>
    <xf numFmtId="1" fontId="40" fillId="0" borderId="0" xfId="0" applyNumberFormat="1" applyFont="1" applyAlignment="1">
      <alignment horizontal="center"/>
    </xf>
    <xf numFmtId="39" fontId="40" fillId="0" borderId="23" xfId="0" applyNumberFormat="1" applyFont="1" applyBorder="1" applyAlignment="1"/>
    <xf numFmtId="0" fontId="41" fillId="0" borderId="0" xfId="0" applyFont="1" applyAlignment="1"/>
    <xf numFmtId="9" fontId="36" fillId="0" borderId="0" xfId="0" applyNumberFormat="1" applyFont="1" applyAlignment="1"/>
    <xf numFmtId="10" fontId="36" fillId="0" borderId="0" xfId="0" applyNumberFormat="1" applyFont="1" applyAlignment="1"/>
    <xf numFmtId="0" fontId="36" fillId="0" borderId="0" xfId="0" applyFont="1" applyAlignment="1">
      <alignment vertical="center"/>
    </xf>
    <xf numFmtId="49" fontId="37" fillId="10" borderId="23" xfId="0" applyNumberFormat="1" applyFont="1" applyFill="1" applyBorder="1" applyAlignment="1">
      <alignment horizontal="left" vertical="center"/>
    </xf>
    <xf numFmtId="49" fontId="39" fillId="0" borderId="23" xfId="0" applyNumberFormat="1" applyFont="1" applyBorder="1" applyAlignment="1">
      <alignment horizontal="left" vertical="center"/>
    </xf>
    <xf numFmtId="39" fontId="37" fillId="0" borderId="23" xfId="0" applyNumberFormat="1" applyFont="1" applyBorder="1" applyAlignment="1">
      <alignment horizontal="left" vertical="center"/>
    </xf>
    <xf numFmtId="0" fontId="40" fillId="0" borderId="23" xfId="0" applyFont="1" applyBorder="1" applyAlignment="1">
      <alignment horizontal="center" vertical="center"/>
    </xf>
    <xf numFmtId="170" fontId="40" fillId="0" borderId="23" xfId="0" applyNumberFormat="1" applyFont="1" applyBorder="1" applyAlignment="1">
      <alignment horizontal="right" vertical="center"/>
    </xf>
    <xf numFmtId="1" fontId="36" fillId="0" borderId="0" xfId="0" applyNumberFormat="1" applyFont="1" applyAlignment="1">
      <alignment vertical="center"/>
    </xf>
    <xf numFmtId="1" fontId="40" fillId="0" borderId="0" xfId="0" applyNumberFormat="1" applyFont="1" applyAlignment="1">
      <alignment horizontal="center" vertical="center"/>
    </xf>
    <xf numFmtId="0" fontId="41" fillId="0" borderId="0" xfId="0" applyFont="1" applyAlignment="1">
      <alignment vertical="center"/>
    </xf>
    <xf numFmtId="10" fontId="36" fillId="0" borderId="0" xfId="0" applyNumberFormat="1" applyFont="1" applyAlignment="1">
      <alignment vertical="center"/>
    </xf>
    <xf numFmtId="39" fontId="40" fillId="10" borderId="23" xfId="0" applyNumberFormat="1" applyFont="1" applyFill="1" applyBorder="1" applyAlignment="1">
      <alignment horizontal="left"/>
    </xf>
    <xf numFmtId="170" fontId="40" fillId="12" borderId="23" xfId="0" applyNumberFormat="1" applyFont="1" applyFill="1" applyBorder="1" applyAlignment="1">
      <alignment horizontal="right"/>
    </xf>
    <xf numFmtId="167" fontId="40" fillId="0" borderId="23" xfId="0" applyNumberFormat="1" applyFont="1" applyBorder="1" applyAlignment="1">
      <alignment horizontal="center"/>
    </xf>
    <xf numFmtId="1" fontId="36" fillId="10" borderId="0" xfId="0" applyNumberFormat="1" applyFont="1" applyFill="1" applyAlignment="1"/>
    <xf numFmtId="0" fontId="42" fillId="0" borderId="0" xfId="0" applyFont="1" applyAlignment="1"/>
    <xf numFmtId="0" fontId="40" fillId="12" borderId="23" xfId="0" applyFont="1" applyFill="1" applyBorder="1" applyAlignment="1"/>
    <xf numFmtId="169" fontId="37" fillId="11" borderId="23" xfId="0" applyNumberFormat="1" applyFont="1" applyFill="1" applyBorder="1" applyAlignment="1"/>
    <xf numFmtId="39" fontId="37" fillId="10" borderId="23" xfId="0" applyNumberFormat="1" applyFont="1" applyFill="1" applyBorder="1" applyAlignment="1">
      <alignment horizontal="left"/>
    </xf>
    <xf numFmtId="167" fontId="37" fillId="10" borderId="23" xfId="0" applyNumberFormat="1" applyFont="1" applyFill="1" applyBorder="1" applyAlignment="1">
      <alignment horizontal="center"/>
    </xf>
    <xf numFmtId="0" fontId="37" fillId="10" borderId="23" xfId="0" applyFont="1" applyFill="1" applyBorder="1" applyAlignment="1">
      <alignment horizontal="center"/>
    </xf>
    <xf numFmtId="170" fontId="37" fillId="10" borderId="23" xfId="0" applyNumberFormat="1" applyFont="1" applyFill="1" applyBorder="1" applyAlignment="1"/>
    <xf numFmtId="1" fontId="37" fillId="0" borderId="0" xfId="0" applyNumberFormat="1" applyFont="1" applyAlignment="1">
      <alignment horizontal="center"/>
    </xf>
    <xf numFmtId="39" fontId="40" fillId="12" borderId="23" xfId="0" applyNumberFormat="1" applyFont="1" applyFill="1" applyBorder="1" applyAlignment="1">
      <alignment horizontal="left"/>
    </xf>
    <xf numFmtId="3" fontId="40" fillId="0" borderId="23" xfId="0" applyNumberFormat="1" applyFont="1" applyBorder="1" applyAlignment="1">
      <alignment horizontal="center"/>
    </xf>
    <xf numFmtId="170" fontId="40" fillId="10" borderId="23" xfId="0" applyNumberFormat="1" applyFont="1" applyFill="1" applyBorder="1" applyAlignment="1">
      <alignment horizontal="right"/>
    </xf>
    <xf numFmtId="0" fontId="40" fillId="0" borderId="23" xfId="0" applyFont="1" applyBorder="1" applyAlignment="1"/>
    <xf numFmtId="170" fontId="40" fillId="0" borderId="23" xfId="0" applyNumberFormat="1" applyFont="1" applyBorder="1" applyAlignment="1">
      <alignment vertical="center"/>
    </xf>
    <xf numFmtId="0" fontId="40" fillId="10" borderId="23" xfId="0" applyFont="1" applyFill="1" applyBorder="1" applyAlignment="1"/>
    <xf numFmtId="170" fontId="40" fillId="10" borderId="23" xfId="0" applyNumberFormat="1" applyFont="1" applyFill="1" applyBorder="1" applyAlignment="1"/>
    <xf numFmtId="0" fontId="40" fillId="10" borderId="23" xfId="0" applyFont="1" applyFill="1" applyBorder="1" applyAlignment="1">
      <alignment horizontal="left"/>
    </xf>
    <xf numFmtId="3" fontId="40" fillId="10" borderId="23" xfId="0" applyNumberFormat="1" applyFont="1" applyFill="1" applyBorder="1" applyAlignment="1">
      <alignment horizontal="center"/>
    </xf>
    <xf numFmtId="167" fontId="40" fillId="10" borderId="23" xfId="0" applyNumberFormat="1" applyFont="1" applyFill="1" applyBorder="1" applyAlignment="1">
      <alignment horizontal="center"/>
    </xf>
    <xf numFmtId="0" fontId="43" fillId="13" borderId="0" xfId="0" applyFont="1" applyFill="1" applyAlignment="1"/>
    <xf numFmtId="0" fontId="40" fillId="11" borderId="23" xfId="0" applyFont="1" applyFill="1" applyBorder="1" applyAlignment="1"/>
    <xf numFmtId="1" fontId="43" fillId="14" borderId="0" xfId="0" applyNumberFormat="1" applyFont="1" applyFill="1" applyAlignment="1"/>
    <xf numFmtId="0" fontId="43" fillId="14" borderId="0" xfId="0" applyFont="1" applyFill="1" applyAlignment="1"/>
    <xf numFmtId="0" fontId="36" fillId="10" borderId="0" xfId="0" applyFont="1" applyFill="1" applyAlignment="1"/>
    <xf numFmtId="1" fontId="40" fillId="10" borderId="0" xfId="0" applyNumberFormat="1" applyFont="1" applyFill="1" applyAlignment="1">
      <alignment horizontal="center"/>
    </xf>
    <xf numFmtId="0" fontId="37" fillId="10" borderId="23" xfId="0" applyFont="1" applyFill="1" applyBorder="1" applyAlignment="1"/>
    <xf numFmtId="0" fontId="36" fillId="0" borderId="0" xfId="0" applyFont="1" applyAlignment="1">
      <alignment horizontal="right"/>
    </xf>
    <xf numFmtId="49" fontId="37" fillId="10" borderId="23" xfId="0" applyNumberFormat="1" applyFont="1" applyFill="1" applyBorder="1" applyAlignment="1">
      <alignment horizontal="right"/>
    </xf>
    <xf numFmtId="49" fontId="39" fillId="10" borderId="23" xfId="0" applyNumberFormat="1" applyFont="1" applyFill="1" applyBorder="1" applyAlignment="1">
      <alignment horizontal="right"/>
    </xf>
    <xf numFmtId="0" fontId="37" fillId="10" borderId="23" xfId="0" applyFont="1" applyFill="1" applyBorder="1" applyAlignment="1">
      <alignment horizontal="left"/>
    </xf>
    <xf numFmtId="0" fontId="40" fillId="10" borderId="23" xfId="0" applyFont="1" applyFill="1" applyBorder="1" applyAlignment="1">
      <alignment horizontal="right"/>
    </xf>
    <xf numFmtId="170" fontId="37" fillId="0" borderId="23" xfId="0" applyNumberFormat="1" applyFont="1" applyBorder="1" applyAlignment="1">
      <alignment horizontal="right" vertical="center"/>
    </xf>
    <xf numFmtId="170" fontId="37" fillId="11" borderId="23" xfId="0" applyNumberFormat="1" applyFont="1" applyFill="1" applyBorder="1" applyAlignment="1">
      <alignment horizontal="right"/>
    </xf>
    <xf numFmtId="1" fontId="36" fillId="0" borderId="0" xfId="0" applyNumberFormat="1" applyFont="1" applyAlignment="1">
      <alignment horizontal="right"/>
    </xf>
    <xf numFmtId="1" fontId="36" fillId="12" borderId="0" xfId="0" applyNumberFormat="1" applyFont="1" applyFill="1" applyAlignment="1"/>
    <xf numFmtId="0" fontId="36" fillId="12" borderId="0" xfId="0" applyFont="1" applyFill="1" applyAlignment="1"/>
    <xf numFmtId="49" fontId="39" fillId="12" borderId="23" xfId="0" applyNumberFormat="1" applyFont="1" applyFill="1" applyBorder="1" applyAlignment="1">
      <alignment horizontal="left"/>
    </xf>
    <xf numFmtId="39" fontId="37" fillId="12" borderId="23" xfId="0" applyNumberFormat="1" applyFont="1" applyFill="1" applyBorder="1" applyAlignment="1">
      <alignment horizontal="left"/>
    </xf>
    <xf numFmtId="0" fontId="40" fillId="12" borderId="23" xfId="0" applyFont="1" applyFill="1" applyBorder="1" applyAlignment="1">
      <alignment horizontal="center"/>
    </xf>
    <xf numFmtId="170" fontId="37" fillId="12" borderId="23" xfId="0" applyNumberFormat="1" applyFont="1" applyFill="1" applyBorder="1" applyAlignment="1"/>
    <xf numFmtId="171" fontId="40" fillId="10" borderId="23" xfId="0" applyNumberFormat="1" applyFont="1" applyFill="1" applyBorder="1" applyAlignment="1">
      <alignment horizontal="center"/>
    </xf>
    <xf numFmtId="49" fontId="37" fillId="10" borderId="24" xfId="0" applyNumberFormat="1" applyFont="1" applyFill="1" applyBorder="1" applyAlignment="1">
      <alignment horizontal="left"/>
    </xf>
    <xf numFmtId="49" fontId="39" fillId="0" borderId="24" xfId="0" applyNumberFormat="1" applyFont="1" applyBorder="1" applyAlignment="1">
      <alignment horizontal="left"/>
    </xf>
    <xf numFmtId="0" fontId="37" fillId="0" borderId="24" xfId="0" applyFont="1" applyBorder="1" applyAlignment="1"/>
    <xf numFmtId="1" fontId="40" fillId="0" borderId="24" xfId="0" applyNumberFormat="1" applyFont="1" applyBorder="1" applyAlignment="1">
      <alignment horizontal="center"/>
    </xf>
    <xf numFmtId="0" fontId="40" fillId="0" borderId="24" xfId="0" applyFont="1" applyBorder="1" applyAlignment="1">
      <alignment horizontal="center"/>
    </xf>
    <xf numFmtId="0" fontId="40" fillId="0" borderId="24" xfId="0" applyFont="1" applyBorder="1" applyAlignment="1"/>
    <xf numFmtId="170" fontId="40" fillId="0" borderId="24" xfId="0" applyNumberFormat="1" applyFont="1" applyBorder="1" applyAlignment="1"/>
    <xf numFmtId="49" fontId="41" fillId="10" borderId="24" xfId="0" applyNumberFormat="1" applyFont="1" applyFill="1" applyBorder="1" applyAlignment="1"/>
    <xf numFmtId="0" fontId="43" fillId="0" borderId="0" xfId="0" applyFont="1" applyAlignment="1"/>
    <xf numFmtId="169" fontId="40" fillId="11" borderId="23" xfId="0" applyNumberFormat="1" applyFont="1" applyFill="1" applyBorder="1" applyAlignment="1"/>
    <xf numFmtId="1" fontId="43" fillId="0" borderId="0" xfId="0" applyNumberFormat="1" applyFont="1" applyAlignment="1"/>
    <xf numFmtId="169" fontId="37" fillId="0" borderId="23" xfId="0" applyNumberFormat="1" applyFont="1" applyBorder="1" applyAlignment="1"/>
    <xf numFmtId="0" fontId="37" fillId="0" borderId="23" xfId="0" applyFont="1" applyBorder="1" applyAlignment="1"/>
    <xf numFmtId="49" fontId="44" fillId="10" borderId="23" xfId="0" applyNumberFormat="1" applyFont="1" applyFill="1" applyBorder="1" applyAlignment="1"/>
    <xf numFmtId="49" fontId="45" fillId="0" borderId="23" xfId="0" applyNumberFormat="1" applyFont="1" applyBorder="1" applyAlignment="1"/>
    <xf numFmtId="0" fontId="46" fillId="0" borderId="23" xfId="0" applyFont="1" applyBorder="1" applyAlignment="1"/>
    <xf numFmtId="0" fontId="45" fillId="0" borderId="23" xfId="0" applyFont="1" applyBorder="1" applyAlignment="1"/>
    <xf numFmtId="170" fontId="45" fillId="0" borderId="23" xfId="0" applyNumberFormat="1" applyFont="1" applyBorder="1" applyAlignment="1"/>
    <xf numFmtId="170" fontId="37" fillId="0" borderId="24" xfId="0" applyNumberFormat="1" applyFont="1" applyBorder="1" applyAlignment="1"/>
    <xf numFmtId="49" fontId="45" fillId="10" borderId="23" xfId="0" applyNumberFormat="1" applyFont="1" applyFill="1" applyBorder="1" applyAlignment="1"/>
    <xf numFmtId="49" fontId="47" fillId="0" borderId="23" xfId="0" applyNumberFormat="1" applyFont="1" applyBorder="1" applyAlignment="1"/>
    <xf numFmtId="0" fontId="48" fillId="0" borderId="23" xfId="0" applyFont="1" applyBorder="1" applyAlignment="1"/>
    <xf numFmtId="3" fontId="40" fillId="0" borderId="24" xfId="0" applyNumberFormat="1" applyFont="1" applyBorder="1" applyAlignment="1">
      <alignment horizontal="center"/>
    </xf>
    <xf numFmtId="170" fontId="40" fillId="0" borderId="24" xfId="0" applyNumberFormat="1" applyFont="1" applyBorder="1" applyAlignment="1">
      <alignment horizontal="center"/>
    </xf>
    <xf numFmtId="9" fontId="40" fillId="0" borderId="24" xfId="0" applyNumberFormat="1" applyFont="1" applyBorder="1" applyAlignment="1">
      <alignment horizontal="center"/>
    </xf>
    <xf numFmtId="49" fontId="41" fillId="10" borderId="0" xfId="0" applyNumberFormat="1" applyFont="1" applyFill="1" applyAlignment="1">
      <alignment horizontal="left"/>
    </xf>
    <xf numFmtId="49" fontId="36" fillId="0" borderId="0" xfId="0" applyNumberFormat="1" applyFont="1" applyAlignment="1">
      <alignment horizontal="left"/>
    </xf>
    <xf numFmtId="169" fontId="36" fillId="0" borderId="0" xfId="0" applyNumberFormat="1" applyFont="1" applyAlignment="1"/>
    <xf numFmtId="1" fontId="42" fillId="0" borderId="0" xfId="0" applyNumberFormat="1" applyFont="1" applyAlignment="1"/>
    <xf numFmtId="4" fontId="30" fillId="0" borderId="0" xfId="17" applyNumberFormat="1" applyFont="1"/>
    <xf numFmtId="0" fontId="30" fillId="0" borderId="0" xfId="17" applyFont="1" applyAlignment="1">
      <alignment horizontal="center"/>
    </xf>
    <xf numFmtId="14" fontId="30" fillId="0" borderId="0" xfId="17" applyNumberFormat="1" applyFont="1" applyAlignment="1">
      <alignment horizontal="center"/>
    </xf>
    <xf numFmtId="0" fontId="38" fillId="0" borderId="0" xfId="0" applyFont="1">
      <alignment vertical="top"/>
    </xf>
    <xf numFmtId="0" fontId="38" fillId="0" borderId="0" xfId="17" applyFont="1"/>
    <xf numFmtId="0" fontId="38" fillId="0" borderId="25" xfId="17" applyFont="1" applyBorder="1"/>
    <xf numFmtId="0" fontId="38" fillId="0" borderId="25" xfId="17" applyFont="1" applyBorder="1" applyAlignment="1">
      <alignment wrapText="1"/>
    </xf>
    <xf numFmtId="0" fontId="50" fillId="0" borderId="0" xfId="0" applyFont="1">
      <alignment vertical="top"/>
    </xf>
    <xf numFmtId="0" fontId="51" fillId="16" borderId="25" xfId="17" applyFont="1" applyFill="1" applyBorder="1" applyAlignment="1">
      <alignment horizontal="center" vertical="center"/>
    </xf>
    <xf numFmtId="0" fontId="51" fillId="17" borderId="0" xfId="0" applyFont="1" applyFill="1" applyAlignment="1">
      <alignment vertical="top"/>
    </xf>
    <xf numFmtId="0" fontId="51" fillId="16" borderId="25" xfId="0" applyFont="1" applyFill="1" applyBorder="1" applyAlignment="1">
      <alignment horizontal="center" vertical="center"/>
    </xf>
    <xf numFmtId="0" fontId="38" fillId="0" borderId="25" xfId="0" applyFont="1" applyBorder="1">
      <alignment vertical="top"/>
    </xf>
    <xf numFmtId="0" fontId="50" fillId="17" borderId="0" xfId="17" applyFont="1" applyFill="1" applyAlignment="1">
      <alignment vertical="center"/>
    </xf>
    <xf numFmtId="0" fontId="50" fillId="0" borderId="0" xfId="0" applyFont="1" applyFill="1">
      <alignment vertical="top"/>
    </xf>
    <xf numFmtId="14" fontId="38" fillId="0" borderId="25" xfId="0" applyNumberFormat="1" applyFont="1" applyBorder="1" applyAlignment="1">
      <alignment horizontal="left" vertical="top"/>
    </xf>
    <xf numFmtId="0" fontId="51" fillId="16" borderId="25" xfId="0" applyFont="1" applyFill="1" applyBorder="1" applyAlignment="1">
      <alignment horizontal="center" vertical="top"/>
    </xf>
    <xf numFmtId="0" fontId="52" fillId="17" borderId="0" xfId="19" applyFont="1" applyFill="1" applyAlignment="1">
      <alignment horizontal="left" vertical="center" wrapText="1" indent="5"/>
    </xf>
    <xf numFmtId="0" fontId="45" fillId="0" borderId="0" xfId="19">
      <alignment vertical="top"/>
    </xf>
    <xf numFmtId="0" fontId="54" fillId="17" borderId="0" xfId="19" applyFont="1" applyFill="1" applyAlignment="1">
      <alignment horizontal="left" vertical="center" wrapText="1"/>
    </xf>
    <xf numFmtId="0" fontId="55" fillId="0" borderId="0" xfId="19" applyFont="1" applyAlignment="1">
      <alignment horizontal="left" wrapText="1"/>
    </xf>
    <xf numFmtId="0" fontId="56" fillId="0" borderId="0" xfId="19" applyFont="1" applyAlignment="1">
      <alignment horizontal="center" wrapText="1"/>
    </xf>
    <xf numFmtId="0" fontId="57" fillId="0" borderId="0" xfId="19" applyFont="1" applyAlignment="1">
      <alignment horizontal="center" vertical="center" wrapText="1"/>
    </xf>
    <xf numFmtId="0" fontId="60" fillId="19" borderId="27" xfId="19" applyFont="1" applyFill="1" applyBorder="1" applyAlignment="1">
      <alignment horizontal="center" vertical="center" wrapText="1"/>
    </xf>
    <xf numFmtId="0" fontId="62" fillId="17" borderId="29" xfId="19" applyFont="1" applyFill="1" applyBorder="1" applyAlignment="1">
      <alignment horizontal="left" vertical="center" wrapText="1" indent="1"/>
    </xf>
    <xf numFmtId="0" fontId="62" fillId="17" borderId="30" xfId="19" applyFont="1" applyFill="1" applyBorder="1" applyAlignment="1">
      <alignment horizontal="left" vertical="center" wrapText="1" indent="1"/>
    </xf>
    <xf numFmtId="0" fontId="62" fillId="17" borderId="32" xfId="19" applyFont="1" applyFill="1" applyBorder="1" applyAlignment="1">
      <alignment horizontal="left" vertical="center" wrapText="1" indent="1"/>
    </xf>
    <xf numFmtId="0" fontId="62" fillId="17" borderId="33" xfId="19" applyFont="1" applyFill="1" applyBorder="1" applyAlignment="1">
      <alignment horizontal="left" vertical="center" wrapText="1" indent="1"/>
    </xf>
    <xf numFmtId="0" fontId="62" fillId="17" borderId="36" xfId="19" applyFont="1" applyFill="1" applyBorder="1" applyAlignment="1">
      <alignment horizontal="left" vertical="center" wrapText="1" indent="1"/>
    </xf>
    <xf numFmtId="0" fontId="62" fillId="17" borderId="37" xfId="19" applyFont="1" applyFill="1" applyBorder="1" applyAlignment="1">
      <alignment horizontal="left" vertical="center" wrapText="1" indent="1"/>
    </xf>
    <xf numFmtId="0" fontId="64" fillId="6" borderId="39" xfId="19" applyFont="1" applyFill="1" applyBorder="1" applyAlignment="1">
      <alignment horizontal="center" vertical="center" wrapText="1"/>
    </xf>
    <xf numFmtId="0" fontId="67" fillId="8" borderId="46" xfId="19" applyFont="1" applyFill="1" applyBorder="1" applyAlignment="1">
      <alignment horizontal="center" vertical="center" wrapText="1"/>
    </xf>
    <xf numFmtId="0" fontId="67" fillId="8" borderId="45" xfId="19" applyFont="1" applyFill="1" applyBorder="1" applyAlignment="1">
      <alignment horizontal="center" vertical="center" wrapText="1"/>
    </xf>
    <xf numFmtId="0" fontId="68" fillId="17" borderId="30" xfId="19" applyFont="1" applyFill="1" applyBorder="1" applyAlignment="1">
      <alignment horizontal="left" vertical="center" wrapText="1" indent="1"/>
    </xf>
    <xf numFmtId="0" fontId="68" fillId="17" borderId="33" xfId="19" applyFont="1" applyFill="1" applyBorder="1" applyAlignment="1">
      <alignment horizontal="left" vertical="center" wrapText="1" indent="1"/>
    </xf>
    <xf numFmtId="0" fontId="68" fillId="17" borderId="37" xfId="19" applyFont="1" applyFill="1" applyBorder="1" applyAlignment="1">
      <alignment horizontal="left" vertical="center" wrapText="1" indent="1"/>
    </xf>
    <xf numFmtId="0" fontId="70" fillId="7" borderId="52" xfId="19" applyFont="1" applyFill="1" applyBorder="1" applyAlignment="1">
      <alignment horizontal="center" vertical="center" wrapText="1"/>
    </xf>
    <xf numFmtId="0" fontId="62" fillId="17" borderId="54" xfId="19" applyFont="1" applyFill="1" applyBorder="1" applyAlignment="1">
      <alignment horizontal="left" vertical="center" wrapText="1" indent="1"/>
    </xf>
    <xf numFmtId="0" fontId="62" fillId="17" borderId="55" xfId="19" applyFont="1" applyFill="1" applyBorder="1" applyAlignment="1">
      <alignment horizontal="left" vertical="center" wrapText="1" indent="1"/>
    </xf>
    <xf numFmtId="0" fontId="19" fillId="0" borderId="30" xfId="19" applyFont="1" applyBorder="1" applyAlignment="1">
      <alignment horizontal="center" vertical="center" wrapText="1"/>
    </xf>
    <xf numFmtId="0" fontId="62" fillId="17" borderId="56" xfId="19" applyFont="1" applyFill="1" applyBorder="1" applyAlignment="1">
      <alignment horizontal="left" vertical="center" wrapText="1" indent="1"/>
    </xf>
    <xf numFmtId="0" fontId="62" fillId="17" borderId="57" xfId="19" applyFont="1" applyFill="1" applyBorder="1" applyAlignment="1">
      <alignment horizontal="left" vertical="center" wrapText="1" indent="1"/>
    </xf>
    <xf numFmtId="0" fontId="19" fillId="0" borderId="33" xfId="19" applyFont="1" applyBorder="1" applyAlignment="1">
      <alignment horizontal="center" vertical="center" wrapText="1"/>
    </xf>
    <xf numFmtId="0" fontId="62" fillId="17" borderId="58" xfId="19" applyFont="1" applyFill="1" applyBorder="1" applyAlignment="1">
      <alignment horizontal="left" vertical="center" wrapText="1" indent="1"/>
    </xf>
    <xf numFmtId="0" fontId="62" fillId="17" borderId="59" xfId="19" applyFont="1" applyFill="1" applyBorder="1" applyAlignment="1">
      <alignment horizontal="left" vertical="center" wrapText="1" indent="1"/>
    </xf>
    <xf numFmtId="0" fontId="62" fillId="17" borderId="60" xfId="19" applyFont="1" applyFill="1" applyBorder="1" applyAlignment="1">
      <alignment horizontal="left" vertical="center" wrapText="1" indent="1"/>
    </xf>
    <xf numFmtId="0" fontId="62" fillId="17" borderId="63" xfId="19" applyFont="1" applyFill="1" applyBorder="1" applyAlignment="1">
      <alignment horizontal="left" vertical="center" wrapText="1" indent="1"/>
    </xf>
    <xf numFmtId="0" fontId="19" fillId="0" borderId="60" xfId="19" applyFont="1" applyBorder="1" applyAlignment="1">
      <alignment horizontal="center" vertical="center" wrapText="1"/>
    </xf>
    <xf numFmtId="0" fontId="72" fillId="9" borderId="66" xfId="19" applyFont="1" applyFill="1" applyBorder="1" applyAlignment="1">
      <alignment horizontal="center" vertical="center" wrapText="1"/>
    </xf>
    <xf numFmtId="0" fontId="62" fillId="17" borderId="68" xfId="19" applyFont="1" applyFill="1" applyBorder="1" applyAlignment="1">
      <alignment horizontal="left" vertical="center" wrapText="1" indent="1"/>
    </xf>
    <xf numFmtId="0" fontId="62" fillId="17" borderId="69" xfId="19" applyFont="1" applyFill="1" applyBorder="1" applyAlignment="1">
      <alignment horizontal="left" vertical="center" wrapText="1" indent="1"/>
    </xf>
    <xf numFmtId="0" fontId="62" fillId="17" borderId="70" xfId="19" applyFont="1" applyFill="1" applyBorder="1" applyAlignment="1">
      <alignment horizontal="left" vertical="center" wrapText="1" indent="1"/>
    </xf>
    <xf numFmtId="0" fontId="62" fillId="17" borderId="71" xfId="19" applyFont="1" applyFill="1" applyBorder="1" applyAlignment="1">
      <alignment horizontal="left" vertical="center" wrapText="1" indent="1"/>
    </xf>
    <xf numFmtId="0" fontId="62" fillId="17" borderId="72" xfId="19" applyFont="1" applyFill="1" applyBorder="1" applyAlignment="1">
      <alignment horizontal="left" vertical="center" wrapText="1" indent="1"/>
    </xf>
    <xf numFmtId="0" fontId="62" fillId="17" borderId="73" xfId="19" applyFont="1" applyFill="1" applyBorder="1" applyAlignment="1">
      <alignment horizontal="left" vertical="center" wrapText="1" indent="1"/>
    </xf>
    <xf numFmtId="0" fontId="62" fillId="17" borderId="74" xfId="19" applyFont="1" applyFill="1" applyBorder="1" applyAlignment="1">
      <alignment horizontal="left" vertical="center" wrapText="1" indent="1"/>
    </xf>
    <xf numFmtId="0" fontId="62" fillId="17" borderId="75" xfId="19" applyFont="1" applyFill="1" applyBorder="1" applyAlignment="1">
      <alignment horizontal="left" vertical="center" wrapText="1" indent="1"/>
    </xf>
    <xf numFmtId="0" fontId="62" fillId="17" borderId="76" xfId="19" applyFont="1" applyFill="1" applyBorder="1" applyAlignment="1">
      <alignment horizontal="left" vertical="center" wrapText="1" indent="1"/>
    </xf>
    <xf numFmtId="0" fontId="62" fillId="17" borderId="77" xfId="19" applyFont="1" applyFill="1" applyBorder="1" applyAlignment="1">
      <alignment horizontal="left" vertical="center" wrapText="1" indent="1"/>
    </xf>
    <xf numFmtId="0" fontId="62" fillId="17" borderId="78" xfId="19" applyFont="1" applyFill="1" applyBorder="1" applyAlignment="1">
      <alignment horizontal="left" vertical="center" wrapText="1" indent="1"/>
    </xf>
    <xf numFmtId="0" fontId="19" fillId="0" borderId="65" xfId="19" applyFont="1" applyBorder="1" applyAlignment="1">
      <alignment horizontal="center" vertical="center" wrapText="1"/>
    </xf>
    <xf numFmtId="0" fontId="45" fillId="0" borderId="0" xfId="19" applyAlignment="1">
      <alignment horizontal="center" vertical="center" wrapText="1"/>
    </xf>
    <xf numFmtId="0" fontId="19" fillId="0" borderId="0" xfId="19" applyFont="1" applyAlignment="1">
      <alignment horizontal="center" vertical="center" wrapText="1"/>
    </xf>
    <xf numFmtId="0" fontId="74" fillId="0" borderId="0" xfId="19" applyFont="1" applyAlignment="1">
      <alignment horizontal="center" vertical="center" wrapText="1"/>
    </xf>
    <xf numFmtId="0" fontId="75" fillId="24" borderId="90" xfId="20">
      <alignment horizontal="right" vertical="center"/>
    </xf>
    <xf numFmtId="0" fontId="79" fillId="0" borderId="0" xfId="23">
      <alignment horizontal="right"/>
    </xf>
    <xf numFmtId="0" fontId="79" fillId="0" borderId="0" xfId="23" applyFill="1">
      <alignment horizontal="right"/>
    </xf>
    <xf numFmtId="0" fontId="82" fillId="0" borderId="0" xfId="26">
      <alignment horizontal="right"/>
    </xf>
    <xf numFmtId="168" fontId="79" fillId="0" borderId="0" xfId="27" applyFont="1">
      <alignment horizontal="right"/>
    </xf>
    <xf numFmtId="14" fontId="18" fillId="0" borderId="0" xfId="0" applyNumberFormat="1" applyFont="1" applyAlignment="1">
      <alignment horizontal="left" vertical="top" wrapText="1" indent="1"/>
    </xf>
    <xf numFmtId="14" fontId="14" fillId="0" borderId="0" xfId="0" applyNumberFormat="1" applyFont="1">
      <alignment vertical="top"/>
    </xf>
    <xf numFmtId="168" fontId="79" fillId="17" borderId="0" xfId="27" applyFont="1" applyFill="1">
      <alignment horizontal="right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174" fontId="0" fillId="0" borderId="0" xfId="0" applyNumberFormat="1">
      <alignment vertical="top"/>
    </xf>
    <xf numFmtId="174" fontId="0" fillId="0" borderId="0" xfId="0" applyNumberFormat="1" applyAlignment="1">
      <alignment horizontal="center" vertical="top"/>
    </xf>
    <xf numFmtId="0" fontId="84" fillId="19" borderId="0" xfId="0" applyFont="1" applyFill="1" applyAlignment="1">
      <alignment horizontal="center" vertical="top"/>
    </xf>
    <xf numFmtId="174" fontId="85" fillId="0" borderId="0" xfId="0" applyNumberFormat="1" applyFont="1" applyAlignment="1">
      <alignment horizontal="left" vertical="top"/>
    </xf>
    <xf numFmtId="0" fontId="33" fillId="0" borderId="0" xfId="17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51" fillId="15" borderId="0" xfId="0" applyFont="1" applyFill="1" applyAlignment="1">
      <alignment horizontal="left" vertical="top"/>
    </xf>
    <xf numFmtId="0" fontId="51" fillId="15" borderId="25" xfId="0" applyFont="1" applyFill="1" applyBorder="1" applyAlignment="1">
      <alignment horizontal="left" vertical="top"/>
    </xf>
    <xf numFmtId="0" fontId="37" fillId="10" borderId="12" xfId="0" applyFont="1" applyFill="1" applyBorder="1" applyAlignment="1">
      <alignment horizontal="center" vertical="top" wrapText="1"/>
    </xf>
    <xf numFmtId="0" fontId="38" fillId="0" borderId="13" xfId="0" applyFont="1" applyBorder="1" applyAlignment="1"/>
    <xf numFmtId="0" fontId="38" fillId="0" borderId="14" xfId="0" applyFont="1" applyBorder="1" applyAlignment="1"/>
    <xf numFmtId="0" fontId="38" fillId="0" borderId="15" xfId="0" applyFont="1" applyBorder="1" applyAlignment="1"/>
    <xf numFmtId="0" fontId="0" fillId="0" borderId="0" xfId="0" applyAlignment="1"/>
    <xf numFmtId="0" fontId="38" fillId="0" borderId="16" xfId="0" applyFont="1" applyBorder="1" applyAlignment="1"/>
    <xf numFmtId="0" fontId="38" fillId="0" borderId="17" xfId="0" applyFont="1" applyBorder="1" applyAlignment="1"/>
    <xf numFmtId="0" fontId="38" fillId="0" borderId="18" xfId="0" applyFont="1" applyBorder="1" applyAlignment="1"/>
    <xf numFmtId="0" fontId="38" fillId="0" borderId="19" xfId="0" applyFont="1" applyBorder="1" applyAlignment="1"/>
    <xf numFmtId="49" fontId="37" fillId="10" borderId="20" xfId="0" applyNumberFormat="1" applyFont="1" applyFill="1" applyBorder="1" applyAlignment="1">
      <alignment horizontal="center" vertical="center"/>
    </xf>
    <xf numFmtId="0" fontId="38" fillId="0" borderId="21" xfId="0" applyFont="1" applyBorder="1" applyAlignment="1"/>
    <xf numFmtId="0" fontId="81" fillId="0" borderId="91" xfId="25">
      <alignment horizontal="right"/>
    </xf>
    <xf numFmtId="0" fontId="75" fillId="24" borderId="90" xfId="20">
      <alignment horizontal="right" vertical="center"/>
    </xf>
    <xf numFmtId="0" fontId="76" fillId="4" borderId="0" xfId="21" applyBorder="1">
      <alignment horizontal="center" vertical="center"/>
    </xf>
    <xf numFmtId="0" fontId="0" fillId="24" borderId="90" xfId="22" applyFont="1">
      <alignment horizontal="right" vertical="center" indent="1"/>
    </xf>
    <xf numFmtId="0" fontId="80" fillId="0" borderId="0" xfId="24">
      <alignment horizontal="right"/>
    </xf>
    <xf numFmtId="172" fontId="59" fillId="19" borderId="35" xfId="19" applyNumberFormat="1" applyFont="1" applyFill="1" applyBorder="1" applyAlignment="1">
      <alignment horizontal="center" vertical="center"/>
    </xf>
    <xf numFmtId="172" fontId="59" fillId="19" borderId="81" xfId="19" applyNumberFormat="1" applyFont="1" applyFill="1" applyBorder="1" applyAlignment="1">
      <alignment horizontal="center" vertical="center"/>
    </xf>
    <xf numFmtId="172" fontId="59" fillId="19" borderId="82" xfId="19" applyNumberFormat="1" applyFont="1" applyFill="1" applyBorder="1" applyAlignment="1">
      <alignment horizontal="center" vertical="center"/>
    </xf>
    <xf numFmtId="173" fontId="66" fillId="8" borderId="49" xfId="19" applyNumberFormat="1" applyFont="1" applyFill="1" applyBorder="1" applyAlignment="1">
      <alignment horizontal="center" vertical="center"/>
    </xf>
    <xf numFmtId="173" fontId="66" fillId="8" borderId="83" xfId="19" applyNumberFormat="1" applyFont="1" applyFill="1" applyBorder="1" applyAlignment="1">
      <alignment horizontal="center" vertical="center"/>
    </xf>
    <xf numFmtId="173" fontId="66" fillId="8" borderId="84" xfId="19" applyNumberFormat="1" applyFont="1" applyFill="1" applyBorder="1" applyAlignment="1">
      <alignment horizontal="center" vertical="center"/>
    </xf>
    <xf numFmtId="173" fontId="69" fillId="7" borderId="62" xfId="19" applyNumberFormat="1" applyFont="1" applyFill="1" applyBorder="1" applyAlignment="1">
      <alignment horizontal="center" vertical="center"/>
    </xf>
    <xf numFmtId="173" fontId="69" fillId="7" borderId="85" xfId="19" applyNumberFormat="1" applyFont="1" applyFill="1" applyBorder="1" applyAlignment="1">
      <alignment horizontal="center" vertical="center"/>
    </xf>
    <xf numFmtId="173" fontId="69" fillId="7" borderId="86" xfId="19" applyNumberFormat="1" applyFont="1" applyFill="1" applyBorder="1" applyAlignment="1">
      <alignment horizontal="center" vertical="center"/>
    </xf>
    <xf numFmtId="173" fontId="71" fillId="9" borderId="87" xfId="19" applyNumberFormat="1" applyFont="1" applyFill="1" applyBorder="1" applyAlignment="1">
      <alignment horizontal="center" vertical="center"/>
    </xf>
    <xf numFmtId="173" fontId="71" fillId="9" borderId="88" xfId="19" applyNumberFormat="1" applyFont="1" applyFill="1" applyBorder="1" applyAlignment="1">
      <alignment horizontal="center" vertical="center"/>
    </xf>
    <xf numFmtId="173" fontId="71" fillId="9" borderId="89" xfId="19" applyNumberFormat="1" applyFont="1" applyFill="1" applyBorder="1" applyAlignment="1">
      <alignment horizontal="center" vertical="center"/>
    </xf>
    <xf numFmtId="0" fontId="53" fillId="17" borderId="0" xfId="19" applyFont="1" applyFill="1" applyAlignment="1">
      <alignment horizontal="left" vertical="center" wrapText="1"/>
    </xf>
    <xf numFmtId="0" fontId="58" fillId="18" borderId="26" xfId="19" applyFont="1" applyFill="1" applyBorder="1" applyAlignment="1">
      <alignment horizontal="center" vertical="center" wrapText="1"/>
    </xf>
    <xf numFmtId="0" fontId="58" fillId="18" borderId="0" xfId="19" applyFont="1" applyFill="1" applyAlignment="1">
      <alignment horizontal="center" vertical="center" wrapText="1"/>
    </xf>
    <xf numFmtId="0" fontId="58" fillId="18" borderId="34" xfId="19" applyFont="1" applyFill="1" applyBorder="1" applyAlignment="1">
      <alignment horizontal="center" vertical="center" wrapText="1"/>
    </xf>
    <xf numFmtId="0" fontId="61" fillId="0" borderId="28" xfId="19" applyFont="1" applyBorder="1" applyAlignment="1">
      <alignment horizontal="center" vertical="center" wrapText="1"/>
    </xf>
    <xf numFmtId="0" fontId="61" fillId="0" borderId="31" xfId="19" applyFont="1" applyBorder="1" applyAlignment="1">
      <alignment horizontal="center" vertical="center" wrapText="1"/>
    </xf>
    <xf numFmtId="0" fontId="61" fillId="0" borderId="38" xfId="19" applyFont="1" applyBorder="1" applyAlignment="1">
      <alignment horizontal="center" vertical="center" wrapText="1"/>
    </xf>
    <xf numFmtId="0" fontId="58" fillId="20" borderId="26" xfId="19" applyFont="1" applyFill="1" applyBorder="1" applyAlignment="1">
      <alignment horizontal="center" vertical="center" wrapText="1"/>
    </xf>
    <xf numFmtId="0" fontId="58" fillId="20" borderId="0" xfId="19" applyFont="1" applyFill="1" applyAlignment="1">
      <alignment horizontal="center" vertical="center" wrapText="1"/>
    </xf>
    <xf numFmtId="0" fontId="58" fillId="20" borderId="41" xfId="19" applyFont="1" applyFill="1" applyBorder="1" applyAlignment="1">
      <alignment horizontal="center" vertical="center" wrapText="1"/>
    </xf>
    <xf numFmtId="0" fontId="65" fillId="0" borderId="40" xfId="19" applyFont="1" applyBorder="1" applyAlignment="1">
      <alignment horizontal="center" vertical="center" wrapText="1"/>
    </xf>
    <xf numFmtId="0" fontId="65" fillId="0" borderId="31" xfId="19" applyFont="1" applyBorder="1" applyAlignment="1">
      <alignment horizontal="center" vertical="center" wrapText="1"/>
    </xf>
    <xf numFmtId="0" fontId="65" fillId="0" borderId="43" xfId="19" applyFont="1" applyBorder="1" applyAlignment="1">
      <alignment horizontal="center" vertical="center" wrapText="1"/>
    </xf>
    <xf numFmtId="0" fontId="58" fillId="21" borderId="44" xfId="19" applyFont="1" applyFill="1" applyBorder="1" applyAlignment="1">
      <alignment horizontal="center" vertical="center" wrapText="1"/>
    </xf>
    <xf numFmtId="0" fontId="58" fillId="21" borderId="0" xfId="19" applyFont="1" applyFill="1" applyAlignment="1">
      <alignment horizontal="center" vertical="center" wrapText="1"/>
    </xf>
    <xf numFmtId="0" fontId="58" fillId="21" borderId="48" xfId="19" applyFont="1" applyFill="1" applyBorder="1" applyAlignment="1">
      <alignment horizontal="center" vertical="center" wrapText="1"/>
    </xf>
    <xf numFmtId="0" fontId="66" fillId="0" borderId="47" xfId="19" applyFont="1" applyBorder="1" applyAlignment="1">
      <alignment horizontal="center" vertical="center" wrapText="1"/>
    </xf>
    <xf numFmtId="0" fontId="66" fillId="0" borderId="31" xfId="19" applyFont="1" applyBorder="1" applyAlignment="1">
      <alignment horizontal="center" vertical="center" wrapText="1"/>
    </xf>
    <xf numFmtId="0" fontId="66" fillId="0" borderId="50" xfId="19" applyFont="1" applyBorder="1" applyAlignment="1">
      <alignment horizontal="center" vertical="center" wrapText="1"/>
    </xf>
    <xf numFmtId="0" fontId="58" fillId="22" borderId="51" xfId="19" applyFont="1" applyFill="1" applyBorder="1" applyAlignment="1">
      <alignment horizontal="center" vertical="center" wrapText="1"/>
    </xf>
    <xf numFmtId="0" fontId="58" fillId="22" borderId="0" xfId="19" applyFont="1" applyFill="1" applyAlignment="1">
      <alignment horizontal="center" vertical="center" wrapText="1"/>
    </xf>
    <xf numFmtId="0" fontId="58" fillId="22" borderId="61" xfId="19" applyFont="1" applyFill="1" applyBorder="1" applyAlignment="1">
      <alignment horizontal="center" vertical="center" wrapText="1"/>
    </xf>
    <xf numFmtId="0" fontId="69" fillId="0" borderId="53" xfId="19" applyFont="1" applyBorder="1" applyAlignment="1">
      <alignment horizontal="center" vertical="center" wrapText="1"/>
    </xf>
    <xf numFmtId="0" fontId="69" fillId="0" borderId="31" xfId="19" applyFont="1" applyBorder="1" applyAlignment="1">
      <alignment horizontal="center" vertical="center" wrapText="1"/>
    </xf>
    <xf numFmtId="0" fontId="69" fillId="0" borderId="64" xfId="19" applyFont="1" applyBorder="1" applyAlignment="1">
      <alignment horizontal="center" vertical="center" wrapText="1"/>
    </xf>
    <xf numFmtId="0" fontId="58" fillId="23" borderId="65" xfId="19" applyFont="1" applyFill="1" applyBorder="1" applyAlignment="1">
      <alignment horizontal="center" vertical="center" wrapText="1"/>
    </xf>
    <xf numFmtId="0" fontId="58" fillId="23" borderId="0" xfId="19" applyFont="1" applyFill="1" applyAlignment="1">
      <alignment horizontal="center" vertical="center" wrapText="1"/>
    </xf>
    <xf numFmtId="0" fontId="73" fillId="0" borderId="67" xfId="19" applyFont="1" applyBorder="1" applyAlignment="1">
      <alignment horizontal="center" vertical="center" wrapText="1"/>
    </xf>
    <xf numFmtId="0" fontId="73" fillId="0" borderId="31" xfId="19" applyFont="1" applyBorder="1" applyAlignment="1">
      <alignment horizontal="center" vertical="center" wrapText="1"/>
    </xf>
    <xf numFmtId="0" fontId="73" fillId="0" borderId="29" xfId="19" applyFont="1" applyBorder="1" applyAlignment="1">
      <alignment horizontal="center" vertical="center" wrapText="1"/>
    </xf>
    <xf numFmtId="173" fontId="63" fillId="6" borderId="42" xfId="19" applyNumberFormat="1" applyFont="1" applyFill="1" applyBorder="1" applyAlignment="1">
      <alignment horizontal="center" vertical="center"/>
    </xf>
    <xf numFmtId="173" fontId="63" fillId="6" borderId="79" xfId="19" applyNumberFormat="1" applyFont="1" applyFill="1" applyBorder="1" applyAlignment="1">
      <alignment horizontal="center" vertical="center"/>
    </xf>
    <xf numFmtId="173" fontId="63" fillId="6" borderId="80" xfId="19" applyNumberFormat="1" applyFont="1" applyFill="1" applyBorder="1" applyAlignment="1">
      <alignment horizontal="center" vertical="center"/>
    </xf>
    <xf numFmtId="0" fontId="30" fillId="0" borderId="0" xfId="17" applyFont="1" applyAlignment="1">
      <alignment horizontal="left" vertical="center"/>
    </xf>
    <xf numFmtId="14" fontId="30" fillId="0" borderId="0" xfId="17" applyNumberFormat="1" applyFont="1" applyAlignment="1">
      <alignment horizontal="center" vertical="center"/>
    </xf>
    <xf numFmtId="0" fontId="21" fillId="0" borderId="0" xfId="5" applyFont="1" applyFill="1" applyBorder="1">
      <alignment vertical="center"/>
    </xf>
    <xf numFmtId="0" fontId="14" fillId="6" borderId="0" xfId="11" applyFont="1" applyFill="1" applyBorder="1" applyAlignment="1">
      <alignment horizontal="left" vertical="center" wrapText="1" indent="1"/>
    </xf>
    <xf numFmtId="0" fontId="18" fillId="6" borderId="0" xfId="11" applyFont="1" applyFill="1" applyBorder="1">
      <alignment horizontal="left" vertical="top" wrapText="1" indent="1"/>
    </xf>
    <xf numFmtId="0" fontId="13" fillId="0" borderId="4" xfId="15" applyFont="1" applyFill="1" applyBorder="1" applyAlignment="1">
      <alignment horizontal="center" vertical="top"/>
    </xf>
    <xf numFmtId="0" fontId="23" fillId="0" borderId="0" xfId="5" applyFont="1" applyFill="1" applyBorder="1">
      <alignment vertical="center"/>
    </xf>
    <xf numFmtId="0" fontId="14" fillId="9" borderId="0" xfId="11" applyFont="1" applyFill="1" applyBorder="1" applyAlignment="1">
      <alignment horizontal="left" vertical="center" wrapText="1" indent="1"/>
    </xf>
    <xf numFmtId="0" fontId="18" fillId="9" borderId="0" xfId="11" applyFont="1" applyFill="1" applyBorder="1">
      <alignment horizontal="left" vertical="top" wrapText="1" indent="1"/>
    </xf>
    <xf numFmtId="0" fontId="20" fillId="0" borderId="0" xfId="5" applyFont="1" applyFill="1" applyBorder="1">
      <alignment vertical="center"/>
    </xf>
    <xf numFmtId="0" fontId="14" fillId="7" borderId="0" xfId="11" applyFont="1" applyFill="1" applyBorder="1" applyAlignment="1">
      <alignment horizontal="left" vertical="center" wrapText="1" indent="1"/>
    </xf>
    <xf numFmtId="0" fontId="18" fillId="7" borderId="0" xfId="11" applyFont="1" applyFill="1" applyBorder="1">
      <alignment horizontal="left" vertical="top" wrapText="1" indent="1"/>
    </xf>
    <xf numFmtId="0" fontId="22" fillId="0" borderId="0" xfId="5" applyFont="1" applyFill="1" applyBorder="1">
      <alignment vertical="center"/>
    </xf>
    <xf numFmtId="0" fontId="14" fillId="8" borderId="0" xfId="11" applyFont="1" applyFill="1" applyBorder="1" applyAlignment="1">
      <alignment horizontal="left" vertical="center" wrapText="1" indent="1"/>
    </xf>
    <xf numFmtId="0" fontId="18" fillId="8" borderId="0" xfId="11" applyFont="1" applyFill="1" applyBorder="1">
      <alignment horizontal="left" vertical="top" wrapText="1" indent="1"/>
    </xf>
  </cellXfs>
  <cellStyles count="28">
    <cellStyle name="40% - Ênfase1" xfId="1" builtinId="31" customBuiltin="1"/>
    <cellStyle name="Accent5 2" xfId="21"/>
    <cellStyle name="Banded" xfId="13"/>
    <cellStyle name="Day" xfId="12"/>
    <cellStyle name="Day 2" xfId="27"/>
    <cellStyle name="Ênfase1" xfId="3" builtinId="29" customBuiltin="1"/>
    <cellStyle name="Ênfase5" xfId="4" builtinId="45" customBuiltin="1"/>
    <cellStyle name="Heading 1 2" xfId="20"/>
    <cellStyle name="Heading 2 2" xfId="25"/>
    <cellStyle name="Heading 3 2" xfId="26"/>
    <cellStyle name="Hyperlink 2" xfId="18"/>
    <cellStyle name="Moeda" xfId="8" builtinId="4" customBuiltin="1"/>
    <cellStyle name="Moeda [0]" xfId="9" builtinId="7" customBuiltin="1"/>
    <cellStyle name="Normal" xfId="0" builtinId="0" customBuiltin="1"/>
    <cellStyle name="Normal 2" xfId="17"/>
    <cellStyle name="Normal 3" xfId="19"/>
    <cellStyle name="Normal 4" xfId="23"/>
    <cellStyle name="Note 2" xfId="22"/>
    <cellStyle name="Porcentagem" xfId="10" builtinId="5" customBuiltin="1"/>
    <cellStyle name="Separador de milhares [0]" xfId="7" builtinId="6" customBuiltin="1"/>
    <cellStyle name="Settings Entry" xfId="14"/>
    <cellStyle name="Title 2" xfId="24"/>
    <cellStyle name="Título" xfId="5" builtinId="15" customBuiltin="1"/>
    <cellStyle name="Título 1" xfId="2" builtinId="16" customBuiltin="1"/>
    <cellStyle name="Título 2" xfId="15" builtinId="17" customBuiltin="1"/>
    <cellStyle name="Título 3" xfId="16" builtinId="18" customBuiltin="1"/>
    <cellStyle name="Título 4" xfId="11" builtinId="19" customBuiltin="1"/>
    <cellStyle name="Vírgula" xfId="6" builtinId="3" customBuiltin="1"/>
  </cellStyles>
  <dxfs count="65"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numFmt numFmtId="19" formatCode="dd/mm/yyyy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</font>
      <numFmt numFmtId="174" formatCode="[$-416]d\-mmm;@"/>
      <alignment horizontal="left" vertical="top" textRotation="0" wrapText="0" indent="0" justifyLastLine="0" shrinkToFit="0" readingOrder="0"/>
    </dxf>
    <dxf>
      <font>
        <b/>
      </font>
      <numFmt numFmtId="174" formatCode="[$-416]d\-mmm;@"/>
      <alignment horizontal="left" vertical="top" textRotation="0" wrapText="0" indent="0" justifyLastLine="0" shrinkToFit="0" readingOrder="0"/>
    </dxf>
    <dxf>
      <font>
        <b/>
      </font>
      <numFmt numFmtId="174" formatCode="[$-416]d\-mmm;@"/>
      <alignment horizontal="left" vertical="top" textRotation="0" wrapText="0" indent="0" justifyLastLine="0" shrinkToFit="0" readingOrder="0"/>
    </dxf>
    <dxf>
      <font>
        <b/>
      </font>
      <numFmt numFmtId="174" formatCode="[$-416]d\-mmm;@"/>
      <alignment horizontal="left" vertical="top" textRotation="0" wrapText="0" indent="0" justifyLastLine="0" shrinkToFit="0" readingOrder="0"/>
    </dxf>
    <dxf>
      <font>
        <b/>
      </font>
      <numFmt numFmtId="174" formatCode="[$-416]d\-mmm;@"/>
      <alignment horizontal="left" vertical="top" textRotation="0" wrapText="0" indent="0" justifyLastLine="0" shrinkToFit="0" readingOrder="0"/>
    </dxf>
    <dxf>
      <font>
        <b/>
      </font>
      <numFmt numFmtId="174" formatCode="[$-416]d\-mmm;@"/>
      <alignment horizontal="left" vertical="top" textRotation="0" wrapText="0" indent="0" justifyLastLine="0" shrinkToFit="0" readingOrder="0"/>
    </dxf>
    <dxf>
      <font>
        <b/>
      </font>
      <numFmt numFmtId="174" formatCode="[$-416]d\-mmm;@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24994659260841701"/>
        <name val="Arial Black"/>
        <scheme val="none"/>
      </font>
      <fill>
        <patternFill patternType="solid">
          <fgColor indexed="64"/>
          <bgColor theme="4" tint="0.79998168889431442"/>
        </patternFill>
      </fill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microsoft.com/office/2017/10/relationships/person" Target="persons/perso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9525</xdr:colOff>
      <xdr:row>1</xdr:row>
      <xdr:rowOff>504825</xdr:rowOff>
    </xdr:from>
    <xdr:to>
      <xdr:col>36</xdr:col>
      <xdr:colOff>133350</xdr:colOff>
      <xdr:row>2</xdr:row>
      <xdr:rowOff>114300</xdr:rowOff>
    </xdr:to>
    <xdr:sp macro="[0]!marcar_data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xmlns="" id="{B9E6ECE5-28C3-D89A-9321-F44ACC8D3E99}"/>
            </a:ext>
          </a:extLst>
        </xdr:cNvPr>
        <xdr:cNvSpPr/>
      </xdr:nvSpPr>
      <xdr:spPr>
        <a:xfrm>
          <a:off x="9001125" y="1323975"/>
          <a:ext cx="1114425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Marcar data</a:t>
          </a:r>
        </a:p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8</xdr:col>
      <xdr:colOff>171450</xdr:colOff>
      <xdr:row>1</xdr:row>
      <xdr:rowOff>1143000</xdr:rowOff>
    </xdr:to>
    <xdr:pic>
      <xdr:nvPicPr>
        <xdr:cNvPr id="3" name="Picture 2" descr="Buildings and a tree on a Winter" title="Header Winte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Winter" title="Header Winter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Picture 2" descr="Buildings and a tree on a Summer" title="Header Summer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Picture 2" descr="Buildings and a tree on a Spring" title="Header Spring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Spring" title="Header Spring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Spring" title="Header Spring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Summer" title="Header Summer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483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Summer" title="Header Summer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Picture 2" descr="Buildings and a tree on a Fall" title="Header Fall">
          <a:extLst>
            <a:ext uri="{FF2B5EF4-FFF2-40B4-BE49-F238E27FC236}">
              <a16:creationId xmlns:a16="http://schemas.microsoft.com/office/drawing/2014/main" xmlns="" id="{00000000-0008-0000-08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Fall" title="Header Fall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Fall" title="Header Fall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Winter" title="Header Winter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1" name="Tabela11" displayName="Tabela11" ref="D2:K55" totalsRowShown="0" headerRowDxfId="46" dataDxfId="45">
  <autoFilter ref="D2:K55"/>
  <tableColumns count="8">
    <tableColumn id="1" name="Coluna1" dataDxfId="44"/>
    <tableColumn id="2" name="Seg" dataDxfId="43">
      <calculatedColumnFormula>E2+7</calculatedColumnFormula>
    </tableColumn>
    <tableColumn id="3" name="Ter" dataDxfId="42">
      <calculatedColumnFormula>F2+7</calculatedColumnFormula>
    </tableColumn>
    <tableColumn id="4" name="Qua" dataDxfId="41">
      <calculatedColumnFormula>G2+7</calculatedColumnFormula>
    </tableColumn>
    <tableColumn id="5" name="Qui" dataDxfId="40">
      <calculatedColumnFormula>H2+7</calculatedColumnFormula>
    </tableColumn>
    <tableColumn id="6" name="Sex" dataDxfId="39">
      <calculatedColumnFormula>I2+7</calculatedColumnFormula>
    </tableColumn>
    <tableColumn id="7" name="Sáb" dataDxfId="38">
      <calculatedColumnFormula>J2+7</calculatedColumnFormula>
    </tableColumn>
    <tableColumn id="8" name="Dom" dataDxfId="37">
      <calculatedColumnFormula>K2+7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2" name="Tabela12" displayName="Tabela12" ref="A2:A6" totalsRowShown="0" dataDxfId="36">
  <autoFilter ref="A2:A6"/>
  <tableColumns count="1">
    <tableColumn id="1" name="Data " dataDxfId="35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11:I1048576" totalsRowShown="0" headerRowDxfId="34" dataDxfId="33" headerRowCellStyle="Normal 2" dataCellStyle="Normal 2">
  <autoFilter ref="A11:I1048576"/>
  <tableColumns count="9">
    <tableColumn id="1" name="EDITAL" dataDxfId="32" dataCellStyle="Normal 2"/>
    <tableColumn id="2" name="ESFERA" dataDxfId="31" dataCellStyle="Normal 2"/>
    <tableColumn id="3" name="PERÍODO" dataDxfId="30" dataCellStyle="Normal 2"/>
    <tableColumn id="4" name="PRAZO PARA INSCRIÇÃO DE PROJETOS" dataDxfId="29" dataCellStyle="Normal 2"/>
    <tableColumn id="5" name="PROJETO" dataDxfId="28" dataCellStyle="Normal 2"/>
    <tableColumn id="6" name="VALOR" dataDxfId="27" dataCellStyle="Normal 2"/>
    <tableColumn id="7" name="RESTRIÇÕES" dataDxfId="26" dataCellStyle="Normal 2"/>
    <tableColumn id="8" name="SITE" dataDxfId="25" dataCellStyle="Normal 2"/>
    <tableColumn id="9" name="OBSERVAÇÕES" dataDxfId="24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5">
      <a:majorFont>
        <a:latin typeface="Cambria"/>
        <a:ea typeface=""/>
        <a:cs typeface=""/>
      </a:majorFont>
      <a:minorFont>
        <a:latin typeface="Lucida Br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zoomScale="80" zoomScaleNormal="80" workbookViewId="0">
      <selection activeCell="F5" sqref="F5"/>
    </sheetView>
  </sheetViews>
  <sheetFormatPr defaultColWidth="9.33203125" defaultRowHeight="15.75" x14ac:dyDescent="0.25"/>
  <cols>
    <col min="1" max="1" width="27.77734375" style="25" bestFit="1" customWidth="1"/>
    <col min="2" max="2" width="37.88671875" style="25" bestFit="1" customWidth="1"/>
    <col min="3" max="3" width="21.109375" style="25" customWidth="1"/>
    <col min="4" max="5" width="24.109375" style="25" customWidth="1"/>
    <col min="6" max="6" width="20.33203125" style="25" customWidth="1"/>
    <col min="7" max="7" width="38.33203125" style="25" customWidth="1"/>
    <col min="8" max="9" width="18.6640625" style="25" customWidth="1"/>
    <col min="10" max="10" width="13.33203125" style="25" customWidth="1"/>
    <col min="11" max="11" width="17.109375" style="25" customWidth="1"/>
    <col min="12" max="12" width="18.109375" style="25" customWidth="1"/>
    <col min="13" max="13" width="18.33203125" style="25" customWidth="1"/>
    <col min="14" max="14" width="18.77734375" style="25" customWidth="1"/>
    <col min="15" max="15" width="18.33203125" style="25" customWidth="1"/>
    <col min="16" max="16" width="27.6640625" style="25" customWidth="1"/>
    <col min="17" max="16384" width="9.33203125" style="25"/>
  </cols>
  <sheetData>
    <row r="1" spans="1:16" ht="39.950000000000003" customHeight="1" x14ac:dyDescent="0.25">
      <c r="A1" s="237" t="s">
        <v>29</v>
      </c>
      <c r="B1" s="237"/>
      <c r="C1" s="237"/>
      <c r="D1" s="237"/>
      <c r="E1" s="237"/>
      <c r="F1" s="237"/>
      <c r="G1" s="237"/>
      <c r="H1" s="237"/>
      <c r="I1" s="28"/>
      <c r="J1" s="28"/>
      <c r="K1" s="28"/>
      <c r="L1" s="28"/>
      <c r="M1" s="28"/>
      <c r="N1" s="28"/>
      <c r="O1" s="28"/>
      <c r="P1" s="28"/>
    </row>
    <row r="2" spans="1:16" s="30" customFormat="1" ht="36" customHeight="1" x14ac:dyDescent="0.2">
      <c r="A2" s="29" t="s">
        <v>30</v>
      </c>
      <c r="B2" s="29" t="s">
        <v>31</v>
      </c>
      <c r="C2" s="29" t="s">
        <v>32</v>
      </c>
      <c r="D2" s="29" t="s">
        <v>33</v>
      </c>
      <c r="E2" s="29" t="s">
        <v>34</v>
      </c>
      <c r="F2" s="29" t="s">
        <v>21</v>
      </c>
      <c r="G2" s="29" t="s">
        <v>35</v>
      </c>
      <c r="H2" s="29" t="s">
        <v>17</v>
      </c>
    </row>
    <row r="3" spans="1:16" ht="61.5" customHeight="1" x14ac:dyDescent="0.25">
      <c r="A3" s="26" t="s">
        <v>36</v>
      </c>
      <c r="B3" s="25" t="s">
        <v>37</v>
      </c>
      <c r="C3" s="25" t="s">
        <v>38</v>
      </c>
      <c r="D3" s="27" t="s">
        <v>39</v>
      </c>
      <c r="E3" s="27" t="s">
        <v>40</v>
      </c>
      <c r="F3" s="27"/>
      <c r="G3" s="27" t="s">
        <v>52</v>
      </c>
    </row>
    <row r="4" spans="1:16" ht="45.95" customHeight="1" x14ac:dyDescent="0.25">
      <c r="A4" s="25" t="s">
        <v>41</v>
      </c>
      <c r="B4" s="25" t="s">
        <v>42</v>
      </c>
      <c r="C4" s="25" t="s">
        <v>43</v>
      </c>
      <c r="D4" s="25" t="s">
        <v>44</v>
      </c>
      <c r="E4" s="27" t="s">
        <v>40</v>
      </c>
      <c r="F4" s="27"/>
      <c r="G4" s="27" t="s">
        <v>53</v>
      </c>
    </row>
    <row r="5" spans="1:16" ht="36" customHeight="1" x14ac:dyDescent="0.25">
      <c r="A5" s="25" t="s">
        <v>45</v>
      </c>
      <c r="B5" s="25" t="s">
        <v>46</v>
      </c>
      <c r="C5" s="25" t="s">
        <v>38</v>
      </c>
      <c r="D5" s="25" t="s">
        <v>47</v>
      </c>
      <c r="E5" s="27" t="s">
        <v>40</v>
      </c>
      <c r="F5" s="27"/>
      <c r="G5" s="27" t="s">
        <v>54</v>
      </c>
    </row>
    <row r="6" spans="1:16" ht="33.950000000000003" customHeight="1" x14ac:dyDescent="0.25">
      <c r="E6" s="27"/>
      <c r="F6" s="27"/>
      <c r="G6" s="27"/>
    </row>
    <row r="7" spans="1:16" ht="24.95" customHeight="1" x14ac:dyDescent="0.25"/>
    <row r="8" spans="1:16" ht="24.95" customHeight="1" x14ac:dyDescent="0.25">
      <c r="E8" s="27"/>
      <c r="F8" s="27"/>
      <c r="G8" s="27"/>
    </row>
    <row r="9" spans="1:16" ht="24.95" customHeight="1" x14ac:dyDescent="0.25">
      <c r="E9" s="27"/>
      <c r="F9" s="27"/>
      <c r="G9" s="27"/>
    </row>
    <row r="10" spans="1:16" ht="24.95" customHeight="1" x14ac:dyDescent="0.25"/>
    <row r="11" spans="1:16" ht="24.95" customHeight="1" x14ac:dyDescent="0.25"/>
    <row r="12" spans="1:16" ht="24.95" customHeight="1" x14ac:dyDescent="0.25"/>
    <row r="13" spans="1:16" ht="24.95" customHeight="1" x14ac:dyDescent="0.25"/>
    <row r="14" spans="1:16" ht="24.95" customHeight="1" x14ac:dyDescent="0.25"/>
    <row r="15" spans="1:16" ht="24.95" customHeight="1" x14ac:dyDescent="0.25"/>
    <row r="16" spans="1:16" ht="24.95" customHeight="1" x14ac:dyDescent="0.25"/>
    <row r="17" ht="24.95" customHeight="1" x14ac:dyDescent="0.25"/>
    <row r="18" s="34" customFormat="1" ht="24.95" customHeight="1" x14ac:dyDescent="0.25"/>
    <row r="19" s="34" customFormat="1" ht="24.95" customHeight="1" x14ac:dyDescent="0.25"/>
    <row r="20" s="34" customFormat="1" ht="24.95" customHeight="1" x14ac:dyDescent="0.25"/>
    <row r="21" s="34" customFormat="1" ht="24.95" customHeight="1" x14ac:dyDescent="0.25"/>
    <row r="22" s="34" customFormat="1" ht="24.95" customHeight="1" x14ac:dyDescent="0.25"/>
    <row r="23" s="34" customFormat="1" x14ac:dyDescent="0.25"/>
  </sheetData>
  <mergeCells count="1">
    <mergeCell ref="A1:H1"/>
  </mergeCells>
  <hyperlinks>
    <hyperlink ref="A3" location="EXEMPLO!A1" tooltip="Clique aqui" display="Diqu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3" zoomScaleNormal="100" workbookViewId="0">
      <selection activeCell="B21" sqref="B21"/>
    </sheetView>
  </sheetViews>
  <sheetFormatPr defaultColWidth="10.77734375" defaultRowHeight="15" x14ac:dyDescent="0.2"/>
  <cols>
    <col min="1" max="1" width="24.33203125" style="163" customWidth="1"/>
    <col min="2" max="2" width="17.6640625" style="163" customWidth="1"/>
    <col min="3" max="3" width="23.21875" style="163" customWidth="1"/>
    <col min="4" max="4" width="22.6640625" style="163" customWidth="1"/>
    <col min="5" max="5" width="16.33203125" style="163" customWidth="1"/>
    <col min="6" max="6" width="22.6640625" style="163" customWidth="1"/>
    <col min="7" max="16384" width="10.77734375" style="163"/>
  </cols>
  <sheetData>
    <row r="1" spans="1:6" ht="38.1" customHeight="1" x14ac:dyDescent="0.2">
      <c r="A1" s="238" t="s">
        <v>36</v>
      </c>
      <c r="B1" s="238"/>
      <c r="C1" s="238"/>
      <c r="D1" s="238"/>
      <c r="E1" s="238"/>
      <c r="F1" s="238"/>
    </row>
    <row r="2" spans="1:6" s="167" customFormat="1" ht="20.100000000000001" customHeight="1" x14ac:dyDescent="0.2">
      <c r="A2" s="239" t="s">
        <v>407</v>
      </c>
      <c r="B2" s="239"/>
      <c r="C2" s="239"/>
      <c r="D2" s="239"/>
      <c r="E2" s="239"/>
      <c r="F2" s="239"/>
    </row>
    <row r="3" spans="1:6" s="172" customFormat="1" ht="36" customHeight="1" x14ac:dyDescent="0.2">
      <c r="A3" s="168" t="s">
        <v>31</v>
      </c>
      <c r="B3" s="168" t="s">
        <v>32</v>
      </c>
      <c r="C3" s="168" t="s">
        <v>33</v>
      </c>
      <c r="D3" s="168" t="s">
        <v>34</v>
      </c>
      <c r="E3" s="168" t="s">
        <v>21</v>
      </c>
      <c r="F3" s="168" t="s">
        <v>17</v>
      </c>
    </row>
    <row r="4" spans="1:6" s="164" customFormat="1" ht="61.5" customHeight="1" x14ac:dyDescent="0.25">
      <c r="A4" s="165" t="s">
        <v>37</v>
      </c>
      <c r="B4" s="165" t="s">
        <v>38</v>
      </c>
      <c r="C4" s="166" t="s">
        <v>39</v>
      </c>
      <c r="D4" s="166" t="s">
        <v>40</v>
      </c>
      <c r="E4" s="166"/>
      <c r="F4" s="166"/>
    </row>
    <row r="7" spans="1:6" s="167" customFormat="1" ht="23.1" customHeight="1" x14ac:dyDescent="0.2">
      <c r="A7" s="240" t="s">
        <v>414</v>
      </c>
      <c r="B7" s="240"/>
      <c r="C7" s="240"/>
      <c r="D7" s="240"/>
      <c r="E7" s="169"/>
      <c r="F7" s="169"/>
    </row>
    <row r="8" spans="1:6" s="173" customFormat="1" ht="23.1" customHeight="1" x14ac:dyDescent="0.2">
      <c r="A8" s="168" t="s">
        <v>56</v>
      </c>
      <c r="B8" s="168" t="s">
        <v>62</v>
      </c>
      <c r="C8" s="170" t="s">
        <v>63</v>
      </c>
      <c r="D8" s="175" t="s">
        <v>419</v>
      </c>
    </row>
    <row r="9" spans="1:6" x14ac:dyDescent="0.25">
      <c r="A9" s="166" t="s">
        <v>57</v>
      </c>
      <c r="B9" s="174">
        <v>45311</v>
      </c>
      <c r="C9" s="171" t="s">
        <v>415</v>
      </c>
      <c r="D9" s="171"/>
    </row>
    <row r="10" spans="1:6" x14ac:dyDescent="0.2">
      <c r="A10" s="171" t="s">
        <v>59</v>
      </c>
      <c r="B10" s="174">
        <v>45311</v>
      </c>
      <c r="C10" s="171" t="s">
        <v>416</v>
      </c>
      <c r="D10" s="171"/>
    </row>
    <row r="11" spans="1:6" x14ac:dyDescent="0.2">
      <c r="A11" s="171" t="s">
        <v>58</v>
      </c>
      <c r="B11" s="174">
        <v>45334</v>
      </c>
      <c r="C11" s="171" t="s">
        <v>417</v>
      </c>
      <c r="D11" s="171"/>
    </row>
    <row r="12" spans="1:6" x14ac:dyDescent="0.2">
      <c r="A12" s="171" t="s">
        <v>60</v>
      </c>
      <c r="B12" s="174">
        <v>45352</v>
      </c>
      <c r="C12" s="171" t="s">
        <v>418</v>
      </c>
      <c r="D12" s="171"/>
    </row>
    <row r="13" spans="1:6" x14ac:dyDescent="0.2">
      <c r="A13" s="171" t="s">
        <v>61</v>
      </c>
      <c r="B13" s="174">
        <v>45306</v>
      </c>
      <c r="C13" s="171" t="s">
        <v>417</v>
      </c>
      <c r="D13" s="171"/>
    </row>
  </sheetData>
  <mergeCells count="3">
    <mergeCell ref="A1:F1"/>
    <mergeCell ref="A2:F2"/>
    <mergeCell ref="A7:D7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workbookViewId="0">
      <selection activeCell="K195" sqref="K195"/>
    </sheetView>
  </sheetViews>
  <sheetFormatPr defaultColWidth="12.33203125" defaultRowHeight="14.25" x14ac:dyDescent="0.2"/>
  <cols>
    <col min="1" max="1" width="4.33203125" style="33" customWidth="1"/>
    <col min="2" max="2" width="4.6640625" style="33" customWidth="1"/>
    <col min="3" max="3" width="5.77734375" style="33" customWidth="1"/>
    <col min="4" max="4" width="42" style="33" customWidth="1"/>
    <col min="5" max="5" width="6" style="33" customWidth="1"/>
    <col min="6" max="6" width="6.6640625" style="33" customWidth="1"/>
    <col min="7" max="7" width="6" style="33" customWidth="1"/>
    <col min="8" max="8" width="20" style="33" customWidth="1"/>
    <col min="9" max="9" width="12.21875" style="33" customWidth="1"/>
    <col min="10" max="10" width="17.109375" style="33" customWidth="1"/>
    <col min="11" max="11" width="19.33203125" style="33" customWidth="1"/>
    <col min="12" max="12" width="12.33203125" style="33"/>
    <col min="13" max="15" width="9.88671875" style="33" customWidth="1"/>
    <col min="16" max="16" width="10.88671875" style="33" customWidth="1"/>
    <col min="17" max="17" width="11.6640625" style="33" customWidth="1"/>
    <col min="18" max="18" width="9.88671875" style="33" customWidth="1"/>
    <col min="19" max="16384" width="12.33203125" style="33"/>
  </cols>
  <sheetData>
    <row r="1" spans="1:18" ht="12.75" customHeight="1" x14ac:dyDescent="0.2">
      <c r="A1" s="38"/>
      <c r="B1" s="241" t="s">
        <v>64</v>
      </c>
      <c r="C1" s="242"/>
      <c r="D1" s="242"/>
      <c r="E1" s="242"/>
      <c r="F1" s="242"/>
      <c r="G1" s="242"/>
      <c r="H1" s="242"/>
      <c r="I1" s="242"/>
      <c r="J1" s="243"/>
      <c r="K1" s="39"/>
      <c r="L1" s="39"/>
      <c r="M1" s="38"/>
      <c r="N1" s="38"/>
      <c r="O1" s="38"/>
      <c r="P1" s="38"/>
      <c r="Q1" s="38"/>
      <c r="R1" s="38"/>
    </row>
    <row r="2" spans="1:18" ht="12.75" customHeight="1" x14ac:dyDescent="0.2">
      <c r="A2" s="38"/>
      <c r="B2" s="244"/>
      <c r="C2" s="245"/>
      <c r="D2" s="245"/>
      <c r="E2" s="245"/>
      <c r="F2" s="245"/>
      <c r="G2" s="245"/>
      <c r="H2" s="245"/>
      <c r="I2" s="245"/>
      <c r="J2" s="246"/>
      <c r="K2" s="39"/>
      <c r="L2" s="39"/>
      <c r="M2" s="38"/>
      <c r="N2" s="38"/>
      <c r="O2" s="38"/>
      <c r="P2" s="38"/>
      <c r="Q2" s="38"/>
      <c r="R2" s="38"/>
    </row>
    <row r="3" spans="1:18" ht="12.75" customHeight="1" x14ac:dyDescent="0.2">
      <c r="A3" s="38"/>
      <c r="B3" s="244"/>
      <c r="C3" s="245"/>
      <c r="D3" s="245"/>
      <c r="E3" s="245"/>
      <c r="F3" s="245"/>
      <c r="G3" s="245"/>
      <c r="H3" s="245"/>
      <c r="I3" s="245"/>
      <c r="J3" s="246"/>
      <c r="K3" s="39"/>
      <c r="L3" s="39"/>
      <c r="M3" s="38"/>
      <c r="N3" s="38"/>
      <c r="O3" s="38"/>
      <c r="P3" s="38"/>
      <c r="Q3" s="38"/>
      <c r="R3" s="38"/>
    </row>
    <row r="4" spans="1:18" ht="8.25" customHeight="1" x14ac:dyDescent="0.2">
      <c r="A4" s="38"/>
      <c r="B4" s="247"/>
      <c r="C4" s="248"/>
      <c r="D4" s="248"/>
      <c r="E4" s="248"/>
      <c r="F4" s="248"/>
      <c r="G4" s="248"/>
      <c r="H4" s="248"/>
      <c r="I4" s="248"/>
      <c r="J4" s="249"/>
      <c r="K4" s="39"/>
      <c r="L4" s="39"/>
      <c r="M4" s="38"/>
      <c r="N4" s="38"/>
      <c r="O4" s="38"/>
      <c r="P4" s="38"/>
      <c r="Q4" s="38"/>
      <c r="R4" s="38"/>
    </row>
    <row r="5" spans="1:18" ht="24" customHeight="1" x14ac:dyDescent="0.25">
      <c r="A5" s="38"/>
      <c r="B5" s="250" t="s">
        <v>65</v>
      </c>
      <c r="C5" s="251"/>
      <c r="D5" s="40" t="s">
        <v>66</v>
      </c>
      <c r="E5" s="41" t="s">
        <v>67</v>
      </c>
      <c r="F5" s="42" t="s">
        <v>68</v>
      </c>
      <c r="G5" s="43" t="s">
        <v>69</v>
      </c>
      <c r="H5" s="44" t="s">
        <v>70</v>
      </c>
      <c r="I5" s="45" t="s">
        <v>71</v>
      </c>
      <c r="J5" s="46" t="s">
        <v>72</v>
      </c>
      <c r="K5" s="39" t="s">
        <v>73</v>
      </c>
      <c r="L5" s="39"/>
      <c r="M5" s="38"/>
      <c r="N5" s="38"/>
      <c r="O5" s="38"/>
      <c r="P5" s="38"/>
      <c r="Q5" s="38"/>
      <c r="R5" s="38"/>
    </row>
    <row r="6" spans="1:18" ht="12.75" customHeight="1" x14ac:dyDescent="0.2">
      <c r="A6" s="38"/>
      <c r="B6" s="47">
        <v>1</v>
      </c>
      <c r="C6" s="48"/>
      <c r="D6" s="49" t="s">
        <v>74</v>
      </c>
      <c r="E6" s="50"/>
      <c r="F6" s="49"/>
      <c r="G6" s="50"/>
      <c r="H6" s="51"/>
      <c r="I6" s="52"/>
      <c r="J6" s="53">
        <f>SUBTOTAL(9,I7:J10)</f>
        <v>3500</v>
      </c>
      <c r="K6" s="39"/>
      <c r="L6" s="39"/>
      <c r="M6" s="38"/>
      <c r="N6" s="38"/>
      <c r="O6" s="38"/>
      <c r="P6" s="38"/>
      <c r="Q6" s="38"/>
      <c r="R6" s="38"/>
    </row>
    <row r="7" spans="1:18" ht="12.75" customHeight="1" x14ac:dyDescent="0.2">
      <c r="A7" s="38"/>
      <c r="B7" s="47" t="s">
        <v>75</v>
      </c>
      <c r="C7" s="54"/>
      <c r="D7" s="55" t="s">
        <v>76</v>
      </c>
      <c r="E7" s="56"/>
      <c r="F7" s="56"/>
      <c r="G7" s="56"/>
      <c r="H7" s="57"/>
      <c r="I7" s="53">
        <f>SUBTOTAL(9,I8:R10)</f>
        <v>3500</v>
      </c>
      <c r="J7" s="51"/>
      <c r="K7" s="39"/>
      <c r="L7" s="39"/>
      <c r="M7" s="38"/>
      <c r="N7" s="38"/>
      <c r="O7" s="38"/>
      <c r="P7" s="38"/>
      <c r="Q7" s="38"/>
      <c r="R7" s="38"/>
    </row>
    <row r="8" spans="1:18" ht="12.75" customHeight="1" x14ac:dyDescent="0.2">
      <c r="A8" s="38"/>
      <c r="B8" s="58"/>
      <c r="C8" s="54" t="s">
        <v>77</v>
      </c>
      <c r="D8" s="59" t="s">
        <v>78</v>
      </c>
      <c r="E8" s="60">
        <v>1</v>
      </c>
      <c r="F8" s="60" t="s">
        <v>79</v>
      </c>
      <c r="G8" s="60">
        <v>1</v>
      </c>
      <c r="H8" s="61">
        <v>0</v>
      </c>
      <c r="I8" s="62">
        <f t="shared" ref="I8:I10" si="0">H8*G8*E8</f>
        <v>0</v>
      </c>
      <c r="J8" s="52"/>
      <c r="K8" s="39"/>
      <c r="L8" s="39"/>
      <c r="M8" s="38"/>
      <c r="N8" s="38"/>
      <c r="O8" s="38"/>
      <c r="P8" s="38"/>
      <c r="Q8" s="38"/>
      <c r="R8" s="38"/>
    </row>
    <row r="9" spans="1:18" ht="12.75" customHeight="1" x14ac:dyDescent="0.2">
      <c r="A9" s="38"/>
      <c r="B9" s="58"/>
      <c r="C9" s="54" t="s">
        <v>80</v>
      </c>
      <c r="D9" s="59" t="s">
        <v>436</v>
      </c>
      <c r="E9" s="60">
        <v>3</v>
      </c>
      <c r="F9" s="60" t="s">
        <v>81</v>
      </c>
      <c r="G9" s="60">
        <v>1</v>
      </c>
      <c r="H9" s="62">
        <v>1000</v>
      </c>
      <c r="I9" s="62">
        <f t="shared" si="0"/>
        <v>3000</v>
      </c>
      <c r="J9" s="52"/>
      <c r="K9" s="39"/>
      <c r="L9" s="39"/>
      <c r="M9" s="38"/>
      <c r="N9" s="38"/>
      <c r="O9" s="38"/>
      <c r="P9" s="38"/>
      <c r="Q9" s="38"/>
      <c r="R9" s="38"/>
    </row>
    <row r="10" spans="1:18" ht="12.75" customHeight="1" x14ac:dyDescent="0.2">
      <c r="A10" s="38"/>
      <c r="B10" s="58"/>
      <c r="C10" s="54" t="s">
        <v>82</v>
      </c>
      <c r="D10" s="59" t="s">
        <v>83</v>
      </c>
      <c r="E10" s="60">
        <v>1</v>
      </c>
      <c r="F10" s="60" t="s">
        <v>81</v>
      </c>
      <c r="G10" s="60">
        <v>1</v>
      </c>
      <c r="H10" s="61">
        <v>500</v>
      </c>
      <c r="I10" s="62">
        <f t="shared" si="0"/>
        <v>500</v>
      </c>
      <c r="J10" s="52"/>
      <c r="K10" s="39"/>
      <c r="L10" s="39"/>
      <c r="M10" s="38"/>
      <c r="N10" s="38"/>
      <c r="O10" s="38"/>
      <c r="P10" s="38"/>
      <c r="Q10" s="38"/>
      <c r="R10" s="38"/>
    </row>
    <row r="11" spans="1:18" ht="12.75" customHeight="1" x14ac:dyDescent="0.2">
      <c r="A11" s="38"/>
      <c r="B11" s="47">
        <v>2</v>
      </c>
      <c r="C11" s="48"/>
      <c r="D11" s="63" t="s">
        <v>396</v>
      </c>
      <c r="E11" s="64"/>
      <c r="F11" s="64"/>
      <c r="G11" s="64"/>
      <c r="H11" s="65"/>
      <c r="I11" s="52"/>
      <c r="J11" s="53">
        <f>SUBTOTAL(9,I12:I75)</f>
        <v>68971.5</v>
      </c>
      <c r="K11" s="39"/>
      <c r="L11" s="39"/>
      <c r="M11" s="38"/>
      <c r="N11" s="38"/>
      <c r="O11" s="38"/>
      <c r="P11" s="38"/>
      <c r="Q11" s="38"/>
      <c r="R11" s="38"/>
    </row>
    <row r="12" spans="1:18" ht="12.75" customHeight="1" x14ac:dyDescent="0.2">
      <c r="A12" s="38"/>
      <c r="B12" s="47" t="s">
        <v>84</v>
      </c>
      <c r="C12" s="66"/>
      <c r="D12" s="55" t="s">
        <v>85</v>
      </c>
      <c r="E12" s="60"/>
      <c r="F12" s="60"/>
      <c r="G12" s="60"/>
      <c r="H12" s="67"/>
      <c r="I12" s="53">
        <f>SUBTOTAL(9,I13:I16)</f>
        <v>5700</v>
      </c>
      <c r="J12" s="68"/>
      <c r="K12" s="39"/>
      <c r="L12" s="39"/>
      <c r="M12" s="38"/>
      <c r="N12" s="38"/>
      <c r="O12" s="38"/>
      <c r="P12" s="38"/>
      <c r="Q12" s="38"/>
      <c r="R12" s="38"/>
    </row>
    <row r="13" spans="1:18" ht="12.75" customHeight="1" x14ac:dyDescent="0.2">
      <c r="A13" s="38"/>
      <c r="B13" s="47"/>
      <c r="C13" s="54" t="s">
        <v>86</v>
      </c>
      <c r="D13" s="69" t="s">
        <v>87</v>
      </c>
      <c r="E13" s="70">
        <v>1</v>
      </c>
      <c r="F13" s="60" t="s">
        <v>88</v>
      </c>
      <c r="G13" s="60">
        <v>1.5</v>
      </c>
      <c r="H13" s="67">
        <v>2000</v>
      </c>
      <c r="I13" s="62">
        <f t="shared" ref="I13:I16" si="1">H13*G13*E13</f>
        <v>3000</v>
      </c>
      <c r="J13" s="51"/>
      <c r="K13" s="39">
        <f t="shared" ref="K13:K16" si="2">G13*E13*5</f>
        <v>7.5</v>
      </c>
      <c r="M13" s="71"/>
      <c r="N13" s="38"/>
      <c r="O13" s="38"/>
      <c r="P13" s="38"/>
      <c r="Q13" s="38"/>
      <c r="R13" s="38"/>
    </row>
    <row r="14" spans="1:18" ht="12.75" customHeight="1" x14ac:dyDescent="0.2">
      <c r="A14" s="38"/>
      <c r="B14" s="47"/>
      <c r="C14" s="54" t="s">
        <v>89</v>
      </c>
      <c r="D14" s="69" t="s">
        <v>90</v>
      </c>
      <c r="E14" s="70">
        <v>1</v>
      </c>
      <c r="F14" s="60" t="s">
        <v>88</v>
      </c>
      <c r="G14" s="60">
        <v>1</v>
      </c>
      <c r="H14" s="67">
        <v>0</v>
      </c>
      <c r="I14" s="62">
        <f t="shared" si="1"/>
        <v>0</v>
      </c>
      <c r="J14" s="51"/>
      <c r="K14" s="39">
        <f t="shared" si="2"/>
        <v>5</v>
      </c>
      <c r="L14" s="72"/>
      <c r="M14" s="38"/>
      <c r="N14" s="38"/>
      <c r="O14" s="38"/>
      <c r="P14" s="38"/>
      <c r="Q14" s="38"/>
      <c r="R14" s="38"/>
    </row>
    <row r="15" spans="1:18" ht="12.75" customHeight="1" x14ac:dyDescent="0.2">
      <c r="A15" s="38"/>
      <c r="B15" s="47"/>
      <c r="C15" s="54" t="s">
        <v>91</v>
      </c>
      <c r="D15" s="73" t="s">
        <v>92</v>
      </c>
      <c r="E15" s="60">
        <v>1</v>
      </c>
      <c r="F15" s="60" t="s">
        <v>93</v>
      </c>
      <c r="G15" s="60">
        <v>1</v>
      </c>
      <c r="H15" s="67">
        <v>2500</v>
      </c>
      <c r="I15" s="62">
        <f t="shared" si="1"/>
        <v>2500</v>
      </c>
      <c r="J15" s="51"/>
      <c r="K15" s="39">
        <f t="shared" si="2"/>
        <v>5</v>
      </c>
      <c r="L15" s="72"/>
      <c r="M15" s="38"/>
      <c r="N15" s="38"/>
      <c r="O15" s="38"/>
      <c r="P15" s="74"/>
      <c r="Q15" s="38"/>
      <c r="R15" s="38"/>
    </row>
    <row r="16" spans="1:18" ht="12.75" customHeight="1" x14ac:dyDescent="0.2">
      <c r="A16" s="38"/>
      <c r="B16" s="47"/>
      <c r="C16" s="54" t="s">
        <v>94</v>
      </c>
      <c r="D16" s="73" t="s">
        <v>95</v>
      </c>
      <c r="E16" s="60">
        <v>1</v>
      </c>
      <c r="F16" s="60" t="s">
        <v>93</v>
      </c>
      <c r="G16" s="60">
        <v>0.2</v>
      </c>
      <c r="H16" s="67">
        <v>1000</v>
      </c>
      <c r="I16" s="62">
        <f t="shared" si="1"/>
        <v>200</v>
      </c>
      <c r="J16" s="51"/>
      <c r="K16" s="39">
        <f t="shared" si="2"/>
        <v>1</v>
      </c>
      <c r="L16" s="72"/>
      <c r="M16" s="38"/>
      <c r="N16" s="38"/>
      <c r="O16" s="38"/>
      <c r="P16" s="74"/>
      <c r="Q16" s="38"/>
      <c r="R16" s="38"/>
    </row>
    <row r="17" spans="1:18" ht="12.75" customHeight="1" x14ac:dyDescent="0.2">
      <c r="A17" s="38"/>
      <c r="B17" s="47" t="s">
        <v>96</v>
      </c>
      <c r="C17" s="66"/>
      <c r="D17" s="55" t="s">
        <v>97</v>
      </c>
      <c r="E17" s="60"/>
      <c r="F17" s="60"/>
      <c r="G17" s="60"/>
      <c r="H17" s="67"/>
      <c r="I17" s="53">
        <f>SUBTOTAL(9,I18:I22)</f>
        <v>18750</v>
      </c>
      <c r="J17" s="51"/>
      <c r="K17" s="39"/>
      <c r="L17" s="72"/>
      <c r="M17" s="38"/>
      <c r="N17" s="38"/>
      <c r="O17" s="38"/>
      <c r="P17" s="74"/>
      <c r="Q17" s="38"/>
      <c r="R17" s="38"/>
    </row>
    <row r="18" spans="1:18" ht="12.75" customHeight="1" x14ac:dyDescent="0.2">
      <c r="A18" s="38"/>
      <c r="B18" s="47"/>
      <c r="C18" s="54" t="s">
        <v>98</v>
      </c>
      <c r="D18" s="59" t="s">
        <v>397</v>
      </c>
      <c r="E18" s="60">
        <v>2</v>
      </c>
      <c r="F18" s="60" t="s">
        <v>99</v>
      </c>
      <c r="G18" s="60">
        <v>1.5</v>
      </c>
      <c r="H18" s="67">
        <v>4000</v>
      </c>
      <c r="I18" s="62">
        <f t="shared" ref="I18:I22" si="3">H18*G18*E18</f>
        <v>12000</v>
      </c>
      <c r="J18" s="51"/>
      <c r="K18" s="39">
        <f t="shared" ref="K18:K22" si="4">G18*E18*5</f>
        <v>15</v>
      </c>
      <c r="L18" s="72"/>
      <c r="M18" s="38"/>
      <c r="N18" s="38"/>
      <c r="O18" s="38"/>
      <c r="P18" s="74"/>
      <c r="Q18" s="38"/>
      <c r="R18" s="38"/>
    </row>
    <row r="19" spans="1:18" ht="12.75" customHeight="1" x14ac:dyDescent="0.2">
      <c r="A19" s="38"/>
      <c r="B19" s="47"/>
      <c r="C19" s="54" t="s">
        <v>100</v>
      </c>
      <c r="D19" s="59" t="s">
        <v>101</v>
      </c>
      <c r="E19" s="60">
        <v>1</v>
      </c>
      <c r="F19" s="60" t="s">
        <v>93</v>
      </c>
      <c r="G19" s="60">
        <v>1.5</v>
      </c>
      <c r="H19" s="67">
        <v>2000</v>
      </c>
      <c r="I19" s="62">
        <f t="shared" si="3"/>
        <v>3000</v>
      </c>
      <c r="J19" s="51"/>
      <c r="K19" s="39">
        <f t="shared" si="4"/>
        <v>7.5</v>
      </c>
      <c r="L19" s="72"/>
      <c r="M19" s="38"/>
      <c r="N19" s="38"/>
      <c r="O19" s="38"/>
      <c r="P19" s="74"/>
      <c r="Q19" s="38"/>
      <c r="R19" s="38"/>
    </row>
    <row r="20" spans="1:18" ht="12.75" customHeight="1" x14ac:dyDescent="0.2">
      <c r="A20" s="38"/>
      <c r="B20" s="47"/>
      <c r="C20" s="54" t="s">
        <v>102</v>
      </c>
      <c r="D20" s="59" t="s">
        <v>103</v>
      </c>
      <c r="E20" s="60">
        <v>1</v>
      </c>
      <c r="F20" s="60" t="s">
        <v>93</v>
      </c>
      <c r="G20" s="60">
        <v>1.5</v>
      </c>
      <c r="H20" s="67">
        <v>2000</v>
      </c>
      <c r="I20" s="62">
        <f t="shared" si="3"/>
        <v>3000</v>
      </c>
      <c r="J20" s="51"/>
      <c r="K20" s="39">
        <f t="shared" si="4"/>
        <v>7.5</v>
      </c>
      <c r="L20" s="72"/>
      <c r="M20" s="38"/>
      <c r="N20" s="38"/>
      <c r="O20" s="38"/>
      <c r="P20" s="74"/>
      <c r="Q20" s="38"/>
      <c r="R20" s="38"/>
    </row>
    <row r="21" spans="1:18" ht="12.75" customHeight="1" x14ac:dyDescent="0.2">
      <c r="A21" s="38"/>
      <c r="B21" s="47"/>
      <c r="C21" s="54" t="s">
        <v>104</v>
      </c>
      <c r="D21" s="59" t="s">
        <v>105</v>
      </c>
      <c r="E21" s="60">
        <v>0</v>
      </c>
      <c r="F21" s="60" t="s">
        <v>93</v>
      </c>
      <c r="G21" s="60">
        <v>1.5</v>
      </c>
      <c r="H21" s="67">
        <v>1000</v>
      </c>
      <c r="I21" s="62">
        <f t="shared" si="3"/>
        <v>0</v>
      </c>
      <c r="J21" s="51"/>
      <c r="K21" s="39">
        <f t="shared" si="4"/>
        <v>0</v>
      </c>
      <c r="L21" s="72"/>
      <c r="M21" s="38"/>
      <c r="N21" s="38"/>
      <c r="O21" s="38"/>
      <c r="P21" s="74"/>
      <c r="Q21" s="75"/>
      <c r="R21" s="38"/>
    </row>
    <row r="22" spans="1:18" ht="12.75" customHeight="1" x14ac:dyDescent="0.2">
      <c r="A22" s="38"/>
      <c r="B22" s="47"/>
      <c r="C22" s="54" t="s">
        <v>106</v>
      </c>
      <c r="D22" s="59" t="s">
        <v>107</v>
      </c>
      <c r="E22" s="60">
        <v>1</v>
      </c>
      <c r="F22" s="60" t="s">
        <v>93</v>
      </c>
      <c r="G22" s="60">
        <v>0.3</v>
      </c>
      <c r="H22" s="67">
        <v>2500</v>
      </c>
      <c r="I22" s="62">
        <f t="shared" si="3"/>
        <v>750</v>
      </c>
      <c r="J22" s="51"/>
      <c r="K22" s="39">
        <f t="shared" si="4"/>
        <v>1.5</v>
      </c>
      <c r="L22" s="72"/>
      <c r="M22" s="38"/>
      <c r="N22" s="38"/>
      <c r="O22" s="38"/>
      <c r="P22" s="74"/>
      <c r="Q22" s="76"/>
      <c r="R22" s="38"/>
    </row>
    <row r="23" spans="1:18" ht="12.75" customHeight="1" x14ac:dyDescent="0.2">
      <c r="A23" s="77"/>
      <c r="B23" s="78" t="s">
        <v>108</v>
      </c>
      <c r="C23" s="79"/>
      <c r="D23" s="80" t="s">
        <v>109</v>
      </c>
      <c r="E23" s="81"/>
      <c r="F23" s="81"/>
      <c r="G23" s="81"/>
      <c r="H23" s="82"/>
      <c r="I23" s="53">
        <f>SUBTOTAL(9,I24:I28)</f>
        <v>6325</v>
      </c>
      <c r="J23" s="68"/>
      <c r="K23" s="83"/>
      <c r="L23" s="84"/>
      <c r="M23" s="77"/>
      <c r="N23" s="77"/>
      <c r="O23" s="77"/>
      <c r="P23" s="85"/>
      <c r="Q23" s="86"/>
      <c r="R23" s="77"/>
    </row>
    <row r="24" spans="1:18" ht="14.25" customHeight="1" x14ac:dyDescent="0.2">
      <c r="A24" s="38"/>
      <c r="B24" s="47"/>
      <c r="C24" s="54" t="s">
        <v>110</v>
      </c>
      <c r="D24" s="87" t="s">
        <v>111</v>
      </c>
      <c r="E24" s="60">
        <v>1</v>
      </c>
      <c r="F24" s="60" t="s">
        <v>112</v>
      </c>
      <c r="G24" s="60">
        <v>1</v>
      </c>
      <c r="H24" s="67">
        <v>0</v>
      </c>
      <c r="I24" s="62">
        <f t="shared" ref="I24:I28" si="5">H24*G24*E24</f>
        <v>0</v>
      </c>
      <c r="J24" s="51"/>
      <c r="K24" s="39">
        <f t="shared" ref="K24:K25" si="6">G24*E24*5</f>
        <v>5</v>
      </c>
      <c r="L24" s="72"/>
      <c r="M24" s="38"/>
      <c r="N24" s="38"/>
      <c r="O24" s="38"/>
      <c r="P24" s="74"/>
      <c r="Q24" s="76"/>
      <c r="R24" s="38"/>
    </row>
    <row r="25" spans="1:18" ht="12.75" customHeight="1" x14ac:dyDescent="0.2">
      <c r="A25" s="38"/>
      <c r="B25" s="47"/>
      <c r="C25" s="54" t="s">
        <v>113</v>
      </c>
      <c r="D25" s="87" t="s">
        <v>114</v>
      </c>
      <c r="E25" s="60">
        <v>1</v>
      </c>
      <c r="F25" s="60" t="s">
        <v>93</v>
      </c>
      <c r="G25" s="60">
        <v>1.5</v>
      </c>
      <c r="H25" s="67">
        <v>400</v>
      </c>
      <c r="I25" s="62">
        <f t="shared" si="5"/>
        <v>600</v>
      </c>
      <c r="J25" s="51"/>
      <c r="K25" s="39">
        <f t="shared" si="6"/>
        <v>7.5</v>
      </c>
      <c r="L25" s="72"/>
      <c r="M25" s="38"/>
      <c r="N25" s="38"/>
      <c r="O25" s="38"/>
      <c r="P25" s="74"/>
      <c r="Q25" s="75"/>
      <c r="R25" s="38"/>
    </row>
    <row r="26" spans="1:18" ht="12.75" customHeight="1" x14ac:dyDescent="0.2">
      <c r="A26" s="38"/>
      <c r="B26" s="47"/>
      <c r="C26" s="54" t="s">
        <v>115</v>
      </c>
      <c r="D26" s="87" t="s">
        <v>116</v>
      </c>
      <c r="E26" s="60">
        <v>1</v>
      </c>
      <c r="F26" s="60" t="s">
        <v>93</v>
      </c>
      <c r="G26" s="60">
        <v>0.5</v>
      </c>
      <c r="H26" s="67">
        <v>250</v>
      </c>
      <c r="I26" s="62">
        <f t="shared" si="5"/>
        <v>125</v>
      </c>
      <c r="J26" s="51"/>
      <c r="K26" s="39">
        <v>3</v>
      </c>
      <c r="L26" s="72"/>
      <c r="M26" s="38"/>
      <c r="N26" s="38"/>
      <c r="O26" s="38"/>
      <c r="P26" s="74"/>
      <c r="Q26" s="38"/>
      <c r="R26" s="38"/>
    </row>
    <row r="27" spans="1:18" ht="12.75" customHeight="1" x14ac:dyDescent="0.2">
      <c r="A27" s="38"/>
      <c r="B27" s="47"/>
      <c r="C27" s="54"/>
      <c r="D27" s="87" t="s">
        <v>117</v>
      </c>
      <c r="E27" s="60">
        <v>1</v>
      </c>
      <c r="F27" s="60" t="s">
        <v>93</v>
      </c>
      <c r="G27" s="60">
        <v>1.5</v>
      </c>
      <c r="H27" s="67">
        <v>1200</v>
      </c>
      <c r="I27" s="62">
        <f t="shared" si="5"/>
        <v>1800</v>
      </c>
      <c r="J27" s="51"/>
      <c r="K27" s="39">
        <f>G27*E27*5</f>
        <v>7.5</v>
      </c>
      <c r="L27" s="72"/>
      <c r="M27" s="38"/>
      <c r="N27" s="38"/>
      <c r="O27" s="38"/>
      <c r="P27" s="74"/>
      <c r="Q27" s="75"/>
      <c r="R27" s="38"/>
    </row>
    <row r="28" spans="1:18" ht="12.75" customHeight="1" x14ac:dyDescent="0.2">
      <c r="A28" s="38"/>
      <c r="B28" s="47"/>
      <c r="C28" s="54" t="s">
        <v>118</v>
      </c>
      <c r="D28" s="87" t="s">
        <v>119</v>
      </c>
      <c r="E28" s="60">
        <v>1</v>
      </c>
      <c r="F28" s="60" t="s">
        <v>120</v>
      </c>
      <c r="G28" s="60">
        <v>1</v>
      </c>
      <c r="H28" s="88">
        <v>3800</v>
      </c>
      <c r="I28" s="62">
        <f t="shared" si="5"/>
        <v>3800</v>
      </c>
      <c r="J28" s="51"/>
      <c r="K28" s="39"/>
      <c r="L28" s="72"/>
      <c r="M28" s="38"/>
      <c r="N28" s="38"/>
      <c r="O28" s="38"/>
      <c r="P28" s="74"/>
      <c r="Q28" s="75"/>
      <c r="R28" s="38"/>
    </row>
    <row r="29" spans="1:18" ht="12.75" customHeight="1" x14ac:dyDescent="0.2">
      <c r="A29" s="38"/>
      <c r="B29" s="47" t="s">
        <v>121</v>
      </c>
      <c r="C29" s="66"/>
      <c r="D29" s="55" t="s">
        <v>122</v>
      </c>
      <c r="E29" s="60"/>
      <c r="F29" s="60"/>
      <c r="G29" s="89"/>
      <c r="H29" s="57"/>
      <c r="I29" s="53">
        <f>SUBTOTAL(9,I30:I31)</f>
        <v>2090</v>
      </c>
      <c r="J29" s="51"/>
      <c r="K29" s="90"/>
      <c r="L29" s="72"/>
      <c r="M29" s="38"/>
      <c r="N29" s="38"/>
      <c r="O29" s="38"/>
      <c r="P29" s="74"/>
      <c r="Q29" s="75"/>
      <c r="R29" s="38"/>
    </row>
    <row r="30" spans="1:18" ht="12.75" customHeight="1" x14ac:dyDescent="0.2">
      <c r="A30" s="38"/>
      <c r="B30" s="47"/>
      <c r="C30" s="66" t="s">
        <v>123</v>
      </c>
      <c r="D30" s="87" t="s">
        <v>124</v>
      </c>
      <c r="E30" s="60">
        <v>1</v>
      </c>
      <c r="F30" s="60" t="s">
        <v>120</v>
      </c>
      <c r="G30" s="60">
        <v>1.1000000000000001</v>
      </c>
      <c r="H30" s="67">
        <v>1300</v>
      </c>
      <c r="I30" s="62">
        <f t="shared" ref="I30:I31" si="7">H30*G30*E30</f>
        <v>1430.0000000000002</v>
      </c>
      <c r="J30" s="51"/>
      <c r="K30" s="39">
        <f t="shared" ref="K30:K31" si="8">G30*E30*5</f>
        <v>5.5</v>
      </c>
      <c r="L30" s="72"/>
      <c r="M30" s="38"/>
      <c r="N30" s="38"/>
      <c r="O30" s="38"/>
      <c r="P30" s="74"/>
      <c r="Q30" s="91"/>
      <c r="R30" s="38"/>
    </row>
    <row r="31" spans="1:18" ht="12.75" customHeight="1" x14ac:dyDescent="0.2">
      <c r="A31" s="38"/>
      <c r="B31" s="47"/>
      <c r="C31" s="66" t="s">
        <v>125</v>
      </c>
      <c r="D31" s="59" t="s">
        <v>126</v>
      </c>
      <c r="E31" s="60">
        <v>1</v>
      </c>
      <c r="F31" s="60" t="s">
        <v>88</v>
      </c>
      <c r="G31" s="60">
        <v>1.1000000000000001</v>
      </c>
      <c r="H31" s="62">
        <v>600</v>
      </c>
      <c r="I31" s="62">
        <f t="shared" si="7"/>
        <v>660</v>
      </c>
      <c r="J31" s="51"/>
      <c r="K31" s="39">
        <f t="shared" si="8"/>
        <v>5.5</v>
      </c>
      <c r="L31" s="72"/>
      <c r="M31" s="38"/>
      <c r="N31" s="38"/>
      <c r="O31" s="38"/>
      <c r="P31" s="91"/>
      <c r="Q31" s="91"/>
      <c r="R31" s="38"/>
    </row>
    <row r="32" spans="1:18" ht="12.75" customHeight="1" x14ac:dyDescent="0.2">
      <c r="A32" s="38"/>
      <c r="B32" s="47" t="s">
        <v>127</v>
      </c>
      <c r="C32" s="66"/>
      <c r="D32" s="55" t="s">
        <v>128</v>
      </c>
      <c r="E32" s="60"/>
      <c r="F32" s="60"/>
      <c r="G32" s="89"/>
      <c r="H32" s="57"/>
      <c r="I32" s="53">
        <f>SUBTOTAL(9,I33:I34)</f>
        <v>2050</v>
      </c>
      <c r="J32" s="51"/>
      <c r="K32" s="90"/>
      <c r="L32" s="72"/>
      <c r="M32" s="38"/>
      <c r="N32" s="38"/>
      <c r="O32" s="38"/>
      <c r="P32" s="91"/>
      <c r="Q32" s="91"/>
      <c r="R32" s="38"/>
    </row>
    <row r="33" spans="1:18" ht="12.75" customHeight="1" x14ac:dyDescent="0.2">
      <c r="A33" s="38"/>
      <c r="B33" s="47"/>
      <c r="C33" s="66" t="s">
        <v>129</v>
      </c>
      <c r="D33" s="87" t="s">
        <v>398</v>
      </c>
      <c r="E33" s="60">
        <v>1</v>
      </c>
      <c r="F33" s="60" t="s">
        <v>88</v>
      </c>
      <c r="G33" s="60">
        <v>1.5</v>
      </c>
      <c r="H33" s="62">
        <v>1300</v>
      </c>
      <c r="I33" s="62">
        <f>H33*G33*E33</f>
        <v>1950</v>
      </c>
      <c r="J33" s="51"/>
      <c r="K33" s="39">
        <f t="shared" ref="K33:K34" si="9">G33*E33*5</f>
        <v>7.5</v>
      </c>
      <c r="L33" s="72"/>
      <c r="M33" s="38"/>
      <c r="N33" s="38"/>
      <c r="O33" s="38"/>
      <c r="P33" s="38"/>
      <c r="Q33" s="38"/>
      <c r="R33" s="38"/>
    </row>
    <row r="34" spans="1:18" ht="12.75" customHeight="1" x14ac:dyDescent="0.2">
      <c r="A34" s="38"/>
      <c r="B34" s="47"/>
      <c r="C34" s="66" t="s">
        <v>130</v>
      </c>
      <c r="D34" s="59" t="s">
        <v>131</v>
      </c>
      <c r="E34" s="60">
        <v>1</v>
      </c>
      <c r="F34" s="60" t="s">
        <v>132</v>
      </c>
      <c r="G34" s="60">
        <v>1</v>
      </c>
      <c r="H34" s="62">
        <v>100</v>
      </c>
      <c r="I34" s="62">
        <v>100</v>
      </c>
      <c r="J34" s="51"/>
      <c r="K34" s="39">
        <f t="shared" si="9"/>
        <v>5</v>
      </c>
      <c r="L34" s="72"/>
      <c r="M34" s="38"/>
      <c r="N34" s="38"/>
      <c r="O34" s="38"/>
      <c r="P34" s="38"/>
      <c r="Q34" s="38"/>
      <c r="R34" s="38"/>
    </row>
    <row r="35" spans="1:18" ht="12.75" customHeight="1" x14ac:dyDescent="0.2">
      <c r="A35" s="38"/>
      <c r="B35" s="47" t="s">
        <v>133</v>
      </c>
      <c r="C35" s="66"/>
      <c r="D35" s="55" t="s">
        <v>134</v>
      </c>
      <c r="E35" s="60"/>
      <c r="F35" s="60"/>
      <c r="G35" s="60"/>
      <c r="H35" s="57"/>
      <c r="I35" s="53">
        <f>SUBTOTAL(9,I36:I38)</f>
        <v>2250</v>
      </c>
      <c r="J35" s="51"/>
      <c r="K35" s="90"/>
      <c r="L35" s="72"/>
      <c r="M35" s="38"/>
      <c r="N35" s="38"/>
      <c r="O35" s="38"/>
      <c r="P35" s="38"/>
      <c r="Q35" s="38"/>
      <c r="R35" s="38"/>
    </row>
    <row r="36" spans="1:18" ht="12.75" customHeight="1" x14ac:dyDescent="0.2">
      <c r="A36" s="38"/>
      <c r="B36" s="47"/>
      <c r="C36" s="54" t="s">
        <v>135</v>
      </c>
      <c r="D36" s="59" t="s">
        <v>136</v>
      </c>
      <c r="E36" s="60">
        <v>1</v>
      </c>
      <c r="F36" s="60" t="s">
        <v>112</v>
      </c>
      <c r="G36" s="60">
        <v>1</v>
      </c>
      <c r="H36" s="67"/>
      <c r="I36" s="62">
        <f>H36*G36*I38</f>
        <v>0</v>
      </c>
      <c r="J36" s="51"/>
      <c r="K36" s="39">
        <f t="shared" ref="K36:K38" si="10">G36*E36*5</f>
        <v>5</v>
      </c>
      <c r="L36" s="72"/>
      <c r="M36" s="38"/>
      <c r="N36" s="38"/>
      <c r="O36" s="38"/>
      <c r="P36" s="38"/>
      <c r="Q36" s="38"/>
      <c r="R36" s="38"/>
    </row>
    <row r="37" spans="1:18" ht="12.75" customHeight="1" x14ac:dyDescent="0.2">
      <c r="A37" s="38"/>
      <c r="B37" s="47"/>
      <c r="C37" s="54" t="s">
        <v>137</v>
      </c>
      <c r="D37" s="59" t="s">
        <v>138</v>
      </c>
      <c r="E37" s="60">
        <v>1</v>
      </c>
      <c r="F37" s="60" t="s">
        <v>88</v>
      </c>
      <c r="G37" s="60">
        <v>0.5</v>
      </c>
      <c r="H37" s="67">
        <v>3000</v>
      </c>
      <c r="I37" s="62">
        <f t="shared" ref="I37:I38" si="11">H37*G37*E37</f>
        <v>1500</v>
      </c>
      <c r="J37" s="51"/>
      <c r="K37" s="39">
        <f t="shared" si="10"/>
        <v>2.5</v>
      </c>
      <c r="L37" s="72"/>
      <c r="M37" s="38"/>
      <c r="N37" s="38"/>
      <c r="O37" s="38"/>
      <c r="P37" s="38"/>
      <c r="Q37" s="38"/>
      <c r="R37" s="38"/>
    </row>
    <row r="38" spans="1:18" ht="12.75" customHeight="1" x14ac:dyDescent="0.2">
      <c r="A38" s="38"/>
      <c r="B38" s="47"/>
      <c r="C38" s="54" t="s">
        <v>139</v>
      </c>
      <c r="D38" s="59" t="s">
        <v>140</v>
      </c>
      <c r="E38" s="60">
        <v>1</v>
      </c>
      <c r="F38" s="60" t="s">
        <v>88</v>
      </c>
      <c r="G38" s="60">
        <v>0.5</v>
      </c>
      <c r="H38" s="67">
        <v>1500</v>
      </c>
      <c r="I38" s="62">
        <f t="shared" si="11"/>
        <v>750</v>
      </c>
      <c r="J38" s="51"/>
      <c r="K38" s="39">
        <f t="shared" si="10"/>
        <v>2.5</v>
      </c>
      <c r="L38" s="72"/>
      <c r="M38" s="38"/>
      <c r="N38" s="38"/>
      <c r="O38" s="38"/>
      <c r="P38" s="38"/>
      <c r="Q38" s="38"/>
      <c r="R38" s="38"/>
    </row>
    <row r="39" spans="1:18" ht="12.75" customHeight="1" x14ac:dyDescent="0.2">
      <c r="A39" s="38"/>
      <c r="B39" s="47" t="s">
        <v>141</v>
      </c>
      <c r="C39" s="66"/>
      <c r="D39" s="55" t="s">
        <v>142</v>
      </c>
      <c r="E39" s="60"/>
      <c r="F39" s="60"/>
      <c r="G39" s="60"/>
      <c r="H39" s="57"/>
      <c r="I39" s="53">
        <f>SUBTOTAL(9,I40:I41)</f>
        <v>5500</v>
      </c>
      <c r="J39" s="51"/>
      <c r="K39" s="39"/>
      <c r="L39" s="72"/>
      <c r="M39" s="38"/>
      <c r="N39" s="38"/>
      <c r="O39" s="38"/>
      <c r="P39" s="38"/>
      <c r="Q39" s="38"/>
      <c r="R39" s="38"/>
    </row>
    <row r="40" spans="1:18" ht="12.75" customHeight="1" x14ac:dyDescent="0.2">
      <c r="A40" s="38"/>
      <c r="B40" s="47"/>
      <c r="C40" s="66" t="s">
        <v>143</v>
      </c>
      <c r="D40" s="59" t="s">
        <v>144</v>
      </c>
      <c r="E40" s="60">
        <v>1</v>
      </c>
      <c r="F40" s="60" t="s">
        <v>93</v>
      </c>
      <c r="G40" s="60">
        <v>1.5</v>
      </c>
      <c r="H40" s="67">
        <v>3000</v>
      </c>
      <c r="I40" s="62">
        <f t="shared" ref="I40:I41" si="12">H40*G40*E40</f>
        <v>4500</v>
      </c>
      <c r="J40" s="51"/>
      <c r="K40" s="39">
        <f t="shared" ref="K40:K41" si="13">G40*E40*5</f>
        <v>7.5</v>
      </c>
      <c r="L40" s="72"/>
      <c r="M40" s="38"/>
      <c r="N40" s="38"/>
      <c r="O40" s="38"/>
      <c r="P40" s="38"/>
      <c r="Q40" s="38"/>
      <c r="R40" s="38"/>
    </row>
    <row r="41" spans="1:18" ht="12.75" customHeight="1" x14ac:dyDescent="0.2">
      <c r="A41" s="38"/>
      <c r="B41" s="47"/>
      <c r="C41" s="54" t="s">
        <v>145</v>
      </c>
      <c r="D41" s="59" t="s">
        <v>146</v>
      </c>
      <c r="E41" s="60">
        <v>1</v>
      </c>
      <c r="F41" s="60" t="s">
        <v>88</v>
      </c>
      <c r="G41" s="60">
        <v>0.5</v>
      </c>
      <c r="H41" s="67">
        <v>2000</v>
      </c>
      <c r="I41" s="62">
        <f t="shared" si="12"/>
        <v>1000</v>
      </c>
      <c r="J41" s="51"/>
      <c r="K41" s="39">
        <f t="shared" si="13"/>
        <v>2.5</v>
      </c>
      <c r="L41" s="72"/>
      <c r="M41" s="38"/>
      <c r="N41" s="38"/>
      <c r="O41" s="38"/>
      <c r="P41" s="38"/>
      <c r="Q41" s="38"/>
      <c r="R41" s="38"/>
    </row>
    <row r="42" spans="1:18" ht="12.75" customHeight="1" x14ac:dyDescent="0.2">
      <c r="A42" s="38"/>
      <c r="B42" s="47" t="s">
        <v>147</v>
      </c>
      <c r="C42" s="66"/>
      <c r="D42" s="55" t="s">
        <v>148</v>
      </c>
      <c r="E42" s="56"/>
      <c r="F42" s="56"/>
      <c r="G42" s="56"/>
      <c r="H42" s="57"/>
      <c r="I42" s="53">
        <f>SUBTOTAL(9,I43:I44)</f>
        <v>4500</v>
      </c>
      <c r="J42" s="51"/>
      <c r="K42" s="39"/>
      <c r="L42" s="72"/>
      <c r="M42" s="38"/>
      <c r="N42" s="38"/>
      <c r="O42" s="38"/>
      <c r="P42" s="38"/>
      <c r="Q42" s="38"/>
      <c r="R42" s="38"/>
    </row>
    <row r="43" spans="1:18" ht="12.75" customHeight="1" x14ac:dyDescent="0.2">
      <c r="A43" s="38"/>
      <c r="B43" s="47"/>
      <c r="C43" s="66" t="s">
        <v>149</v>
      </c>
      <c r="D43" s="59" t="s">
        <v>150</v>
      </c>
      <c r="E43" s="60">
        <v>1</v>
      </c>
      <c r="F43" s="60" t="s">
        <v>93</v>
      </c>
      <c r="G43" s="60">
        <v>1.5</v>
      </c>
      <c r="H43" s="67">
        <v>3000</v>
      </c>
      <c r="I43" s="62">
        <f t="shared" ref="I43:I44" si="14">H43*G43*E43</f>
        <v>4500</v>
      </c>
      <c r="J43" s="51" t="s">
        <v>1</v>
      </c>
      <c r="K43" s="39">
        <f t="shared" ref="K43:K44" si="15">G43*E43*5</f>
        <v>7.5</v>
      </c>
      <c r="L43" s="72"/>
      <c r="M43" s="38"/>
      <c r="N43" s="38"/>
      <c r="O43" s="38"/>
      <c r="P43" s="38"/>
      <c r="Q43" s="38"/>
      <c r="R43" s="38"/>
    </row>
    <row r="44" spans="1:18" ht="12.75" customHeight="1" x14ac:dyDescent="0.2">
      <c r="A44" s="38"/>
      <c r="B44" s="47"/>
      <c r="C44" s="54" t="s">
        <v>151</v>
      </c>
      <c r="D44" s="59" t="s">
        <v>152</v>
      </c>
      <c r="E44" s="60">
        <v>0</v>
      </c>
      <c r="F44" s="60" t="s">
        <v>88</v>
      </c>
      <c r="G44" s="60">
        <v>0.5</v>
      </c>
      <c r="H44" s="67">
        <v>0</v>
      </c>
      <c r="I44" s="62">
        <f t="shared" si="14"/>
        <v>0</v>
      </c>
      <c r="J44" s="51"/>
      <c r="K44" s="39">
        <f t="shared" si="15"/>
        <v>0</v>
      </c>
      <c r="L44" s="72"/>
      <c r="M44" s="38"/>
      <c r="N44" s="38"/>
      <c r="O44" s="38"/>
      <c r="P44" s="38"/>
      <c r="Q44" s="38"/>
      <c r="R44" s="38"/>
    </row>
    <row r="45" spans="1:18" ht="12.75" customHeight="1" x14ac:dyDescent="0.2">
      <c r="A45" s="38"/>
      <c r="B45" s="47" t="s">
        <v>153</v>
      </c>
      <c r="C45" s="66"/>
      <c r="D45" s="55" t="s">
        <v>154</v>
      </c>
      <c r="E45" s="60"/>
      <c r="F45" s="60"/>
      <c r="G45" s="89"/>
      <c r="H45" s="57"/>
      <c r="I45" s="53">
        <f>SUBTOTAL(9,I46:I48)</f>
        <v>5250</v>
      </c>
      <c r="J45" s="51"/>
      <c r="K45" s="39"/>
      <c r="L45" s="72"/>
      <c r="M45" s="38"/>
      <c r="N45" s="38"/>
      <c r="O45" s="38"/>
      <c r="P45" s="38"/>
      <c r="Q45" s="38"/>
      <c r="R45" s="38"/>
    </row>
    <row r="46" spans="1:18" ht="12.75" customHeight="1" x14ac:dyDescent="0.2">
      <c r="A46" s="38"/>
      <c r="B46" s="47"/>
      <c r="C46" s="66" t="s">
        <v>155</v>
      </c>
      <c r="D46" s="87" t="s">
        <v>156</v>
      </c>
      <c r="E46" s="60">
        <v>1</v>
      </c>
      <c r="F46" s="60" t="s">
        <v>112</v>
      </c>
      <c r="G46" s="60">
        <v>1</v>
      </c>
      <c r="H46" s="62">
        <v>5000</v>
      </c>
      <c r="I46" s="62">
        <f t="shared" ref="I46:I48" si="16">H46*G46*E46</f>
        <v>5000</v>
      </c>
      <c r="J46" s="51"/>
      <c r="K46" s="39">
        <f t="shared" ref="K46:K48" si="17">G46*E46*5</f>
        <v>5</v>
      </c>
      <c r="L46" s="72"/>
      <c r="M46" s="38"/>
      <c r="N46" s="38"/>
      <c r="O46" s="38"/>
      <c r="P46" s="38"/>
      <c r="Q46" s="38"/>
      <c r="R46" s="38"/>
    </row>
    <row r="47" spans="1:18" ht="12.75" customHeight="1" x14ac:dyDescent="0.2">
      <c r="A47" s="38"/>
      <c r="B47" s="47"/>
      <c r="C47" s="54" t="s">
        <v>157</v>
      </c>
      <c r="D47" s="59" t="s">
        <v>158</v>
      </c>
      <c r="E47" s="60">
        <v>1</v>
      </c>
      <c r="F47" s="60" t="s">
        <v>93</v>
      </c>
      <c r="G47" s="60">
        <v>0.1</v>
      </c>
      <c r="H47" s="62">
        <v>2000</v>
      </c>
      <c r="I47" s="62">
        <f t="shared" si="16"/>
        <v>200</v>
      </c>
      <c r="J47" s="51"/>
      <c r="K47" s="39">
        <f t="shared" si="17"/>
        <v>0.5</v>
      </c>
      <c r="L47" s="72"/>
      <c r="M47" s="38"/>
      <c r="N47" s="38"/>
      <c r="O47" s="38"/>
      <c r="P47" s="38"/>
      <c r="Q47" s="38"/>
      <c r="R47" s="38"/>
    </row>
    <row r="48" spans="1:18" ht="12.75" customHeight="1" x14ac:dyDescent="0.2">
      <c r="A48" s="38"/>
      <c r="B48" s="47"/>
      <c r="C48" s="54" t="s">
        <v>159</v>
      </c>
      <c r="D48" s="59" t="s">
        <v>160</v>
      </c>
      <c r="E48" s="60">
        <v>1</v>
      </c>
      <c r="F48" s="60" t="s">
        <v>93</v>
      </c>
      <c r="G48" s="60">
        <v>0.1</v>
      </c>
      <c r="H48" s="62">
        <v>500</v>
      </c>
      <c r="I48" s="62">
        <f t="shared" si="16"/>
        <v>50</v>
      </c>
      <c r="J48" s="51"/>
      <c r="K48" s="39">
        <f t="shared" si="17"/>
        <v>0.5</v>
      </c>
      <c r="L48" s="72"/>
      <c r="M48" s="38"/>
      <c r="N48" s="38"/>
      <c r="O48" s="38"/>
      <c r="P48" s="38"/>
      <c r="Q48" s="38"/>
      <c r="R48" s="38"/>
    </row>
    <row r="49" spans="1:18" ht="12.75" customHeight="1" x14ac:dyDescent="0.2">
      <c r="A49" s="38"/>
      <c r="B49" s="47" t="s">
        <v>161</v>
      </c>
      <c r="C49" s="54"/>
      <c r="D49" s="55" t="s">
        <v>162</v>
      </c>
      <c r="E49" s="60"/>
      <c r="F49" s="60"/>
      <c r="G49" s="60"/>
      <c r="H49" s="62"/>
      <c r="I49" s="53">
        <f>SUBTOTAL(9,I50)</f>
        <v>1500</v>
      </c>
      <c r="J49" s="51"/>
      <c r="K49" s="39"/>
      <c r="L49" s="72">
        <f>SUM(K13:K48)</f>
        <v>130</v>
      </c>
      <c r="M49" s="38"/>
      <c r="N49" s="38"/>
      <c r="O49" s="38"/>
      <c r="P49" s="38"/>
      <c r="Q49" s="38"/>
      <c r="R49" s="38"/>
    </row>
    <row r="50" spans="1:18" ht="12.75" customHeight="1" x14ac:dyDescent="0.2">
      <c r="A50" s="38"/>
      <c r="B50" s="47"/>
      <c r="C50" s="54" t="s">
        <v>163</v>
      </c>
      <c r="D50" s="92" t="s">
        <v>164</v>
      </c>
      <c r="E50" s="60">
        <v>1</v>
      </c>
      <c r="F50" s="60" t="s">
        <v>120</v>
      </c>
      <c r="G50" s="60">
        <v>1.5</v>
      </c>
      <c r="H50" s="67">
        <v>1000</v>
      </c>
      <c r="I50" s="62">
        <f>H50*G50*E50</f>
        <v>1500</v>
      </c>
      <c r="J50" s="93"/>
      <c r="K50" s="39"/>
      <c r="L50" s="72"/>
      <c r="M50" s="38"/>
      <c r="N50" s="38"/>
      <c r="O50" s="38"/>
      <c r="P50" s="38"/>
      <c r="Q50" s="38"/>
      <c r="R50" s="38"/>
    </row>
    <row r="51" spans="1:18" ht="12.75" customHeight="1" x14ac:dyDescent="0.2">
      <c r="A51" s="38"/>
      <c r="B51" s="47" t="s">
        <v>165</v>
      </c>
      <c r="C51" s="54"/>
      <c r="D51" s="94" t="s">
        <v>166</v>
      </c>
      <c r="E51" s="95"/>
      <c r="F51" s="96"/>
      <c r="G51" s="95"/>
      <c r="H51" s="97"/>
      <c r="I51" s="53">
        <f>SUBTOTAL(9,I52:I53)</f>
        <v>2600</v>
      </c>
      <c r="J51" s="51"/>
      <c r="K51" s="39"/>
      <c r="L51" s="98"/>
      <c r="M51" s="38"/>
      <c r="N51" s="38"/>
      <c r="O51" s="38"/>
      <c r="P51" s="38"/>
      <c r="Q51" s="38"/>
      <c r="R51" s="38"/>
    </row>
    <row r="52" spans="1:18" ht="12.75" customHeight="1" x14ac:dyDescent="0.2">
      <c r="A52" s="38"/>
      <c r="B52" s="47"/>
      <c r="C52" s="54" t="s">
        <v>167</v>
      </c>
      <c r="D52" s="99" t="s">
        <v>168</v>
      </c>
      <c r="E52" s="100">
        <v>1</v>
      </c>
      <c r="F52" s="89" t="s">
        <v>132</v>
      </c>
      <c r="G52" s="100">
        <v>1</v>
      </c>
      <c r="H52" s="62">
        <v>1000</v>
      </c>
      <c r="I52" s="101">
        <f t="shared" ref="I52:I53" si="18">H52*G52*E52</f>
        <v>1000</v>
      </c>
      <c r="J52" s="51"/>
      <c r="K52" s="39"/>
      <c r="L52" s="39"/>
      <c r="M52" s="38"/>
      <c r="N52" s="38"/>
      <c r="O52" s="38"/>
      <c r="P52" s="38"/>
      <c r="Q52" s="38"/>
      <c r="R52" s="38"/>
    </row>
    <row r="53" spans="1:18" ht="12.75" customHeight="1" x14ac:dyDescent="0.2">
      <c r="A53" s="38"/>
      <c r="B53" s="47"/>
      <c r="C53" s="66"/>
      <c r="D53" s="59" t="s">
        <v>169</v>
      </c>
      <c r="E53" s="60">
        <v>1</v>
      </c>
      <c r="F53" s="102" t="s">
        <v>170</v>
      </c>
      <c r="G53" s="60">
        <v>40</v>
      </c>
      <c r="H53" s="62">
        <v>40</v>
      </c>
      <c r="I53" s="103">
        <f t="shared" si="18"/>
        <v>1600</v>
      </c>
      <c r="J53" s="57"/>
      <c r="K53" s="39"/>
      <c r="L53" s="39"/>
      <c r="M53" s="38"/>
      <c r="N53" s="38"/>
      <c r="O53" s="38"/>
      <c r="P53" s="38"/>
      <c r="Q53" s="38"/>
      <c r="R53" s="38"/>
    </row>
    <row r="54" spans="1:18" ht="12.75" customHeight="1" x14ac:dyDescent="0.2">
      <c r="A54" s="38"/>
      <c r="B54" s="47" t="s">
        <v>171</v>
      </c>
      <c r="C54" s="54"/>
      <c r="D54" s="94" t="s">
        <v>73</v>
      </c>
      <c r="E54" s="70"/>
      <c r="F54" s="104"/>
      <c r="G54" s="70"/>
      <c r="H54" s="105"/>
      <c r="I54" s="53">
        <f>SUBTOTAL(9,I55:I59)</f>
        <v>3830</v>
      </c>
      <c r="J54" s="51"/>
      <c r="K54" s="39"/>
      <c r="L54" s="39"/>
      <c r="M54" s="38"/>
      <c r="N54" s="38"/>
      <c r="O54" s="38"/>
      <c r="P54" s="38"/>
      <c r="Q54" s="38"/>
      <c r="R54" s="38"/>
    </row>
    <row r="55" spans="1:18" ht="12.75" customHeight="1" x14ac:dyDescent="0.2">
      <c r="A55" s="38"/>
      <c r="B55" s="47"/>
      <c r="C55" s="54" t="s">
        <v>172</v>
      </c>
      <c r="D55" s="106" t="s">
        <v>73</v>
      </c>
      <c r="E55" s="107">
        <v>1</v>
      </c>
      <c r="F55" s="70" t="s">
        <v>173</v>
      </c>
      <c r="G55" s="107">
        <v>130</v>
      </c>
      <c r="H55" s="105">
        <v>20</v>
      </c>
      <c r="I55" s="101">
        <f t="shared" ref="I55:I59" si="19">H55*G55*E55</f>
        <v>2600</v>
      </c>
      <c r="J55" s="51"/>
      <c r="K55" s="39"/>
      <c r="L55" s="39"/>
      <c r="M55" s="38"/>
      <c r="N55" s="38"/>
      <c r="O55" s="38"/>
      <c r="P55" s="38"/>
      <c r="Q55" s="38"/>
      <c r="R55" s="38"/>
    </row>
    <row r="56" spans="1:18" ht="12.75" customHeight="1" x14ac:dyDescent="0.2">
      <c r="A56" s="38"/>
      <c r="B56" s="47"/>
      <c r="C56" s="54" t="s">
        <v>174</v>
      </c>
      <c r="D56" s="106" t="s">
        <v>175</v>
      </c>
      <c r="E56" s="107">
        <v>5</v>
      </c>
      <c r="F56" s="70" t="s">
        <v>173</v>
      </c>
      <c r="G56" s="107">
        <v>15</v>
      </c>
      <c r="H56" s="105">
        <v>0</v>
      </c>
      <c r="I56" s="101">
        <f t="shared" si="19"/>
        <v>0</v>
      </c>
      <c r="J56" s="51"/>
      <c r="K56" s="39"/>
      <c r="L56" s="39"/>
      <c r="M56" s="38"/>
      <c r="N56" s="38"/>
      <c r="O56" s="38"/>
      <c r="P56" s="38"/>
      <c r="Q56" s="38"/>
      <c r="R56" s="38"/>
    </row>
    <row r="57" spans="1:18" ht="12.75" customHeight="1" x14ac:dyDescent="0.2">
      <c r="A57" s="38"/>
      <c r="B57" s="47"/>
      <c r="C57" s="54" t="s">
        <v>176</v>
      </c>
      <c r="D57" s="106" t="s">
        <v>177</v>
      </c>
      <c r="E57" s="107">
        <v>5</v>
      </c>
      <c r="F57" s="70" t="s">
        <v>173</v>
      </c>
      <c r="G57" s="107">
        <v>1</v>
      </c>
      <c r="H57" s="105">
        <v>90</v>
      </c>
      <c r="I57" s="101">
        <f t="shared" si="19"/>
        <v>450</v>
      </c>
      <c r="J57" s="51" t="s">
        <v>178</v>
      </c>
      <c r="K57" s="39"/>
      <c r="L57" s="39"/>
      <c r="M57" s="38"/>
      <c r="N57" s="38"/>
      <c r="O57" s="38"/>
      <c r="P57" s="38"/>
      <c r="Q57" s="38"/>
      <c r="R57" s="38"/>
    </row>
    <row r="58" spans="1:18" ht="12.75" customHeight="1" x14ac:dyDescent="0.2">
      <c r="A58" s="38"/>
      <c r="B58" s="47"/>
      <c r="C58" s="54" t="s">
        <v>179</v>
      </c>
      <c r="D58" s="106" t="s">
        <v>180</v>
      </c>
      <c r="E58" s="107">
        <v>5</v>
      </c>
      <c r="F58" s="70" t="s">
        <v>173</v>
      </c>
      <c r="G58" s="107">
        <v>1</v>
      </c>
      <c r="H58" s="105">
        <v>60</v>
      </c>
      <c r="I58" s="101">
        <f t="shared" si="19"/>
        <v>300</v>
      </c>
      <c r="J58" s="51"/>
      <c r="K58" s="39"/>
      <c r="L58" s="39"/>
      <c r="M58" s="38"/>
      <c r="N58" s="38"/>
      <c r="O58" s="38"/>
      <c r="P58" s="38"/>
      <c r="Q58" s="38"/>
      <c r="R58" s="38"/>
    </row>
    <row r="59" spans="1:18" ht="12.75" customHeight="1" x14ac:dyDescent="0.2">
      <c r="A59" s="38"/>
      <c r="B59" s="47"/>
      <c r="C59" s="54" t="s">
        <v>181</v>
      </c>
      <c r="D59" s="87" t="s">
        <v>399</v>
      </c>
      <c r="E59" s="107">
        <v>8</v>
      </c>
      <c r="F59" s="70" t="s">
        <v>81</v>
      </c>
      <c r="G59" s="107">
        <v>1</v>
      </c>
      <c r="H59" s="105">
        <v>60</v>
      </c>
      <c r="I59" s="103">
        <f t="shared" si="19"/>
        <v>480</v>
      </c>
      <c r="J59" s="51"/>
      <c r="K59" s="39"/>
      <c r="L59" s="39"/>
      <c r="M59" s="38"/>
      <c r="N59" s="38"/>
      <c r="O59" s="38"/>
      <c r="P59" s="38"/>
      <c r="Q59" s="38"/>
      <c r="R59" s="38"/>
    </row>
    <row r="60" spans="1:18" ht="12.75" customHeight="1" x14ac:dyDescent="0.2">
      <c r="A60" s="38"/>
      <c r="B60" s="47" t="s">
        <v>182</v>
      </c>
      <c r="C60" s="54"/>
      <c r="D60" s="94" t="s">
        <v>183</v>
      </c>
      <c r="E60" s="107"/>
      <c r="F60" s="70"/>
      <c r="G60" s="107"/>
      <c r="H60" s="105"/>
      <c r="I60" s="53">
        <f>SUBTOTAL(9,I61:I71)</f>
        <v>2576.5</v>
      </c>
      <c r="J60" s="51"/>
      <c r="K60" s="39"/>
      <c r="L60" s="39"/>
      <c r="M60" s="38"/>
      <c r="N60" s="38"/>
      <c r="O60" s="38"/>
      <c r="P60" s="38"/>
      <c r="Q60" s="38"/>
      <c r="R60" s="38"/>
    </row>
    <row r="61" spans="1:18" ht="12.75" customHeight="1" x14ac:dyDescent="0.2">
      <c r="A61" s="38"/>
      <c r="B61" s="47"/>
      <c r="C61" s="54" t="s">
        <v>184</v>
      </c>
      <c r="D61" s="87" t="s">
        <v>185</v>
      </c>
      <c r="E61" s="70"/>
      <c r="F61" s="104"/>
      <c r="G61" s="70"/>
      <c r="H61" s="105"/>
      <c r="I61" s="91"/>
      <c r="J61" s="51"/>
      <c r="K61" s="39"/>
      <c r="L61" s="39"/>
      <c r="M61" s="38"/>
      <c r="N61" s="38"/>
      <c r="O61" s="38"/>
      <c r="P61" s="38"/>
      <c r="Q61" s="38"/>
      <c r="R61" s="38"/>
    </row>
    <row r="62" spans="1:18" ht="12.75" customHeight="1" x14ac:dyDescent="0.2">
      <c r="A62" s="38"/>
      <c r="B62" s="47"/>
      <c r="C62" s="54"/>
      <c r="D62" s="94" t="s">
        <v>189</v>
      </c>
      <c r="E62" s="107"/>
      <c r="F62" s="70"/>
      <c r="G62" s="107"/>
      <c r="H62" s="105"/>
      <c r="I62" s="53"/>
      <c r="J62" s="51"/>
      <c r="K62" s="39"/>
      <c r="L62" s="39"/>
      <c r="M62" s="38"/>
      <c r="N62" s="38"/>
      <c r="O62" s="38"/>
      <c r="P62" s="38"/>
      <c r="Q62" s="38"/>
      <c r="R62" s="38"/>
    </row>
    <row r="63" spans="1:18" ht="12.75" customHeight="1" x14ac:dyDescent="0.2">
      <c r="A63" s="38"/>
      <c r="B63" s="47"/>
      <c r="C63" s="54" t="s">
        <v>190</v>
      </c>
      <c r="D63" s="87" t="s">
        <v>191</v>
      </c>
      <c r="E63" s="107">
        <v>1</v>
      </c>
      <c r="F63" s="70" t="s">
        <v>186</v>
      </c>
      <c r="G63" s="107">
        <v>1</v>
      </c>
      <c r="H63" s="62">
        <v>1300</v>
      </c>
      <c r="I63" s="101">
        <f>H63*G63*E63</f>
        <v>1300</v>
      </c>
      <c r="J63" s="51"/>
      <c r="K63" s="39"/>
      <c r="L63" s="39"/>
      <c r="M63" s="38"/>
      <c r="N63" s="38"/>
      <c r="O63" s="38"/>
      <c r="P63" s="38"/>
      <c r="Q63" s="38"/>
      <c r="R63" s="38"/>
    </row>
    <row r="64" spans="1:18" ht="12.75" customHeight="1" x14ac:dyDescent="0.2">
      <c r="A64" s="38"/>
      <c r="B64" s="47"/>
      <c r="C64" s="54" t="s">
        <v>187</v>
      </c>
      <c r="D64" s="87" t="s">
        <v>192</v>
      </c>
      <c r="E64" s="107"/>
      <c r="F64" s="70"/>
      <c r="G64" s="107"/>
      <c r="H64" s="105"/>
      <c r="I64" s="53"/>
      <c r="J64" s="51"/>
      <c r="K64" s="39"/>
      <c r="L64" s="39"/>
      <c r="M64" s="38"/>
      <c r="N64" s="38"/>
      <c r="O64" s="38"/>
      <c r="P64" s="38"/>
      <c r="Q64" s="38"/>
      <c r="R64" s="38"/>
    </row>
    <row r="65" spans="1:18" ht="12.75" customHeight="1" x14ac:dyDescent="0.2">
      <c r="A65" s="38"/>
      <c r="B65" s="47"/>
      <c r="C65" s="54"/>
      <c r="D65" s="87" t="s">
        <v>193</v>
      </c>
      <c r="E65" s="107">
        <v>2</v>
      </c>
      <c r="F65" s="70" t="s">
        <v>194</v>
      </c>
      <c r="G65" s="107">
        <v>0</v>
      </c>
      <c r="H65" s="105">
        <v>100</v>
      </c>
      <c r="I65" s="101">
        <f t="shared" ref="I65:I69" si="20">H65*G65*E65</f>
        <v>0</v>
      </c>
      <c r="J65" s="51"/>
      <c r="K65" s="39"/>
      <c r="L65" s="39"/>
      <c r="M65" s="38"/>
      <c r="N65" s="38"/>
      <c r="O65" s="38"/>
      <c r="P65" s="38"/>
      <c r="Q65" s="38"/>
      <c r="R65" s="38"/>
    </row>
    <row r="66" spans="1:18" ht="12.75" customHeight="1" x14ac:dyDescent="0.2">
      <c r="A66" s="38"/>
      <c r="B66" s="47"/>
      <c r="C66" s="54"/>
      <c r="D66" s="87" t="s">
        <v>195</v>
      </c>
      <c r="E66" s="107">
        <v>3</v>
      </c>
      <c r="F66" s="70" t="s">
        <v>194</v>
      </c>
      <c r="G66" s="107">
        <v>1</v>
      </c>
      <c r="H66" s="105">
        <v>100</v>
      </c>
      <c r="I66" s="101">
        <f t="shared" si="20"/>
        <v>300</v>
      </c>
      <c r="J66" s="51"/>
      <c r="K66" s="39"/>
      <c r="L66" s="39"/>
      <c r="M66" s="38"/>
      <c r="N66" s="38"/>
      <c r="O66" s="38"/>
      <c r="P66" s="38"/>
      <c r="Q66" s="38"/>
      <c r="R66" s="38"/>
    </row>
    <row r="67" spans="1:18" ht="12.75" customHeight="1" x14ac:dyDescent="0.2">
      <c r="A67" s="38"/>
      <c r="B67" s="47"/>
      <c r="C67" s="54"/>
      <c r="D67" s="87" t="s">
        <v>196</v>
      </c>
      <c r="E67" s="107">
        <v>1</v>
      </c>
      <c r="F67" s="70" t="s">
        <v>132</v>
      </c>
      <c r="G67" s="107">
        <v>1</v>
      </c>
      <c r="H67" s="105">
        <v>500</v>
      </c>
      <c r="I67" s="101">
        <f t="shared" si="20"/>
        <v>500</v>
      </c>
      <c r="J67" s="51"/>
      <c r="K67" s="39"/>
      <c r="L67" s="39"/>
      <c r="M67" s="38"/>
      <c r="N67" s="38"/>
      <c r="O67" s="38"/>
      <c r="P67" s="38"/>
      <c r="Q67" s="38"/>
      <c r="R67" s="38"/>
    </row>
    <row r="68" spans="1:18" ht="12.75" customHeight="1" x14ac:dyDescent="0.2">
      <c r="A68" s="38"/>
      <c r="B68" s="47"/>
      <c r="C68" s="54"/>
      <c r="D68" s="87" t="s">
        <v>197</v>
      </c>
      <c r="E68" s="107">
        <v>1</v>
      </c>
      <c r="F68" s="70" t="s">
        <v>132</v>
      </c>
      <c r="G68" s="107">
        <v>3</v>
      </c>
      <c r="H68" s="105">
        <v>30.2</v>
      </c>
      <c r="I68" s="101">
        <f t="shared" si="20"/>
        <v>90.6</v>
      </c>
      <c r="J68" s="51"/>
      <c r="K68" s="39"/>
      <c r="L68" s="39"/>
      <c r="M68" s="38"/>
      <c r="N68" s="38"/>
      <c r="O68" s="38"/>
      <c r="P68" s="38"/>
      <c r="Q68" s="38"/>
      <c r="R68" s="38"/>
    </row>
    <row r="69" spans="1:18" ht="12.75" customHeight="1" x14ac:dyDescent="0.2">
      <c r="A69" s="38"/>
      <c r="B69" s="47"/>
      <c r="C69" s="54"/>
      <c r="D69" s="87" t="s">
        <v>198</v>
      </c>
      <c r="E69" s="107">
        <v>1</v>
      </c>
      <c r="F69" s="70" t="s">
        <v>132</v>
      </c>
      <c r="G69" s="107">
        <v>2</v>
      </c>
      <c r="H69" s="105">
        <v>30.2</v>
      </c>
      <c r="I69" s="101">
        <f t="shared" si="20"/>
        <v>60.4</v>
      </c>
      <c r="J69" s="51"/>
      <c r="K69" s="39"/>
      <c r="L69" s="39"/>
      <c r="M69" s="38"/>
      <c r="N69" s="38"/>
      <c r="O69" s="38"/>
      <c r="P69" s="38"/>
      <c r="Q69" s="38"/>
      <c r="R69" s="38"/>
    </row>
    <row r="70" spans="1:18" ht="12.75" customHeight="1" x14ac:dyDescent="0.2">
      <c r="A70" s="38"/>
      <c r="B70" s="47"/>
      <c r="C70" s="54"/>
      <c r="D70" s="87" t="s">
        <v>199</v>
      </c>
      <c r="E70" s="107">
        <v>5</v>
      </c>
      <c r="F70" s="70" t="s">
        <v>132</v>
      </c>
      <c r="G70" s="107">
        <v>5</v>
      </c>
      <c r="H70" s="105">
        <v>15.1</v>
      </c>
      <c r="I70" s="101">
        <v>75.5</v>
      </c>
      <c r="J70" s="51"/>
      <c r="K70" s="39"/>
      <c r="L70" s="39"/>
      <c r="M70" s="38"/>
      <c r="N70" s="38"/>
      <c r="O70" s="38"/>
      <c r="P70" s="38"/>
      <c r="Q70" s="38"/>
      <c r="R70" s="38"/>
    </row>
    <row r="71" spans="1:18" ht="12.75" customHeight="1" x14ac:dyDescent="0.2">
      <c r="A71" s="38"/>
      <c r="B71" s="47"/>
      <c r="C71" s="54"/>
      <c r="D71" s="87" t="s">
        <v>200</v>
      </c>
      <c r="E71" s="107">
        <v>1</v>
      </c>
      <c r="F71" s="70" t="s">
        <v>132</v>
      </c>
      <c r="G71" s="107">
        <v>1</v>
      </c>
      <c r="H71" s="105">
        <v>250</v>
      </c>
      <c r="I71" s="101">
        <f>H71*G71*E71</f>
        <v>250</v>
      </c>
      <c r="J71" s="51"/>
      <c r="K71" s="39"/>
      <c r="L71" s="39"/>
      <c r="M71" s="38"/>
      <c r="N71" s="38"/>
      <c r="O71" s="38"/>
      <c r="P71" s="38"/>
      <c r="Q71" s="38"/>
      <c r="R71" s="38"/>
    </row>
    <row r="72" spans="1:18" ht="12.75" customHeight="1" x14ac:dyDescent="0.2">
      <c r="A72" s="38"/>
      <c r="B72" s="47" t="s">
        <v>201</v>
      </c>
      <c r="C72" s="54"/>
      <c r="D72" s="94" t="s">
        <v>202</v>
      </c>
      <c r="E72" s="70"/>
      <c r="F72" s="104"/>
      <c r="G72" s="70"/>
      <c r="H72" s="105"/>
      <c r="I72" s="57">
        <f>SUBTOTAL(9,I73)</f>
        <v>5000</v>
      </c>
      <c r="J72" s="51"/>
      <c r="K72" s="39"/>
      <c r="L72" s="39"/>
      <c r="M72" s="38"/>
      <c r="N72" s="38"/>
      <c r="O72" s="38"/>
      <c r="P72" s="38"/>
      <c r="Q72" s="38"/>
      <c r="R72" s="38"/>
    </row>
    <row r="73" spans="1:18" ht="12.75" customHeight="1" x14ac:dyDescent="0.2">
      <c r="A73" s="38"/>
      <c r="B73" s="47"/>
      <c r="C73" s="54" t="s">
        <v>203</v>
      </c>
      <c r="D73" s="87" t="s">
        <v>204</v>
      </c>
      <c r="E73" s="70">
        <v>1</v>
      </c>
      <c r="F73" s="108" t="s">
        <v>188</v>
      </c>
      <c r="G73" s="70">
        <v>50</v>
      </c>
      <c r="H73" s="105">
        <v>100</v>
      </c>
      <c r="I73" s="101">
        <f>H73*G73*E73</f>
        <v>5000</v>
      </c>
      <c r="J73" s="51"/>
      <c r="K73" s="39"/>
      <c r="L73" s="39"/>
      <c r="M73" s="38"/>
      <c r="N73" s="38"/>
      <c r="O73" s="38"/>
      <c r="P73" s="38"/>
      <c r="Q73" s="38"/>
      <c r="R73" s="38"/>
    </row>
    <row r="74" spans="1:18" ht="12.75" customHeight="1" x14ac:dyDescent="0.2">
      <c r="A74" s="38"/>
      <c r="B74" s="47" t="s">
        <v>205</v>
      </c>
      <c r="C74" s="54"/>
      <c r="D74" s="94" t="s">
        <v>206</v>
      </c>
      <c r="E74" s="70"/>
      <c r="F74" s="104"/>
      <c r="G74" s="70"/>
      <c r="H74" s="105"/>
      <c r="I74" s="53">
        <f>SUBTOTAL(9,I75)</f>
        <v>1050</v>
      </c>
      <c r="J74" s="51"/>
      <c r="K74" s="39"/>
      <c r="L74" s="39"/>
      <c r="M74" s="38"/>
      <c r="N74" s="38"/>
      <c r="O74" s="38"/>
      <c r="P74" s="38"/>
      <c r="Q74" s="38"/>
      <c r="R74" s="38"/>
    </row>
    <row r="75" spans="1:18" ht="12.75" customHeight="1" x14ac:dyDescent="0.2">
      <c r="A75" s="38"/>
      <c r="B75" s="47"/>
      <c r="C75" s="54" t="s">
        <v>207</v>
      </c>
      <c r="D75" s="87" t="s">
        <v>208</v>
      </c>
      <c r="E75" s="70">
        <v>1</v>
      </c>
      <c r="F75" s="108" t="s">
        <v>188</v>
      </c>
      <c r="G75" s="70">
        <v>3</v>
      </c>
      <c r="H75" s="105">
        <v>350</v>
      </c>
      <c r="I75" s="101">
        <f>H75*G75*E75</f>
        <v>1050</v>
      </c>
      <c r="J75" s="51"/>
      <c r="K75" s="39"/>
      <c r="L75" s="39"/>
      <c r="M75" s="38"/>
      <c r="N75" s="38"/>
      <c r="O75" s="38"/>
      <c r="P75" s="38"/>
      <c r="Q75" s="38"/>
      <c r="R75" s="38"/>
    </row>
    <row r="76" spans="1:18" ht="15" customHeight="1" x14ac:dyDescent="0.3">
      <c r="A76" s="109"/>
      <c r="B76" s="47">
        <v>3</v>
      </c>
      <c r="C76" s="48"/>
      <c r="D76" s="49" t="s">
        <v>209</v>
      </c>
      <c r="E76" s="64"/>
      <c r="F76" s="110"/>
      <c r="G76" s="64"/>
      <c r="H76" s="52"/>
      <c r="I76" s="52"/>
      <c r="J76" s="53">
        <f>SUBTOTAL(9,I77:I167)</f>
        <v>122210</v>
      </c>
      <c r="K76" s="111"/>
      <c r="L76" s="111"/>
      <c r="M76" s="112"/>
      <c r="N76" s="112"/>
      <c r="O76" s="112"/>
      <c r="P76" s="112"/>
      <c r="Q76" s="112"/>
      <c r="R76" s="112"/>
    </row>
    <row r="77" spans="1:18" ht="12.75" customHeight="1" x14ac:dyDescent="0.2">
      <c r="A77" s="38"/>
      <c r="B77" s="47" t="s">
        <v>210</v>
      </c>
      <c r="C77" s="66"/>
      <c r="D77" s="55" t="s">
        <v>85</v>
      </c>
      <c r="E77" s="60"/>
      <c r="F77" s="60"/>
      <c r="G77" s="60"/>
      <c r="H77" s="67"/>
      <c r="I77" s="53">
        <f>SUBTOTAL(9,I78:I82)</f>
        <v>9800</v>
      </c>
      <c r="J77" s="68"/>
      <c r="K77" s="90">
        <f>SUM(K78:K147)</f>
        <v>457</v>
      </c>
      <c r="L77" s="90"/>
      <c r="M77" s="113"/>
      <c r="N77" s="38"/>
      <c r="O77" s="38"/>
      <c r="P77" s="38"/>
      <c r="Q77" s="38"/>
      <c r="R77" s="38"/>
    </row>
    <row r="78" spans="1:18" ht="12.75" customHeight="1" x14ac:dyDescent="0.2">
      <c r="A78" s="38"/>
      <c r="B78" s="47"/>
      <c r="C78" s="54" t="s">
        <v>211</v>
      </c>
      <c r="D78" s="104" t="s">
        <v>212</v>
      </c>
      <c r="E78" s="70">
        <v>1</v>
      </c>
      <c r="F78" s="70" t="s">
        <v>213</v>
      </c>
      <c r="G78" s="70">
        <v>1</v>
      </c>
      <c r="H78" s="105">
        <v>5000</v>
      </c>
      <c r="I78" s="62">
        <f t="shared" ref="I78:I82" si="21">H78*G78*E78</f>
        <v>5000</v>
      </c>
      <c r="J78" s="51"/>
      <c r="K78" s="90">
        <f t="shared" ref="K78:K82" si="22">G78*E78*5</f>
        <v>5</v>
      </c>
      <c r="L78" s="90"/>
      <c r="M78" s="113"/>
      <c r="N78" s="38"/>
      <c r="O78" s="38"/>
      <c r="P78" s="38"/>
      <c r="Q78" s="38"/>
      <c r="R78" s="38"/>
    </row>
    <row r="79" spans="1:18" ht="12.75" customHeight="1" x14ac:dyDescent="0.2">
      <c r="A79" s="38"/>
      <c r="B79" s="47"/>
      <c r="C79" s="54" t="s">
        <v>214</v>
      </c>
      <c r="D79" s="69" t="s">
        <v>87</v>
      </c>
      <c r="E79" s="70">
        <v>1</v>
      </c>
      <c r="F79" s="70" t="s">
        <v>79</v>
      </c>
      <c r="G79" s="70">
        <v>1</v>
      </c>
      <c r="H79" s="67">
        <v>2000</v>
      </c>
      <c r="I79" s="62">
        <f t="shared" si="21"/>
        <v>2000</v>
      </c>
      <c r="J79" s="51"/>
      <c r="K79" s="90">
        <f t="shared" si="22"/>
        <v>5</v>
      </c>
      <c r="L79" s="90"/>
      <c r="M79" s="113"/>
      <c r="N79" s="38"/>
      <c r="O79" s="38"/>
      <c r="P79" s="38"/>
      <c r="Q79" s="38"/>
      <c r="R79" s="38"/>
    </row>
    <row r="80" spans="1:18" ht="12.75" customHeight="1" x14ac:dyDescent="0.2">
      <c r="A80" s="38"/>
      <c r="B80" s="47"/>
      <c r="C80" s="54" t="s">
        <v>215</v>
      </c>
      <c r="D80" s="69" t="s">
        <v>216</v>
      </c>
      <c r="E80" s="70">
        <v>1</v>
      </c>
      <c r="F80" s="70" t="s">
        <v>93</v>
      </c>
      <c r="G80" s="70">
        <v>1</v>
      </c>
      <c r="H80" s="67">
        <v>0</v>
      </c>
      <c r="I80" s="62">
        <f t="shared" si="21"/>
        <v>0</v>
      </c>
      <c r="J80" s="51"/>
      <c r="K80" s="90">
        <f t="shared" si="22"/>
        <v>5</v>
      </c>
      <c r="L80" s="90"/>
      <c r="M80" s="113"/>
      <c r="N80" s="38"/>
      <c r="O80" s="38"/>
      <c r="P80" s="38"/>
      <c r="Q80" s="38"/>
      <c r="R80" s="38"/>
    </row>
    <row r="81" spans="1:18" ht="12.75" customHeight="1" x14ac:dyDescent="0.2">
      <c r="A81" s="38"/>
      <c r="B81" s="47"/>
      <c r="C81" s="54" t="s">
        <v>217</v>
      </c>
      <c r="D81" s="73" t="s">
        <v>218</v>
      </c>
      <c r="E81" s="60">
        <v>1</v>
      </c>
      <c r="F81" s="60" t="s">
        <v>188</v>
      </c>
      <c r="G81" s="60">
        <v>4</v>
      </c>
      <c r="H81" s="67">
        <v>500</v>
      </c>
      <c r="I81" s="62">
        <f t="shared" si="21"/>
        <v>2000</v>
      </c>
      <c r="J81" s="51"/>
      <c r="K81" s="90">
        <f t="shared" si="22"/>
        <v>20</v>
      </c>
      <c r="L81" s="114"/>
      <c r="M81" s="113"/>
      <c r="N81" s="38"/>
      <c r="O81" s="38"/>
      <c r="P81" s="38"/>
      <c r="Q81" s="38"/>
      <c r="R81" s="38"/>
    </row>
    <row r="82" spans="1:18" ht="12.75" customHeight="1" x14ac:dyDescent="0.2">
      <c r="A82" s="38"/>
      <c r="B82" s="47"/>
      <c r="C82" s="54" t="s">
        <v>219</v>
      </c>
      <c r="D82" s="73" t="s">
        <v>95</v>
      </c>
      <c r="E82" s="60">
        <v>1</v>
      </c>
      <c r="F82" s="60" t="s">
        <v>188</v>
      </c>
      <c r="G82" s="60">
        <v>4</v>
      </c>
      <c r="H82" s="67">
        <v>200</v>
      </c>
      <c r="I82" s="62">
        <f t="shared" si="21"/>
        <v>800</v>
      </c>
      <c r="J82" s="51"/>
      <c r="K82" s="90">
        <f t="shared" si="22"/>
        <v>20</v>
      </c>
      <c r="L82" s="90"/>
      <c r="M82" s="113"/>
      <c r="N82" s="38"/>
      <c r="O82" s="38"/>
      <c r="P82" s="38"/>
      <c r="Q82" s="38"/>
      <c r="R82" s="38"/>
    </row>
    <row r="83" spans="1:18" ht="12.75" customHeight="1" x14ac:dyDescent="0.2">
      <c r="A83" s="38"/>
      <c r="B83" s="47" t="s">
        <v>220</v>
      </c>
      <c r="C83" s="66"/>
      <c r="D83" s="55" t="s">
        <v>97</v>
      </c>
      <c r="E83" s="60"/>
      <c r="F83" s="60"/>
      <c r="G83" s="60"/>
      <c r="H83" s="67"/>
      <c r="I83" s="53">
        <f>SUBTOTAL(9,I84:I88)</f>
        <v>14400</v>
      </c>
      <c r="J83" s="51"/>
      <c r="K83" s="90"/>
      <c r="L83" s="90"/>
      <c r="M83" s="113"/>
      <c r="N83" s="38"/>
      <c r="O83" s="38"/>
      <c r="P83" s="38"/>
      <c r="Q83" s="38"/>
      <c r="R83" s="38"/>
    </row>
    <row r="84" spans="1:18" ht="12.75" customHeight="1" x14ac:dyDescent="0.2">
      <c r="A84" s="38"/>
      <c r="B84" s="47"/>
      <c r="C84" s="54" t="s">
        <v>221</v>
      </c>
      <c r="D84" s="59" t="s">
        <v>397</v>
      </c>
      <c r="E84" s="70">
        <v>2</v>
      </c>
      <c r="F84" s="70" t="s">
        <v>99</v>
      </c>
      <c r="G84" s="70">
        <v>1</v>
      </c>
      <c r="H84" s="67">
        <v>3000</v>
      </c>
      <c r="I84" s="62">
        <f t="shared" ref="I84:I88" si="23">H84*G84*E84</f>
        <v>6000</v>
      </c>
      <c r="J84" s="51"/>
      <c r="K84" s="90">
        <f t="shared" ref="K84:K87" si="24">G84*E84*5</f>
        <v>10</v>
      </c>
      <c r="L84" s="90"/>
      <c r="M84" s="113"/>
      <c r="N84" s="38"/>
      <c r="O84" s="38"/>
      <c r="P84" s="38"/>
      <c r="Q84" s="38"/>
      <c r="R84" s="38"/>
    </row>
    <row r="85" spans="1:18" ht="12.75" customHeight="1" x14ac:dyDescent="0.2">
      <c r="A85" s="38"/>
      <c r="B85" s="47"/>
      <c r="C85" s="54" t="s">
        <v>222</v>
      </c>
      <c r="D85" s="59" t="s">
        <v>223</v>
      </c>
      <c r="E85" s="70">
        <v>1</v>
      </c>
      <c r="F85" s="60" t="s">
        <v>224</v>
      </c>
      <c r="G85" s="70">
        <v>1</v>
      </c>
      <c r="H85" s="67">
        <v>2000</v>
      </c>
      <c r="I85" s="62">
        <f t="shared" si="23"/>
        <v>2000</v>
      </c>
      <c r="J85" s="51"/>
      <c r="K85" s="90">
        <f t="shared" si="24"/>
        <v>5</v>
      </c>
      <c r="L85" s="90"/>
      <c r="M85" s="113"/>
      <c r="N85" s="38"/>
      <c r="O85" s="38"/>
      <c r="P85" s="38"/>
      <c r="Q85" s="38"/>
      <c r="R85" s="38"/>
    </row>
    <row r="86" spans="1:18" ht="12.75" customHeight="1" x14ac:dyDescent="0.2">
      <c r="A86" s="38"/>
      <c r="B86" s="47"/>
      <c r="C86" s="54" t="s">
        <v>225</v>
      </c>
      <c r="D86" s="59" t="s">
        <v>226</v>
      </c>
      <c r="E86" s="60">
        <v>1</v>
      </c>
      <c r="F86" s="60" t="s">
        <v>188</v>
      </c>
      <c r="G86" s="60">
        <v>4</v>
      </c>
      <c r="H86" s="67">
        <v>700</v>
      </c>
      <c r="I86" s="62">
        <f t="shared" si="23"/>
        <v>2800</v>
      </c>
      <c r="J86" s="51"/>
      <c r="K86" s="90">
        <f t="shared" si="24"/>
        <v>20</v>
      </c>
      <c r="L86" s="90"/>
      <c r="M86" s="113"/>
      <c r="N86" s="38"/>
      <c r="O86" s="38"/>
      <c r="P86" s="38"/>
      <c r="Q86" s="38"/>
      <c r="R86" s="38"/>
    </row>
    <row r="87" spans="1:18" ht="12.75" customHeight="1" x14ac:dyDescent="0.2">
      <c r="A87" s="38"/>
      <c r="B87" s="47"/>
      <c r="C87" s="54" t="s">
        <v>227</v>
      </c>
      <c r="D87" s="73" t="s">
        <v>105</v>
      </c>
      <c r="E87" s="60">
        <v>1</v>
      </c>
      <c r="F87" s="60" t="s">
        <v>188</v>
      </c>
      <c r="G87" s="60">
        <v>4</v>
      </c>
      <c r="H87" s="67">
        <v>400</v>
      </c>
      <c r="I87" s="62">
        <f t="shared" si="23"/>
        <v>1600</v>
      </c>
      <c r="J87" s="51"/>
      <c r="K87" s="90">
        <f t="shared" si="24"/>
        <v>20</v>
      </c>
      <c r="L87" s="90"/>
      <c r="M87" s="113"/>
      <c r="N87" s="38"/>
      <c r="O87" s="38"/>
      <c r="P87" s="38"/>
      <c r="Q87" s="38"/>
      <c r="R87" s="38"/>
    </row>
    <row r="88" spans="1:18" ht="12.75" customHeight="1" x14ac:dyDescent="0.2">
      <c r="A88" s="38"/>
      <c r="B88" s="47"/>
      <c r="C88" s="54"/>
      <c r="D88" s="73" t="s">
        <v>107</v>
      </c>
      <c r="E88" s="60">
        <v>1</v>
      </c>
      <c r="F88" s="60" t="s">
        <v>188</v>
      </c>
      <c r="G88" s="60">
        <v>4</v>
      </c>
      <c r="H88" s="67">
        <v>500</v>
      </c>
      <c r="I88" s="62">
        <f t="shared" si="23"/>
        <v>2000</v>
      </c>
      <c r="J88" s="51"/>
      <c r="K88" s="90"/>
      <c r="L88" s="90"/>
      <c r="M88" s="113"/>
      <c r="N88" s="38"/>
      <c r="O88" s="38"/>
      <c r="P88" s="38"/>
      <c r="Q88" s="38"/>
      <c r="R88" s="38"/>
    </row>
    <row r="89" spans="1:18" ht="12.75" customHeight="1" x14ac:dyDescent="0.2">
      <c r="A89" s="38"/>
      <c r="B89" s="47" t="s">
        <v>228</v>
      </c>
      <c r="C89" s="66"/>
      <c r="D89" s="55" t="s">
        <v>109</v>
      </c>
      <c r="E89" s="60"/>
      <c r="F89" s="60"/>
      <c r="G89" s="60"/>
      <c r="H89" s="67"/>
      <c r="I89" s="53">
        <f>SUBTOTAL(9,I90:I93)</f>
        <v>4400</v>
      </c>
      <c r="J89" s="51"/>
      <c r="K89" s="90"/>
      <c r="L89" s="90"/>
      <c r="M89" s="113"/>
      <c r="N89" s="38"/>
      <c r="O89" s="38"/>
      <c r="P89" s="38"/>
      <c r="Q89" s="38"/>
      <c r="R89" s="38"/>
    </row>
    <row r="90" spans="1:18" ht="12.75" customHeight="1" x14ac:dyDescent="0.2">
      <c r="A90" s="38"/>
      <c r="B90" s="47"/>
      <c r="C90" s="54" t="s">
        <v>229</v>
      </c>
      <c r="D90" s="87" t="s">
        <v>111</v>
      </c>
      <c r="E90" s="60">
        <v>1</v>
      </c>
      <c r="F90" s="60" t="s">
        <v>112</v>
      </c>
      <c r="G90" s="60">
        <v>1</v>
      </c>
      <c r="H90" s="67">
        <v>2000</v>
      </c>
      <c r="I90" s="62">
        <f t="shared" ref="I90:I93" si="25">H90*G90*E90</f>
        <v>2000</v>
      </c>
      <c r="J90" s="51"/>
      <c r="K90" s="90">
        <f t="shared" ref="K90:K93" si="26">G90*E90*5</f>
        <v>5</v>
      </c>
      <c r="L90" s="90"/>
      <c r="M90" s="113"/>
      <c r="N90" s="38"/>
      <c r="O90" s="38"/>
      <c r="P90" s="38"/>
      <c r="Q90" s="38"/>
      <c r="R90" s="38"/>
    </row>
    <row r="91" spans="1:18" ht="12.75" customHeight="1" x14ac:dyDescent="0.2">
      <c r="A91" s="38"/>
      <c r="B91" s="47"/>
      <c r="C91" s="54" t="s">
        <v>230</v>
      </c>
      <c r="D91" s="87" t="s">
        <v>400</v>
      </c>
      <c r="E91" s="60">
        <v>1</v>
      </c>
      <c r="F91" s="60" t="s">
        <v>188</v>
      </c>
      <c r="G91" s="60">
        <v>4</v>
      </c>
      <c r="H91" s="67">
        <v>250</v>
      </c>
      <c r="I91" s="62">
        <f t="shared" si="25"/>
        <v>1000</v>
      </c>
      <c r="J91" s="51"/>
      <c r="K91" s="90">
        <f t="shared" si="26"/>
        <v>20</v>
      </c>
      <c r="L91" s="72"/>
      <c r="M91" s="38"/>
      <c r="N91" s="38"/>
      <c r="O91" s="38"/>
      <c r="P91" s="38"/>
      <c r="Q91" s="38"/>
      <c r="R91" s="38"/>
    </row>
    <row r="92" spans="1:18" ht="12.75" customHeight="1" x14ac:dyDescent="0.2">
      <c r="A92" s="38"/>
      <c r="B92" s="47"/>
      <c r="C92" s="54" t="s">
        <v>231</v>
      </c>
      <c r="D92" s="87" t="s">
        <v>232</v>
      </c>
      <c r="E92" s="60">
        <v>1</v>
      </c>
      <c r="F92" s="60" t="s">
        <v>188</v>
      </c>
      <c r="G92" s="60">
        <v>4</v>
      </c>
      <c r="H92" s="67">
        <v>200</v>
      </c>
      <c r="I92" s="62">
        <f t="shared" si="25"/>
        <v>800</v>
      </c>
      <c r="J92" s="51"/>
      <c r="K92" s="90">
        <f t="shared" si="26"/>
        <v>20</v>
      </c>
      <c r="L92" s="72"/>
      <c r="M92" s="38"/>
      <c r="N92" s="38"/>
      <c r="O92" s="38"/>
      <c r="P92" s="38"/>
      <c r="Q92" s="38"/>
      <c r="R92" s="38"/>
    </row>
    <row r="93" spans="1:18" ht="12.75" customHeight="1" x14ac:dyDescent="0.2">
      <c r="A93" s="38"/>
      <c r="B93" s="47"/>
      <c r="C93" s="54"/>
      <c r="D93" s="87" t="s">
        <v>233</v>
      </c>
      <c r="E93" s="60">
        <v>1</v>
      </c>
      <c r="F93" s="60" t="s">
        <v>188</v>
      </c>
      <c r="G93" s="60">
        <v>3</v>
      </c>
      <c r="H93" s="67">
        <v>200</v>
      </c>
      <c r="I93" s="62">
        <f t="shared" si="25"/>
        <v>600</v>
      </c>
      <c r="J93" s="51"/>
      <c r="K93" s="90">
        <f t="shared" si="26"/>
        <v>15</v>
      </c>
      <c r="L93" s="72"/>
      <c r="M93" s="38"/>
      <c r="N93" s="38"/>
      <c r="O93" s="38"/>
      <c r="P93" s="38"/>
      <c r="Q93" s="38"/>
      <c r="R93" s="38"/>
    </row>
    <row r="94" spans="1:18" ht="12.75" customHeight="1" x14ac:dyDescent="0.2">
      <c r="A94" s="38"/>
      <c r="B94" s="47" t="s">
        <v>234</v>
      </c>
      <c r="C94" s="66"/>
      <c r="D94" s="55" t="s">
        <v>122</v>
      </c>
      <c r="E94" s="60"/>
      <c r="F94" s="60"/>
      <c r="G94" s="89"/>
      <c r="H94" s="57"/>
      <c r="I94" s="53">
        <f>SUBTOTAL(9,I95:I96)</f>
        <v>3000</v>
      </c>
      <c r="J94" s="51"/>
      <c r="K94" s="90"/>
      <c r="L94" s="90"/>
      <c r="M94" s="113"/>
      <c r="N94" s="38"/>
      <c r="O94" s="38"/>
      <c r="P94" s="38"/>
      <c r="Q94" s="38"/>
      <c r="R94" s="38"/>
    </row>
    <row r="95" spans="1:18" ht="12.75" customHeight="1" x14ac:dyDescent="0.2">
      <c r="A95" s="38"/>
      <c r="B95" s="47"/>
      <c r="C95" s="66" t="s">
        <v>235</v>
      </c>
      <c r="D95" s="87" t="s">
        <v>124</v>
      </c>
      <c r="E95" s="60">
        <v>1</v>
      </c>
      <c r="F95" s="60" t="s">
        <v>188</v>
      </c>
      <c r="G95" s="60">
        <v>4</v>
      </c>
      <c r="H95" s="67">
        <v>500</v>
      </c>
      <c r="I95" s="62">
        <f t="shared" ref="I95:I96" si="27">H95*G95*E95</f>
        <v>2000</v>
      </c>
      <c r="J95" s="51"/>
      <c r="K95" s="90">
        <f t="shared" ref="K95:K96" si="28">G95*E95*5</f>
        <v>20</v>
      </c>
      <c r="L95" s="90"/>
      <c r="M95" s="113"/>
      <c r="N95" s="38"/>
      <c r="O95" s="38"/>
      <c r="P95" s="38"/>
      <c r="Q95" s="38"/>
      <c r="R95" s="38"/>
    </row>
    <row r="96" spans="1:18" ht="12.75" customHeight="1" x14ac:dyDescent="0.2">
      <c r="A96" s="38"/>
      <c r="B96" s="47"/>
      <c r="C96" s="66"/>
      <c r="D96" s="59" t="s">
        <v>236</v>
      </c>
      <c r="E96" s="60">
        <v>1</v>
      </c>
      <c r="F96" s="60" t="s">
        <v>188</v>
      </c>
      <c r="G96" s="60">
        <v>4</v>
      </c>
      <c r="H96" s="62">
        <v>250</v>
      </c>
      <c r="I96" s="62">
        <f t="shared" si="27"/>
        <v>1000</v>
      </c>
      <c r="J96" s="51"/>
      <c r="K96" s="90">
        <f t="shared" si="28"/>
        <v>20</v>
      </c>
      <c r="L96" s="90"/>
      <c r="M96" s="113"/>
      <c r="N96" s="38"/>
      <c r="O96" s="38"/>
      <c r="P96" s="38"/>
      <c r="Q96" s="38"/>
      <c r="R96" s="38"/>
    </row>
    <row r="97" spans="1:18" ht="12.75" customHeight="1" x14ac:dyDescent="0.2">
      <c r="A97" s="38"/>
      <c r="B97" s="47" t="s">
        <v>237</v>
      </c>
      <c r="C97" s="66"/>
      <c r="D97" s="55" t="s">
        <v>128</v>
      </c>
      <c r="E97" s="60"/>
      <c r="F97" s="60"/>
      <c r="G97" s="89"/>
      <c r="H97" s="57"/>
      <c r="I97" s="53">
        <f>SUBTOTAL(9,I98:I99)</f>
        <v>3000</v>
      </c>
      <c r="J97" s="51"/>
      <c r="K97" s="90"/>
      <c r="L97" s="90"/>
      <c r="M97" s="113"/>
      <c r="N97" s="38"/>
      <c r="O97" s="38"/>
      <c r="P97" s="38"/>
      <c r="Q97" s="38"/>
      <c r="R97" s="38"/>
    </row>
    <row r="98" spans="1:18" ht="12.75" customHeight="1" x14ac:dyDescent="0.2">
      <c r="A98" s="38"/>
      <c r="B98" s="47"/>
      <c r="C98" s="66" t="s">
        <v>238</v>
      </c>
      <c r="D98" s="87" t="s">
        <v>239</v>
      </c>
      <c r="E98" s="60">
        <v>1</v>
      </c>
      <c r="F98" s="60" t="s">
        <v>188</v>
      </c>
      <c r="G98" s="60">
        <v>4</v>
      </c>
      <c r="H98" s="62">
        <v>500</v>
      </c>
      <c r="I98" s="62">
        <f t="shared" ref="I98:I99" si="29">H98*G98*E98</f>
        <v>2000</v>
      </c>
      <c r="J98" s="51"/>
      <c r="K98" s="90">
        <f t="shared" ref="K98:K99" si="30">G98*E98*5</f>
        <v>20</v>
      </c>
      <c r="L98" s="90"/>
      <c r="M98" s="113"/>
      <c r="N98" s="38"/>
      <c r="O98" s="38"/>
      <c r="P98" s="38"/>
      <c r="Q98" s="38"/>
      <c r="R98" s="38"/>
    </row>
    <row r="99" spans="1:18" ht="12.75" customHeight="1" x14ac:dyDescent="0.2">
      <c r="A99" s="38"/>
      <c r="B99" s="47"/>
      <c r="C99" s="66" t="s">
        <v>240</v>
      </c>
      <c r="D99" s="59" t="s">
        <v>131</v>
      </c>
      <c r="E99" s="60">
        <v>1</v>
      </c>
      <c r="F99" s="60" t="s">
        <v>188</v>
      </c>
      <c r="G99" s="60">
        <v>4</v>
      </c>
      <c r="H99" s="62">
        <v>250</v>
      </c>
      <c r="I99" s="62">
        <f t="shared" si="29"/>
        <v>1000</v>
      </c>
      <c r="J99" s="51"/>
      <c r="K99" s="39">
        <f t="shared" si="30"/>
        <v>20</v>
      </c>
      <c r="L99" s="72"/>
      <c r="M99" s="38"/>
      <c r="N99" s="38"/>
      <c r="O99" s="38"/>
      <c r="P99" s="38"/>
      <c r="Q99" s="38"/>
      <c r="R99" s="38"/>
    </row>
    <row r="100" spans="1:18" ht="12.75" customHeight="1" x14ac:dyDescent="0.2">
      <c r="A100" s="38"/>
      <c r="B100" s="47" t="s">
        <v>241</v>
      </c>
      <c r="C100" s="54"/>
      <c r="D100" s="115" t="s">
        <v>134</v>
      </c>
      <c r="E100" s="96"/>
      <c r="F100" s="96"/>
      <c r="G100" s="96"/>
      <c r="H100" s="97"/>
      <c r="I100" s="53">
        <f>SUBTOTAL(9,I101:I104)</f>
        <v>10400</v>
      </c>
      <c r="J100" s="51"/>
      <c r="K100" s="90"/>
      <c r="L100" s="90"/>
      <c r="M100" s="113"/>
      <c r="N100" s="38"/>
      <c r="O100" s="38"/>
      <c r="P100" s="38"/>
      <c r="Q100" s="38"/>
      <c r="R100" s="38"/>
    </row>
    <row r="101" spans="1:18" ht="12.75" customHeight="1" x14ac:dyDescent="0.2">
      <c r="A101" s="38"/>
      <c r="B101" s="47"/>
      <c r="C101" s="54" t="s">
        <v>242</v>
      </c>
      <c r="D101" s="104" t="s">
        <v>136</v>
      </c>
      <c r="E101" s="70">
        <v>1</v>
      </c>
      <c r="F101" s="70" t="s">
        <v>112</v>
      </c>
      <c r="G101" s="70">
        <v>1</v>
      </c>
      <c r="H101" s="67">
        <v>5000</v>
      </c>
      <c r="I101" s="105">
        <f t="shared" ref="I101:I104" si="31">H101*G101*E101</f>
        <v>5000</v>
      </c>
      <c r="J101" s="51"/>
      <c r="K101" s="39">
        <f t="shared" ref="K101:K104" si="32">G101*E101*5</f>
        <v>5</v>
      </c>
      <c r="L101" s="90"/>
      <c r="M101" s="113"/>
      <c r="N101" s="38"/>
      <c r="O101" s="38"/>
      <c r="P101" s="38"/>
      <c r="Q101" s="38"/>
      <c r="R101" s="38"/>
    </row>
    <row r="102" spans="1:18" ht="12.75" customHeight="1" x14ac:dyDescent="0.2">
      <c r="A102" s="38"/>
      <c r="B102" s="47"/>
      <c r="C102" s="54" t="s">
        <v>243</v>
      </c>
      <c r="D102" s="104" t="s">
        <v>244</v>
      </c>
      <c r="E102" s="70">
        <v>1</v>
      </c>
      <c r="F102" s="70" t="s">
        <v>188</v>
      </c>
      <c r="G102" s="70">
        <v>4</v>
      </c>
      <c r="H102" s="105">
        <v>500</v>
      </c>
      <c r="I102" s="105">
        <f t="shared" si="31"/>
        <v>2000</v>
      </c>
      <c r="J102" s="51"/>
      <c r="K102" s="39">
        <f t="shared" si="32"/>
        <v>20</v>
      </c>
      <c r="L102" s="90"/>
      <c r="M102" s="113"/>
      <c r="N102" s="38"/>
      <c r="O102" s="38"/>
      <c r="P102" s="38"/>
      <c r="Q102" s="38"/>
      <c r="R102" s="38"/>
    </row>
    <row r="103" spans="1:18" ht="12.75" customHeight="1" x14ac:dyDescent="0.2">
      <c r="A103" s="38"/>
      <c r="B103" s="47"/>
      <c r="C103" s="54"/>
      <c r="D103" s="104" t="s">
        <v>245</v>
      </c>
      <c r="E103" s="70">
        <v>1</v>
      </c>
      <c r="F103" s="70" t="s">
        <v>188</v>
      </c>
      <c r="G103" s="70">
        <v>4</v>
      </c>
      <c r="H103" s="105">
        <v>350</v>
      </c>
      <c r="I103" s="105">
        <f t="shared" si="31"/>
        <v>1400</v>
      </c>
      <c r="J103" s="51"/>
      <c r="K103" s="39">
        <f t="shared" si="32"/>
        <v>20</v>
      </c>
      <c r="L103" s="90"/>
      <c r="M103" s="113"/>
      <c r="N103" s="38"/>
      <c r="O103" s="38"/>
      <c r="P103" s="38"/>
      <c r="Q103" s="38"/>
      <c r="R103" s="38"/>
    </row>
    <row r="104" spans="1:18" ht="12.75" customHeight="1" x14ac:dyDescent="0.2">
      <c r="A104" s="38"/>
      <c r="B104" s="47"/>
      <c r="C104" s="54" t="s">
        <v>246</v>
      </c>
      <c r="D104" s="104" t="s">
        <v>247</v>
      </c>
      <c r="E104" s="70">
        <v>1</v>
      </c>
      <c r="F104" s="70" t="s">
        <v>188</v>
      </c>
      <c r="G104" s="70">
        <v>4</v>
      </c>
      <c r="H104" s="67">
        <v>500</v>
      </c>
      <c r="I104" s="105">
        <f t="shared" si="31"/>
        <v>2000</v>
      </c>
      <c r="J104" s="51"/>
      <c r="K104" s="39">
        <f t="shared" si="32"/>
        <v>20</v>
      </c>
      <c r="L104" s="90"/>
      <c r="M104" s="113"/>
      <c r="N104" s="38"/>
      <c r="O104" s="38"/>
      <c r="P104" s="38"/>
      <c r="Q104" s="38"/>
      <c r="R104" s="38"/>
    </row>
    <row r="105" spans="1:18" ht="12.75" customHeight="1" x14ac:dyDescent="0.2">
      <c r="A105" s="38"/>
      <c r="B105" s="47" t="s">
        <v>248</v>
      </c>
      <c r="C105" s="54"/>
      <c r="D105" s="55" t="s">
        <v>142</v>
      </c>
      <c r="E105" s="60"/>
      <c r="F105" s="60"/>
      <c r="G105" s="60"/>
      <c r="H105" s="57"/>
      <c r="I105" s="53">
        <f>SUBTOTAL(9,I106:I107)</f>
        <v>3400</v>
      </c>
      <c r="J105" s="51"/>
      <c r="K105" s="90"/>
      <c r="L105" s="90"/>
      <c r="M105" s="113"/>
      <c r="N105" s="38"/>
      <c r="O105" s="38"/>
      <c r="P105" s="38"/>
      <c r="Q105" s="38"/>
      <c r="R105" s="38"/>
    </row>
    <row r="106" spans="1:18" ht="12.75" customHeight="1" x14ac:dyDescent="0.2">
      <c r="A106" s="38"/>
      <c r="B106" s="47"/>
      <c r="C106" s="54" t="s">
        <v>249</v>
      </c>
      <c r="D106" s="59" t="s">
        <v>144</v>
      </c>
      <c r="E106" s="70">
        <v>1</v>
      </c>
      <c r="F106" s="70" t="s">
        <v>188</v>
      </c>
      <c r="G106" s="60">
        <v>4</v>
      </c>
      <c r="H106" s="67">
        <v>500</v>
      </c>
      <c r="I106" s="62">
        <f t="shared" ref="I106:I107" si="33">H106*G106*E106</f>
        <v>2000</v>
      </c>
      <c r="J106" s="51"/>
      <c r="K106" s="39">
        <f t="shared" ref="K106:K107" si="34">G106*E106*5</f>
        <v>20</v>
      </c>
      <c r="L106" s="90"/>
      <c r="M106" s="113"/>
      <c r="N106" s="38"/>
      <c r="O106" s="38"/>
      <c r="P106" s="38"/>
      <c r="Q106" s="38"/>
      <c r="R106" s="38"/>
    </row>
    <row r="107" spans="1:18" ht="12.75" customHeight="1" x14ac:dyDescent="0.2">
      <c r="A107" s="38"/>
      <c r="B107" s="47"/>
      <c r="C107" s="54" t="s">
        <v>250</v>
      </c>
      <c r="D107" s="59" t="s">
        <v>251</v>
      </c>
      <c r="E107" s="70">
        <v>1</v>
      </c>
      <c r="F107" s="70" t="s">
        <v>188</v>
      </c>
      <c r="G107" s="60">
        <v>4</v>
      </c>
      <c r="H107" s="67">
        <v>350</v>
      </c>
      <c r="I107" s="62">
        <f t="shared" si="33"/>
        <v>1400</v>
      </c>
      <c r="J107" s="51"/>
      <c r="K107" s="39">
        <f t="shared" si="34"/>
        <v>20</v>
      </c>
      <c r="L107" s="90"/>
      <c r="M107" s="113"/>
      <c r="N107" s="38"/>
      <c r="O107" s="38"/>
      <c r="P107" s="38"/>
      <c r="Q107" s="38"/>
      <c r="R107" s="38"/>
    </row>
    <row r="108" spans="1:18" ht="12.75" customHeight="1" x14ac:dyDescent="0.2">
      <c r="A108" s="38"/>
      <c r="B108" s="47" t="s">
        <v>252</v>
      </c>
      <c r="C108" s="54"/>
      <c r="D108" s="55" t="s">
        <v>148</v>
      </c>
      <c r="E108" s="56"/>
      <c r="F108" s="56"/>
      <c r="G108" s="56"/>
      <c r="H108" s="57"/>
      <c r="I108" s="53">
        <f>SUBTOTAL(9,I109:I110)</f>
        <v>2000</v>
      </c>
      <c r="J108" s="51"/>
      <c r="K108" s="90"/>
      <c r="L108" s="90"/>
      <c r="M108" s="113"/>
      <c r="N108" s="38"/>
      <c r="O108" s="38"/>
      <c r="P108" s="38"/>
      <c r="Q108" s="38"/>
      <c r="R108" s="38"/>
    </row>
    <row r="109" spans="1:18" ht="12.75" customHeight="1" x14ac:dyDescent="0.2">
      <c r="A109" s="38"/>
      <c r="B109" s="47"/>
      <c r="C109" s="54" t="s">
        <v>253</v>
      </c>
      <c r="D109" s="59" t="s">
        <v>254</v>
      </c>
      <c r="E109" s="70">
        <v>1</v>
      </c>
      <c r="F109" s="60" t="s">
        <v>188</v>
      </c>
      <c r="G109" s="60">
        <v>4</v>
      </c>
      <c r="H109" s="67">
        <v>500</v>
      </c>
      <c r="I109" s="62">
        <f t="shared" ref="I109:I110" si="35">H109*G109*E109</f>
        <v>2000</v>
      </c>
      <c r="J109" s="51"/>
      <c r="K109" s="39">
        <f t="shared" ref="K109:K110" si="36">G109*E109*5</f>
        <v>20</v>
      </c>
      <c r="L109" s="90"/>
      <c r="M109" s="113"/>
      <c r="N109" s="38"/>
      <c r="O109" s="38"/>
      <c r="P109" s="38"/>
      <c r="Q109" s="38"/>
      <c r="R109" s="38"/>
    </row>
    <row r="110" spans="1:18" ht="12.75" customHeight="1" x14ac:dyDescent="0.2">
      <c r="A110" s="38"/>
      <c r="B110" s="47"/>
      <c r="C110" s="54"/>
      <c r="D110" s="104" t="s">
        <v>152</v>
      </c>
      <c r="E110" s="70">
        <v>1</v>
      </c>
      <c r="F110" s="70" t="s">
        <v>188</v>
      </c>
      <c r="G110" s="70">
        <v>4</v>
      </c>
      <c r="H110" s="101"/>
      <c r="I110" s="62">
        <f t="shared" si="35"/>
        <v>0</v>
      </c>
      <c r="J110" s="51"/>
      <c r="K110" s="39">
        <f t="shared" si="36"/>
        <v>20</v>
      </c>
      <c r="L110" s="90"/>
      <c r="M110" s="113"/>
      <c r="N110" s="38"/>
      <c r="O110" s="38"/>
      <c r="P110" s="38"/>
      <c r="Q110" s="38"/>
      <c r="R110" s="38"/>
    </row>
    <row r="111" spans="1:18" ht="12.75" customHeight="1" x14ac:dyDescent="0.2">
      <c r="A111" s="38"/>
      <c r="B111" s="47" t="s">
        <v>255</v>
      </c>
      <c r="C111" s="54"/>
      <c r="D111" s="115" t="s">
        <v>256</v>
      </c>
      <c r="E111" s="70"/>
      <c r="F111" s="70"/>
      <c r="G111" s="70"/>
      <c r="H111" s="101"/>
      <c r="I111" s="53">
        <f>SUBTOTAL(9,I112:I114)</f>
        <v>3000</v>
      </c>
      <c r="J111" s="51"/>
      <c r="K111" s="90"/>
      <c r="L111" s="90"/>
      <c r="M111" s="113"/>
      <c r="N111" s="38"/>
      <c r="O111" s="38"/>
      <c r="P111" s="38"/>
      <c r="Q111" s="38"/>
      <c r="R111" s="38"/>
    </row>
    <row r="112" spans="1:18" ht="12.75" customHeight="1" x14ac:dyDescent="0.2">
      <c r="A112" s="38"/>
      <c r="B112" s="47"/>
      <c r="C112" s="54" t="s">
        <v>257</v>
      </c>
      <c r="D112" s="87" t="s">
        <v>258</v>
      </c>
      <c r="E112" s="70">
        <v>1</v>
      </c>
      <c r="F112" s="60" t="s">
        <v>259</v>
      </c>
      <c r="G112" s="60">
        <v>1</v>
      </c>
      <c r="H112" s="62"/>
      <c r="I112" s="62">
        <f t="shared" ref="I112:I114" si="37">H112*G112*E112</f>
        <v>0</v>
      </c>
      <c r="J112" s="51"/>
      <c r="K112" s="39">
        <f t="shared" ref="K112:K114" si="38">G112*E112*5</f>
        <v>5</v>
      </c>
      <c r="L112" s="90"/>
      <c r="M112" s="113"/>
      <c r="N112" s="38"/>
      <c r="O112" s="38"/>
      <c r="P112" s="38"/>
      <c r="Q112" s="38"/>
      <c r="R112" s="38"/>
    </row>
    <row r="113" spans="1:18" ht="12.75" customHeight="1" x14ac:dyDescent="0.2">
      <c r="A113" s="38"/>
      <c r="B113" s="47"/>
      <c r="C113" s="54" t="s">
        <v>260</v>
      </c>
      <c r="D113" s="87" t="s">
        <v>261</v>
      </c>
      <c r="E113" s="70">
        <v>1</v>
      </c>
      <c r="F113" s="70" t="s">
        <v>188</v>
      </c>
      <c r="G113" s="60">
        <v>4</v>
      </c>
      <c r="H113" s="62">
        <v>500</v>
      </c>
      <c r="I113" s="62">
        <f t="shared" si="37"/>
        <v>2000</v>
      </c>
      <c r="J113" s="51"/>
      <c r="K113" s="39">
        <f t="shared" si="38"/>
        <v>20</v>
      </c>
      <c r="L113" s="90"/>
      <c r="M113" s="113"/>
      <c r="N113" s="38"/>
      <c r="O113" s="38"/>
      <c r="P113" s="38"/>
      <c r="Q113" s="38"/>
      <c r="R113" s="38"/>
    </row>
    <row r="114" spans="1:18" ht="12.75" customHeight="1" x14ac:dyDescent="0.2">
      <c r="A114" s="38"/>
      <c r="B114" s="47"/>
      <c r="C114" s="54"/>
      <c r="D114" s="59" t="s">
        <v>262</v>
      </c>
      <c r="E114" s="60">
        <v>1</v>
      </c>
      <c r="F114" s="70" t="s">
        <v>188</v>
      </c>
      <c r="G114" s="60">
        <v>4</v>
      </c>
      <c r="H114" s="62">
        <v>250</v>
      </c>
      <c r="I114" s="62">
        <f t="shared" si="37"/>
        <v>1000</v>
      </c>
      <c r="J114" s="51"/>
      <c r="K114" s="39">
        <f t="shared" si="38"/>
        <v>20</v>
      </c>
      <c r="L114" s="90"/>
      <c r="M114" s="113"/>
      <c r="N114" s="38"/>
      <c r="O114" s="38"/>
      <c r="P114" s="38"/>
      <c r="Q114" s="38"/>
      <c r="R114" s="38"/>
    </row>
    <row r="115" spans="1:18" ht="12.75" customHeight="1" x14ac:dyDescent="0.2">
      <c r="A115" s="38"/>
      <c r="B115" s="47" t="s">
        <v>263</v>
      </c>
      <c r="C115" s="54"/>
      <c r="D115" s="55" t="s">
        <v>162</v>
      </c>
      <c r="E115" s="60"/>
      <c r="F115" s="60"/>
      <c r="G115" s="60"/>
      <c r="H115" s="62"/>
      <c r="I115" s="53">
        <f>SUBTOTAL(9,I116)</f>
        <v>2000</v>
      </c>
      <c r="J115" s="51"/>
      <c r="K115" s="90"/>
      <c r="L115" s="90"/>
      <c r="M115" s="113"/>
      <c r="N115" s="38"/>
      <c r="O115" s="38"/>
      <c r="P115" s="38"/>
      <c r="Q115" s="38"/>
      <c r="R115" s="38"/>
    </row>
    <row r="116" spans="1:18" ht="12.75" customHeight="1" x14ac:dyDescent="0.2">
      <c r="A116" s="38"/>
      <c r="B116" s="47"/>
      <c r="C116" s="54" t="s">
        <v>264</v>
      </c>
      <c r="D116" s="102" t="s">
        <v>164</v>
      </c>
      <c r="E116" s="60">
        <v>1</v>
      </c>
      <c r="F116" s="60" t="s">
        <v>120</v>
      </c>
      <c r="G116" s="60">
        <v>1</v>
      </c>
      <c r="H116" s="67">
        <v>2000</v>
      </c>
      <c r="I116" s="62">
        <f>H116*G116*E116</f>
        <v>2000</v>
      </c>
      <c r="J116" s="93"/>
      <c r="K116" s="90"/>
      <c r="L116" s="90"/>
      <c r="M116" s="113"/>
      <c r="N116" s="38"/>
      <c r="O116" s="38"/>
      <c r="P116" s="38"/>
      <c r="Q116" s="38"/>
      <c r="R116" s="38"/>
    </row>
    <row r="117" spans="1:18" ht="12.75" customHeight="1" x14ac:dyDescent="0.2">
      <c r="A117" s="38"/>
      <c r="B117" s="47" t="s">
        <v>265</v>
      </c>
      <c r="C117" s="54"/>
      <c r="D117" s="115" t="s">
        <v>266</v>
      </c>
      <c r="E117" s="70"/>
      <c r="F117" s="70"/>
      <c r="G117" s="70"/>
      <c r="H117" s="105"/>
      <c r="I117" s="53">
        <f>SUBTOTAL(9,I118:I119)</f>
        <v>8000</v>
      </c>
      <c r="J117" s="51"/>
      <c r="K117" s="90"/>
      <c r="L117" s="90"/>
      <c r="M117" s="113"/>
      <c r="N117" s="38"/>
      <c r="O117" s="38"/>
      <c r="P117" s="38"/>
      <c r="Q117" s="38"/>
      <c r="R117" s="38"/>
    </row>
    <row r="118" spans="1:18" ht="12.75" customHeight="1" x14ac:dyDescent="0.2">
      <c r="A118" s="38"/>
      <c r="B118" s="47"/>
      <c r="C118" s="54" t="s">
        <v>267</v>
      </c>
      <c r="D118" s="104" t="s">
        <v>268</v>
      </c>
      <c r="E118" s="70">
        <v>2</v>
      </c>
      <c r="F118" s="70" t="s">
        <v>112</v>
      </c>
      <c r="G118" s="70">
        <v>1</v>
      </c>
      <c r="H118" s="105">
        <v>1500</v>
      </c>
      <c r="I118" s="105">
        <f t="shared" ref="I118:I119" si="39">H118*G118*E118</f>
        <v>3000</v>
      </c>
      <c r="J118" s="51"/>
      <c r="K118" s="39">
        <f>G118*E118*5</f>
        <v>10</v>
      </c>
      <c r="L118" s="90"/>
      <c r="M118" s="113"/>
      <c r="N118" s="38"/>
      <c r="O118" s="38"/>
      <c r="P118" s="38"/>
      <c r="Q118" s="38"/>
      <c r="R118" s="38"/>
    </row>
    <row r="119" spans="1:18" ht="12.75" customHeight="1" x14ac:dyDescent="0.2">
      <c r="A119" s="38"/>
      <c r="B119" s="47"/>
      <c r="C119" s="54"/>
      <c r="D119" s="104" t="s">
        <v>269</v>
      </c>
      <c r="E119" s="70">
        <v>2</v>
      </c>
      <c r="F119" s="70" t="s">
        <v>270</v>
      </c>
      <c r="G119" s="70">
        <v>1</v>
      </c>
      <c r="H119" s="105">
        <v>2500</v>
      </c>
      <c r="I119" s="105">
        <f t="shared" si="39"/>
        <v>5000</v>
      </c>
      <c r="J119" s="51"/>
      <c r="K119" s="39">
        <f>G119*E119</f>
        <v>2</v>
      </c>
      <c r="L119" s="90"/>
      <c r="M119" s="113"/>
      <c r="N119" s="38"/>
      <c r="O119" s="38"/>
      <c r="P119" s="38"/>
      <c r="Q119" s="38"/>
      <c r="R119" s="38"/>
    </row>
    <row r="120" spans="1:18" ht="12.75" customHeight="1" x14ac:dyDescent="0.2">
      <c r="A120" s="38"/>
      <c r="B120" s="47" t="s">
        <v>271</v>
      </c>
      <c r="C120" s="54"/>
      <c r="D120" s="115" t="s">
        <v>272</v>
      </c>
      <c r="E120" s="70"/>
      <c r="F120" s="70"/>
      <c r="G120" s="70"/>
      <c r="H120" s="105"/>
      <c r="I120" s="53">
        <f>SUBTOTAL(9,I121:I129)</f>
        <v>14500</v>
      </c>
      <c r="J120" s="51"/>
      <c r="K120" s="90"/>
      <c r="L120" s="90"/>
      <c r="M120" s="113"/>
      <c r="N120" s="38"/>
      <c r="O120" s="38"/>
      <c r="P120" s="38"/>
      <c r="Q120" s="38"/>
      <c r="R120" s="38"/>
    </row>
    <row r="121" spans="1:18" ht="12.75" customHeight="1" x14ac:dyDescent="0.2">
      <c r="A121" s="38"/>
      <c r="B121" s="47"/>
      <c r="C121" s="54" t="s">
        <v>273</v>
      </c>
      <c r="D121" s="104" t="s">
        <v>274</v>
      </c>
      <c r="E121" s="70">
        <v>1</v>
      </c>
      <c r="F121" s="70" t="s">
        <v>112</v>
      </c>
      <c r="G121" s="70">
        <v>1</v>
      </c>
      <c r="H121" s="105">
        <v>0</v>
      </c>
      <c r="I121" s="105">
        <f t="shared" ref="I121:I122" si="40">H121*G121*E121</f>
        <v>0</v>
      </c>
      <c r="J121" s="51"/>
      <c r="K121" s="90"/>
      <c r="L121" s="90"/>
      <c r="M121" s="113"/>
      <c r="N121" s="38"/>
      <c r="O121" s="38"/>
      <c r="P121" s="38"/>
      <c r="Q121" s="38"/>
      <c r="R121" s="38"/>
    </row>
    <row r="122" spans="1:18" ht="12.75" customHeight="1" x14ac:dyDescent="0.2">
      <c r="A122" s="38"/>
      <c r="B122" s="47"/>
      <c r="C122" s="54"/>
      <c r="D122" s="104" t="s">
        <v>275</v>
      </c>
      <c r="E122" s="70">
        <v>1</v>
      </c>
      <c r="F122" s="70" t="s">
        <v>186</v>
      </c>
      <c r="G122" s="70">
        <v>1</v>
      </c>
      <c r="H122" s="105">
        <v>0</v>
      </c>
      <c r="I122" s="105">
        <f t="shared" si="40"/>
        <v>0</v>
      </c>
      <c r="J122" s="51"/>
      <c r="K122" s="39"/>
      <c r="L122" s="90"/>
      <c r="M122" s="113"/>
      <c r="N122" s="38"/>
      <c r="O122" s="38"/>
      <c r="P122" s="38"/>
      <c r="Q122" s="38"/>
      <c r="R122" s="38"/>
    </row>
    <row r="123" spans="1:18" ht="12.75" customHeight="1" x14ac:dyDescent="0.2">
      <c r="A123" s="38"/>
      <c r="B123" s="47"/>
      <c r="C123" s="54"/>
      <c r="D123" s="104" t="s">
        <v>276</v>
      </c>
      <c r="E123" s="70"/>
      <c r="F123" s="70"/>
      <c r="G123" s="70"/>
      <c r="H123" s="61"/>
      <c r="I123" s="105"/>
      <c r="J123" s="51"/>
      <c r="K123" s="39"/>
      <c r="L123" s="90"/>
      <c r="M123" s="113"/>
      <c r="N123" s="38"/>
      <c r="O123" s="38"/>
      <c r="P123" s="38"/>
      <c r="Q123" s="38"/>
      <c r="R123" s="38"/>
    </row>
    <row r="124" spans="1:18" ht="12.75" customHeight="1" x14ac:dyDescent="0.2">
      <c r="A124" s="38"/>
      <c r="B124" s="47"/>
      <c r="C124" s="54" t="s">
        <v>277</v>
      </c>
      <c r="D124" s="104" t="s">
        <v>401</v>
      </c>
      <c r="E124" s="70">
        <v>1</v>
      </c>
      <c r="F124" s="70" t="s">
        <v>88</v>
      </c>
      <c r="G124" s="70">
        <v>1</v>
      </c>
      <c r="H124" s="105">
        <v>5500</v>
      </c>
      <c r="I124" s="105">
        <f t="shared" ref="I124:I129" si="41">H124*G124*E124</f>
        <v>5500</v>
      </c>
      <c r="J124" s="51"/>
      <c r="K124" s="39"/>
      <c r="L124" s="90"/>
      <c r="M124" s="113"/>
      <c r="N124" s="38"/>
      <c r="O124" s="38"/>
      <c r="P124" s="38"/>
      <c r="Q124" s="38"/>
      <c r="R124" s="38"/>
    </row>
    <row r="125" spans="1:18" ht="12.75" customHeight="1" x14ac:dyDescent="0.2">
      <c r="A125" s="38"/>
      <c r="B125" s="47"/>
      <c r="C125" s="54" t="s">
        <v>278</v>
      </c>
      <c r="D125" s="104" t="s">
        <v>279</v>
      </c>
      <c r="E125" s="70">
        <v>1</v>
      </c>
      <c r="F125" s="70" t="s">
        <v>112</v>
      </c>
      <c r="G125" s="70">
        <v>1</v>
      </c>
      <c r="H125" s="105">
        <v>0</v>
      </c>
      <c r="I125" s="105">
        <f t="shared" si="41"/>
        <v>0</v>
      </c>
      <c r="J125" s="51"/>
      <c r="K125" s="90"/>
      <c r="L125" s="90"/>
      <c r="M125" s="113"/>
      <c r="N125" s="38"/>
      <c r="O125" s="38"/>
      <c r="P125" s="38"/>
      <c r="Q125" s="38"/>
      <c r="R125" s="38"/>
    </row>
    <row r="126" spans="1:18" ht="12.75" customHeight="1" x14ac:dyDescent="0.2">
      <c r="A126" s="38"/>
      <c r="B126" s="47"/>
      <c r="C126" s="54"/>
      <c r="D126" s="104" t="s">
        <v>402</v>
      </c>
      <c r="E126" s="70">
        <v>1</v>
      </c>
      <c r="F126" s="70" t="s">
        <v>112</v>
      </c>
      <c r="G126" s="70">
        <v>1</v>
      </c>
      <c r="H126" s="105">
        <v>3000</v>
      </c>
      <c r="I126" s="105">
        <f t="shared" si="41"/>
        <v>3000</v>
      </c>
      <c r="J126" s="51"/>
      <c r="K126" s="39"/>
      <c r="L126" s="90"/>
      <c r="M126" s="113"/>
      <c r="N126" s="38"/>
      <c r="O126" s="38"/>
      <c r="P126" s="38"/>
      <c r="Q126" s="38"/>
      <c r="R126" s="38"/>
    </row>
    <row r="127" spans="1:18" ht="12.75" customHeight="1" x14ac:dyDescent="0.2">
      <c r="A127" s="38"/>
      <c r="B127" s="47"/>
      <c r="C127" s="54"/>
      <c r="D127" s="104" t="s">
        <v>280</v>
      </c>
      <c r="E127" s="70">
        <v>1</v>
      </c>
      <c r="F127" s="70" t="s">
        <v>112</v>
      </c>
      <c r="G127" s="70">
        <v>1</v>
      </c>
      <c r="H127" s="105">
        <v>2000</v>
      </c>
      <c r="I127" s="105">
        <f t="shared" si="41"/>
        <v>2000</v>
      </c>
      <c r="J127" s="51"/>
      <c r="K127" s="90"/>
      <c r="L127" s="90"/>
      <c r="M127" s="113"/>
      <c r="N127" s="38"/>
      <c r="O127" s="38"/>
      <c r="P127" s="38"/>
      <c r="Q127" s="38"/>
      <c r="R127" s="38"/>
    </row>
    <row r="128" spans="1:18" ht="12.75" customHeight="1" x14ac:dyDescent="0.2">
      <c r="A128" s="38"/>
      <c r="B128" s="47"/>
      <c r="C128" s="54"/>
      <c r="D128" s="104" t="s">
        <v>281</v>
      </c>
      <c r="E128" s="70">
        <v>1</v>
      </c>
      <c r="F128" s="70" t="s">
        <v>112</v>
      </c>
      <c r="G128" s="70">
        <v>1</v>
      </c>
      <c r="H128" s="105">
        <v>3000</v>
      </c>
      <c r="I128" s="105">
        <f t="shared" si="41"/>
        <v>3000</v>
      </c>
      <c r="J128" s="51"/>
      <c r="K128" s="90"/>
      <c r="L128" s="90"/>
      <c r="M128" s="113"/>
      <c r="N128" s="38"/>
      <c r="O128" s="38"/>
      <c r="P128" s="38"/>
      <c r="Q128" s="38"/>
      <c r="R128" s="38"/>
    </row>
    <row r="129" spans="1:18" ht="12.75" customHeight="1" x14ac:dyDescent="0.2">
      <c r="A129" s="38"/>
      <c r="B129" s="47"/>
      <c r="C129" s="54" t="s">
        <v>282</v>
      </c>
      <c r="D129" s="104" t="s">
        <v>283</v>
      </c>
      <c r="E129" s="70">
        <v>1</v>
      </c>
      <c r="F129" s="70" t="s">
        <v>188</v>
      </c>
      <c r="G129" s="70">
        <v>4</v>
      </c>
      <c r="H129" s="105">
        <v>250</v>
      </c>
      <c r="I129" s="105">
        <f t="shared" si="41"/>
        <v>1000</v>
      </c>
      <c r="J129" s="51"/>
      <c r="K129" s="90"/>
      <c r="L129" s="90"/>
      <c r="M129" s="113"/>
      <c r="N129" s="38"/>
      <c r="O129" s="38"/>
      <c r="P129" s="38"/>
      <c r="Q129" s="38"/>
      <c r="R129" s="38"/>
    </row>
    <row r="130" spans="1:18" ht="12.75" customHeight="1" x14ac:dyDescent="0.2">
      <c r="A130" s="38"/>
      <c r="B130" s="47" t="s">
        <v>284</v>
      </c>
      <c r="C130" s="54"/>
      <c r="D130" s="115" t="s">
        <v>285</v>
      </c>
      <c r="E130" s="70"/>
      <c r="F130" s="70"/>
      <c r="G130" s="70"/>
      <c r="H130" s="105"/>
      <c r="I130" s="53">
        <f>SUBTOTAL(9,I131)</f>
        <v>0</v>
      </c>
      <c r="J130" s="51"/>
      <c r="K130" s="90"/>
      <c r="L130" s="90"/>
      <c r="M130" s="113"/>
      <c r="N130" s="38"/>
      <c r="O130" s="38"/>
      <c r="P130" s="38"/>
      <c r="Q130" s="38"/>
      <c r="R130" s="38"/>
    </row>
    <row r="131" spans="1:18" ht="12.75" customHeight="1" x14ac:dyDescent="0.2">
      <c r="A131" s="38"/>
      <c r="B131" s="47"/>
      <c r="C131" s="54" t="s">
        <v>286</v>
      </c>
      <c r="D131" s="104" t="s">
        <v>287</v>
      </c>
      <c r="E131" s="70">
        <v>1</v>
      </c>
      <c r="F131" s="70" t="s">
        <v>132</v>
      </c>
      <c r="G131" s="70">
        <v>1</v>
      </c>
      <c r="H131" s="105">
        <v>0</v>
      </c>
      <c r="I131" s="105">
        <f>H131*G131*E131</f>
        <v>0</v>
      </c>
      <c r="J131" s="51"/>
      <c r="K131" s="90"/>
      <c r="L131" s="90"/>
      <c r="M131" s="113"/>
      <c r="N131" s="38"/>
      <c r="O131" s="38"/>
      <c r="P131" s="38"/>
      <c r="Q131" s="38"/>
      <c r="R131" s="38"/>
    </row>
    <row r="132" spans="1:18" ht="12.75" customHeight="1" x14ac:dyDescent="0.2">
      <c r="A132" s="38"/>
      <c r="B132" s="47" t="s">
        <v>288</v>
      </c>
      <c r="C132" s="54"/>
      <c r="D132" s="115" t="s">
        <v>289</v>
      </c>
      <c r="E132" s="70"/>
      <c r="F132" s="70"/>
      <c r="G132" s="70"/>
      <c r="H132" s="105"/>
      <c r="I132" s="53">
        <f>SUBTOTAL(9,I133)</f>
        <v>0</v>
      </c>
      <c r="J132" s="51"/>
      <c r="K132" s="90"/>
      <c r="L132" s="90"/>
      <c r="M132" s="113"/>
      <c r="N132" s="38"/>
      <c r="O132" s="38"/>
      <c r="P132" s="38"/>
      <c r="Q132" s="38"/>
      <c r="R132" s="38"/>
    </row>
    <row r="133" spans="1:18" ht="12.75" customHeight="1" x14ac:dyDescent="0.2">
      <c r="A133" s="38"/>
      <c r="B133" s="47"/>
      <c r="C133" s="54" t="s">
        <v>290</v>
      </c>
      <c r="D133" s="104" t="s">
        <v>289</v>
      </c>
      <c r="E133" s="70">
        <v>1</v>
      </c>
      <c r="F133" s="70" t="s">
        <v>132</v>
      </c>
      <c r="G133" s="70">
        <v>1</v>
      </c>
      <c r="H133" s="105">
        <v>0</v>
      </c>
      <c r="I133" s="105">
        <f>H133*G133*E133</f>
        <v>0</v>
      </c>
      <c r="J133" s="51"/>
      <c r="K133" s="90"/>
      <c r="L133" s="90"/>
      <c r="M133" s="113"/>
      <c r="N133" s="38"/>
      <c r="O133" s="38"/>
      <c r="P133" s="38"/>
      <c r="Q133" s="38"/>
      <c r="R133" s="38"/>
    </row>
    <row r="134" spans="1:18" ht="12.75" customHeight="1" x14ac:dyDescent="0.2">
      <c r="A134" s="38"/>
      <c r="B134" s="47" t="s">
        <v>291</v>
      </c>
      <c r="C134" s="54"/>
      <c r="D134" s="115" t="s">
        <v>292</v>
      </c>
      <c r="E134" s="70"/>
      <c r="F134" s="70"/>
      <c r="G134" s="70"/>
      <c r="H134" s="105"/>
      <c r="I134" s="53">
        <f>SUBTOTAL(9,I135:I137)</f>
        <v>3500</v>
      </c>
      <c r="J134" s="51"/>
      <c r="K134" s="39"/>
      <c r="L134" s="39"/>
      <c r="M134" s="38"/>
      <c r="N134" s="38"/>
      <c r="O134" s="38"/>
      <c r="P134" s="38"/>
      <c r="Q134" s="38"/>
      <c r="R134" s="38"/>
    </row>
    <row r="135" spans="1:18" ht="12.75" customHeight="1" x14ac:dyDescent="0.2">
      <c r="A135" s="38"/>
      <c r="B135" s="47"/>
      <c r="C135" s="54" t="s">
        <v>293</v>
      </c>
      <c r="D135" s="104" t="s">
        <v>294</v>
      </c>
      <c r="E135" s="70">
        <v>1</v>
      </c>
      <c r="F135" s="70" t="s">
        <v>132</v>
      </c>
      <c r="G135" s="70">
        <v>1</v>
      </c>
      <c r="H135" s="105">
        <v>500</v>
      </c>
      <c r="I135" s="105">
        <f t="shared" ref="I135:I137" si="42">H135*G135*E135</f>
        <v>500</v>
      </c>
      <c r="J135" s="51"/>
      <c r="K135" s="39"/>
      <c r="L135" s="39"/>
      <c r="M135" s="38"/>
      <c r="N135" s="38"/>
      <c r="O135" s="38"/>
      <c r="P135" s="38"/>
      <c r="Q135" s="38"/>
      <c r="R135" s="38"/>
    </row>
    <row r="136" spans="1:18" ht="12.75" customHeight="1" x14ac:dyDescent="0.2">
      <c r="A136" s="38"/>
      <c r="B136" s="47"/>
      <c r="C136" s="54"/>
      <c r="D136" s="104" t="s">
        <v>295</v>
      </c>
      <c r="E136" s="70">
        <v>1</v>
      </c>
      <c r="F136" s="70" t="s">
        <v>132</v>
      </c>
      <c r="G136" s="70">
        <v>1</v>
      </c>
      <c r="H136" s="105">
        <v>2500</v>
      </c>
      <c r="I136" s="105">
        <f t="shared" si="42"/>
        <v>2500</v>
      </c>
      <c r="J136" s="51"/>
      <c r="K136" s="39"/>
      <c r="L136" s="39"/>
      <c r="M136" s="38"/>
      <c r="N136" s="38"/>
      <c r="O136" s="38"/>
      <c r="P136" s="38"/>
      <c r="Q136" s="38"/>
      <c r="R136" s="38"/>
    </row>
    <row r="137" spans="1:18" ht="12.75" customHeight="1" x14ac:dyDescent="0.2">
      <c r="A137" s="38"/>
      <c r="B137" s="47"/>
      <c r="C137" s="54" t="s">
        <v>296</v>
      </c>
      <c r="D137" s="104" t="s">
        <v>297</v>
      </c>
      <c r="E137" s="70">
        <v>1</v>
      </c>
      <c r="F137" s="70" t="s">
        <v>132</v>
      </c>
      <c r="G137" s="70">
        <v>1</v>
      </c>
      <c r="H137" s="105">
        <v>500</v>
      </c>
      <c r="I137" s="105">
        <f t="shared" si="42"/>
        <v>500</v>
      </c>
      <c r="J137" s="51"/>
      <c r="K137" s="39"/>
      <c r="L137" s="39"/>
      <c r="M137" s="38"/>
      <c r="N137" s="38"/>
      <c r="O137" s="38"/>
      <c r="P137" s="38"/>
      <c r="Q137" s="38"/>
      <c r="R137" s="38"/>
    </row>
    <row r="138" spans="1:18" ht="12.75" customHeight="1" x14ac:dyDescent="0.2">
      <c r="A138" s="38"/>
      <c r="B138" s="47" t="s">
        <v>298</v>
      </c>
      <c r="C138" s="54"/>
      <c r="D138" s="115" t="s">
        <v>299</v>
      </c>
      <c r="E138" s="70"/>
      <c r="F138" s="70"/>
      <c r="G138" s="70"/>
      <c r="H138" s="105"/>
      <c r="I138" s="53">
        <f>SUBTOTAL(9,I139:I140)</f>
        <v>1500</v>
      </c>
      <c r="J138" s="51"/>
      <c r="K138" s="39"/>
      <c r="L138" s="39"/>
      <c r="M138" s="38"/>
      <c r="N138" s="38"/>
      <c r="O138" s="38"/>
      <c r="P138" s="38"/>
      <c r="Q138" s="38"/>
      <c r="R138" s="38"/>
    </row>
    <row r="139" spans="1:18" ht="12.75" customHeight="1" x14ac:dyDescent="0.2">
      <c r="A139" s="38"/>
      <c r="B139" s="47"/>
      <c r="C139" s="54" t="s">
        <v>300</v>
      </c>
      <c r="D139" s="104" t="s">
        <v>301</v>
      </c>
      <c r="E139" s="70">
        <v>1</v>
      </c>
      <c r="F139" s="70" t="s">
        <v>132</v>
      </c>
      <c r="G139" s="70">
        <v>1</v>
      </c>
      <c r="H139" s="105">
        <v>1000</v>
      </c>
      <c r="I139" s="105">
        <f t="shared" ref="I139:I140" si="43">H139*G139*E139</f>
        <v>1000</v>
      </c>
      <c r="J139" s="51"/>
      <c r="K139" s="39"/>
      <c r="L139" s="39"/>
      <c r="M139" s="38"/>
      <c r="N139" s="38"/>
      <c r="O139" s="38"/>
      <c r="P139" s="38"/>
      <c r="Q139" s="38"/>
      <c r="R139" s="38"/>
    </row>
    <row r="140" spans="1:18" ht="12.75" customHeight="1" x14ac:dyDescent="0.2">
      <c r="A140" s="38"/>
      <c r="B140" s="47"/>
      <c r="C140" s="54" t="s">
        <v>302</v>
      </c>
      <c r="D140" s="104" t="s">
        <v>303</v>
      </c>
      <c r="E140" s="70">
        <v>1</v>
      </c>
      <c r="F140" s="70" t="s">
        <v>132</v>
      </c>
      <c r="G140" s="70">
        <v>1</v>
      </c>
      <c r="H140" s="105">
        <v>500</v>
      </c>
      <c r="I140" s="105">
        <f t="shared" si="43"/>
        <v>500</v>
      </c>
      <c r="J140" s="51"/>
      <c r="K140" s="39"/>
      <c r="L140" s="39"/>
      <c r="M140" s="38"/>
      <c r="N140" s="38"/>
      <c r="O140" s="38"/>
      <c r="P140" s="38"/>
      <c r="Q140" s="38"/>
      <c r="R140" s="38"/>
    </row>
    <row r="141" spans="1:18" ht="12.75" customHeight="1" x14ac:dyDescent="0.2">
      <c r="A141" s="116"/>
      <c r="B141" s="117" t="s">
        <v>304</v>
      </c>
      <c r="C141" s="118"/>
      <c r="D141" s="119" t="s">
        <v>305</v>
      </c>
      <c r="E141" s="120"/>
      <c r="F141" s="120"/>
      <c r="G141" s="120"/>
      <c r="H141" s="101"/>
      <c r="I141" s="121">
        <f>SUBTOTAL(9,I142)</f>
        <v>500</v>
      </c>
      <c r="J141" s="122"/>
      <c r="K141" s="123"/>
      <c r="L141" s="123"/>
      <c r="M141" s="116"/>
      <c r="N141" s="116"/>
      <c r="O141" s="116"/>
      <c r="P141" s="116"/>
      <c r="Q141" s="116"/>
      <c r="R141" s="116"/>
    </row>
    <row r="142" spans="1:18" ht="12.75" customHeight="1" x14ac:dyDescent="0.2">
      <c r="A142" s="38"/>
      <c r="B142" s="47"/>
      <c r="C142" s="54" t="s">
        <v>306</v>
      </c>
      <c r="D142" s="104" t="s">
        <v>307</v>
      </c>
      <c r="E142" s="70">
        <v>1</v>
      </c>
      <c r="F142" s="70" t="s">
        <v>132</v>
      </c>
      <c r="G142" s="70">
        <v>1</v>
      </c>
      <c r="H142" s="105">
        <v>500</v>
      </c>
      <c r="I142" s="105">
        <f>H142*G142*E142</f>
        <v>500</v>
      </c>
      <c r="J142" s="51"/>
      <c r="K142" s="39"/>
      <c r="L142" s="39"/>
      <c r="M142" s="38"/>
      <c r="N142" s="38"/>
      <c r="O142" s="38"/>
      <c r="P142" s="38"/>
      <c r="Q142" s="38"/>
      <c r="R142" s="38"/>
    </row>
    <row r="143" spans="1:18" ht="12.75" customHeight="1" x14ac:dyDescent="0.2">
      <c r="A143" s="38"/>
      <c r="B143" s="47" t="s">
        <v>308</v>
      </c>
      <c r="C143" s="54"/>
      <c r="D143" s="115" t="s">
        <v>166</v>
      </c>
      <c r="E143" s="70"/>
      <c r="F143" s="70"/>
      <c r="G143" s="70"/>
      <c r="H143" s="105"/>
      <c r="I143" s="53">
        <f>SUBTOTAL(9,I144:I148)</f>
        <v>4710</v>
      </c>
      <c r="J143" s="51"/>
      <c r="K143" s="39"/>
      <c r="L143" s="39"/>
      <c r="M143" s="38"/>
      <c r="N143" s="38"/>
      <c r="O143" s="38"/>
      <c r="P143" s="38"/>
      <c r="Q143" s="38"/>
      <c r="R143" s="38"/>
    </row>
    <row r="144" spans="1:18" ht="12.75" customHeight="1" x14ac:dyDescent="0.2">
      <c r="A144" s="38"/>
      <c r="B144" s="47"/>
      <c r="C144" s="54" t="s">
        <v>309</v>
      </c>
      <c r="D144" s="104" t="s">
        <v>310</v>
      </c>
      <c r="E144" s="70">
        <v>1</v>
      </c>
      <c r="F144" s="70" t="s">
        <v>93</v>
      </c>
      <c r="G144" s="70">
        <v>1</v>
      </c>
      <c r="H144" s="105">
        <v>600</v>
      </c>
      <c r="I144" s="105">
        <f t="shared" ref="I144:I146" si="44">H144*G144*E144</f>
        <v>600</v>
      </c>
      <c r="J144" s="51"/>
      <c r="K144" s="39"/>
      <c r="L144" s="39"/>
      <c r="M144" s="38"/>
      <c r="N144" s="38"/>
      <c r="O144" s="38"/>
      <c r="P144" s="38"/>
      <c r="Q144" s="38"/>
      <c r="R144" s="38"/>
    </row>
    <row r="145" spans="1:18" ht="12.75" customHeight="1" x14ac:dyDescent="0.2">
      <c r="A145" s="38"/>
      <c r="B145" s="47"/>
      <c r="C145" s="54" t="s">
        <v>311</v>
      </c>
      <c r="D145" s="104" t="s">
        <v>206</v>
      </c>
      <c r="E145" s="70">
        <v>1</v>
      </c>
      <c r="F145" s="70" t="s">
        <v>93</v>
      </c>
      <c r="G145" s="70">
        <v>1</v>
      </c>
      <c r="H145" s="105">
        <v>1000</v>
      </c>
      <c r="I145" s="105">
        <f t="shared" si="44"/>
        <v>1000</v>
      </c>
      <c r="J145" s="51"/>
      <c r="K145" s="39">
        <f>G145*E145*5</f>
        <v>5</v>
      </c>
      <c r="L145" s="39"/>
      <c r="M145" s="38"/>
      <c r="N145" s="38"/>
      <c r="O145" s="38"/>
      <c r="P145" s="38"/>
      <c r="Q145" s="38"/>
      <c r="R145" s="38"/>
    </row>
    <row r="146" spans="1:18" ht="12.75" customHeight="1" x14ac:dyDescent="0.2">
      <c r="A146" s="38"/>
      <c r="B146" s="47"/>
      <c r="C146" s="54" t="s">
        <v>312</v>
      </c>
      <c r="D146" s="104" t="s">
        <v>313</v>
      </c>
      <c r="E146" s="70">
        <v>1</v>
      </c>
      <c r="F146" s="70" t="s">
        <v>93</v>
      </c>
      <c r="G146" s="70">
        <v>2</v>
      </c>
      <c r="H146" s="105">
        <v>500</v>
      </c>
      <c r="I146" s="105">
        <f t="shared" si="44"/>
        <v>1000</v>
      </c>
      <c r="J146" s="51"/>
      <c r="K146" s="39"/>
      <c r="L146" s="39"/>
      <c r="M146" s="38"/>
      <c r="N146" s="38"/>
      <c r="O146" s="38"/>
      <c r="P146" s="38"/>
      <c r="Q146" s="38"/>
      <c r="R146" s="38"/>
    </row>
    <row r="147" spans="1:18" ht="12.75" customHeight="1" x14ac:dyDescent="0.2">
      <c r="A147" s="38"/>
      <c r="B147" s="47"/>
      <c r="C147" s="54" t="s">
        <v>314</v>
      </c>
      <c r="D147" s="104" t="s">
        <v>315</v>
      </c>
      <c r="E147" s="70">
        <v>22</v>
      </c>
      <c r="F147" s="70" t="s">
        <v>188</v>
      </c>
      <c r="G147" s="70">
        <v>4</v>
      </c>
      <c r="H147" s="105">
        <v>20</v>
      </c>
      <c r="I147" s="103">
        <f t="shared" ref="I147:I148" si="45">E147*G147*H147</f>
        <v>1760</v>
      </c>
      <c r="J147" s="51"/>
      <c r="K147" s="39" t="s">
        <v>316</v>
      </c>
      <c r="L147" s="39"/>
      <c r="M147" s="38"/>
      <c r="N147" s="38"/>
      <c r="O147" s="38"/>
      <c r="P147" s="38"/>
      <c r="Q147" s="38"/>
      <c r="R147" s="38"/>
    </row>
    <row r="148" spans="1:18" ht="12.75" customHeight="1" x14ac:dyDescent="0.2">
      <c r="A148" s="38"/>
      <c r="B148" s="47"/>
      <c r="C148" s="54" t="s">
        <v>317</v>
      </c>
      <c r="D148" s="87" t="s">
        <v>318</v>
      </c>
      <c r="E148" s="70">
        <v>1</v>
      </c>
      <c r="F148" s="104" t="s">
        <v>132</v>
      </c>
      <c r="G148" s="70">
        <v>1</v>
      </c>
      <c r="H148" s="105">
        <v>350</v>
      </c>
      <c r="I148" s="103">
        <f t="shared" si="45"/>
        <v>350</v>
      </c>
      <c r="J148" s="51"/>
      <c r="L148" s="39"/>
      <c r="M148" s="38"/>
      <c r="N148" s="38"/>
      <c r="O148" s="38"/>
      <c r="P148" s="38"/>
      <c r="Q148" s="38"/>
      <c r="R148" s="38"/>
    </row>
    <row r="149" spans="1:18" ht="12.75" customHeight="1" x14ac:dyDescent="0.2">
      <c r="A149" s="38"/>
      <c r="B149" s="47" t="s">
        <v>304</v>
      </c>
      <c r="C149" s="54"/>
      <c r="D149" s="94" t="s">
        <v>73</v>
      </c>
      <c r="E149" s="70"/>
      <c r="F149" s="104"/>
      <c r="G149" s="70"/>
      <c r="H149" s="105"/>
      <c r="I149" s="53">
        <f>SUBTOTAL(9,I150:I151)</f>
        <v>6500</v>
      </c>
      <c r="J149" s="51"/>
      <c r="K149" s="39"/>
      <c r="L149" s="39"/>
      <c r="M149" s="38"/>
      <c r="N149" s="38"/>
      <c r="O149" s="38"/>
      <c r="P149" s="38"/>
      <c r="Q149" s="38"/>
      <c r="R149" s="38"/>
    </row>
    <row r="150" spans="1:18" ht="12.75" customHeight="1" x14ac:dyDescent="0.2">
      <c r="A150" s="38"/>
      <c r="B150" s="47"/>
      <c r="C150" s="54" t="s">
        <v>306</v>
      </c>
      <c r="D150" s="106" t="s">
        <v>319</v>
      </c>
      <c r="E150" s="70">
        <v>1</v>
      </c>
      <c r="F150" s="70" t="s">
        <v>194</v>
      </c>
      <c r="G150" s="70">
        <v>150</v>
      </c>
      <c r="H150" s="105">
        <v>40</v>
      </c>
      <c r="I150" s="101">
        <f t="shared" ref="I150:I151" si="46">H150*G150*E150</f>
        <v>6000</v>
      </c>
      <c r="J150" s="51"/>
      <c r="K150" s="124" t="s">
        <v>320</v>
      </c>
      <c r="L150" s="39" t="s">
        <v>321</v>
      </c>
      <c r="M150" s="38"/>
      <c r="N150" s="38"/>
      <c r="O150" s="38"/>
      <c r="P150" s="38"/>
      <c r="Q150" s="38"/>
      <c r="R150" s="38"/>
    </row>
    <row r="151" spans="1:18" ht="12.75" customHeight="1" x14ac:dyDescent="0.2">
      <c r="A151" s="38"/>
      <c r="B151" s="47"/>
      <c r="C151" s="54" t="s">
        <v>322</v>
      </c>
      <c r="D151" s="106" t="s">
        <v>323</v>
      </c>
      <c r="E151" s="70">
        <v>1</v>
      </c>
      <c r="F151" s="70" t="s">
        <v>132</v>
      </c>
      <c r="G151" s="70">
        <v>1</v>
      </c>
      <c r="H151" s="105">
        <v>500</v>
      </c>
      <c r="I151" s="101">
        <f t="shared" si="46"/>
        <v>500</v>
      </c>
      <c r="J151" s="51"/>
      <c r="K151" s="39"/>
      <c r="L151" s="39"/>
      <c r="M151" s="38"/>
      <c r="N151" s="38"/>
      <c r="O151" s="38"/>
      <c r="P151" s="38"/>
      <c r="Q151" s="38"/>
      <c r="R151" s="38"/>
    </row>
    <row r="152" spans="1:18" ht="12.75" customHeight="1" x14ac:dyDescent="0.2">
      <c r="A152" s="38"/>
      <c r="B152" s="47" t="s">
        <v>308</v>
      </c>
      <c r="C152" s="54"/>
      <c r="D152" s="94" t="s">
        <v>183</v>
      </c>
      <c r="E152" s="70"/>
      <c r="F152" s="104"/>
      <c r="G152" s="70"/>
      <c r="H152" s="105"/>
      <c r="I152" s="53">
        <f>SUBTOTAL(9,I153:I157)</f>
        <v>5650</v>
      </c>
      <c r="J152" s="51"/>
      <c r="K152" s="39"/>
      <c r="L152" s="39"/>
      <c r="M152" s="38"/>
      <c r="N152" s="38"/>
      <c r="O152" s="38"/>
      <c r="P152" s="38"/>
      <c r="Q152" s="38"/>
      <c r="R152" s="38"/>
    </row>
    <row r="153" spans="1:18" ht="12.75" customHeight="1" x14ac:dyDescent="0.2">
      <c r="A153" s="125"/>
      <c r="B153" s="47"/>
      <c r="C153" s="126"/>
      <c r="D153" s="127" t="s">
        <v>185</v>
      </c>
      <c r="E153" s="128"/>
      <c r="F153" s="92"/>
      <c r="G153" s="128"/>
      <c r="H153" s="61"/>
      <c r="I153" s="88">
        <f t="shared" ref="I153:I157" si="47">H153*G153*E153</f>
        <v>0</v>
      </c>
      <c r="J153" s="129"/>
      <c r="K153" s="124"/>
      <c r="L153" s="124"/>
      <c r="M153" s="125"/>
      <c r="N153" s="125"/>
      <c r="O153" s="125"/>
      <c r="P153" s="125"/>
      <c r="Q153" s="125"/>
      <c r="R153" s="125"/>
    </row>
    <row r="154" spans="1:18" ht="12.75" customHeight="1" x14ac:dyDescent="0.2">
      <c r="A154" s="38"/>
      <c r="B154" s="47"/>
      <c r="C154" s="54" t="s">
        <v>309</v>
      </c>
      <c r="D154" s="87" t="s">
        <v>324</v>
      </c>
      <c r="E154" s="107">
        <v>1</v>
      </c>
      <c r="F154" s="70" t="s">
        <v>93</v>
      </c>
      <c r="G154" s="130">
        <v>1</v>
      </c>
      <c r="H154" s="105"/>
      <c r="I154" s="101">
        <f t="shared" si="47"/>
        <v>0</v>
      </c>
      <c r="J154" s="51"/>
      <c r="K154" s="39"/>
      <c r="L154" s="39"/>
      <c r="M154" s="38"/>
      <c r="N154" s="38"/>
      <c r="O154" s="38"/>
      <c r="P154" s="38"/>
      <c r="Q154" s="38"/>
      <c r="R154" s="38"/>
    </row>
    <row r="155" spans="1:18" ht="12.75" customHeight="1" x14ac:dyDescent="0.2">
      <c r="A155" s="38"/>
      <c r="B155" s="47"/>
      <c r="C155" s="54" t="s">
        <v>311</v>
      </c>
      <c r="D155" s="87" t="s">
        <v>403</v>
      </c>
      <c r="E155" s="107">
        <v>1</v>
      </c>
      <c r="F155" s="70" t="s">
        <v>186</v>
      </c>
      <c r="G155" s="107">
        <v>2</v>
      </c>
      <c r="H155" s="105">
        <v>1000</v>
      </c>
      <c r="I155" s="101">
        <f t="shared" si="47"/>
        <v>2000</v>
      </c>
      <c r="J155" s="51"/>
      <c r="K155" s="39"/>
      <c r="L155" s="39"/>
      <c r="M155" s="38"/>
      <c r="N155" s="38"/>
      <c r="O155" s="38"/>
      <c r="P155" s="38"/>
      <c r="Q155" s="38"/>
      <c r="R155" s="38"/>
    </row>
    <row r="156" spans="1:18" ht="12.75" customHeight="1" x14ac:dyDescent="0.2">
      <c r="A156" s="38"/>
      <c r="B156" s="47"/>
      <c r="C156" s="54"/>
      <c r="D156" s="87" t="s">
        <v>325</v>
      </c>
      <c r="E156" s="107">
        <v>1</v>
      </c>
      <c r="F156" s="70" t="s">
        <v>93</v>
      </c>
      <c r="G156" s="130">
        <v>0.5</v>
      </c>
      <c r="H156" s="105">
        <v>2500</v>
      </c>
      <c r="I156" s="101">
        <f t="shared" si="47"/>
        <v>1250</v>
      </c>
      <c r="J156" s="51"/>
      <c r="K156" s="39"/>
      <c r="L156" s="39"/>
      <c r="M156" s="38"/>
      <c r="N156" s="38"/>
      <c r="O156" s="38"/>
      <c r="P156" s="38"/>
      <c r="Q156" s="38"/>
      <c r="R156" s="38"/>
    </row>
    <row r="157" spans="1:18" ht="12.75" customHeight="1" x14ac:dyDescent="0.2">
      <c r="A157" s="38"/>
      <c r="B157" s="47"/>
      <c r="C157" s="54" t="s">
        <v>312</v>
      </c>
      <c r="D157" s="87" t="s">
        <v>326</v>
      </c>
      <c r="E157" s="107">
        <v>1</v>
      </c>
      <c r="F157" s="70" t="s">
        <v>186</v>
      </c>
      <c r="G157" s="107">
        <v>2</v>
      </c>
      <c r="H157" s="61">
        <v>1200</v>
      </c>
      <c r="I157" s="101">
        <f t="shared" si="47"/>
        <v>2400</v>
      </c>
      <c r="J157" s="51"/>
      <c r="K157" s="39"/>
      <c r="L157" s="39"/>
      <c r="M157" s="38"/>
      <c r="N157" s="38"/>
      <c r="O157" s="38"/>
      <c r="P157" s="38"/>
      <c r="Q157" s="38"/>
      <c r="R157" s="38"/>
    </row>
    <row r="158" spans="1:18" ht="12.75" customHeight="1" x14ac:dyDescent="0.2">
      <c r="A158" s="38"/>
      <c r="B158" s="47"/>
      <c r="C158" s="54"/>
      <c r="D158" s="94" t="s">
        <v>327</v>
      </c>
      <c r="E158" s="70"/>
      <c r="F158" s="104"/>
      <c r="G158" s="70"/>
      <c r="H158" s="105"/>
      <c r="I158" s="53">
        <f>SUBTOTAL(9,I159)</f>
        <v>2600</v>
      </c>
      <c r="J158" s="51"/>
      <c r="K158" s="39"/>
      <c r="L158" s="39"/>
      <c r="M158" s="38"/>
      <c r="N158" s="38"/>
      <c r="O158" s="38"/>
      <c r="P158" s="38"/>
      <c r="Q158" s="38"/>
      <c r="R158" s="38"/>
    </row>
    <row r="159" spans="1:18" ht="12.75" customHeight="1" x14ac:dyDescent="0.2">
      <c r="A159" s="38"/>
      <c r="B159" s="47"/>
      <c r="C159" s="54" t="s">
        <v>328</v>
      </c>
      <c r="D159" s="87" t="s">
        <v>329</v>
      </c>
      <c r="E159" s="107">
        <v>1</v>
      </c>
      <c r="F159" s="70" t="s">
        <v>188</v>
      </c>
      <c r="G159" s="107">
        <v>2</v>
      </c>
      <c r="H159" s="105">
        <v>1300</v>
      </c>
      <c r="I159" s="101">
        <f>H159*G159*E159</f>
        <v>2600</v>
      </c>
      <c r="J159" s="51"/>
      <c r="K159" s="39"/>
      <c r="L159" s="39"/>
      <c r="M159" s="38"/>
      <c r="N159" s="38"/>
      <c r="O159" s="38"/>
      <c r="P159" s="38"/>
      <c r="Q159" s="38"/>
      <c r="R159" s="38"/>
    </row>
    <row r="160" spans="1:18" ht="12.75" customHeight="1" x14ac:dyDescent="0.2">
      <c r="A160" s="38"/>
      <c r="B160" s="47"/>
      <c r="C160" s="54"/>
      <c r="D160" s="94" t="s">
        <v>192</v>
      </c>
      <c r="E160" s="107"/>
      <c r="F160" s="70"/>
      <c r="G160" s="107"/>
      <c r="H160" s="105"/>
      <c r="I160" s="53">
        <f>SUBTOTAL(9,I161:I165)</f>
        <v>4350</v>
      </c>
      <c r="J160" s="51"/>
      <c r="K160" s="39"/>
      <c r="L160" s="39"/>
      <c r="M160" s="38"/>
      <c r="N160" s="38"/>
      <c r="O160" s="38"/>
      <c r="P160" s="38"/>
      <c r="Q160" s="38"/>
      <c r="R160" s="38"/>
    </row>
    <row r="161" spans="1:18" ht="12.75" customHeight="1" x14ac:dyDescent="0.2">
      <c r="A161" s="38"/>
      <c r="B161" s="47"/>
      <c r="C161" s="54" t="s">
        <v>330</v>
      </c>
      <c r="D161" s="87" t="s">
        <v>331</v>
      </c>
      <c r="E161" s="107">
        <v>1</v>
      </c>
      <c r="F161" s="70" t="s">
        <v>194</v>
      </c>
      <c r="G161" s="107">
        <v>22</v>
      </c>
      <c r="H161" s="105">
        <v>100</v>
      </c>
      <c r="I161" s="101">
        <f t="shared" ref="I161:I162" si="48">H161*G161*E161</f>
        <v>2200</v>
      </c>
      <c r="J161" s="51"/>
      <c r="K161" s="39"/>
      <c r="L161" s="39"/>
      <c r="M161" s="38"/>
      <c r="N161" s="38"/>
      <c r="O161" s="38"/>
      <c r="P161" s="38"/>
      <c r="Q161" s="38"/>
      <c r="R161" s="38"/>
    </row>
    <row r="162" spans="1:18" ht="12.75" customHeight="1" x14ac:dyDescent="0.2">
      <c r="A162" s="38"/>
      <c r="B162" s="47"/>
      <c r="C162" s="54" t="s">
        <v>332</v>
      </c>
      <c r="D162" s="87" t="s">
        <v>333</v>
      </c>
      <c r="E162" s="107">
        <v>1</v>
      </c>
      <c r="F162" s="70" t="s">
        <v>93</v>
      </c>
      <c r="G162" s="107">
        <v>1</v>
      </c>
      <c r="H162" s="105">
        <v>500</v>
      </c>
      <c r="I162" s="101">
        <f t="shared" si="48"/>
        <v>500</v>
      </c>
      <c r="J162" s="51"/>
      <c r="K162" s="39"/>
      <c r="L162" s="39"/>
      <c r="M162" s="38"/>
      <c r="N162" s="38"/>
      <c r="O162" s="38"/>
      <c r="P162" s="38"/>
      <c r="Q162" s="38"/>
      <c r="R162" s="38"/>
    </row>
    <row r="163" spans="1:18" ht="12.75" customHeight="1" x14ac:dyDescent="0.2">
      <c r="A163" s="38"/>
      <c r="B163" s="47"/>
      <c r="C163" s="54" t="s">
        <v>334</v>
      </c>
      <c r="D163" s="87" t="s">
        <v>335</v>
      </c>
      <c r="E163" s="107">
        <v>5</v>
      </c>
      <c r="F163" s="70" t="s">
        <v>194</v>
      </c>
      <c r="G163" s="107">
        <v>1</v>
      </c>
      <c r="H163" s="105">
        <v>40</v>
      </c>
      <c r="I163" s="103">
        <f>E163*G163*H163</f>
        <v>200</v>
      </c>
      <c r="J163" s="51"/>
      <c r="K163" s="39"/>
      <c r="L163" s="39"/>
      <c r="M163" s="38"/>
      <c r="N163" s="38"/>
      <c r="O163" s="38"/>
      <c r="P163" s="38"/>
      <c r="Q163" s="38"/>
      <c r="R163" s="38"/>
    </row>
    <row r="164" spans="1:18" ht="12.75" customHeight="1" x14ac:dyDescent="0.2">
      <c r="A164" s="38"/>
      <c r="B164" s="47"/>
      <c r="C164" s="54" t="s">
        <v>336</v>
      </c>
      <c r="D164" s="87" t="s">
        <v>200</v>
      </c>
      <c r="E164" s="107">
        <v>1</v>
      </c>
      <c r="F164" s="70" t="s">
        <v>132</v>
      </c>
      <c r="G164" s="107">
        <v>1</v>
      </c>
      <c r="H164" s="105">
        <v>200</v>
      </c>
      <c r="I164" s="101">
        <f t="shared" ref="I164:I165" si="49">H164*G164*E164</f>
        <v>200</v>
      </c>
      <c r="J164" s="51"/>
      <c r="K164" s="39"/>
      <c r="L164" s="39"/>
      <c r="M164" s="38"/>
      <c r="N164" s="38"/>
      <c r="O164" s="38"/>
      <c r="P164" s="38"/>
      <c r="Q164" s="38"/>
      <c r="R164" s="38"/>
    </row>
    <row r="165" spans="1:18" ht="12.75" customHeight="1" x14ac:dyDescent="0.2">
      <c r="A165" s="38"/>
      <c r="B165" s="47"/>
      <c r="C165" s="54"/>
      <c r="D165" s="87" t="s">
        <v>337</v>
      </c>
      <c r="E165" s="107">
        <v>1</v>
      </c>
      <c r="F165" s="70" t="s">
        <v>338</v>
      </c>
      <c r="G165" s="107">
        <v>500</v>
      </c>
      <c r="H165" s="105">
        <v>2.5</v>
      </c>
      <c r="I165" s="101">
        <f t="shared" si="49"/>
        <v>1250</v>
      </c>
      <c r="J165" s="51"/>
      <c r="K165" s="39"/>
      <c r="L165" s="39"/>
      <c r="M165" s="38"/>
      <c r="N165" s="38"/>
      <c r="O165" s="38"/>
      <c r="P165" s="38"/>
      <c r="Q165" s="38"/>
      <c r="R165" s="38"/>
    </row>
    <row r="166" spans="1:18" ht="12.75" customHeight="1" x14ac:dyDescent="0.2">
      <c r="A166" s="38"/>
      <c r="B166" s="47" t="s">
        <v>339</v>
      </c>
      <c r="C166" s="54"/>
      <c r="D166" s="94" t="s">
        <v>340</v>
      </c>
      <c r="E166" s="70"/>
      <c r="F166" s="104"/>
      <c r="G166" s="70"/>
      <c r="H166" s="105"/>
      <c r="I166" s="53">
        <f>SUBTOTAL(9,I167)</f>
        <v>15000</v>
      </c>
      <c r="J166" s="51"/>
      <c r="K166" s="39"/>
      <c r="L166" s="39"/>
      <c r="M166" s="38"/>
      <c r="N166" s="38"/>
      <c r="O166" s="38"/>
      <c r="P166" s="38"/>
      <c r="Q166" s="38"/>
      <c r="R166" s="38"/>
    </row>
    <row r="167" spans="1:18" ht="12.75" customHeight="1" x14ac:dyDescent="0.2">
      <c r="A167" s="38"/>
      <c r="B167" s="47"/>
      <c r="C167" s="54" t="s">
        <v>341</v>
      </c>
      <c r="D167" s="87" t="s">
        <v>202</v>
      </c>
      <c r="E167" s="70">
        <v>1</v>
      </c>
      <c r="F167" s="108" t="s">
        <v>188</v>
      </c>
      <c r="G167" s="70">
        <v>150</v>
      </c>
      <c r="H167" s="105">
        <v>100</v>
      </c>
      <c r="I167" s="101">
        <f>H167*G167*E167</f>
        <v>15000</v>
      </c>
      <c r="J167" s="51"/>
      <c r="K167" s="124"/>
      <c r="L167" s="39"/>
      <c r="M167" s="38"/>
      <c r="N167" s="38"/>
      <c r="O167" s="38"/>
      <c r="P167" s="38"/>
      <c r="Q167" s="38"/>
      <c r="R167" s="38"/>
    </row>
    <row r="168" spans="1:18" ht="12.75" customHeight="1" x14ac:dyDescent="0.2">
      <c r="A168" s="38"/>
      <c r="B168" s="47">
        <v>4</v>
      </c>
      <c r="C168" s="48"/>
      <c r="D168" s="49" t="s">
        <v>342</v>
      </c>
      <c r="E168" s="64"/>
      <c r="F168" s="64"/>
      <c r="G168" s="64"/>
      <c r="H168" s="52"/>
      <c r="I168" s="52"/>
      <c r="J168" s="53">
        <f>SUBTOTAL(9,I169:I185)</f>
        <v>49030</v>
      </c>
      <c r="K168" s="39"/>
      <c r="L168" s="39"/>
      <c r="M168" s="38"/>
      <c r="N168" s="38"/>
      <c r="O168" s="38"/>
      <c r="P168" s="38"/>
      <c r="Q168" s="38"/>
      <c r="R168" s="38"/>
    </row>
    <row r="169" spans="1:18" ht="12.75" customHeight="1" x14ac:dyDescent="0.2">
      <c r="A169" s="38"/>
      <c r="B169" s="131" t="s">
        <v>343</v>
      </c>
      <c r="C169" s="132"/>
      <c r="D169" s="133" t="s">
        <v>344</v>
      </c>
      <c r="E169" s="134"/>
      <c r="F169" s="135"/>
      <c r="G169" s="136"/>
      <c r="H169" s="137"/>
      <c r="I169" s="53">
        <f>SUBTOTAL(9,I170:I171)</f>
        <v>12500</v>
      </c>
      <c r="J169" s="51"/>
      <c r="K169" s="39"/>
      <c r="L169" s="39"/>
      <c r="M169" s="38"/>
      <c r="N169" s="38"/>
      <c r="O169" s="38"/>
      <c r="P169" s="38"/>
      <c r="Q169" s="38"/>
      <c r="R169" s="38"/>
    </row>
    <row r="170" spans="1:18" ht="12.75" customHeight="1" x14ac:dyDescent="0.2">
      <c r="A170" s="38"/>
      <c r="B170" s="131"/>
      <c r="C170" s="132" t="s">
        <v>345</v>
      </c>
      <c r="D170" s="136" t="s">
        <v>346</v>
      </c>
      <c r="E170" s="70">
        <v>1</v>
      </c>
      <c r="F170" s="70" t="s">
        <v>112</v>
      </c>
      <c r="G170" s="70">
        <v>1</v>
      </c>
      <c r="H170" s="105">
        <v>2500</v>
      </c>
      <c r="I170" s="101">
        <f t="shared" ref="I170:I171" si="50">H170*G170*E170</f>
        <v>2500</v>
      </c>
      <c r="J170" s="51"/>
      <c r="K170" s="39"/>
      <c r="L170" s="39"/>
      <c r="M170" s="38"/>
      <c r="N170" s="38"/>
      <c r="O170" s="38"/>
      <c r="P170" s="38"/>
      <c r="Q170" s="38"/>
      <c r="R170" s="38"/>
    </row>
    <row r="171" spans="1:18" ht="12.75" customHeight="1" x14ac:dyDescent="0.2">
      <c r="A171" s="38"/>
      <c r="B171" s="131"/>
      <c r="C171" s="132" t="s">
        <v>347</v>
      </c>
      <c r="D171" s="104" t="s">
        <v>348</v>
      </c>
      <c r="E171" s="70">
        <v>1</v>
      </c>
      <c r="F171" s="70" t="s">
        <v>112</v>
      </c>
      <c r="G171" s="70">
        <v>1</v>
      </c>
      <c r="H171" s="105">
        <v>10000</v>
      </c>
      <c r="I171" s="101">
        <f t="shared" si="50"/>
        <v>10000</v>
      </c>
      <c r="J171" s="51"/>
      <c r="K171" s="39"/>
      <c r="L171" s="39"/>
      <c r="M171" s="38"/>
      <c r="N171" s="38"/>
      <c r="O171" s="38"/>
      <c r="P171" s="38"/>
      <c r="Q171" s="38"/>
      <c r="R171" s="38"/>
    </row>
    <row r="172" spans="1:18" ht="12.75" customHeight="1" x14ac:dyDescent="0.2">
      <c r="A172" s="38"/>
      <c r="B172" s="131" t="s">
        <v>349</v>
      </c>
      <c r="C172" s="132"/>
      <c r="D172" s="133" t="s">
        <v>350</v>
      </c>
      <c r="E172" s="134"/>
      <c r="F172" s="135"/>
      <c r="G172" s="135"/>
      <c r="H172" s="137"/>
      <c r="I172" s="53">
        <f>SUBTOTAL(9,I173:I174)</f>
        <v>15000</v>
      </c>
      <c r="J172" s="51"/>
      <c r="K172" s="39"/>
      <c r="L172" s="39"/>
      <c r="M172" s="38"/>
      <c r="N172" s="38"/>
      <c r="O172" s="38"/>
      <c r="P172" s="38"/>
      <c r="Q172" s="38"/>
      <c r="R172" s="38"/>
    </row>
    <row r="173" spans="1:18" ht="12.75" customHeight="1" x14ac:dyDescent="0.2">
      <c r="A173" s="38"/>
      <c r="B173" s="131"/>
      <c r="C173" s="132" t="s">
        <v>351</v>
      </c>
      <c r="D173" s="136" t="s">
        <v>352</v>
      </c>
      <c r="E173" s="134">
        <v>1</v>
      </c>
      <c r="F173" s="135" t="s">
        <v>112</v>
      </c>
      <c r="G173" s="135">
        <v>1</v>
      </c>
      <c r="H173" s="137">
        <v>15000</v>
      </c>
      <c r="I173" s="101">
        <f t="shared" ref="I173:I174" si="51">H173*G173*E173</f>
        <v>15000</v>
      </c>
      <c r="J173" s="51"/>
      <c r="K173" s="39"/>
      <c r="L173" s="39"/>
      <c r="M173" s="38"/>
      <c r="N173" s="38"/>
      <c r="O173" s="38"/>
      <c r="P173" s="38"/>
      <c r="Q173" s="38"/>
      <c r="R173" s="38"/>
    </row>
    <row r="174" spans="1:18" ht="12.75" customHeight="1" x14ac:dyDescent="0.2">
      <c r="A174" s="38"/>
      <c r="B174" s="131"/>
      <c r="C174" s="132" t="s">
        <v>353</v>
      </c>
      <c r="D174" s="136" t="s">
        <v>354</v>
      </c>
      <c r="E174" s="134">
        <v>1</v>
      </c>
      <c r="F174" s="135" t="s">
        <v>112</v>
      </c>
      <c r="G174" s="135">
        <v>1</v>
      </c>
      <c r="H174" s="137"/>
      <c r="I174" s="101">
        <f t="shared" si="51"/>
        <v>0</v>
      </c>
      <c r="J174" s="51"/>
      <c r="K174" s="39"/>
      <c r="L174" s="39"/>
      <c r="M174" s="38"/>
      <c r="N174" s="38"/>
      <c r="O174" s="38"/>
      <c r="P174" s="38"/>
      <c r="Q174" s="38"/>
      <c r="R174" s="38"/>
    </row>
    <row r="175" spans="1:18" ht="12.75" customHeight="1" x14ac:dyDescent="0.2">
      <c r="A175" s="38"/>
      <c r="B175" s="131" t="s">
        <v>355</v>
      </c>
      <c r="C175" s="132"/>
      <c r="D175" s="133" t="s">
        <v>356</v>
      </c>
      <c r="E175" s="134"/>
      <c r="F175" s="135"/>
      <c r="G175" s="135"/>
      <c r="H175" s="137"/>
      <c r="I175" s="53">
        <f>SUBTOTAL(9,I176)</f>
        <v>10000</v>
      </c>
      <c r="J175" s="51"/>
      <c r="K175" s="39"/>
      <c r="L175" s="39"/>
      <c r="M175" s="38"/>
      <c r="N175" s="38"/>
      <c r="O175" s="38"/>
      <c r="P175" s="38"/>
      <c r="Q175" s="38"/>
      <c r="R175" s="38"/>
    </row>
    <row r="176" spans="1:18" ht="12.75" customHeight="1" x14ac:dyDescent="0.2">
      <c r="A176" s="38"/>
      <c r="B176" s="138"/>
      <c r="C176" s="132" t="s">
        <v>357</v>
      </c>
      <c r="D176" s="136" t="s">
        <v>356</v>
      </c>
      <c r="E176" s="134">
        <v>1</v>
      </c>
      <c r="F176" s="135" t="s">
        <v>213</v>
      </c>
      <c r="G176" s="135">
        <v>1</v>
      </c>
      <c r="H176" s="137">
        <v>10000</v>
      </c>
      <c r="I176" s="101">
        <f>H176*G176*E176</f>
        <v>10000</v>
      </c>
      <c r="J176" s="51"/>
      <c r="K176" s="39"/>
      <c r="L176" s="39"/>
      <c r="M176" s="38"/>
      <c r="N176" s="38"/>
      <c r="O176" s="38"/>
      <c r="P176" s="38"/>
      <c r="Q176" s="38"/>
      <c r="R176" s="38"/>
    </row>
    <row r="177" spans="1:18" ht="12.75" customHeight="1" x14ac:dyDescent="0.2">
      <c r="A177" s="38"/>
      <c r="B177" s="131" t="s">
        <v>358</v>
      </c>
      <c r="C177" s="132"/>
      <c r="D177" s="133" t="s">
        <v>359</v>
      </c>
      <c r="E177" s="134"/>
      <c r="F177" s="135"/>
      <c r="G177" s="135"/>
      <c r="H177" s="137"/>
      <c r="I177" s="53">
        <f>SUBTOTAL(9,I178)</f>
        <v>2000</v>
      </c>
      <c r="J177" s="51"/>
      <c r="K177" s="39"/>
      <c r="L177" s="39"/>
      <c r="M177" s="38"/>
      <c r="N177" s="38"/>
      <c r="O177" s="38"/>
      <c r="P177" s="38"/>
      <c r="Q177" s="38"/>
      <c r="R177" s="38"/>
    </row>
    <row r="178" spans="1:18" ht="12.75" customHeight="1" x14ac:dyDescent="0.2">
      <c r="A178" s="38"/>
      <c r="B178" s="138"/>
      <c r="C178" s="132" t="s">
        <v>360</v>
      </c>
      <c r="D178" s="136" t="s">
        <v>361</v>
      </c>
      <c r="E178" s="134">
        <v>1</v>
      </c>
      <c r="F178" s="135" t="s">
        <v>213</v>
      </c>
      <c r="G178" s="135">
        <v>1</v>
      </c>
      <c r="H178" s="137">
        <v>2000</v>
      </c>
      <c r="I178" s="101">
        <f>H178*G178*E178</f>
        <v>2000</v>
      </c>
      <c r="J178" s="51"/>
      <c r="K178" s="39"/>
      <c r="L178" s="39"/>
      <c r="M178" s="38"/>
      <c r="N178" s="38"/>
      <c r="O178" s="38"/>
      <c r="P178" s="38"/>
      <c r="Q178" s="38"/>
      <c r="R178" s="38"/>
    </row>
    <row r="179" spans="1:18" ht="12.75" customHeight="1" x14ac:dyDescent="0.2">
      <c r="A179" s="38"/>
      <c r="B179" s="131" t="s">
        <v>362</v>
      </c>
      <c r="C179" s="132"/>
      <c r="D179" s="133" t="s">
        <v>363</v>
      </c>
      <c r="E179" s="134"/>
      <c r="F179" s="135"/>
      <c r="G179" s="135"/>
      <c r="H179" s="137"/>
      <c r="I179" s="53">
        <f>SUBTOTAL(9,I180)</f>
        <v>3000</v>
      </c>
      <c r="J179" s="51"/>
      <c r="K179" s="39"/>
      <c r="L179" s="39"/>
      <c r="M179" s="38"/>
      <c r="N179" s="38"/>
      <c r="O179" s="38"/>
      <c r="P179" s="38"/>
      <c r="Q179" s="38"/>
      <c r="R179" s="38"/>
    </row>
    <row r="180" spans="1:18" ht="12.75" customHeight="1" x14ac:dyDescent="0.2">
      <c r="A180" s="38"/>
      <c r="B180" s="138"/>
      <c r="C180" s="132" t="s">
        <v>364</v>
      </c>
      <c r="D180" s="136" t="s">
        <v>365</v>
      </c>
      <c r="E180" s="134">
        <v>1</v>
      </c>
      <c r="F180" s="70" t="s">
        <v>366</v>
      </c>
      <c r="G180" s="135">
        <v>1</v>
      </c>
      <c r="H180" s="137">
        <v>3000</v>
      </c>
      <c r="I180" s="101">
        <f>H180*G180*E180</f>
        <v>3000</v>
      </c>
      <c r="J180" s="51"/>
      <c r="K180" s="39"/>
      <c r="L180" s="39"/>
      <c r="M180" s="38"/>
      <c r="N180" s="38"/>
      <c r="O180" s="38"/>
      <c r="P180" s="38"/>
      <c r="Q180" s="38"/>
      <c r="R180" s="38"/>
    </row>
    <row r="181" spans="1:18" ht="12.75" customHeight="1" x14ac:dyDescent="0.2">
      <c r="A181" s="38"/>
      <c r="B181" s="131" t="s">
        <v>367</v>
      </c>
      <c r="C181" s="132"/>
      <c r="D181" s="133" t="s">
        <v>368</v>
      </c>
      <c r="E181" s="134"/>
      <c r="F181" s="135"/>
      <c r="G181" s="135"/>
      <c r="H181" s="137"/>
      <c r="I181" s="53">
        <f>SUBTOTAL(9,I182:I183)</f>
        <v>6000</v>
      </c>
      <c r="J181" s="51"/>
      <c r="K181" s="39"/>
      <c r="L181" s="39"/>
      <c r="M181" s="38"/>
      <c r="N181" s="38"/>
      <c r="O181" s="38"/>
      <c r="P181" s="38"/>
      <c r="Q181" s="38"/>
      <c r="R181" s="38"/>
    </row>
    <row r="182" spans="1:18" ht="12.75" customHeight="1" x14ac:dyDescent="0.2">
      <c r="A182" s="38"/>
      <c r="B182" s="131"/>
      <c r="C182" s="132" t="s">
        <v>369</v>
      </c>
      <c r="D182" s="136" t="s">
        <v>370</v>
      </c>
      <c r="E182" s="134">
        <v>1</v>
      </c>
      <c r="F182" s="135" t="s">
        <v>132</v>
      </c>
      <c r="G182" s="135">
        <v>1</v>
      </c>
      <c r="H182" s="137">
        <v>2000</v>
      </c>
      <c r="I182" s="101">
        <f t="shared" ref="I182:I183" si="52">H182*G182*E182</f>
        <v>2000</v>
      </c>
      <c r="J182" s="51"/>
      <c r="K182" s="39"/>
      <c r="L182" s="39"/>
      <c r="M182" s="38"/>
      <c r="N182" s="38"/>
      <c r="O182" s="38"/>
      <c r="P182" s="38"/>
      <c r="Q182" s="38"/>
      <c r="R182" s="38"/>
    </row>
    <row r="183" spans="1:18" ht="12.75" customHeight="1" x14ac:dyDescent="0.2">
      <c r="A183" s="38"/>
      <c r="B183" s="131"/>
      <c r="C183" s="132" t="s">
        <v>371</v>
      </c>
      <c r="D183" s="136" t="s">
        <v>372</v>
      </c>
      <c r="E183" s="134">
        <v>1</v>
      </c>
      <c r="F183" s="135" t="s">
        <v>132</v>
      </c>
      <c r="G183" s="135">
        <v>1</v>
      </c>
      <c r="H183" s="137">
        <v>4000</v>
      </c>
      <c r="I183" s="101">
        <f t="shared" si="52"/>
        <v>4000</v>
      </c>
      <c r="J183" s="51"/>
      <c r="K183" s="39"/>
      <c r="L183" s="39"/>
      <c r="M183" s="38"/>
      <c r="N183" s="38"/>
      <c r="O183" s="38"/>
      <c r="P183" s="38"/>
      <c r="Q183" s="38"/>
      <c r="R183" s="38"/>
    </row>
    <row r="184" spans="1:18" ht="12.75" customHeight="1" x14ac:dyDescent="0.2">
      <c r="A184" s="38"/>
      <c r="B184" s="131" t="s">
        <v>373</v>
      </c>
      <c r="C184" s="132"/>
      <c r="D184" s="133" t="s">
        <v>374</v>
      </c>
      <c r="E184" s="134"/>
      <c r="F184" s="136"/>
      <c r="G184" s="135"/>
      <c r="H184" s="137"/>
      <c r="I184" s="53">
        <f>SUBTOTAL(9,I185)</f>
        <v>530</v>
      </c>
      <c r="J184" s="51"/>
      <c r="K184" s="39"/>
      <c r="L184" s="39"/>
      <c r="M184" s="38"/>
      <c r="N184" s="38"/>
      <c r="O184" s="38"/>
      <c r="P184" s="38"/>
      <c r="Q184" s="38"/>
      <c r="R184" s="38"/>
    </row>
    <row r="185" spans="1:18" ht="12.75" customHeight="1" x14ac:dyDescent="0.2">
      <c r="A185" s="38"/>
      <c r="B185" s="138"/>
      <c r="C185" s="132" t="s">
        <v>375</v>
      </c>
      <c r="D185" s="136" t="s">
        <v>376</v>
      </c>
      <c r="E185" s="134">
        <v>1</v>
      </c>
      <c r="F185" s="136" t="s">
        <v>132</v>
      </c>
      <c r="G185" s="135">
        <v>1</v>
      </c>
      <c r="H185" s="137">
        <v>530</v>
      </c>
      <c r="I185" s="101">
        <f>H185*G185*E185</f>
        <v>530</v>
      </c>
      <c r="J185" s="51"/>
      <c r="K185" s="39"/>
      <c r="L185" s="39"/>
      <c r="M185" s="38"/>
      <c r="N185" s="38"/>
      <c r="O185" s="38"/>
      <c r="P185" s="38"/>
      <c r="Q185" s="38"/>
      <c r="R185" s="38"/>
    </row>
    <row r="186" spans="1:18" ht="12.75" customHeight="1" x14ac:dyDescent="0.3">
      <c r="A186" s="139"/>
      <c r="B186" s="47">
        <v>5</v>
      </c>
      <c r="C186" s="48"/>
      <c r="D186" s="49" t="s">
        <v>377</v>
      </c>
      <c r="E186" s="64"/>
      <c r="F186" s="64"/>
      <c r="G186" s="64"/>
      <c r="H186" s="140"/>
      <c r="I186" s="140"/>
      <c r="J186" s="53">
        <f>SUBTOTAL(9,I187:I191)</f>
        <v>5000</v>
      </c>
      <c r="K186" s="141"/>
      <c r="L186" s="141"/>
      <c r="M186" s="139"/>
      <c r="N186" s="139"/>
      <c r="O186" s="139"/>
      <c r="P186" s="139"/>
      <c r="Q186" s="139"/>
      <c r="R186" s="139"/>
    </row>
    <row r="187" spans="1:18" ht="12.75" customHeight="1" x14ac:dyDescent="0.2">
      <c r="A187" s="38"/>
      <c r="B187" s="47" t="s">
        <v>378</v>
      </c>
      <c r="C187" s="66"/>
      <c r="D187" s="142" t="s">
        <v>379</v>
      </c>
      <c r="E187" s="142"/>
      <c r="F187" s="142"/>
      <c r="G187" s="142"/>
      <c r="H187" s="57"/>
      <c r="I187" s="53">
        <f>SUBTOTAL(9,I188:I189)</f>
        <v>3000</v>
      </c>
      <c r="J187" s="93"/>
      <c r="K187" s="39"/>
      <c r="L187" s="39"/>
      <c r="M187" s="38"/>
      <c r="N187" s="38"/>
      <c r="O187" s="38"/>
      <c r="P187" s="38"/>
      <c r="Q187" s="38"/>
      <c r="R187" s="38"/>
    </row>
    <row r="188" spans="1:18" ht="12.75" customHeight="1" x14ac:dyDescent="0.2">
      <c r="A188" s="38"/>
      <c r="B188" s="47"/>
      <c r="C188" s="66" t="s">
        <v>380</v>
      </c>
      <c r="D188" s="102" t="s">
        <v>381</v>
      </c>
      <c r="E188" s="60">
        <v>1</v>
      </c>
      <c r="F188" s="60" t="s">
        <v>112</v>
      </c>
      <c r="G188" s="60">
        <v>1</v>
      </c>
      <c r="H188" s="62">
        <v>1500</v>
      </c>
      <c r="I188" s="62">
        <f t="shared" ref="I188:I189" si="53">H188*G188*E188</f>
        <v>1500</v>
      </c>
      <c r="J188" s="93"/>
      <c r="K188" s="124"/>
      <c r="L188" s="39"/>
      <c r="M188" s="38"/>
      <c r="N188" s="38"/>
      <c r="O188" s="38"/>
      <c r="P188" s="38"/>
      <c r="Q188" s="38"/>
      <c r="R188" s="38"/>
    </row>
    <row r="189" spans="1:18" ht="12.75" customHeight="1" x14ac:dyDescent="0.2">
      <c r="A189" s="38"/>
      <c r="B189" s="47"/>
      <c r="C189" s="66" t="s">
        <v>382</v>
      </c>
      <c r="D189" s="102" t="s">
        <v>383</v>
      </c>
      <c r="E189" s="60">
        <v>1</v>
      </c>
      <c r="F189" s="60" t="s">
        <v>112</v>
      </c>
      <c r="G189" s="60">
        <v>1</v>
      </c>
      <c r="H189" s="62">
        <v>1500</v>
      </c>
      <c r="I189" s="62">
        <f t="shared" si="53"/>
        <v>1500</v>
      </c>
      <c r="J189" s="93"/>
      <c r="K189" s="39"/>
      <c r="L189" s="39"/>
      <c r="M189" s="38"/>
      <c r="N189" s="38"/>
      <c r="O189" s="38"/>
      <c r="P189" s="38"/>
      <c r="Q189" s="38"/>
      <c r="R189" s="38"/>
    </row>
    <row r="190" spans="1:18" ht="12.75" customHeight="1" x14ac:dyDescent="0.2">
      <c r="A190" s="38"/>
      <c r="B190" s="47" t="s">
        <v>384</v>
      </c>
      <c r="C190" s="66"/>
      <c r="D190" s="143" t="s">
        <v>385</v>
      </c>
      <c r="E190" s="56"/>
      <c r="F190" s="56"/>
      <c r="G190" s="56"/>
      <c r="H190" s="57"/>
      <c r="I190" s="53">
        <f>SUBTOTAL(9,I191)</f>
        <v>2000</v>
      </c>
      <c r="J190" s="93"/>
      <c r="K190" s="39"/>
      <c r="L190" s="39"/>
      <c r="M190" s="38"/>
      <c r="N190" s="38"/>
      <c r="O190" s="38"/>
      <c r="P190" s="38"/>
      <c r="Q190" s="38"/>
      <c r="R190" s="38"/>
    </row>
    <row r="191" spans="1:18" ht="12.75" customHeight="1" x14ac:dyDescent="0.2">
      <c r="A191" s="38"/>
      <c r="B191" s="47"/>
      <c r="C191" s="66" t="s">
        <v>386</v>
      </c>
      <c r="D191" s="102" t="s">
        <v>387</v>
      </c>
      <c r="E191" s="60">
        <v>1</v>
      </c>
      <c r="F191" s="60" t="s">
        <v>132</v>
      </c>
      <c r="G191" s="60">
        <v>1</v>
      </c>
      <c r="H191" s="62">
        <v>2000</v>
      </c>
      <c r="I191" s="62">
        <f>H191*G191*E191</f>
        <v>2000</v>
      </c>
      <c r="J191" s="93"/>
      <c r="K191" s="39"/>
      <c r="L191" s="39"/>
      <c r="M191" s="38"/>
      <c r="N191" s="38"/>
      <c r="O191" s="38"/>
      <c r="P191" s="38"/>
      <c r="Q191" s="38"/>
      <c r="R191" s="38"/>
    </row>
    <row r="192" spans="1:18" ht="12.75" customHeight="1" x14ac:dyDescent="0.2">
      <c r="A192" s="38"/>
      <c r="B192" s="47" t="s">
        <v>404</v>
      </c>
      <c r="C192" s="48"/>
      <c r="D192" s="49" t="s">
        <v>388</v>
      </c>
      <c r="E192" s="64"/>
      <c r="F192" s="64"/>
      <c r="G192" s="64"/>
      <c r="H192" s="140"/>
      <c r="I192" s="140"/>
      <c r="J192" s="53">
        <f>SUBTOTAL(9,I6:I191)</f>
        <v>248711.5</v>
      </c>
      <c r="K192" s="39"/>
      <c r="L192" s="39"/>
      <c r="M192" s="38"/>
      <c r="N192" s="38"/>
      <c r="O192" s="38"/>
      <c r="P192" s="38"/>
      <c r="Q192" s="38"/>
      <c r="R192" s="38"/>
    </row>
    <row r="193" spans="1:18" ht="12.75" customHeight="1" x14ac:dyDescent="0.2">
      <c r="A193" s="38"/>
      <c r="B193" s="47"/>
      <c r="C193" s="66"/>
      <c r="D193" s="102"/>
      <c r="E193" s="60"/>
      <c r="F193" s="60"/>
      <c r="G193" s="60"/>
      <c r="H193" s="62"/>
      <c r="I193" s="105"/>
      <c r="J193" s="93"/>
      <c r="K193" s="39"/>
      <c r="L193" s="39"/>
      <c r="M193" s="38"/>
      <c r="N193" s="38"/>
      <c r="O193" s="38"/>
      <c r="P193" s="38"/>
      <c r="Q193" s="38"/>
      <c r="R193" s="38"/>
    </row>
    <row r="194" spans="1:18" ht="12.75" customHeight="1" x14ac:dyDescent="0.2">
      <c r="A194" s="38"/>
      <c r="B194" s="47"/>
      <c r="C194" s="66"/>
      <c r="D194" s="102"/>
      <c r="E194" s="60"/>
      <c r="F194" s="60"/>
      <c r="G194" s="60"/>
      <c r="H194" s="62"/>
      <c r="I194" s="105"/>
      <c r="J194" s="93"/>
      <c r="K194" s="39"/>
      <c r="L194" s="39"/>
      <c r="M194" s="38"/>
      <c r="N194" s="38"/>
      <c r="O194" s="38"/>
      <c r="P194" s="38"/>
      <c r="Q194" s="38"/>
      <c r="R194" s="38"/>
    </row>
    <row r="195" spans="1:18" ht="12.75" customHeight="1" x14ac:dyDescent="0.2">
      <c r="A195" s="38"/>
      <c r="B195" s="47" t="s">
        <v>405</v>
      </c>
      <c r="C195" s="48"/>
      <c r="D195" s="110" t="s">
        <v>406</v>
      </c>
      <c r="E195" s="64"/>
      <c r="F195" s="64"/>
      <c r="G195" s="64"/>
      <c r="H195" s="140"/>
      <c r="I195" s="140"/>
      <c r="J195" s="53">
        <f>SUBTOTAL(9,I197:I1199)</f>
        <v>24871.15</v>
      </c>
      <c r="K195" s="39" t="s">
        <v>389</v>
      </c>
      <c r="L195" s="39"/>
      <c r="M195" s="38"/>
      <c r="N195" s="38"/>
      <c r="O195" s="38"/>
      <c r="P195" s="38"/>
      <c r="Q195" s="38"/>
      <c r="R195" s="38"/>
    </row>
    <row r="196" spans="1:18" ht="12.75" customHeight="1" x14ac:dyDescent="0.2">
      <c r="A196" s="38"/>
      <c r="B196" s="144" t="s">
        <v>390</v>
      </c>
      <c r="C196" s="145"/>
      <c r="D196" s="146" t="s">
        <v>391</v>
      </c>
      <c r="E196" s="147"/>
      <c r="F196" s="147"/>
      <c r="G196" s="147"/>
      <c r="H196" s="148"/>
      <c r="I196" s="149">
        <f>SUBTOTAL(9,I197)</f>
        <v>24871.15</v>
      </c>
      <c r="J196" s="93"/>
      <c r="K196" s="39" t="s">
        <v>392</v>
      </c>
      <c r="L196" s="39"/>
      <c r="M196" s="38"/>
      <c r="N196" s="38"/>
      <c r="O196" s="38"/>
      <c r="P196" s="38"/>
      <c r="Q196" s="38"/>
      <c r="R196" s="38"/>
    </row>
    <row r="197" spans="1:18" ht="12.75" customHeight="1" x14ac:dyDescent="0.25">
      <c r="A197" s="38"/>
      <c r="B197" s="150"/>
      <c r="C197" s="151" t="s">
        <v>393</v>
      </c>
      <c r="D197" s="152" t="s">
        <v>391</v>
      </c>
      <c r="E197" s="153">
        <v>1</v>
      </c>
      <c r="F197" s="154" t="s">
        <v>81</v>
      </c>
      <c r="G197" s="155">
        <v>0.1</v>
      </c>
      <c r="H197" s="137">
        <f>SUM(J192)</f>
        <v>248711.5</v>
      </c>
      <c r="I197" s="137">
        <f>H197*G197*E197</f>
        <v>24871.15</v>
      </c>
      <c r="J197" s="93"/>
      <c r="K197" s="39"/>
      <c r="L197" s="39"/>
      <c r="M197" s="38"/>
      <c r="N197" s="38"/>
      <c r="O197" s="38"/>
      <c r="P197" s="38"/>
      <c r="Q197" s="38"/>
      <c r="R197" s="38"/>
    </row>
    <row r="198" spans="1:18" ht="12.75" customHeight="1" x14ac:dyDescent="0.2">
      <c r="A198" s="38"/>
      <c r="B198" s="47"/>
      <c r="C198" s="66"/>
      <c r="D198" s="102"/>
      <c r="E198" s="60"/>
      <c r="F198" s="60"/>
      <c r="G198" s="60"/>
      <c r="H198" s="62"/>
      <c r="I198" s="105"/>
      <c r="J198" s="93"/>
      <c r="K198" s="39"/>
      <c r="L198" s="39"/>
      <c r="M198" s="38"/>
      <c r="N198" s="38"/>
      <c r="O198" s="38"/>
      <c r="P198" s="38"/>
      <c r="Q198" s="38"/>
      <c r="R198" s="38"/>
    </row>
    <row r="199" spans="1:18" ht="12.75" customHeight="1" x14ac:dyDescent="0.2">
      <c r="A199" s="38"/>
      <c r="B199" s="47"/>
      <c r="C199" s="66"/>
      <c r="D199" s="102"/>
      <c r="E199" s="60"/>
      <c r="F199" s="60"/>
      <c r="G199" s="60"/>
      <c r="H199" s="62"/>
      <c r="I199" s="105"/>
      <c r="J199" s="93"/>
      <c r="K199" s="39"/>
      <c r="L199" s="39"/>
      <c r="M199" s="38"/>
      <c r="N199" s="38"/>
      <c r="O199" s="38"/>
      <c r="P199" s="38"/>
      <c r="Q199" s="38"/>
      <c r="R199" s="38"/>
    </row>
    <row r="200" spans="1:18" ht="12.75" customHeight="1" x14ac:dyDescent="0.2">
      <c r="A200" s="38"/>
      <c r="B200" s="47"/>
      <c r="C200" s="48"/>
      <c r="D200" s="49" t="s">
        <v>394</v>
      </c>
      <c r="E200" s="64"/>
      <c r="F200" s="64"/>
      <c r="G200" s="64"/>
      <c r="H200" s="140"/>
      <c r="I200" s="140"/>
      <c r="J200" s="53">
        <f>SUBTOTAL(9,I6:I198)</f>
        <v>273582.65000000002</v>
      </c>
      <c r="K200" s="39"/>
      <c r="L200" s="39"/>
      <c r="M200" s="38"/>
      <c r="N200" s="38"/>
      <c r="O200" s="38"/>
      <c r="P200" s="38"/>
      <c r="Q200" s="38"/>
      <c r="R200" s="38"/>
    </row>
    <row r="201" spans="1:18" ht="12.75" customHeight="1" x14ac:dyDescent="0.2">
      <c r="A201" s="38"/>
      <c r="B201" s="156"/>
      <c r="C201" s="157"/>
      <c r="D201" s="38"/>
      <c r="E201" s="38"/>
      <c r="F201" s="38"/>
      <c r="G201" s="38"/>
      <c r="H201" s="38"/>
      <c r="I201" s="38"/>
      <c r="J201" s="158"/>
      <c r="K201" s="39"/>
      <c r="L201" s="39"/>
      <c r="M201" s="38"/>
      <c r="N201" s="38"/>
      <c r="O201" s="38"/>
      <c r="P201" s="38"/>
      <c r="Q201" s="38"/>
      <c r="R201" s="38"/>
    </row>
    <row r="202" spans="1:18" ht="12.75" customHeight="1" x14ac:dyDescent="0.2">
      <c r="A202" s="38"/>
      <c r="B202" s="156"/>
      <c r="C202" s="157"/>
      <c r="D202" s="38"/>
      <c r="E202" s="38"/>
      <c r="F202" s="38"/>
      <c r="G202" s="38"/>
      <c r="H202" s="38"/>
      <c r="I202" s="38"/>
      <c r="J202" s="38" t="s">
        <v>395</v>
      </c>
      <c r="K202" s="39"/>
      <c r="L202" s="39"/>
      <c r="M202" s="38"/>
      <c r="N202" s="38"/>
      <c r="O202" s="38"/>
      <c r="P202" s="38"/>
      <c r="Q202" s="38"/>
      <c r="R202" s="38"/>
    </row>
    <row r="203" spans="1:18" ht="12.75" customHeight="1" x14ac:dyDescent="0.2">
      <c r="A203" s="38"/>
      <c r="B203" s="156"/>
      <c r="C203" s="157"/>
      <c r="D203" s="38"/>
      <c r="E203" s="38"/>
      <c r="F203" s="38"/>
      <c r="G203" s="38"/>
      <c r="H203" s="38"/>
      <c r="I203" s="38"/>
      <c r="J203" s="38"/>
      <c r="K203" s="159"/>
      <c r="L203" s="39"/>
      <c r="M203" s="38"/>
      <c r="N203" s="38"/>
      <c r="O203" s="38"/>
      <c r="P203" s="38"/>
      <c r="Q203" s="38"/>
      <c r="R203" s="38"/>
    </row>
    <row r="204" spans="1:18" ht="12.75" customHeight="1" x14ac:dyDescent="0.2">
      <c r="A204" s="38"/>
      <c r="B204" s="156"/>
      <c r="C204" s="157"/>
      <c r="D204" s="38"/>
      <c r="E204" s="38"/>
      <c r="F204" s="38"/>
      <c r="G204" s="38"/>
      <c r="H204" s="38"/>
      <c r="I204" s="38"/>
      <c r="J204" s="38"/>
      <c r="K204" s="159"/>
      <c r="L204" s="39"/>
      <c r="M204" s="38"/>
      <c r="N204" s="38"/>
      <c r="O204" s="38"/>
      <c r="P204" s="38"/>
      <c r="Q204" s="38"/>
      <c r="R204" s="38"/>
    </row>
    <row r="205" spans="1:18" ht="12.75" customHeight="1" x14ac:dyDescent="0.2">
      <c r="A205" s="38"/>
      <c r="B205" s="156"/>
      <c r="C205" s="157"/>
      <c r="D205" s="38"/>
      <c r="E205" s="38"/>
      <c r="F205" s="38"/>
      <c r="G205" s="38"/>
      <c r="H205" s="38"/>
      <c r="I205" s="38"/>
      <c r="J205" s="38"/>
      <c r="K205" s="39"/>
      <c r="L205" s="39"/>
      <c r="M205" s="38"/>
      <c r="N205" s="38"/>
      <c r="O205" s="38"/>
      <c r="P205" s="38"/>
      <c r="Q205" s="38"/>
      <c r="R205" s="38"/>
    </row>
    <row r="206" spans="1:18" ht="12.75" customHeight="1" x14ac:dyDescent="0.2">
      <c r="A206" s="38"/>
      <c r="B206" s="156"/>
      <c r="C206" s="157"/>
      <c r="D206" s="38"/>
      <c r="E206" s="38"/>
      <c r="F206" s="38"/>
      <c r="G206" s="38"/>
      <c r="H206" s="38"/>
      <c r="I206" s="38"/>
      <c r="J206" s="38"/>
      <c r="K206" s="39"/>
      <c r="L206" s="39"/>
      <c r="M206" s="38"/>
      <c r="N206" s="38"/>
      <c r="O206" s="38"/>
      <c r="P206" s="38"/>
      <c r="Q206" s="38"/>
      <c r="R206" s="38"/>
    </row>
    <row r="207" spans="1:18" ht="12.75" customHeight="1" x14ac:dyDescent="0.2">
      <c r="A207" s="38"/>
      <c r="B207" s="156"/>
      <c r="C207" s="157"/>
      <c r="D207" s="38"/>
      <c r="E207" s="38"/>
      <c r="F207" s="38"/>
      <c r="G207" s="38"/>
      <c r="H207" s="38"/>
      <c r="I207" s="38"/>
      <c r="J207" s="38"/>
      <c r="K207" s="39"/>
      <c r="L207" s="39"/>
      <c r="M207" s="38"/>
      <c r="N207" s="38"/>
      <c r="O207" s="38"/>
      <c r="P207" s="38"/>
      <c r="Q207" s="38"/>
      <c r="R207" s="38"/>
    </row>
    <row r="208" spans="1:18" ht="12.75" customHeight="1" x14ac:dyDescent="0.2">
      <c r="A208" s="38"/>
      <c r="B208" s="156"/>
      <c r="C208" s="157"/>
      <c r="D208" s="38"/>
      <c r="E208" s="38"/>
      <c r="F208" s="38"/>
      <c r="G208" s="38"/>
      <c r="H208" s="38"/>
      <c r="I208" s="38"/>
      <c r="J208" s="38"/>
      <c r="K208" s="39"/>
      <c r="L208" s="39"/>
      <c r="M208" s="38"/>
      <c r="N208" s="38"/>
      <c r="O208" s="38"/>
      <c r="P208" s="38"/>
      <c r="Q208" s="38"/>
      <c r="R208" s="38"/>
    </row>
    <row r="209" spans="1:18" ht="12.75" customHeight="1" x14ac:dyDescent="0.2">
      <c r="A209" s="38"/>
      <c r="B209" s="156"/>
      <c r="C209" s="157"/>
      <c r="D209" s="38"/>
      <c r="E209" s="38"/>
      <c r="F209" s="38"/>
      <c r="G209" s="38"/>
      <c r="H209" s="38"/>
      <c r="I209" s="38"/>
      <c r="J209" s="38"/>
      <c r="K209" s="39"/>
      <c r="L209" s="39"/>
      <c r="M209" s="38"/>
      <c r="N209" s="38"/>
      <c r="O209" s="38"/>
      <c r="P209" s="38"/>
      <c r="Q209" s="38"/>
      <c r="R209" s="38"/>
    </row>
    <row r="210" spans="1:18" ht="12.75" customHeight="1" x14ac:dyDescent="0.2">
      <c r="A210" s="38"/>
      <c r="B210" s="156"/>
      <c r="C210" s="157"/>
      <c r="D210" s="38"/>
      <c r="E210" s="38"/>
      <c r="F210" s="38"/>
      <c r="G210" s="38"/>
      <c r="H210" s="38"/>
      <c r="I210" s="38"/>
      <c r="J210" s="38"/>
      <c r="K210" s="39"/>
      <c r="L210" s="39"/>
      <c r="M210" s="38"/>
      <c r="N210" s="38"/>
      <c r="O210" s="38"/>
      <c r="P210" s="38"/>
      <c r="Q210" s="38"/>
      <c r="R210" s="38"/>
    </row>
    <row r="211" spans="1:18" ht="12.75" customHeight="1" x14ac:dyDescent="0.2">
      <c r="A211" s="38"/>
      <c r="B211" s="156"/>
      <c r="C211" s="157"/>
      <c r="D211" s="38"/>
      <c r="E211" s="38"/>
      <c r="F211" s="38"/>
      <c r="G211" s="38"/>
      <c r="H211" s="38"/>
      <c r="I211" s="38"/>
      <c r="J211" s="38"/>
      <c r="K211" s="39"/>
      <c r="L211" s="39"/>
      <c r="M211" s="38"/>
      <c r="N211" s="38"/>
      <c r="O211" s="38"/>
      <c r="P211" s="38"/>
      <c r="Q211" s="38"/>
      <c r="R211" s="38"/>
    </row>
    <row r="212" spans="1:18" ht="12.75" customHeight="1" x14ac:dyDescent="0.2">
      <c r="A212" s="38"/>
      <c r="B212" s="156"/>
      <c r="C212" s="157"/>
      <c r="D212" s="38"/>
      <c r="E212" s="38"/>
      <c r="F212" s="38"/>
      <c r="G212" s="38"/>
      <c r="H212" s="38"/>
      <c r="I212" s="38"/>
      <c r="J212" s="38"/>
      <c r="K212" s="39"/>
      <c r="L212" s="39"/>
      <c r="M212" s="38"/>
      <c r="N212" s="38"/>
      <c r="O212" s="38"/>
      <c r="P212" s="38"/>
      <c r="Q212" s="38"/>
      <c r="R212" s="38"/>
    </row>
    <row r="213" spans="1:18" ht="12.75" customHeight="1" x14ac:dyDescent="0.2">
      <c r="A213" s="38"/>
      <c r="B213" s="156"/>
      <c r="C213" s="157"/>
      <c r="D213" s="38"/>
      <c r="E213" s="38"/>
      <c r="F213" s="38"/>
      <c r="G213" s="38"/>
      <c r="H213" s="38"/>
      <c r="I213" s="38"/>
      <c r="J213" s="38"/>
      <c r="K213" s="39"/>
      <c r="L213" s="39"/>
      <c r="M213" s="38"/>
      <c r="N213" s="38"/>
      <c r="O213" s="38"/>
      <c r="P213" s="38"/>
      <c r="Q213" s="38"/>
      <c r="R213" s="38"/>
    </row>
    <row r="214" spans="1:18" ht="12.75" customHeight="1" x14ac:dyDescent="0.2">
      <c r="A214" s="38"/>
      <c r="B214" s="156"/>
      <c r="C214" s="157"/>
      <c r="D214" s="38"/>
      <c r="E214" s="38"/>
      <c r="F214" s="38"/>
      <c r="G214" s="38"/>
      <c r="H214" s="38"/>
      <c r="I214" s="38"/>
      <c r="J214" s="38"/>
      <c r="K214" s="39"/>
      <c r="L214" s="39"/>
      <c r="M214" s="38"/>
      <c r="N214" s="38"/>
      <c r="O214" s="38"/>
      <c r="P214" s="38"/>
      <c r="Q214" s="38"/>
      <c r="R214" s="38"/>
    </row>
    <row r="215" spans="1:18" ht="12.75" customHeight="1" x14ac:dyDescent="0.2">
      <c r="A215" s="38"/>
      <c r="B215" s="156"/>
      <c r="C215" s="157"/>
      <c r="D215" s="38"/>
      <c r="E215" s="38"/>
      <c r="F215" s="38"/>
      <c r="G215" s="38"/>
      <c r="H215" s="38"/>
      <c r="I215" s="38"/>
      <c r="J215" s="38"/>
      <c r="K215" s="39"/>
      <c r="L215" s="39"/>
      <c r="M215" s="38"/>
      <c r="N215" s="38"/>
      <c r="O215" s="38"/>
      <c r="P215" s="38"/>
      <c r="Q215" s="38"/>
      <c r="R215" s="38"/>
    </row>
    <row r="216" spans="1:18" ht="12.75" customHeight="1" x14ac:dyDescent="0.2">
      <c r="A216" s="38"/>
      <c r="B216" s="156"/>
      <c r="C216" s="157"/>
      <c r="D216" s="38"/>
      <c r="E216" s="38"/>
      <c r="F216" s="38"/>
      <c r="G216" s="38"/>
      <c r="H216" s="38"/>
      <c r="I216" s="38"/>
      <c r="J216" s="38"/>
      <c r="K216" s="39"/>
      <c r="L216" s="39"/>
      <c r="M216" s="38"/>
      <c r="N216" s="38"/>
      <c r="O216" s="38"/>
      <c r="P216" s="38"/>
      <c r="Q216" s="38"/>
      <c r="R216" s="38"/>
    </row>
  </sheetData>
  <mergeCells count="2">
    <mergeCell ref="B1:J4"/>
    <mergeCell ref="B5:C5"/>
  </mergeCells>
  <conditionalFormatting sqref="L13 K1:K216">
    <cfRule type="notContainsBlanks" dxfId="64" priority="1">
      <formula>LEN(TRIM(K1))&gt;0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autoPageBreaks="0" fitToPage="1"/>
  </sheetPr>
  <dimension ref="A1:AI26"/>
  <sheetViews>
    <sheetView showGridLines="0" zoomScaleNormal="100" workbookViewId="0">
      <selection activeCell="E6" sqref="E6"/>
    </sheetView>
  </sheetViews>
  <sheetFormatPr defaultColWidth="3.21875" defaultRowHeight="18" customHeight="1" x14ac:dyDescent="0.2"/>
  <cols>
    <col min="1" max="1" width="2.33203125" style="224" customWidth="1"/>
    <col min="2" max="8" width="3.21875" style="224"/>
    <col min="9" max="9" width="8.77734375" style="224" customWidth="1"/>
    <col min="10" max="10" width="3.21875" style="224" customWidth="1"/>
    <col min="11" max="15" width="3.21875" style="224"/>
    <col min="16" max="16" width="8.33203125" style="224" customWidth="1"/>
    <col min="17" max="22" width="3.21875" style="224"/>
    <col min="23" max="23" width="8.33203125" style="224" customWidth="1"/>
    <col min="24" max="29" width="3.21875" style="224"/>
    <col min="30" max="30" width="2.33203125" style="224" customWidth="1"/>
    <col min="31" max="31" width="3.21875" style="224" customWidth="1"/>
    <col min="32" max="16384" width="3.21875" style="224"/>
  </cols>
  <sheetData>
    <row r="1" spans="1:35" ht="64.5" customHeight="1" thickTop="1" x14ac:dyDescent="0.2">
      <c r="A1" s="223"/>
      <c r="B1" s="253" t="s">
        <v>433</v>
      </c>
      <c r="C1" s="253"/>
      <c r="D1" s="253"/>
      <c r="E1" s="253"/>
      <c r="F1" s="253"/>
      <c r="G1" s="253"/>
      <c r="H1" s="253"/>
      <c r="I1" s="253"/>
      <c r="J1" s="253"/>
      <c r="K1" s="254" t="s">
        <v>434</v>
      </c>
      <c r="L1" s="254"/>
      <c r="M1" s="254"/>
      <c r="N1" s="254"/>
      <c r="O1" s="254"/>
      <c r="P1" s="255" t="s">
        <v>435</v>
      </c>
      <c r="Q1" s="255"/>
      <c r="R1" s="255"/>
      <c r="S1" s="255"/>
      <c r="T1" s="255"/>
      <c r="U1" s="255"/>
      <c r="V1" s="255"/>
      <c r="W1" s="255"/>
      <c r="X1" s="255"/>
      <c r="Y1" s="255"/>
      <c r="Z1" s="255"/>
      <c r="AA1" s="255"/>
      <c r="AB1" s="255"/>
      <c r="AC1" s="255"/>
    </row>
    <row r="2" spans="1:35" ht="50.25" customHeight="1" x14ac:dyDescent="0.45">
      <c r="A2" s="225"/>
      <c r="B2" s="256">
        <f ca="1">YEAR(TODAY())</f>
        <v>2025</v>
      </c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  <c r="P2" s="256"/>
      <c r="Q2" s="256"/>
      <c r="R2" s="256"/>
      <c r="S2" s="256"/>
      <c r="T2" s="256"/>
      <c r="U2" s="256"/>
      <c r="V2" s="256"/>
      <c r="W2" s="256"/>
      <c r="X2" s="256"/>
      <c r="Y2" s="256"/>
      <c r="Z2" s="256"/>
      <c r="AA2" s="256"/>
      <c r="AB2" s="256"/>
      <c r="AC2" s="256"/>
    </row>
    <row r="3" spans="1:35" ht="31.5" customHeight="1" x14ac:dyDescent="0.25">
      <c r="B3" s="252" t="str">
        <f ca="1">MonthHeaders</f>
        <v>JANEIRO</v>
      </c>
      <c r="C3" s="252"/>
      <c r="D3" s="252"/>
      <c r="E3" s="252"/>
      <c r="F3" s="252"/>
      <c r="G3" s="252"/>
      <c r="H3" s="252"/>
      <c r="I3" s="252" t="str">
        <f ca="1">MonthHeaders</f>
        <v>FEVEREIRO</v>
      </c>
      <c r="J3" s="252"/>
      <c r="K3" s="252"/>
      <c r="L3" s="252"/>
      <c r="M3" s="252"/>
      <c r="N3" s="252"/>
      <c r="O3" s="252"/>
      <c r="P3" s="252" t="str">
        <f ca="1">MonthHeaders</f>
        <v>MARÇO</v>
      </c>
      <c r="Q3" s="252"/>
      <c r="R3" s="252"/>
      <c r="S3" s="252"/>
      <c r="T3" s="252"/>
      <c r="U3" s="252"/>
      <c r="V3" s="252"/>
      <c r="W3" s="252" t="str">
        <f ca="1">MonthHeaders</f>
        <v>ABRIL</v>
      </c>
      <c r="X3" s="252"/>
      <c r="Y3" s="252"/>
      <c r="Z3" s="252"/>
      <c r="AA3" s="252"/>
      <c r="AB3" s="252"/>
      <c r="AC3" s="252"/>
    </row>
    <row r="4" spans="1:35" ht="18" customHeight="1" x14ac:dyDescent="0.2">
      <c r="B4" s="226" t="str">
        <f t="array" aca="1" ref="B4:H4" ca="1">DayHeaders</f>
        <v>do</v>
      </c>
      <c r="C4" s="226" t="str">
        <f ca="1"/>
        <v>se</v>
      </c>
      <c r="D4" s="226" t="str">
        <f ca="1"/>
        <v>te</v>
      </c>
      <c r="E4" s="226" t="str">
        <f ca="1"/>
        <v>qu</v>
      </c>
      <c r="F4" s="226" t="str">
        <f ca="1"/>
        <v>qu</v>
      </c>
      <c r="G4" s="226" t="str">
        <f ca="1"/>
        <v>se</v>
      </c>
      <c r="H4" s="226" t="str">
        <f ca="1"/>
        <v>sá</v>
      </c>
      <c r="I4" s="226" t="str">
        <f t="array" aca="1" ref="I4:O4" ca="1">DayHeaders</f>
        <v>do</v>
      </c>
      <c r="J4" s="226" t="str">
        <f ca="1"/>
        <v>se</v>
      </c>
      <c r="K4" s="226" t="str">
        <f ca="1"/>
        <v>te</v>
      </c>
      <c r="L4" s="226" t="str">
        <f ca="1"/>
        <v>qu</v>
      </c>
      <c r="M4" s="226" t="str">
        <f ca="1"/>
        <v>qu</v>
      </c>
      <c r="N4" s="226" t="str">
        <f ca="1"/>
        <v>se</v>
      </c>
      <c r="O4" s="226" t="str">
        <f ca="1"/>
        <v>sá</v>
      </c>
      <c r="P4" s="226" t="str">
        <f t="array" aca="1" ref="P4:V4" ca="1">DayHeaders</f>
        <v>do</v>
      </c>
      <c r="Q4" s="226" t="str">
        <f ca="1"/>
        <v>se</v>
      </c>
      <c r="R4" s="226" t="str">
        <f ca="1"/>
        <v>te</v>
      </c>
      <c r="S4" s="226" t="str">
        <f ca="1"/>
        <v>qu</v>
      </c>
      <c r="T4" s="226" t="str">
        <f ca="1"/>
        <v>qu</v>
      </c>
      <c r="U4" s="226" t="str">
        <f ca="1"/>
        <v>se</v>
      </c>
      <c r="V4" s="226" t="str">
        <f ca="1"/>
        <v>sá</v>
      </c>
      <c r="W4" s="226" t="str">
        <f t="array" aca="1" ref="W4:AC4" ca="1">DayHeaders</f>
        <v>do</v>
      </c>
      <c r="X4" s="226" t="str">
        <f ca="1"/>
        <v>se</v>
      </c>
      <c r="Y4" s="226" t="str">
        <f ca="1"/>
        <v>te</v>
      </c>
      <c r="Z4" s="226" t="str">
        <f ca="1"/>
        <v>qu</v>
      </c>
      <c r="AA4" s="226" t="str">
        <f ca="1"/>
        <v>qu</v>
      </c>
      <c r="AB4" s="226" t="str">
        <f ca="1"/>
        <v>se</v>
      </c>
      <c r="AC4" s="226" t="str">
        <f ca="1"/>
        <v>sá</v>
      </c>
    </row>
    <row r="5" spans="1:35" ht="18" customHeight="1" x14ac:dyDescent="0.2">
      <c r="B5" s="227">
        <f t="array" aca="1" ref="B5:H10" ca="1">Jan</f>
        <v>45655</v>
      </c>
      <c r="C5" s="227">
        <f ca="1"/>
        <v>45656</v>
      </c>
      <c r="D5" s="227">
        <f ca="1"/>
        <v>45657</v>
      </c>
      <c r="E5" s="227">
        <f ca="1"/>
        <v>45658</v>
      </c>
      <c r="F5" s="227">
        <f ca="1"/>
        <v>45659</v>
      </c>
      <c r="G5" s="227">
        <f ca="1"/>
        <v>45660</v>
      </c>
      <c r="H5" s="227">
        <f ca="1"/>
        <v>45661</v>
      </c>
      <c r="I5" s="227">
        <f t="array" aca="1" ref="I5:O10" ca="1">Feb</f>
        <v>45683</v>
      </c>
      <c r="J5" s="227">
        <f ca="1"/>
        <v>45684</v>
      </c>
      <c r="K5" s="227">
        <f ca="1"/>
        <v>45685</v>
      </c>
      <c r="L5" s="227">
        <f ca="1"/>
        <v>45686</v>
      </c>
      <c r="M5" s="227">
        <f ca="1"/>
        <v>45687</v>
      </c>
      <c r="N5" s="227">
        <f ca="1"/>
        <v>45688</v>
      </c>
      <c r="O5" s="227">
        <f ca="1"/>
        <v>45689</v>
      </c>
      <c r="P5" s="227">
        <f t="array" aca="1" ref="P5:V10" ca="1">Mar</f>
        <v>45711</v>
      </c>
      <c r="Q5" s="227">
        <f ca="1"/>
        <v>45712</v>
      </c>
      <c r="R5" s="227">
        <f ca="1"/>
        <v>45713</v>
      </c>
      <c r="S5" s="227">
        <f ca="1"/>
        <v>45714</v>
      </c>
      <c r="T5" s="227">
        <f ca="1"/>
        <v>45715</v>
      </c>
      <c r="U5" s="227">
        <f ca="1"/>
        <v>45716</v>
      </c>
      <c r="V5" s="227">
        <f ca="1"/>
        <v>45717</v>
      </c>
      <c r="W5" s="227">
        <f t="array" aca="1" ref="W5:AC10" ca="1">Apr</f>
        <v>45746</v>
      </c>
      <c r="X5" s="227">
        <f ca="1"/>
        <v>45747</v>
      </c>
      <c r="Y5" s="227">
        <f ca="1"/>
        <v>45748</v>
      </c>
      <c r="Z5" s="227">
        <f ca="1"/>
        <v>45749</v>
      </c>
      <c r="AA5" s="227">
        <f ca="1"/>
        <v>45750</v>
      </c>
      <c r="AB5" s="227">
        <f ca="1"/>
        <v>45751</v>
      </c>
      <c r="AC5" s="227">
        <f ca="1"/>
        <v>45752</v>
      </c>
      <c r="AI5" s="224">
        <f>10</f>
        <v>10</v>
      </c>
    </row>
    <row r="6" spans="1:35" ht="18" customHeight="1" x14ac:dyDescent="0.2">
      <c r="B6" s="227">
        <f ca="1"/>
        <v>45662</v>
      </c>
      <c r="C6" s="227">
        <f ca="1"/>
        <v>45663</v>
      </c>
      <c r="D6" s="227">
        <f ca="1"/>
        <v>45664</v>
      </c>
      <c r="E6" s="230">
        <f ca="1"/>
        <v>45665</v>
      </c>
      <c r="F6" s="227">
        <f ca="1"/>
        <v>45666</v>
      </c>
      <c r="G6" s="227">
        <f ca="1"/>
        <v>45667</v>
      </c>
      <c r="H6" s="227">
        <f ca="1"/>
        <v>45668</v>
      </c>
      <c r="I6" s="227">
        <f ca="1"/>
        <v>45690</v>
      </c>
      <c r="J6" s="227">
        <f ca="1"/>
        <v>45691</v>
      </c>
      <c r="K6" s="227">
        <f ca="1"/>
        <v>45692</v>
      </c>
      <c r="L6" s="227">
        <f ca="1"/>
        <v>45693</v>
      </c>
      <c r="M6" s="227">
        <f ca="1"/>
        <v>45694</v>
      </c>
      <c r="N6" s="227">
        <f ca="1"/>
        <v>45695</v>
      </c>
      <c r="O6" s="227">
        <f ca="1"/>
        <v>45696</v>
      </c>
      <c r="P6" s="227">
        <f ca="1"/>
        <v>45718</v>
      </c>
      <c r="Q6" s="227">
        <f ca="1"/>
        <v>45719</v>
      </c>
      <c r="R6" s="227">
        <f ca="1"/>
        <v>45720</v>
      </c>
      <c r="S6" s="227">
        <f ca="1"/>
        <v>45721</v>
      </c>
      <c r="T6" s="227">
        <f ca="1"/>
        <v>45722</v>
      </c>
      <c r="U6" s="227">
        <f ca="1"/>
        <v>45723</v>
      </c>
      <c r="V6" s="227">
        <f ca="1"/>
        <v>45724</v>
      </c>
      <c r="W6" s="227">
        <f ca="1"/>
        <v>45753</v>
      </c>
      <c r="X6" s="227">
        <f ca="1"/>
        <v>45754</v>
      </c>
      <c r="Y6" s="227">
        <f ca="1"/>
        <v>45755</v>
      </c>
      <c r="Z6" s="227">
        <f ca="1"/>
        <v>45756</v>
      </c>
      <c r="AA6" s="227">
        <f ca="1"/>
        <v>45757</v>
      </c>
      <c r="AB6" s="227">
        <f ca="1"/>
        <v>45758</v>
      </c>
      <c r="AC6" s="227">
        <f ca="1"/>
        <v>45759</v>
      </c>
    </row>
    <row r="7" spans="1:35" ht="18" customHeight="1" x14ac:dyDescent="0.2">
      <c r="B7" s="227">
        <f ca="1"/>
        <v>45669</v>
      </c>
      <c r="C7" s="227">
        <f ca="1"/>
        <v>45670</v>
      </c>
      <c r="D7" s="227">
        <f ca="1"/>
        <v>45671</v>
      </c>
      <c r="E7" s="227">
        <f ca="1"/>
        <v>45672</v>
      </c>
      <c r="F7" s="227">
        <f ca="1"/>
        <v>45673</v>
      </c>
      <c r="G7" s="227">
        <f ca="1"/>
        <v>45674</v>
      </c>
      <c r="H7" s="227">
        <f ca="1"/>
        <v>45675</v>
      </c>
      <c r="I7" s="227">
        <f ca="1"/>
        <v>45697</v>
      </c>
      <c r="J7" s="227">
        <f ca="1"/>
        <v>45698</v>
      </c>
      <c r="K7" s="227">
        <f ca="1"/>
        <v>45699</v>
      </c>
      <c r="L7" s="227">
        <f ca="1"/>
        <v>45700</v>
      </c>
      <c r="M7" s="227">
        <f ca="1"/>
        <v>45701</v>
      </c>
      <c r="N7" s="227">
        <f ca="1"/>
        <v>45702</v>
      </c>
      <c r="O7" s="227">
        <f ca="1"/>
        <v>45703</v>
      </c>
      <c r="P7" s="227">
        <f ca="1"/>
        <v>45725</v>
      </c>
      <c r="Q7" s="227">
        <f ca="1"/>
        <v>45726</v>
      </c>
      <c r="R7" s="227">
        <f ca="1"/>
        <v>45727</v>
      </c>
      <c r="S7" s="227">
        <f ca="1"/>
        <v>45728</v>
      </c>
      <c r="T7" s="227">
        <f ca="1"/>
        <v>45729</v>
      </c>
      <c r="U7" s="227">
        <f ca="1"/>
        <v>45730</v>
      </c>
      <c r="V7" s="227">
        <f ca="1"/>
        <v>45731</v>
      </c>
      <c r="W7" s="227">
        <f ca="1"/>
        <v>45760</v>
      </c>
      <c r="X7" s="227">
        <f ca="1"/>
        <v>45761</v>
      </c>
      <c r="Y7" s="227">
        <f ca="1"/>
        <v>45762</v>
      </c>
      <c r="Z7" s="227">
        <f ca="1"/>
        <v>45763</v>
      </c>
      <c r="AA7" s="227">
        <f ca="1"/>
        <v>45764</v>
      </c>
      <c r="AB7" s="227">
        <f ca="1"/>
        <v>45765</v>
      </c>
      <c r="AC7" s="227">
        <f ca="1"/>
        <v>45766</v>
      </c>
    </row>
    <row r="8" spans="1:35" ht="18" customHeight="1" x14ac:dyDescent="0.2">
      <c r="B8" s="227">
        <f ca="1"/>
        <v>45676</v>
      </c>
      <c r="C8" s="227">
        <f ca="1"/>
        <v>45677</v>
      </c>
      <c r="D8" s="227">
        <f ca="1"/>
        <v>45678</v>
      </c>
      <c r="E8" s="227">
        <f ca="1"/>
        <v>45679</v>
      </c>
      <c r="F8" s="227">
        <f ca="1"/>
        <v>45680</v>
      </c>
      <c r="G8" s="227">
        <f ca="1"/>
        <v>45681</v>
      </c>
      <c r="H8" s="227">
        <f ca="1"/>
        <v>45682</v>
      </c>
      <c r="I8" s="227">
        <f ca="1"/>
        <v>45704</v>
      </c>
      <c r="J8" s="227">
        <f ca="1"/>
        <v>45705</v>
      </c>
      <c r="K8" s="227">
        <f ca="1"/>
        <v>45706</v>
      </c>
      <c r="L8" s="227">
        <f ca="1"/>
        <v>45707</v>
      </c>
      <c r="M8" s="227">
        <f ca="1"/>
        <v>45708</v>
      </c>
      <c r="N8" s="227">
        <f ca="1"/>
        <v>45709</v>
      </c>
      <c r="O8" s="227">
        <f ca="1"/>
        <v>45710</v>
      </c>
      <c r="P8" s="227">
        <f ca="1"/>
        <v>45732</v>
      </c>
      <c r="Q8" s="227">
        <f ca="1"/>
        <v>45733</v>
      </c>
      <c r="R8" s="227">
        <f ca="1"/>
        <v>45734</v>
      </c>
      <c r="S8" s="227">
        <f ca="1"/>
        <v>45735</v>
      </c>
      <c r="T8" s="227">
        <f ca="1"/>
        <v>45736</v>
      </c>
      <c r="U8" s="227">
        <f ca="1"/>
        <v>45737</v>
      </c>
      <c r="V8" s="227">
        <f ca="1"/>
        <v>45738</v>
      </c>
      <c r="W8" s="227">
        <f ca="1"/>
        <v>45767</v>
      </c>
      <c r="X8" s="227">
        <f ca="1"/>
        <v>45768</v>
      </c>
      <c r="Y8" s="227">
        <f ca="1"/>
        <v>45769</v>
      </c>
      <c r="Z8" s="227">
        <f ca="1"/>
        <v>45770</v>
      </c>
      <c r="AA8" s="227">
        <f ca="1"/>
        <v>45771</v>
      </c>
      <c r="AB8" s="227">
        <f ca="1"/>
        <v>45772</v>
      </c>
      <c r="AC8" s="227">
        <f ca="1"/>
        <v>45773</v>
      </c>
    </row>
    <row r="9" spans="1:35" ht="18" customHeight="1" x14ac:dyDescent="0.2">
      <c r="B9" s="227">
        <f ca="1"/>
        <v>45683</v>
      </c>
      <c r="C9" s="227">
        <f ca="1"/>
        <v>45684</v>
      </c>
      <c r="D9" s="227">
        <f ca="1"/>
        <v>45685</v>
      </c>
      <c r="E9" s="227">
        <f ca="1"/>
        <v>45686</v>
      </c>
      <c r="F9" s="227">
        <f ca="1"/>
        <v>45687</v>
      </c>
      <c r="G9" s="227">
        <f ca="1"/>
        <v>45688</v>
      </c>
      <c r="H9" s="227">
        <f ca="1"/>
        <v>45689</v>
      </c>
      <c r="I9" s="227">
        <f ca="1"/>
        <v>45711</v>
      </c>
      <c r="J9" s="227">
        <f ca="1"/>
        <v>45712</v>
      </c>
      <c r="K9" s="227">
        <f ca="1"/>
        <v>45713</v>
      </c>
      <c r="L9" s="227">
        <f ca="1"/>
        <v>45714</v>
      </c>
      <c r="M9" s="227">
        <f ca="1"/>
        <v>45715</v>
      </c>
      <c r="N9" s="227">
        <f ca="1"/>
        <v>45716</v>
      </c>
      <c r="O9" s="227">
        <f ca="1"/>
        <v>45717</v>
      </c>
      <c r="P9" s="227">
        <f ca="1"/>
        <v>45739</v>
      </c>
      <c r="Q9" s="227">
        <f ca="1"/>
        <v>45740</v>
      </c>
      <c r="R9" s="227">
        <f ca="1"/>
        <v>45741</v>
      </c>
      <c r="S9" s="227">
        <f ca="1"/>
        <v>45742</v>
      </c>
      <c r="T9" s="227">
        <f ca="1"/>
        <v>45743</v>
      </c>
      <c r="U9" s="227">
        <f ca="1"/>
        <v>45744</v>
      </c>
      <c r="V9" s="227">
        <f ca="1"/>
        <v>45745</v>
      </c>
      <c r="W9" s="227">
        <f ca="1"/>
        <v>45774</v>
      </c>
      <c r="X9" s="227">
        <f ca="1"/>
        <v>45775</v>
      </c>
      <c r="Y9" s="227">
        <f ca="1"/>
        <v>45776</v>
      </c>
      <c r="Z9" s="227">
        <f ca="1"/>
        <v>45777</v>
      </c>
      <c r="AA9" s="227">
        <f ca="1"/>
        <v>45778</v>
      </c>
      <c r="AB9" s="227">
        <f ca="1"/>
        <v>45779</v>
      </c>
      <c r="AC9" s="227">
        <f ca="1"/>
        <v>45780</v>
      </c>
    </row>
    <row r="10" spans="1:35" ht="18" customHeight="1" x14ac:dyDescent="0.2">
      <c r="B10" s="227">
        <f ca="1"/>
        <v>45690</v>
      </c>
      <c r="C10" s="227">
        <f ca="1"/>
        <v>45691</v>
      </c>
      <c r="D10" s="227">
        <f ca="1"/>
        <v>45692</v>
      </c>
      <c r="E10" s="227">
        <f ca="1"/>
        <v>45693</v>
      </c>
      <c r="F10" s="227">
        <f ca="1"/>
        <v>45694</v>
      </c>
      <c r="G10" s="227">
        <f ca="1"/>
        <v>45695</v>
      </c>
      <c r="H10" s="227">
        <f ca="1"/>
        <v>45696</v>
      </c>
      <c r="I10" s="227">
        <f ca="1"/>
        <v>45718</v>
      </c>
      <c r="J10" s="227">
        <f ca="1"/>
        <v>45719</v>
      </c>
      <c r="K10" s="227">
        <f ca="1"/>
        <v>45720</v>
      </c>
      <c r="L10" s="227">
        <f ca="1"/>
        <v>45721</v>
      </c>
      <c r="M10" s="227">
        <f ca="1"/>
        <v>45722</v>
      </c>
      <c r="N10" s="227">
        <f ca="1"/>
        <v>45723</v>
      </c>
      <c r="O10" s="227">
        <f ca="1"/>
        <v>45724</v>
      </c>
      <c r="P10" s="227">
        <f ca="1"/>
        <v>45746</v>
      </c>
      <c r="Q10" s="227">
        <f ca="1"/>
        <v>45747</v>
      </c>
      <c r="R10" s="227">
        <f ca="1"/>
        <v>45748</v>
      </c>
      <c r="S10" s="227">
        <f ca="1"/>
        <v>45749</v>
      </c>
      <c r="T10" s="227">
        <f ca="1"/>
        <v>45750</v>
      </c>
      <c r="U10" s="227">
        <f ca="1"/>
        <v>45751</v>
      </c>
      <c r="V10" s="227">
        <f ca="1"/>
        <v>45752</v>
      </c>
      <c r="W10" s="227">
        <f ca="1"/>
        <v>45781</v>
      </c>
      <c r="X10" s="227">
        <f ca="1"/>
        <v>45782</v>
      </c>
      <c r="Y10" s="227">
        <f ca="1"/>
        <v>45783</v>
      </c>
      <c r="Z10" s="227">
        <f ca="1"/>
        <v>45784</v>
      </c>
      <c r="AA10" s="227">
        <f ca="1"/>
        <v>45785</v>
      </c>
      <c r="AB10" s="227">
        <f ca="1"/>
        <v>45786</v>
      </c>
      <c r="AC10" s="227">
        <f ca="1"/>
        <v>45787</v>
      </c>
    </row>
    <row r="11" spans="1:35" ht="31.5" customHeight="1" x14ac:dyDescent="0.25">
      <c r="B11" s="252" t="str">
        <f ca="1">MonthHeaders</f>
        <v>MAIO</v>
      </c>
      <c r="C11" s="252"/>
      <c r="D11" s="252"/>
      <c r="E11" s="252"/>
      <c r="F11" s="252"/>
      <c r="G11" s="252"/>
      <c r="H11" s="252"/>
      <c r="I11" s="252" t="str">
        <f ca="1">MonthHeaders</f>
        <v>JUNHO</v>
      </c>
      <c r="J11" s="252"/>
      <c r="K11" s="252"/>
      <c r="L11" s="252"/>
      <c r="M11" s="252"/>
      <c r="N11" s="252"/>
      <c r="O11" s="252"/>
      <c r="P11" s="252" t="str">
        <f ca="1">MonthHeaders</f>
        <v>JULHO</v>
      </c>
      <c r="Q11" s="252"/>
      <c r="R11" s="252"/>
      <c r="S11" s="252"/>
      <c r="T11" s="252"/>
      <c r="U11" s="252"/>
      <c r="V11" s="252"/>
      <c r="W11" s="252" t="str">
        <f ca="1">MonthHeaders</f>
        <v>AGOSTO</v>
      </c>
      <c r="X11" s="252"/>
      <c r="Y11" s="252"/>
      <c r="Z11" s="252"/>
      <c r="AA11" s="252"/>
      <c r="AB11" s="252"/>
      <c r="AC11" s="252"/>
    </row>
    <row r="12" spans="1:35" ht="18" customHeight="1" x14ac:dyDescent="0.2">
      <c r="B12" s="226" t="str">
        <f t="array" aca="1" ref="B12:H12" ca="1">DayHeaders</f>
        <v>do</v>
      </c>
      <c r="C12" s="226" t="str">
        <f ca="1"/>
        <v>se</v>
      </c>
      <c r="D12" s="226" t="str">
        <f ca="1"/>
        <v>te</v>
      </c>
      <c r="E12" s="226" t="str">
        <f ca="1"/>
        <v>qu</v>
      </c>
      <c r="F12" s="226" t="str">
        <f ca="1"/>
        <v>qu</v>
      </c>
      <c r="G12" s="226" t="str">
        <f ca="1"/>
        <v>se</v>
      </c>
      <c r="H12" s="226" t="str">
        <f ca="1"/>
        <v>sá</v>
      </c>
      <c r="I12" s="226" t="str">
        <f t="array" aca="1" ref="I12:O12" ca="1">DayHeaders</f>
        <v>do</v>
      </c>
      <c r="J12" s="226" t="str">
        <f ca="1"/>
        <v>se</v>
      </c>
      <c r="K12" s="226" t="str">
        <f ca="1"/>
        <v>te</v>
      </c>
      <c r="L12" s="226" t="str">
        <f ca="1"/>
        <v>qu</v>
      </c>
      <c r="M12" s="226" t="str">
        <f ca="1"/>
        <v>qu</v>
      </c>
      <c r="N12" s="226" t="str">
        <f ca="1"/>
        <v>se</v>
      </c>
      <c r="O12" s="226" t="str">
        <f ca="1"/>
        <v>sá</v>
      </c>
      <c r="P12" s="226" t="str">
        <f t="array" aca="1" ref="P12:V12" ca="1">DayHeaders</f>
        <v>do</v>
      </c>
      <c r="Q12" s="226" t="str">
        <f ca="1"/>
        <v>se</v>
      </c>
      <c r="R12" s="226" t="str">
        <f ca="1"/>
        <v>te</v>
      </c>
      <c r="S12" s="226" t="str">
        <f ca="1"/>
        <v>qu</v>
      </c>
      <c r="T12" s="226" t="str">
        <f ca="1"/>
        <v>qu</v>
      </c>
      <c r="U12" s="226" t="str">
        <f ca="1"/>
        <v>se</v>
      </c>
      <c r="V12" s="226" t="str">
        <f ca="1"/>
        <v>sá</v>
      </c>
      <c r="W12" s="226" t="str">
        <f t="array" aca="1" ref="W12:AC12" ca="1">DayHeaders</f>
        <v>do</v>
      </c>
      <c r="X12" s="226" t="str">
        <f ca="1"/>
        <v>se</v>
      </c>
      <c r="Y12" s="226" t="str">
        <f ca="1"/>
        <v>te</v>
      </c>
      <c r="Z12" s="226" t="str">
        <f ca="1"/>
        <v>qu</v>
      </c>
      <c r="AA12" s="226" t="str">
        <f ca="1"/>
        <v>qu</v>
      </c>
      <c r="AB12" s="226" t="str">
        <f ca="1"/>
        <v>se</v>
      </c>
      <c r="AC12" s="226" t="str">
        <f ca="1"/>
        <v>sá</v>
      </c>
    </row>
    <row r="13" spans="1:35" ht="18" customHeight="1" x14ac:dyDescent="0.2">
      <c r="B13" s="227">
        <f t="array" aca="1" ref="B13:H18" ca="1">May</f>
        <v>45774</v>
      </c>
      <c r="C13" s="227">
        <f ca="1"/>
        <v>45775</v>
      </c>
      <c r="D13" s="227">
        <f ca="1"/>
        <v>45776</v>
      </c>
      <c r="E13" s="227">
        <f ca="1"/>
        <v>45777</v>
      </c>
      <c r="F13" s="227">
        <f ca="1"/>
        <v>45778</v>
      </c>
      <c r="G13" s="227">
        <f ca="1"/>
        <v>45779</v>
      </c>
      <c r="H13" s="227">
        <f ca="1"/>
        <v>45780</v>
      </c>
      <c r="I13" s="227">
        <f t="array" aca="1" ref="I13:O18" ca="1">Jun</f>
        <v>45809</v>
      </c>
      <c r="J13" s="227">
        <f ca="1"/>
        <v>45810</v>
      </c>
      <c r="K13" s="227">
        <f ca="1"/>
        <v>45811</v>
      </c>
      <c r="L13" s="227">
        <f ca="1"/>
        <v>45812</v>
      </c>
      <c r="M13" s="227">
        <f ca="1"/>
        <v>45813</v>
      </c>
      <c r="N13" s="227">
        <f ca="1"/>
        <v>45814</v>
      </c>
      <c r="O13" s="227">
        <f ca="1"/>
        <v>45815</v>
      </c>
      <c r="P13" s="227">
        <f t="array" aca="1" ref="P13:V18" ca="1">Jul</f>
        <v>45837</v>
      </c>
      <c r="Q13" s="227">
        <f ca="1"/>
        <v>45838</v>
      </c>
      <c r="R13" s="227">
        <f ca="1"/>
        <v>45839</v>
      </c>
      <c r="S13" s="227">
        <f ca="1"/>
        <v>45840</v>
      </c>
      <c r="T13" s="227">
        <f ca="1"/>
        <v>45841</v>
      </c>
      <c r="U13" s="227">
        <f ca="1"/>
        <v>45842</v>
      </c>
      <c r="V13" s="227">
        <f ca="1"/>
        <v>45843</v>
      </c>
      <c r="W13" s="227">
        <f t="array" aca="1" ref="W13:AC18" ca="1">Aug</f>
        <v>45865</v>
      </c>
      <c r="X13" s="227">
        <f ca="1"/>
        <v>45866</v>
      </c>
      <c r="Y13" s="227">
        <f ca="1"/>
        <v>45867</v>
      </c>
      <c r="Z13" s="227">
        <f ca="1"/>
        <v>45868</v>
      </c>
      <c r="AA13" s="227">
        <f ca="1"/>
        <v>45869</v>
      </c>
      <c r="AB13" s="227">
        <f ca="1"/>
        <v>45870</v>
      </c>
      <c r="AC13" s="227">
        <f ca="1"/>
        <v>45871</v>
      </c>
    </row>
    <row r="14" spans="1:35" ht="18" customHeight="1" x14ac:dyDescent="0.2">
      <c r="B14" s="227">
        <f ca="1"/>
        <v>45781</v>
      </c>
      <c r="C14" s="227">
        <f ca="1"/>
        <v>45782</v>
      </c>
      <c r="D14" s="227">
        <f ca="1"/>
        <v>45783</v>
      </c>
      <c r="E14" s="227">
        <f ca="1"/>
        <v>45784</v>
      </c>
      <c r="F14" s="227">
        <f ca="1"/>
        <v>45785</v>
      </c>
      <c r="G14" s="227">
        <f ca="1"/>
        <v>45786</v>
      </c>
      <c r="H14" s="227">
        <f ca="1"/>
        <v>45787</v>
      </c>
      <c r="I14" s="227">
        <f ca="1"/>
        <v>45816</v>
      </c>
      <c r="J14" s="227">
        <f ca="1"/>
        <v>45817</v>
      </c>
      <c r="K14" s="227">
        <f ca="1"/>
        <v>45818</v>
      </c>
      <c r="L14" s="227">
        <f ca="1"/>
        <v>45819</v>
      </c>
      <c r="M14" s="227">
        <f ca="1"/>
        <v>45820</v>
      </c>
      <c r="N14" s="227">
        <f ca="1"/>
        <v>45821</v>
      </c>
      <c r="O14" s="227">
        <f ca="1"/>
        <v>45822</v>
      </c>
      <c r="P14" s="227">
        <f ca="1"/>
        <v>45844</v>
      </c>
      <c r="Q14" s="227">
        <f ca="1"/>
        <v>45845</v>
      </c>
      <c r="R14" s="227">
        <f ca="1"/>
        <v>45846</v>
      </c>
      <c r="S14" s="227">
        <f ca="1"/>
        <v>45847</v>
      </c>
      <c r="T14" s="227">
        <f ca="1"/>
        <v>45848</v>
      </c>
      <c r="U14" s="227">
        <f ca="1"/>
        <v>45849</v>
      </c>
      <c r="V14" s="227">
        <f ca="1"/>
        <v>45850</v>
      </c>
      <c r="W14" s="227">
        <f ca="1"/>
        <v>45872</v>
      </c>
      <c r="X14" s="227">
        <f ca="1"/>
        <v>45873</v>
      </c>
      <c r="Y14" s="227">
        <f ca="1"/>
        <v>45874</v>
      </c>
      <c r="Z14" s="227">
        <f ca="1"/>
        <v>45875</v>
      </c>
      <c r="AA14" s="227">
        <f ca="1"/>
        <v>45876</v>
      </c>
      <c r="AB14" s="227">
        <f ca="1"/>
        <v>45877</v>
      </c>
      <c r="AC14" s="227">
        <f ca="1"/>
        <v>45878</v>
      </c>
    </row>
    <row r="15" spans="1:35" ht="18" customHeight="1" x14ac:dyDescent="0.2">
      <c r="B15" s="227">
        <f ca="1"/>
        <v>45788</v>
      </c>
      <c r="C15" s="227">
        <f ca="1"/>
        <v>45789</v>
      </c>
      <c r="D15" s="227">
        <f ca="1"/>
        <v>45790</v>
      </c>
      <c r="E15" s="227">
        <f ca="1"/>
        <v>45791</v>
      </c>
      <c r="F15" s="227">
        <f ca="1"/>
        <v>45792</v>
      </c>
      <c r="G15" s="227">
        <f ca="1"/>
        <v>45793</v>
      </c>
      <c r="H15" s="227">
        <f ca="1"/>
        <v>45794</v>
      </c>
      <c r="I15" s="227">
        <f ca="1"/>
        <v>45823</v>
      </c>
      <c r="J15" s="227">
        <f ca="1"/>
        <v>45824</v>
      </c>
      <c r="K15" s="227">
        <f ca="1"/>
        <v>45825</v>
      </c>
      <c r="L15" s="227">
        <f ca="1"/>
        <v>45826</v>
      </c>
      <c r="M15" s="227">
        <f ca="1"/>
        <v>45827</v>
      </c>
      <c r="N15" s="227">
        <f ca="1"/>
        <v>45828</v>
      </c>
      <c r="O15" s="227">
        <f ca="1"/>
        <v>45829</v>
      </c>
      <c r="P15" s="227">
        <f ca="1"/>
        <v>45851</v>
      </c>
      <c r="Q15" s="227">
        <f ca="1"/>
        <v>45852</v>
      </c>
      <c r="R15" s="227">
        <f ca="1"/>
        <v>45853</v>
      </c>
      <c r="S15" s="227">
        <f ca="1"/>
        <v>45854</v>
      </c>
      <c r="T15" s="227">
        <f ca="1"/>
        <v>45855</v>
      </c>
      <c r="U15" s="227">
        <f ca="1"/>
        <v>45856</v>
      </c>
      <c r="V15" s="227">
        <f ca="1"/>
        <v>45857</v>
      </c>
      <c r="W15" s="227">
        <f ca="1"/>
        <v>45879</v>
      </c>
      <c r="X15" s="227">
        <f ca="1"/>
        <v>45880</v>
      </c>
      <c r="Y15" s="227">
        <f ca="1"/>
        <v>45881</v>
      </c>
      <c r="Z15" s="227">
        <f ca="1"/>
        <v>45882</v>
      </c>
      <c r="AA15" s="227">
        <f ca="1"/>
        <v>45883</v>
      </c>
      <c r="AB15" s="227">
        <f ca="1"/>
        <v>45884</v>
      </c>
      <c r="AC15" s="227">
        <f ca="1"/>
        <v>45885</v>
      </c>
    </row>
    <row r="16" spans="1:35" ht="18" customHeight="1" x14ac:dyDescent="0.2">
      <c r="B16" s="227">
        <f ca="1"/>
        <v>45795</v>
      </c>
      <c r="C16" s="227">
        <f ca="1"/>
        <v>45796</v>
      </c>
      <c r="D16" s="227">
        <f ca="1"/>
        <v>45797</v>
      </c>
      <c r="E16" s="227">
        <f ca="1"/>
        <v>45798</v>
      </c>
      <c r="F16" s="227">
        <f ca="1"/>
        <v>45799</v>
      </c>
      <c r="G16" s="227">
        <f ca="1"/>
        <v>45800</v>
      </c>
      <c r="H16" s="227">
        <f ca="1"/>
        <v>45801</v>
      </c>
      <c r="I16" s="227">
        <f ca="1"/>
        <v>45830</v>
      </c>
      <c r="J16" s="227">
        <f ca="1"/>
        <v>45831</v>
      </c>
      <c r="K16" s="227">
        <f ca="1"/>
        <v>45832</v>
      </c>
      <c r="L16" s="227">
        <f ca="1"/>
        <v>45833</v>
      </c>
      <c r="M16" s="227">
        <f ca="1"/>
        <v>45834</v>
      </c>
      <c r="N16" s="227">
        <f ca="1"/>
        <v>45835</v>
      </c>
      <c r="O16" s="227">
        <f ca="1"/>
        <v>45836</v>
      </c>
      <c r="P16" s="227">
        <f ca="1"/>
        <v>45858</v>
      </c>
      <c r="Q16" s="227">
        <f ca="1"/>
        <v>45859</v>
      </c>
      <c r="R16" s="227">
        <f ca="1"/>
        <v>45860</v>
      </c>
      <c r="S16" s="227">
        <f ca="1"/>
        <v>45861</v>
      </c>
      <c r="T16" s="227">
        <f ca="1"/>
        <v>45862</v>
      </c>
      <c r="U16" s="227">
        <f ca="1"/>
        <v>45863</v>
      </c>
      <c r="V16" s="227">
        <f ca="1"/>
        <v>45864</v>
      </c>
      <c r="W16" s="227">
        <f ca="1"/>
        <v>45886</v>
      </c>
      <c r="X16" s="227">
        <f ca="1"/>
        <v>45887</v>
      </c>
      <c r="Y16" s="227">
        <f ca="1"/>
        <v>45888</v>
      </c>
      <c r="Z16" s="227">
        <f ca="1"/>
        <v>45889</v>
      </c>
      <c r="AA16" s="227">
        <f ca="1"/>
        <v>45890</v>
      </c>
      <c r="AB16" s="227">
        <f ca="1"/>
        <v>45891</v>
      </c>
      <c r="AC16" s="227">
        <f ca="1"/>
        <v>45892</v>
      </c>
    </row>
    <row r="17" spans="2:29" ht="18" customHeight="1" x14ac:dyDescent="0.2">
      <c r="B17" s="227">
        <f ca="1"/>
        <v>45802</v>
      </c>
      <c r="C17" s="227">
        <f ca="1"/>
        <v>45803</v>
      </c>
      <c r="D17" s="227">
        <f ca="1"/>
        <v>45804</v>
      </c>
      <c r="E17" s="227">
        <f ca="1"/>
        <v>45805</v>
      </c>
      <c r="F17" s="227">
        <f ca="1"/>
        <v>45806</v>
      </c>
      <c r="G17" s="227">
        <f ca="1"/>
        <v>45807</v>
      </c>
      <c r="H17" s="227">
        <f ca="1"/>
        <v>45808</v>
      </c>
      <c r="I17" s="227">
        <f ca="1"/>
        <v>45837</v>
      </c>
      <c r="J17" s="227">
        <f ca="1"/>
        <v>45838</v>
      </c>
      <c r="K17" s="227">
        <f ca="1"/>
        <v>45839</v>
      </c>
      <c r="L17" s="227">
        <f ca="1"/>
        <v>45840</v>
      </c>
      <c r="M17" s="227">
        <f ca="1"/>
        <v>45841</v>
      </c>
      <c r="N17" s="227">
        <f ca="1"/>
        <v>45842</v>
      </c>
      <c r="O17" s="227">
        <f ca="1"/>
        <v>45843</v>
      </c>
      <c r="P17" s="227">
        <f ca="1"/>
        <v>45865</v>
      </c>
      <c r="Q17" s="227">
        <f ca="1"/>
        <v>45866</v>
      </c>
      <c r="R17" s="227">
        <f ca="1"/>
        <v>45867</v>
      </c>
      <c r="S17" s="227">
        <f ca="1"/>
        <v>45868</v>
      </c>
      <c r="T17" s="227">
        <f ca="1"/>
        <v>45869</v>
      </c>
      <c r="U17" s="227">
        <f ca="1"/>
        <v>45870</v>
      </c>
      <c r="V17" s="227">
        <f ca="1"/>
        <v>45871</v>
      </c>
      <c r="W17" s="227">
        <f ca="1"/>
        <v>45893</v>
      </c>
      <c r="X17" s="227">
        <f ca="1"/>
        <v>45894</v>
      </c>
      <c r="Y17" s="227">
        <f ca="1"/>
        <v>45895</v>
      </c>
      <c r="Z17" s="227">
        <f ca="1"/>
        <v>45896</v>
      </c>
      <c r="AA17" s="227">
        <f ca="1"/>
        <v>45897</v>
      </c>
      <c r="AB17" s="227">
        <f ca="1"/>
        <v>45898</v>
      </c>
      <c r="AC17" s="227">
        <f ca="1"/>
        <v>45899</v>
      </c>
    </row>
    <row r="18" spans="2:29" ht="18" customHeight="1" x14ac:dyDescent="0.2">
      <c r="B18" s="227">
        <f ca="1"/>
        <v>45809</v>
      </c>
      <c r="C18" s="227">
        <f ca="1"/>
        <v>45810</v>
      </c>
      <c r="D18" s="227">
        <f ca="1"/>
        <v>45811</v>
      </c>
      <c r="E18" s="227">
        <f ca="1"/>
        <v>45812</v>
      </c>
      <c r="F18" s="227">
        <f ca="1"/>
        <v>45813</v>
      </c>
      <c r="G18" s="227">
        <f ca="1"/>
        <v>45814</v>
      </c>
      <c r="H18" s="227">
        <f ca="1"/>
        <v>45815</v>
      </c>
      <c r="I18" s="227">
        <f ca="1"/>
        <v>45844</v>
      </c>
      <c r="J18" s="227">
        <f ca="1"/>
        <v>45845</v>
      </c>
      <c r="K18" s="227">
        <f ca="1"/>
        <v>45846</v>
      </c>
      <c r="L18" s="227">
        <f ca="1"/>
        <v>45847</v>
      </c>
      <c r="M18" s="227">
        <f ca="1"/>
        <v>45848</v>
      </c>
      <c r="N18" s="227">
        <f ca="1"/>
        <v>45849</v>
      </c>
      <c r="O18" s="227">
        <f ca="1"/>
        <v>45850</v>
      </c>
      <c r="P18" s="227">
        <f ca="1"/>
        <v>45872</v>
      </c>
      <c r="Q18" s="227">
        <f ca="1"/>
        <v>45873</v>
      </c>
      <c r="R18" s="227">
        <f ca="1"/>
        <v>45874</v>
      </c>
      <c r="S18" s="227">
        <f ca="1"/>
        <v>45875</v>
      </c>
      <c r="T18" s="227">
        <f ca="1"/>
        <v>45876</v>
      </c>
      <c r="U18" s="227">
        <f ca="1"/>
        <v>45877</v>
      </c>
      <c r="V18" s="227">
        <f ca="1"/>
        <v>45878</v>
      </c>
      <c r="W18" s="227">
        <f ca="1"/>
        <v>45900</v>
      </c>
      <c r="X18" s="227">
        <f ca="1"/>
        <v>45901</v>
      </c>
      <c r="Y18" s="227">
        <f ca="1"/>
        <v>45902</v>
      </c>
      <c r="Z18" s="227">
        <f ca="1"/>
        <v>45903</v>
      </c>
      <c r="AA18" s="227">
        <f ca="1"/>
        <v>45904</v>
      </c>
      <c r="AB18" s="227">
        <f ca="1"/>
        <v>45905</v>
      </c>
      <c r="AC18" s="227">
        <f ca="1"/>
        <v>45906</v>
      </c>
    </row>
    <row r="19" spans="2:29" ht="31.5" customHeight="1" x14ac:dyDescent="0.25">
      <c r="B19" s="252" t="str">
        <f ca="1">MonthHeaders</f>
        <v>SETEMBRO</v>
      </c>
      <c r="C19" s="252"/>
      <c r="D19" s="252"/>
      <c r="E19" s="252"/>
      <c r="F19" s="252"/>
      <c r="G19" s="252"/>
      <c r="H19" s="252"/>
      <c r="I19" s="252" t="str">
        <f ca="1">MonthHeaders</f>
        <v>OUTUBRO</v>
      </c>
      <c r="J19" s="252"/>
      <c r="K19" s="252"/>
      <c r="L19" s="252"/>
      <c r="M19" s="252"/>
      <c r="N19" s="252"/>
      <c r="O19" s="252"/>
      <c r="P19" s="252" t="str">
        <f ca="1">MonthHeaders</f>
        <v>NOVEMBRO</v>
      </c>
      <c r="Q19" s="252"/>
      <c r="R19" s="252"/>
      <c r="S19" s="252"/>
      <c r="T19" s="252"/>
      <c r="U19" s="252"/>
      <c r="V19" s="252"/>
      <c r="W19" s="252" t="str">
        <f ca="1">MonthHeaders</f>
        <v>DEZEMBRO</v>
      </c>
      <c r="X19" s="252"/>
      <c r="Y19" s="252"/>
      <c r="Z19" s="252"/>
      <c r="AA19" s="252"/>
      <c r="AB19" s="252"/>
      <c r="AC19" s="252"/>
    </row>
    <row r="20" spans="2:29" ht="18" customHeight="1" x14ac:dyDescent="0.2">
      <c r="B20" s="226" t="str">
        <f t="array" aca="1" ref="B20:H20" ca="1">DayHeaders</f>
        <v>do</v>
      </c>
      <c r="C20" s="226" t="str">
        <f ca="1"/>
        <v>se</v>
      </c>
      <c r="D20" s="226" t="str">
        <f ca="1"/>
        <v>te</v>
      </c>
      <c r="E20" s="226" t="str">
        <f ca="1"/>
        <v>qu</v>
      </c>
      <c r="F20" s="226" t="str">
        <f ca="1"/>
        <v>qu</v>
      </c>
      <c r="G20" s="226" t="str">
        <f ca="1"/>
        <v>se</v>
      </c>
      <c r="H20" s="226" t="str">
        <f ca="1"/>
        <v>sá</v>
      </c>
      <c r="I20" s="226" t="str">
        <f t="array" aca="1" ref="I20:O20" ca="1">DayHeaders</f>
        <v>do</v>
      </c>
      <c r="J20" s="226" t="str">
        <f ca="1"/>
        <v>se</v>
      </c>
      <c r="K20" s="226" t="str">
        <f ca="1"/>
        <v>te</v>
      </c>
      <c r="L20" s="226" t="str">
        <f ca="1"/>
        <v>qu</v>
      </c>
      <c r="M20" s="226" t="str">
        <f ca="1"/>
        <v>qu</v>
      </c>
      <c r="N20" s="226" t="str">
        <f ca="1"/>
        <v>se</v>
      </c>
      <c r="O20" s="226" t="str">
        <f ca="1"/>
        <v>sá</v>
      </c>
      <c r="P20" s="226" t="str">
        <f t="array" aca="1" ref="P20:V20" ca="1">DayHeaders</f>
        <v>do</v>
      </c>
      <c r="Q20" s="226" t="str">
        <f ca="1"/>
        <v>se</v>
      </c>
      <c r="R20" s="226" t="str">
        <f ca="1"/>
        <v>te</v>
      </c>
      <c r="S20" s="226" t="str">
        <f ca="1"/>
        <v>qu</v>
      </c>
      <c r="T20" s="226" t="str">
        <f ca="1"/>
        <v>qu</v>
      </c>
      <c r="U20" s="226" t="str">
        <f ca="1"/>
        <v>se</v>
      </c>
      <c r="V20" s="226" t="str">
        <f ca="1"/>
        <v>sá</v>
      </c>
      <c r="W20" s="226" t="str">
        <f t="array" aca="1" ref="W20:AC20" ca="1">DayHeaders</f>
        <v>do</v>
      </c>
      <c r="X20" s="226" t="str">
        <f ca="1"/>
        <v>se</v>
      </c>
      <c r="Y20" s="226" t="str">
        <f ca="1"/>
        <v>te</v>
      </c>
      <c r="Z20" s="226" t="str">
        <f ca="1"/>
        <v>qu</v>
      </c>
      <c r="AA20" s="226" t="str">
        <f ca="1"/>
        <v>qu</v>
      </c>
      <c r="AB20" s="226" t="str">
        <f ca="1"/>
        <v>se</v>
      </c>
      <c r="AC20" s="226" t="str">
        <f ca="1"/>
        <v>sá</v>
      </c>
    </row>
    <row r="21" spans="2:29" ht="18" customHeight="1" x14ac:dyDescent="0.2">
      <c r="B21" s="227">
        <f t="array" aca="1" ref="B21:H26" ca="1">Sep</f>
        <v>45900</v>
      </c>
      <c r="C21" s="227">
        <f ca="1"/>
        <v>45901</v>
      </c>
      <c r="D21" s="227">
        <f ca="1"/>
        <v>45902</v>
      </c>
      <c r="E21" s="227">
        <f ca="1"/>
        <v>45903</v>
      </c>
      <c r="F21" s="227">
        <f ca="1"/>
        <v>45904</v>
      </c>
      <c r="G21" s="227">
        <f ca="1"/>
        <v>45905</v>
      </c>
      <c r="H21" s="227">
        <f ca="1"/>
        <v>45906</v>
      </c>
      <c r="I21" s="227">
        <f t="array" aca="1" ref="I21:O26" ca="1">Oct</f>
        <v>45928</v>
      </c>
      <c r="J21" s="227">
        <f ca="1"/>
        <v>45929</v>
      </c>
      <c r="K21" s="227">
        <f ca="1"/>
        <v>45930</v>
      </c>
      <c r="L21" s="227">
        <f ca="1"/>
        <v>45931</v>
      </c>
      <c r="M21" s="227">
        <f ca="1"/>
        <v>45932</v>
      </c>
      <c r="N21" s="227">
        <f ca="1"/>
        <v>45933</v>
      </c>
      <c r="O21" s="227">
        <f ca="1"/>
        <v>45934</v>
      </c>
      <c r="P21" s="227">
        <f t="array" aca="1" ref="P21:V26" ca="1">Nov</f>
        <v>45956</v>
      </c>
      <c r="Q21" s="227">
        <f ca="1"/>
        <v>45957</v>
      </c>
      <c r="R21" s="227">
        <f ca="1"/>
        <v>45958</v>
      </c>
      <c r="S21" s="227">
        <f ca="1"/>
        <v>45959</v>
      </c>
      <c r="T21" s="227">
        <f ca="1"/>
        <v>45960</v>
      </c>
      <c r="U21" s="227">
        <f ca="1"/>
        <v>45961</v>
      </c>
      <c r="V21" s="227">
        <f ca="1"/>
        <v>45962</v>
      </c>
      <c r="W21" s="227">
        <f t="array" aca="1" ref="W21:AC26" ca="1">Dec</f>
        <v>45991</v>
      </c>
      <c r="X21" s="227">
        <f ca="1"/>
        <v>45992</v>
      </c>
      <c r="Y21" s="227">
        <f ca="1"/>
        <v>45993</v>
      </c>
      <c r="Z21" s="227">
        <f ca="1"/>
        <v>45994</v>
      </c>
      <c r="AA21" s="227">
        <f ca="1"/>
        <v>45995</v>
      </c>
      <c r="AB21" s="227">
        <f ca="1"/>
        <v>45996</v>
      </c>
      <c r="AC21" s="227">
        <f ca="1"/>
        <v>45997</v>
      </c>
    </row>
    <row r="22" spans="2:29" ht="18" customHeight="1" x14ac:dyDescent="0.2">
      <c r="B22" s="227">
        <f ca="1"/>
        <v>45907</v>
      </c>
      <c r="C22" s="227">
        <f ca="1"/>
        <v>45908</v>
      </c>
      <c r="D22" s="227">
        <f ca="1"/>
        <v>45909</v>
      </c>
      <c r="E22" s="227">
        <f ca="1"/>
        <v>45910</v>
      </c>
      <c r="F22" s="227">
        <f ca="1"/>
        <v>45911</v>
      </c>
      <c r="G22" s="227">
        <f ca="1"/>
        <v>45912</v>
      </c>
      <c r="H22" s="227">
        <f ca="1"/>
        <v>45913</v>
      </c>
      <c r="I22" s="227">
        <f ca="1"/>
        <v>45935</v>
      </c>
      <c r="J22" s="227">
        <f ca="1"/>
        <v>45936</v>
      </c>
      <c r="K22" s="227">
        <f ca="1"/>
        <v>45937</v>
      </c>
      <c r="L22" s="227">
        <f ca="1"/>
        <v>45938</v>
      </c>
      <c r="M22" s="227">
        <f ca="1"/>
        <v>45939</v>
      </c>
      <c r="N22" s="227">
        <f ca="1"/>
        <v>45940</v>
      </c>
      <c r="O22" s="227">
        <f ca="1"/>
        <v>45941</v>
      </c>
      <c r="P22" s="227">
        <f ca="1"/>
        <v>45963</v>
      </c>
      <c r="Q22" s="227">
        <f ca="1"/>
        <v>45964</v>
      </c>
      <c r="R22" s="227">
        <f ca="1"/>
        <v>45965</v>
      </c>
      <c r="S22" s="227">
        <f ca="1"/>
        <v>45966</v>
      </c>
      <c r="T22" s="227">
        <f ca="1"/>
        <v>45967</v>
      </c>
      <c r="U22" s="227">
        <f ca="1"/>
        <v>45968</v>
      </c>
      <c r="V22" s="227">
        <f ca="1"/>
        <v>45969</v>
      </c>
      <c r="W22" s="227">
        <f ca="1"/>
        <v>45998</v>
      </c>
      <c r="X22" s="227">
        <f ca="1"/>
        <v>45999</v>
      </c>
      <c r="Y22" s="227">
        <f ca="1"/>
        <v>46000</v>
      </c>
      <c r="Z22" s="227">
        <f ca="1"/>
        <v>46001</v>
      </c>
      <c r="AA22" s="227">
        <f ca="1"/>
        <v>46002</v>
      </c>
      <c r="AB22" s="227">
        <f ca="1"/>
        <v>46003</v>
      </c>
      <c r="AC22" s="227">
        <f ca="1"/>
        <v>46004</v>
      </c>
    </row>
    <row r="23" spans="2:29" ht="18" customHeight="1" x14ac:dyDescent="0.2">
      <c r="B23" s="227">
        <f ca="1"/>
        <v>45914</v>
      </c>
      <c r="C23" s="227">
        <f ca="1"/>
        <v>45915</v>
      </c>
      <c r="D23" s="227">
        <f ca="1"/>
        <v>45916</v>
      </c>
      <c r="E23" s="227">
        <f ca="1"/>
        <v>45917</v>
      </c>
      <c r="F23" s="227">
        <f ca="1"/>
        <v>45918</v>
      </c>
      <c r="G23" s="227">
        <f ca="1"/>
        <v>45919</v>
      </c>
      <c r="H23" s="227">
        <f ca="1"/>
        <v>45920</v>
      </c>
      <c r="I23" s="227">
        <f ca="1"/>
        <v>45942</v>
      </c>
      <c r="J23" s="227">
        <f ca="1"/>
        <v>45943</v>
      </c>
      <c r="K23" s="227">
        <f ca="1"/>
        <v>45944</v>
      </c>
      <c r="L23" s="227">
        <f ca="1"/>
        <v>45945</v>
      </c>
      <c r="M23" s="227">
        <f ca="1"/>
        <v>45946</v>
      </c>
      <c r="N23" s="227">
        <f ca="1"/>
        <v>45947</v>
      </c>
      <c r="O23" s="227">
        <f ca="1"/>
        <v>45948</v>
      </c>
      <c r="P23" s="227">
        <f ca="1"/>
        <v>45970</v>
      </c>
      <c r="Q23" s="227">
        <f ca="1"/>
        <v>45971</v>
      </c>
      <c r="R23" s="227">
        <f ca="1"/>
        <v>45972</v>
      </c>
      <c r="S23" s="227">
        <f ca="1"/>
        <v>45973</v>
      </c>
      <c r="T23" s="227">
        <f ca="1"/>
        <v>45974</v>
      </c>
      <c r="U23" s="227">
        <f ca="1"/>
        <v>45975</v>
      </c>
      <c r="V23" s="227">
        <f ca="1"/>
        <v>45976</v>
      </c>
      <c r="W23" s="227">
        <f ca="1"/>
        <v>46005</v>
      </c>
      <c r="X23" s="227">
        <f ca="1"/>
        <v>46006</v>
      </c>
      <c r="Y23" s="227">
        <f ca="1"/>
        <v>46007</v>
      </c>
      <c r="Z23" s="227">
        <f ca="1"/>
        <v>46008</v>
      </c>
      <c r="AA23" s="227">
        <f ca="1"/>
        <v>46009</v>
      </c>
      <c r="AB23" s="227">
        <f ca="1"/>
        <v>46010</v>
      </c>
      <c r="AC23" s="227">
        <f ca="1"/>
        <v>46011</v>
      </c>
    </row>
    <row r="24" spans="2:29" ht="18" customHeight="1" x14ac:dyDescent="0.2">
      <c r="B24" s="227">
        <f ca="1"/>
        <v>45921</v>
      </c>
      <c r="C24" s="227">
        <f ca="1"/>
        <v>45922</v>
      </c>
      <c r="D24" s="227">
        <f ca="1"/>
        <v>45923</v>
      </c>
      <c r="E24" s="227">
        <f ca="1"/>
        <v>45924</v>
      </c>
      <c r="F24" s="227">
        <f ca="1"/>
        <v>45925</v>
      </c>
      <c r="G24" s="227">
        <f ca="1"/>
        <v>45926</v>
      </c>
      <c r="H24" s="227">
        <f ca="1"/>
        <v>45927</v>
      </c>
      <c r="I24" s="227">
        <f ca="1"/>
        <v>45949</v>
      </c>
      <c r="J24" s="227">
        <f ca="1"/>
        <v>45950</v>
      </c>
      <c r="K24" s="227">
        <f ca="1"/>
        <v>45951</v>
      </c>
      <c r="L24" s="227">
        <f ca="1"/>
        <v>45952</v>
      </c>
      <c r="M24" s="227">
        <f ca="1"/>
        <v>45953</v>
      </c>
      <c r="N24" s="227">
        <f ca="1"/>
        <v>45954</v>
      </c>
      <c r="O24" s="227">
        <f ca="1"/>
        <v>45955</v>
      </c>
      <c r="P24" s="227">
        <f ca="1"/>
        <v>45977</v>
      </c>
      <c r="Q24" s="227">
        <f ca="1"/>
        <v>45978</v>
      </c>
      <c r="R24" s="227">
        <f ca="1"/>
        <v>45979</v>
      </c>
      <c r="S24" s="227">
        <f ca="1"/>
        <v>45980</v>
      </c>
      <c r="T24" s="227">
        <f ca="1"/>
        <v>45981</v>
      </c>
      <c r="U24" s="227">
        <f ca="1"/>
        <v>45982</v>
      </c>
      <c r="V24" s="227">
        <f ca="1"/>
        <v>45983</v>
      </c>
      <c r="W24" s="227">
        <f ca="1"/>
        <v>46012</v>
      </c>
      <c r="X24" s="227">
        <f ca="1"/>
        <v>46013</v>
      </c>
      <c r="Y24" s="227">
        <f ca="1"/>
        <v>46014</v>
      </c>
      <c r="Z24" s="227">
        <f ca="1"/>
        <v>46015</v>
      </c>
      <c r="AA24" s="227">
        <f ca="1"/>
        <v>46016</v>
      </c>
      <c r="AB24" s="227">
        <f ca="1"/>
        <v>46017</v>
      </c>
      <c r="AC24" s="227">
        <f ca="1"/>
        <v>46018</v>
      </c>
    </row>
    <row r="25" spans="2:29" ht="18" customHeight="1" x14ac:dyDescent="0.2">
      <c r="B25" s="227">
        <f ca="1"/>
        <v>45928</v>
      </c>
      <c r="C25" s="227">
        <f ca="1"/>
        <v>45929</v>
      </c>
      <c r="D25" s="227">
        <f ca="1"/>
        <v>45930</v>
      </c>
      <c r="E25" s="227">
        <f ca="1"/>
        <v>45931</v>
      </c>
      <c r="F25" s="227">
        <f ca="1"/>
        <v>45932</v>
      </c>
      <c r="G25" s="227">
        <f ca="1"/>
        <v>45933</v>
      </c>
      <c r="H25" s="227">
        <f ca="1"/>
        <v>45934</v>
      </c>
      <c r="I25" s="227">
        <f ca="1"/>
        <v>45956</v>
      </c>
      <c r="J25" s="227">
        <f ca="1"/>
        <v>45957</v>
      </c>
      <c r="K25" s="227">
        <f ca="1"/>
        <v>45958</v>
      </c>
      <c r="L25" s="227">
        <f ca="1"/>
        <v>45959</v>
      </c>
      <c r="M25" s="227">
        <f ca="1"/>
        <v>45960</v>
      </c>
      <c r="N25" s="227">
        <f ca="1"/>
        <v>45961</v>
      </c>
      <c r="O25" s="227">
        <f ca="1"/>
        <v>45962</v>
      </c>
      <c r="P25" s="227">
        <f ca="1"/>
        <v>45984</v>
      </c>
      <c r="Q25" s="227">
        <f ca="1"/>
        <v>45985</v>
      </c>
      <c r="R25" s="227">
        <f ca="1"/>
        <v>45986</v>
      </c>
      <c r="S25" s="227">
        <f ca="1"/>
        <v>45987</v>
      </c>
      <c r="T25" s="227">
        <f ca="1"/>
        <v>45988</v>
      </c>
      <c r="U25" s="227">
        <f ca="1"/>
        <v>45989</v>
      </c>
      <c r="V25" s="227">
        <f ca="1"/>
        <v>45990</v>
      </c>
      <c r="W25" s="227">
        <f ca="1"/>
        <v>46019</v>
      </c>
      <c r="X25" s="227">
        <f ca="1"/>
        <v>46020</v>
      </c>
      <c r="Y25" s="227">
        <f ca="1"/>
        <v>46021</v>
      </c>
      <c r="Z25" s="227">
        <f ca="1"/>
        <v>46022</v>
      </c>
      <c r="AA25" s="227">
        <f ca="1"/>
        <v>46023</v>
      </c>
      <c r="AB25" s="227">
        <f ca="1"/>
        <v>46024</v>
      </c>
      <c r="AC25" s="227">
        <f ca="1"/>
        <v>46025</v>
      </c>
    </row>
    <row r="26" spans="2:29" ht="18" customHeight="1" x14ac:dyDescent="0.2">
      <c r="B26" s="227">
        <f ca="1"/>
        <v>45935</v>
      </c>
      <c r="C26" s="227">
        <f ca="1"/>
        <v>45936</v>
      </c>
      <c r="D26" s="227">
        <f ca="1"/>
        <v>45937</v>
      </c>
      <c r="E26" s="227">
        <f ca="1"/>
        <v>45938</v>
      </c>
      <c r="F26" s="227">
        <f ca="1"/>
        <v>45939</v>
      </c>
      <c r="G26" s="227">
        <f ca="1"/>
        <v>45940</v>
      </c>
      <c r="H26" s="227">
        <f ca="1"/>
        <v>45941</v>
      </c>
      <c r="I26" s="227">
        <f ca="1"/>
        <v>45963</v>
      </c>
      <c r="J26" s="227">
        <f ca="1"/>
        <v>45964</v>
      </c>
      <c r="K26" s="227">
        <f ca="1"/>
        <v>45965</v>
      </c>
      <c r="L26" s="227">
        <f ca="1"/>
        <v>45966</v>
      </c>
      <c r="M26" s="227">
        <f ca="1"/>
        <v>45967</v>
      </c>
      <c r="N26" s="227">
        <f ca="1"/>
        <v>45968</v>
      </c>
      <c r="O26" s="227">
        <f ca="1"/>
        <v>45969</v>
      </c>
      <c r="P26" s="227">
        <f ca="1"/>
        <v>45991</v>
      </c>
      <c r="Q26" s="227">
        <f ca="1"/>
        <v>45992</v>
      </c>
      <c r="R26" s="227">
        <f ca="1"/>
        <v>45993</v>
      </c>
      <c r="S26" s="227">
        <f ca="1"/>
        <v>45994</v>
      </c>
      <c r="T26" s="227">
        <f ca="1"/>
        <v>45995</v>
      </c>
      <c r="U26" s="227">
        <f ca="1"/>
        <v>45996</v>
      </c>
      <c r="V26" s="227">
        <f ca="1"/>
        <v>45997</v>
      </c>
      <c r="W26" s="227">
        <f ca="1"/>
        <v>46026</v>
      </c>
      <c r="X26" s="227">
        <f ca="1"/>
        <v>46027</v>
      </c>
      <c r="Y26" s="227">
        <f ca="1"/>
        <v>46028</v>
      </c>
      <c r="Z26" s="227">
        <f ca="1"/>
        <v>46029</v>
      </c>
      <c r="AA26" s="227">
        <f ca="1"/>
        <v>46030</v>
      </c>
      <c r="AB26" s="227">
        <f ca="1"/>
        <v>46031</v>
      </c>
      <c r="AC26" s="227">
        <f ca="1"/>
        <v>46032</v>
      </c>
    </row>
  </sheetData>
  <mergeCells count="16">
    <mergeCell ref="B1:J1"/>
    <mergeCell ref="K1:O1"/>
    <mergeCell ref="P1:AC1"/>
    <mergeCell ref="B2:AC2"/>
    <mergeCell ref="B3:H3"/>
    <mergeCell ref="I3:O3"/>
    <mergeCell ref="P3:V3"/>
    <mergeCell ref="W3:AC3"/>
    <mergeCell ref="B11:H11"/>
    <mergeCell ref="I11:O11"/>
    <mergeCell ref="P11:V11"/>
    <mergeCell ref="W11:AC11"/>
    <mergeCell ref="B19:H19"/>
    <mergeCell ref="I19:O19"/>
    <mergeCell ref="P19:V19"/>
    <mergeCell ref="W19:AC19"/>
  </mergeCells>
  <conditionalFormatting sqref="B5:H10">
    <cfRule type="expression" dxfId="63" priority="13">
      <formula>MONTH(B5)&lt;&gt;MONTH($B$7)</formula>
    </cfRule>
  </conditionalFormatting>
  <conditionalFormatting sqref="B13:H18">
    <cfRule type="expression" dxfId="62" priority="9">
      <formula>MONTH(B13)&lt;&gt;MONTH($B$15)</formula>
    </cfRule>
  </conditionalFormatting>
  <conditionalFormatting sqref="B21:H26">
    <cfRule type="expression" dxfId="61" priority="5">
      <formula>MONTH(B21)&lt;&gt;MONTH($B$23)</formula>
    </cfRule>
  </conditionalFormatting>
  <conditionalFormatting sqref="I5:O10">
    <cfRule type="expression" dxfId="60" priority="12">
      <formula>MONTH(I5)&lt;&gt;MONTH($I$7)</formula>
    </cfRule>
  </conditionalFormatting>
  <conditionalFormatting sqref="I13:O18">
    <cfRule type="expression" dxfId="59" priority="8">
      <formula>MONTH(I13)&lt;&gt;MONTH($I$15)</formula>
    </cfRule>
  </conditionalFormatting>
  <conditionalFormatting sqref="I21:O26">
    <cfRule type="expression" dxfId="58" priority="4">
      <formula>MONTH(I21)&lt;&gt;MONTH($I$23)</formula>
    </cfRule>
  </conditionalFormatting>
  <conditionalFormatting sqref="P5:V10">
    <cfRule type="expression" dxfId="57" priority="11">
      <formula>MONTH(P5)&lt;&gt;MONTH($P$7)</formula>
    </cfRule>
  </conditionalFormatting>
  <conditionalFormatting sqref="P13:V18">
    <cfRule type="expression" dxfId="56" priority="7">
      <formula>MONTH(P13)&lt;&gt;MONTH($P$15)</formula>
    </cfRule>
  </conditionalFormatting>
  <conditionalFormatting sqref="P21:V26">
    <cfRule type="expression" dxfId="55" priority="3">
      <formula>MONTH(P21)&lt;&gt;MONTH($P$23)</formula>
    </cfRule>
  </conditionalFormatting>
  <conditionalFormatting sqref="W5:AC10">
    <cfRule type="expression" dxfId="54" priority="10">
      <formula>MONTH(W5)&lt;&gt;MONTH($W$7)</formula>
    </cfRule>
  </conditionalFormatting>
  <conditionalFormatting sqref="W13:AC18">
    <cfRule type="expression" dxfId="53" priority="6">
      <formula>MONTH(W13)&lt;&gt;MONTH($W$15)</formula>
    </cfRule>
  </conditionalFormatting>
  <conditionalFormatting sqref="W21:AC26">
    <cfRule type="expression" dxfId="52" priority="2">
      <formula>MONTH(W21)&lt;&gt;MONTH($W$23)</formula>
    </cfRule>
  </conditionalFormatting>
  <dataValidations count="28">
    <dataValidation allowBlank="1" showInputMessage="1" showErrorMessage="1" prompt="Weekdays for the month in cell above are in cells B4 through H4" sqref="B4"/>
    <dataValidation allowBlank="1" showInputMessage="1" showErrorMessage="1" prompt="Weekdays for the month in cell above are in cells I4 through O4" sqref="I4"/>
    <dataValidation allowBlank="1" showInputMessage="1" showErrorMessage="1" prompt="Weekdays for the month in cell above are in cells P4 through V4" sqref="P4"/>
    <dataValidation allowBlank="1" showInputMessage="1" showErrorMessage="1" prompt="Weekdays for the month in cell above are in cells W4 through AC4" sqref="W4"/>
    <dataValidation allowBlank="1" showInputMessage="1" showErrorMessage="1" prompt="Weekdays for the month in cell above are in cells B12 through H12" sqref="B12"/>
    <dataValidation allowBlank="1" showInputMessage="1" showErrorMessage="1" prompt="Weekdays for the month in cell above are in cells I12 through O12" sqref="I12"/>
    <dataValidation allowBlank="1" showInputMessage="1" showErrorMessage="1" prompt="Weekdays for the month in cell above are in cells P12 through V12" sqref="P12"/>
    <dataValidation allowBlank="1" showInputMessage="1" showErrorMessage="1" prompt="Weekdays for the month in cell above are in cells W12 through AC12" sqref="W12"/>
    <dataValidation allowBlank="1" showInputMessage="1" showErrorMessage="1" prompt="Weekdays for the month in cell above are in cells B20 through H20" sqref="B20"/>
    <dataValidation allowBlank="1" showInputMessage="1" showErrorMessage="1" prompt="Weekdays for the month in cell above are in cells I20 through O20" sqref="I20"/>
    <dataValidation allowBlank="1" showInputMessage="1" showErrorMessage="1" prompt="Weekdays for the month in cell above are in cells P20 through V20" sqref="P20"/>
    <dataValidation allowBlank="1" showInputMessage="1" showErrorMessage="1" prompt="Weekdays for the month in cell above are in cells W20 through AC20" sqref="W20"/>
    <dataValidation allowBlank="1" showInputMessage="1" showErrorMessage="1" prompt="Calendar Month is in this cell. Calendar for this month is automatically updated in cells W20 through AC26 and contains dates from previous, current, and next month" sqref="W19:AC19"/>
    <dataValidation allowBlank="1" showInputMessage="1" showErrorMessage="1" prompt="Calendar Month is in this cell. Calendar for this month is automatically updated in cells P20 through V26 and contains dates from previous, current, and next month" sqref="P19:V19"/>
    <dataValidation allowBlank="1" showInputMessage="1" showErrorMessage="1" prompt="Calendar Month is in this cell. Calendar for this month is automatically updated in cells I20 through O26 and contains dates from previous, current, and next month" sqref="I19:O19"/>
    <dataValidation allowBlank="1" showInputMessage="1" showErrorMessage="1" prompt="Calendar Month is in this cell. Calendar for this month is automatically updated in cells B20 through H26 and contains dates from previous, current, and next month" sqref="B19:H19"/>
    <dataValidation allowBlank="1" showInputMessage="1" showErrorMessage="1" prompt="Calendar Month is in this cell. Calendar for this month is automatically updated in cells W12 through AC18 and contains dates from previous, current, and next month" sqref="W11:AC11"/>
    <dataValidation allowBlank="1" showInputMessage="1" showErrorMessage="1" prompt="Calendar Month is in this cell. Calendar for this month is automatically updated in cells P12 through V18 and contains dates from previous, current, and next month" sqref="P11:V11"/>
    <dataValidation allowBlank="1" showInputMessage="1" showErrorMessage="1" prompt="Calendar Month is in this cell. Calendar for this month is automatically updated in cells I12 through O18 and contains dates from previous, current, and next month" sqref="I11:O11"/>
    <dataValidation allowBlank="1" showInputMessage="1" showErrorMessage="1" prompt="Calendar Month is in this cell. Calendar for this month is automatically updated in cells B12 through H18 and contains dates from previous, current, and next month" sqref="B11:H11"/>
    <dataValidation allowBlank="1" showInputMessage="1" showErrorMessage="1" prompt="Calendar Month is in this cell. Calendar for this month is automatically updated in cells W4 through AC10 and contains dates from previous, current, and next month" sqref="W3:AC3"/>
    <dataValidation allowBlank="1" showInputMessage="1" showErrorMessage="1" prompt="Calendar Month is in this cell. Calendar for this month is automatically updated in cells P4 through V10 and contains dates from previous, current, and next month" sqref="P3:V3"/>
    <dataValidation allowBlank="1" showInputMessage="1" showErrorMessage="1" prompt="Calendar Month is in this cell. Calendar for this month is automatically updated in cells I4 through O10 and contains dates from previous, current, and next month" sqref="I3:O3"/>
    <dataValidation allowBlank="1" showInputMessage="1" showErrorMessage="1" prompt="Calendar Month is in this cell. Calendar for this month is automatically updated in cells B4 through H10 and contains dates from previous, current, and next month" sqref="B3:H3"/>
    <dataValidation allowBlank="1" showInputMessage="1" showErrorMessage="1" prompt="Enter Year in this cell. Calendar dates are automatically updated in cells B3 through AC26" sqref="B2:AC2"/>
    <dataValidation allowBlank="1" showInputMessage="1" showErrorMessage="1" prompt="Select First Day of The Week in cell at right, calendar Year in cell below" sqref="B1:J1"/>
    <dataValidation allowBlank="1" showInputMessage="1" showErrorMessage="1" prompt="Create a Full Year Global Calendar in this worksheet. Select first day of the week in cell K1 and enter calendar year in cell B2. Calendar dates update automatically" sqref="A1"/>
    <dataValidation type="list" errorStyle="warning" allowBlank="1" showInputMessage="1" showErrorMessage="1" error="Select First Day of the Week from the list. Select CANCEL, press ALT+DOWN ARROW for options, then DOWN ARROW and ENTER to make selection" prompt="Select First Day of the Week in this cell. Press ALT+DOWN ARROW for options, then DOWN ARROW and ENTER to make selection" sqref="K1:O1">
      <formula1>"SUNDAY,MONDAY,TUESDAY,WEDNESDAY,THURSDAY,FRIDAY,SATURDAY"</formula1>
    </dataValidation>
  </dataValidations>
  <printOptions horizontalCentered="1"/>
  <pageMargins left="0.25" right="0.25" top="0.5" bottom="0.5" header="0.3" footer="0.3"/>
  <pageSetup scale="98" fitToHeight="0" orientation="landscape" r:id="rId1"/>
  <headerFooter differentFirst="1">
    <oddFooter>Page &amp;P of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3"/>
  <sheetViews>
    <sheetView showGridLines="0" topLeftCell="A11" zoomScale="69" zoomScaleNormal="69" zoomScaleSheetLayoutView="70" zoomScalePageLayoutView="70" workbookViewId="0">
      <selection activeCell="E9" sqref="E9"/>
    </sheetView>
  </sheetViews>
  <sheetFormatPr defaultColWidth="7.88671875" defaultRowHeight="18" customHeight="1" x14ac:dyDescent="0.2"/>
  <cols>
    <col min="1" max="1" width="3.33203125" style="221" customWidth="1"/>
    <col min="2" max="2" width="10" style="221" customWidth="1"/>
    <col min="3" max="3" width="13.6640625" style="220" customWidth="1"/>
    <col min="4" max="8" width="29" style="221" customWidth="1"/>
    <col min="9" max="9" width="26.33203125" style="177" customWidth="1"/>
    <col min="10" max="10" width="2" style="177" customWidth="1"/>
    <col min="11" max="16384" width="7.88671875" style="221"/>
  </cols>
  <sheetData>
    <row r="1" spans="2:9" ht="24" customHeight="1" x14ac:dyDescent="0.2">
      <c r="B1" s="176"/>
      <c r="C1" s="176"/>
      <c r="D1" s="176"/>
      <c r="E1" s="176"/>
      <c r="F1" s="176"/>
      <c r="G1" s="176"/>
      <c r="H1" s="176"/>
      <c r="I1" s="176"/>
    </row>
    <row r="2" spans="2:9" ht="72" customHeight="1" x14ac:dyDescent="0.2">
      <c r="B2" s="269" t="s">
        <v>420</v>
      </c>
      <c r="C2" s="269"/>
      <c r="D2" s="269"/>
      <c r="E2" s="269"/>
      <c r="F2" s="269"/>
      <c r="G2" s="269"/>
      <c r="H2" s="269"/>
      <c r="I2" s="269"/>
    </row>
    <row r="3" spans="2:9" ht="24" customHeight="1" x14ac:dyDescent="0.2">
      <c r="B3" s="178"/>
      <c r="C3" s="178"/>
      <c r="D3" s="178"/>
      <c r="E3" s="178"/>
      <c r="F3" s="178"/>
      <c r="G3" s="178"/>
      <c r="H3" s="178"/>
      <c r="I3" s="178"/>
    </row>
    <row r="4" spans="2:9" ht="28.35" customHeight="1" x14ac:dyDescent="0.25">
      <c r="B4" s="179"/>
      <c r="C4" s="180"/>
      <c r="D4" s="181" t="s">
        <v>421</v>
      </c>
      <c r="E4" s="181" t="s">
        <v>422</v>
      </c>
      <c r="F4" s="181" t="s">
        <v>423</v>
      </c>
      <c r="G4" s="181" t="s">
        <v>424</v>
      </c>
      <c r="H4" s="181" t="s">
        <v>425</v>
      </c>
      <c r="I4" s="181" t="s">
        <v>0</v>
      </c>
    </row>
    <row r="5" spans="2:9" ht="30" customHeight="1" x14ac:dyDescent="0.2">
      <c r="B5" s="270" t="s">
        <v>426</v>
      </c>
      <c r="C5" s="257">
        <f ca="1">TODAY()-WEEKDAY(TODAY(),2)+1</f>
        <v>45796</v>
      </c>
      <c r="D5" s="182"/>
      <c r="E5" s="182"/>
      <c r="F5" s="182"/>
      <c r="G5" s="182"/>
      <c r="H5" s="182"/>
      <c r="I5" s="273"/>
    </row>
    <row r="6" spans="2:9" ht="30" customHeight="1" x14ac:dyDescent="0.2">
      <c r="B6" s="271"/>
      <c r="C6" s="258"/>
      <c r="D6" s="183"/>
      <c r="E6" s="184"/>
      <c r="F6" s="184"/>
      <c r="G6" s="184"/>
      <c r="H6" s="184"/>
      <c r="I6" s="274"/>
    </row>
    <row r="7" spans="2:9" ht="30" customHeight="1" x14ac:dyDescent="0.2">
      <c r="B7" s="271"/>
      <c r="C7" s="258"/>
      <c r="D7" s="185"/>
      <c r="E7" s="186"/>
      <c r="F7" s="186"/>
      <c r="G7" s="186"/>
      <c r="H7" s="186"/>
      <c r="I7" s="274"/>
    </row>
    <row r="8" spans="2:9" ht="30" customHeight="1" x14ac:dyDescent="0.2">
      <c r="B8" s="271"/>
      <c r="C8" s="258"/>
      <c r="D8" s="185"/>
      <c r="E8" s="186"/>
      <c r="F8" s="186"/>
      <c r="G8" s="186"/>
      <c r="H8" s="186"/>
      <c r="I8" s="274"/>
    </row>
    <row r="9" spans="2:9" ht="30" customHeight="1" x14ac:dyDescent="0.2">
      <c r="B9" s="272"/>
      <c r="C9" s="259"/>
      <c r="D9" s="187"/>
      <c r="E9" s="188"/>
      <c r="F9" s="188"/>
      <c r="G9" s="188"/>
      <c r="H9" s="188"/>
      <c r="I9" s="275"/>
    </row>
    <row r="10" spans="2:9" ht="30" customHeight="1" x14ac:dyDescent="0.2">
      <c r="B10" s="276" t="s">
        <v>427</v>
      </c>
      <c r="C10" s="299" t="str">
        <f ca="1">(TEXT(WeekStart+1,"mmm dd"))</f>
        <v>mai 20</v>
      </c>
      <c r="D10" s="189"/>
      <c r="E10" s="189"/>
      <c r="F10" s="189"/>
      <c r="G10" s="189"/>
      <c r="H10" s="189"/>
      <c r="I10" s="279"/>
    </row>
    <row r="11" spans="2:9" ht="30" customHeight="1" x14ac:dyDescent="0.2">
      <c r="B11" s="277"/>
      <c r="C11" s="300"/>
      <c r="D11" s="183"/>
      <c r="E11" s="184"/>
      <c r="F11" s="184"/>
      <c r="G11" s="184"/>
      <c r="H11" s="184"/>
      <c r="I11" s="280"/>
    </row>
    <row r="12" spans="2:9" ht="30" customHeight="1" x14ac:dyDescent="0.2">
      <c r="B12" s="277"/>
      <c r="C12" s="300"/>
      <c r="D12" s="185"/>
      <c r="E12" s="186"/>
      <c r="F12" s="186"/>
      <c r="G12" s="186"/>
      <c r="H12" s="186"/>
      <c r="I12" s="280"/>
    </row>
    <row r="13" spans="2:9" ht="30" customHeight="1" x14ac:dyDescent="0.2">
      <c r="B13" s="277"/>
      <c r="C13" s="300"/>
      <c r="D13" s="185"/>
      <c r="E13" s="186"/>
      <c r="F13" s="186"/>
      <c r="G13" s="186"/>
      <c r="H13" s="186"/>
      <c r="I13" s="280"/>
    </row>
    <row r="14" spans="2:9" ht="30" customHeight="1" x14ac:dyDescent="0.2">
      <c r="B14" s="278"/>
      <c r="C14" s="301"/>
      <c r="D14" s="187"/>
      <c r="E14" s="188"/>
      <c r="F14" s="188"/>
      <c r="G14" s="188"/>
      <c r="H14" s="188"/>
      <c r="I14" s="281"/>
    </row>
    <row r="15" spans="2:9" ht="30" customHeight="1" x14ac:dyDescent="0.2">
      <c r="B15" s="282" t="s">
        <v>428</v>
      </c>
      <c r="C15" s="260" t="str">
        <f ca="1">(TEXT(WeekStart+2,"mmm dd"))</f>
        <v>mai 21</v>
      </c>
      <c r="D15" s="190"/>
      <c r="E15" s="191"/>
      <c r="F15" s="191"/>
      <c r="G15" s="191"/>
      <c r="H15" s="191"/>
      <c r="I15" s="285"/>
    </row>
    <row r="16" spans="2:9" ht="30" customHeight="1" x14ac:dyDescent="0.2">
      <c r="B16" s="283"/>
      <c r="C16" s="261"/>
      <c r="D16" s="183"/>
      <c r="E16" s="192"/>
      <c r="F16" s="192"/>
      <c r="G16" s="192"/>
      <c r="H16" s="192"/>
      <c r="I16" s="286"/>
    </row>
    <row r="17" spans="2:9" ht="30" customHeight="1" x14ac:dyDescent="0.2">
      <c r="B17" s="283"/>
      <c r="C17" s="261"/>
      <c r="D17" s="185"/>
      <c r="E17" s="193"/>
      <c r="F17" s="193"/>
      <c r="G17" s="193"/>
      <c r="H17" s="193"/>
      <c r="I17" s="286"/>
    </row>
    <row r="18" spans="2:9" ht="30" customHeight="1" x14ac:dyDescent="0.2">
      <c r="B18" s="283"/>
      <c r="C18" s="261"/>
      <c r="D18" s="185"/>
      <c r="E18" s="193"/>
      <c r="F18" s="193"/>
      <c r="G18" s="193"/>
      <c r="H18" s="193"/>
      <c r="I18" s="286"/>
    </row>
    <row r="19" spans="2:9" ht="30" customHeight="1" x14ac:dyDescent="0.2">
      <c r="B19" s="284"/>
      <c r="C19" s="262"/>
      <c r="D19" s="187"/>
      <c r="E19" s="194"/>
      <c r="F19" s="194"/>
      <c r="G19" s="194"/>
      <c r="H19" s="194"/>
      <c r="I19" s="287"/>
    </row>
    <row r="20" spans="2:9" ht="30" customHeight="1" x14ac:dyDescent="0.2">
      <c r="B20" s="288" t="s">
        <v>429</v>
      </c>
      <c r="C20" s="263" t="str">
        <f ca="1">(TEXT(WeekStart+3,"mmm dd"))</f>
        <v>mai 22</v>
      </c>
      <c r="D20" s="195"/>
      <c r="E20" s="195"/>
      <c r="F20" s="195"/>
      <c r="G20" s="195"/>
      <c r="H20" s="195"/>
      <c r="I20" s="291"/>
    </row>
    <row r="21" spans="2:9" ht="30" customHeight="1" x14ac:dyDescent="0.2">
      <c r="B21" s="289"/>
      <c r="C21" s="264"/>
      <c r="D21" s="196"/>
      <c r="E21" s="197"/>
      <c r="F21" s="197"/>
      <c r="G21" s="198"/>
      <c r="H21" s="197"/>
      <c r="I21" s="292"/>
    </row>
    <row r="22" spans="2:9" ht="30" customHeight="1" x14ac:dyDescent="0.2">
      <c r="B22" s="289"/>
      <c r="C22" s="264"/>
      <c r="D22" s="199"/>
      <c r="E22" s="200"/>
      <c r="F22" s="200"/>
      <c r="G22" s="201"/>
      <c r="H22" s="200"/>
      <c r="I22" s="292"/>
    </row>
    <row r="23" spans="2:9" ht="30" customHeight="1" x14ac:dyDescent="0.2">
      <c r="B23" s="289"/>
      <c r="C23" s="264"/>
      <c r="D23" s="202"/>
      <c r="E23" s="203"/>
      <c r="F23" s="204"/>
      <c r="G23" s="201"/>
      <c r="H23" s="200"/>
      <c r="I23" s="292"/>
    </row>
    <row r="24" spans="2:9" ht="30" customHeight="1" x14ac:dyDescent="0.2">
      <c r="B24" s="290"/>
      <c r="C24" s="265"/>
      <c r="D24" s="205"/>
      <c r="E24" s="203"/>
      <c r="F24" s="203"/>
      <c r="G24" s="206"/>
      <c r="H24" s="204"/>
      <c r="I24" s="293"/>
    </row>
    <row r="25" spans="2:9" ht="30" customHeight="1" x14ac:dyDescent="0.2">
      <c r="B25" s="294" t="s">
        <v>430</v>
      </c>
      <c r="C25" s="266" t="str">
        <f ca="1">(TEXT(WeekStart+4,"mmm dd"))</f>
        <v>mai 23</v>
      </c>
      <c r="D25" s="207"/>
      <c r="E25" s="207"/>
      <c r="F25" s="207"/>
      <c r="G25" s="207"/>
      <c r="H25" s="207"/>
      <c r="I25" s="296"/>
    </row>
    <row r="26" spans="2:9" ht="30" customHeight="1" x14ac:dyDescent="0.2">
      <c r="B26" s="295"/>
      <c r="C26" s="267"/>
      <c r="D26" s="208"/>
      <c r="E26" s="209"/>
      <c r="F26" s="210"/>
      <c r="G26" s="210"/>
      <c r="H26" s="211"/>
      <c r="I26" s="297"/>
    </row>
    <row r="27" spans="2:9" ht="30" customHeight="1" x14ac:dyDescent="0.2">
      <c r="B27" s="295"/>
      <c r="C27" s="267"/>
      <c r="D27" s="212"/>
      <c r="E27" s="213"/>
      <c r="F27" s="214"/>
      <c r="G27" s="214"/>
      <c r="H27" s="215"/>
      <c r="I27" s="297"/>
    </row>
    <row r="28" spans="2:9" ht="30" customHeight="1" x14ac:dyDescent="0.2">
      <c r="B28" s="295"/>
      <c r="C28" s="267"/>
      <c r="D28" s="212"/>
      <c r="E28" s="213"/>
      <c r="F28" s="214"/>
      <c r="G28" s="214"/>
      <c r="H28" s="215"/>
      <c r="I28" s="297"/>
    </row>
    <row r="29" spans="2:9" ht="30" customHeight="1" x14ac:dyDescent="0.2">
      <c r="B29" s="295"/>
      <c r="C29" s="268"/>
      <c r="D29" s="216"/>
      <c r="E29" s="217"/>
      <c r="F29" s="218"/>
      <c r="G29" s="218"/>
      <c r="H29" s="183"/>
      <c r="I29" s="298"/>
    </row>
    <row r="30" spans="2:9" ht="13.35" customHeight="1" x14ac:dyDescent="0.2">
      <c r="B30" s="219"/>
    </row>
    <row r="31" spans="2:9" ht="18" customHeight="1" x14ac:dyDescent="0.2">
      <c r="D31" s="222"/>
    </row>
    <row r="32" spans="2:9" ht="18" customHeight="1" x14ac:dyDescent="0.2">
      <c r="B32" s="221" t="s">
        <v>431</v>
      </c>
    </row>
    <row r="33" spans="2:2" ht="18" customHeight="1" x14ac:dyDescent="0.2">
      <c r="B33" s="221" t="s">
        <v>432</v>
      </c>
    </row>
  </sheetData>
  <mergeCells count="16">
    <mergeCell ref="C5:C9"/>
    <mergeCell ref="C15:C19"/>
    <mergeCell ref="C20:C24"/>
    <mergeCell ref="C25:C29"/>
    <mergeCell ref="B2:I2"/>
    <mergeCell ref="B5:B9"/>
    <mergeCell ref="I5:I9"/>
    <mergeCell ref="B10:B14"/>
    <mergeCell ref="I10:I14"/>
    <mergeCell ref="B15:B19"/>
    <mergeCell ref="I15:I19"/>
    <mergeCell ref="B20:B24"/>
    <mergeCell ref="I20:I24"/>
    <mergeCell ref="B25:B29"/>
    <mergeCell ref="I25:I29"/>
    <mergeCell ref="C10:C14"/>
  </mergeCells>
  <dataValidations count="4">
    <dataValidation allowBlank="1" showInputMessage="1" showErrorMessage="1" promptTitle="Weekly Lesson Planner" prompt="This ready-to-print colorful weekly lesson planner template is designed to help plan a week of lessons for teachers._x000a__x000a_Enter Monday's date in cell C5 and class times in cells D4:H4." sqref="A1"/>
    <dataValidation allowBlank="1" showInputMessage="1" showErrorMessage="1" prompt="Enter Week Date (i-e Monday Date) in cell E4. Dates for this cell will be auto-calculated." sqref="C10 C15 C20 C25"/>
    <dataValidation allowBlank="1" showInputMessage="1" showErrorMessage="1" prompt="Enter Week Date (i-e Monday Date) in this cell. Dates for Grid below will be auto-calculated." sqref="C5"/>
    <dataValidation allowBlank="1" showInputMessage="1" showErrorMessage="1" prompt="Enter Period time in this cell." sqref="D4:H4"/>
  </dataValidations>
  <printOptions horizontalCentered="1"/>
  <pageMargins left="0.25" right="0.25" top="0.5" bottom="0.5" header="0.3" footer="0.3"/>
  <pageSetup scale="58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5"/>
  <sheetViews>
    <sheetView tabSelected="1" workbookViewId="0">
      <selection activeCell="A3" sqref="A3"/>
    </sheetView>
  </sheetViews>
  <sheetFormatPr defaultRowHeight="14.25" x14ac:dyDescent="0.2"/>
  <cols>
    <col min="1" max="1" width="11.88671875" customWidth="1"/>
    <col min="2" max="2" width="15.21875" bestFit="1" customWidth="1"/>
    <col min="4" max="4" width="9.44140625" customWidth="1"/>
    <col min="5" max="5" width="19.33203125" customWidth="1"/>
    <col min="6" max="6" width="20.33203125" customWidth="1"/>
    <col min="7" max="7" width="17.77734375" customWidth="1"/>
    <col min="8" max="8" width="16" customWidth="1"/>
    <col min="9" max="9" width="13.44140625" customWidth="1"/>
    <col min="10" max="10" width="12.6640625" customWidth="1"/>
    <col min="11" max="11" width="13.44140625" customWidth="1"/>
    <col min="13" max="13" width="13.77734375" hidden="1" customWidth="1"/>
    <col min="14" max="18" width="0" hidden="1" customWidth="1"/>
  </cols>
  <sheetData>
    <row r="2" spans="1:18" x14ac:dyDescent="0.2">
      <c r="A2" t="s">
        <v>502</v>
      </c>
      <c r="B2" t="s">
        <v>503</v>
      </c>
      <c r="D2" t="s">
        <v>437</v>
      </c>
      <c r="E2" s="232" t="s">
        <v>495</v>
      </c>
      <c r="F2" s="232" t="s">
        <v>496</v>
      </c>
      <c r="G2" s="232" t="s">
        <v>497</v>
      </c>
      <c r="H2" s="232" t="s">
        <v>498</v>
      </c>
      <c r="I2" s="232" t="s">
        <v>499</v>
      </c>
      <c r="J2" s="232" t="s">
        <v>500</v>
      </c>
      <c r="K2" s="232" t="s">
        <v>501</v>
      </c>
      <c r="M2" s="233" t="e">
        <f t="shared" ref="M2:M33" si="0">VLOOKUP(E3,$A$2:$A$6,1,0)</f>
        <v>#N/A</v>
      </c>
      <c r="N2" s="233" t="e">
        <f t="shared" ref="N2:N33" si="1">VLOOKUP(F3,$A$2:$A$6,1,0)</f>
        <v>#N/A</v>
      </c>
      <c r="O2" s="233" t="e">
        <f t="shared" ref="O2:O33" si="2">VLOOKUP(G3,$A$2:$A$6,1,0)</f>
        <v>#N/A</v>
      </c>
      <c r="P2" s="233" t="e">
        <f t="shared" ref="P2:P33" si="3">VLOOKUP(H3,$A$2:$A$6,1,0)</f>
        <v>#N/A</v>
      </c>
      <c r="Q2" s="233" t="e">
        <f t="shared" ref="Q2:Q33" si="4">VLOOKUP(I3,$A$2:$A$6,1,0)</f>
        <v>#N/A</v>
      </c>
      <c r="R2" s="233" t="e">
        <f t="shared" ref="R2:R33" si="5">VLOOKUP(J3,$A$2:$A$6,1,0)</f>
        <v>#N/A</v>
      </c>
    </row>
    <row r="3" spans="1:18" ht="18.75" x14ac:dyDescent="0.2">
      <c r="A3" s="231">
        <v>45306</v>
      </c>
      <c r="B3" t="s">
        <v>504</v>
      </c>
      <c r="D3" s="235" t="s">
        <v>442</v>
      </c>
      <c r="E3" s="236">
        <v>45292</v>
      </c>
      <c r="F3" s="236">
        <f>E3+1</f>
        <v>45293</v>
      </c>
      <c r="G3" s="236">
        <f>F3+1</f>
        <v>45294</v>
      </c>
      <c r="H3" s="236">
        <f t="shared" ref="H3:K3" si="6">G3+1</f>
        <v>45295</v>
      </c>
      <c r="I3" s="236">
        <f t="shared" si="6"/>
        <v>45296</v>
      </c>
      <c r="J3" s="236">
        <f t="shared" si="6"/>
        <v>45297</v>
      </c>
      <c r="K3" s="236">
        <f t="shared" si="6"/>
        <v>45298</v>
      </c>
      <c r="M3" s="233">
        <f t="shared" si="0"/>
        <v>45299</v>
      </c>
      <c r="N3" s="233" t="e">
        <f t="shared" si="1"/>
        <v>#N/A</v>
      </c>
      <c r="O3" s="233" t="e">
        <f t="shared" si="2"/>
        <v>#N/A</v>
      </c>
      <c r="P3" s="233" t="e">
        <f t="shared" si="3"/>
        <v>#N/A</v>
      </c>
      <c r="Q3" s="233" t="e">
        <f t="shared" si="4"/>
        <v>#N/A</v>
      </c>
      <c r="R3" s="233" t="e">
        <f t="shared" si="5"/>
        <v>#N/A</v>
      </c>
    </row>
    <row r="4" spans="1:18" ht="18.75" x14ac:dyDescent="0.2">
      <c r="A4" s="231">
        <v>45339</v>
      </c>
      <c r="D4" s="235" t="s">
        <v>443</v>
      </c>
      <c r="E4" s="236">
        <f>E3+7</f>
        <v>45299</v>
      </c>
      <c r="F4" s="236">
        <f>F3+7</f>
        <v>45300</v>
      </c>
      <c r="G4" s="236">
        <f t="shared" ref="G4:K19" si="7">G3+7</f>
        <v>45301</v>
      </c>
      <c r="H4" s="236">
        <f t="shared" si="7"/>
        <v>45302</v>
      </c>
      <c r="I4" s="236">
        <f t="shared" si="7"/>
        <v>45303</v>
      </c>
      <c r="J4" s="236">
        <f t="shared" si="7"/>
        <v>45304</v>
      </c>
      <c r="K4" s="236">
        <f t="shared" si="7"/>
        <v>45305</v>
      </c>
      <c r="M4" s="234">
        <f t="shared" si="0"/>
        <v>45306</v>
      </c>
      <c r="N4" s="233" t="e">
        <f t="shared" si="1"/>
        <v>#N/A</v>
      </c>
      <c r="O4" s="233" t="e">
        <f t="shared" si="2"/>
        <v>#N/A</v>
      </c>
      <c r="P4" s="233" t="e">
        <f t="shared" si="3"/>
        <v>#N/A</v>
      </c>
      <c r="Q4" s="233" t="e">
        <f t="shared" si="4"/>
        <v>#N/A</v>
      </c>
      <c r="R4" s="233">
        <f t="shared" si="5"/>
        <v>45311</v>
      </c>
    </row>
    <row r="5" spans="1:18" ht="18.75" x14ac:dyDescent="0.2">
      <c r="A5" s="231">
        <v>45299</v>
      </c>
      <c r="D5" s="235" t="s">
        <v>444</v>
      </c>
      <c r="E5" s="236">
        <f>E4+7</f>
        <v>45306</v>
      </c>
      <c r="F5" s="236">
        <f>F4+7</f>
        <v>45307</v>
      </c>
      <c r="G5" s="236">
        <f t="shared" si="7"/>
        <v>45308</v>
      </c>
      <c r="H5" s="236">
        <f t="shared" si="7"/>
        <v>45309</v>
      </c>
      <c r="I5" s="236">
        <f t="shared" si="7"/>
        <v>45310</v>
      </c>
      <c r="J5" s="236">
        <f t="shared" si="7"/>
        <v>45311</v>
      </c>
      <c r="K5" s="236">
        <f t="shared" si="7"/>
        <v>45312</v>
      </c>
      <c r="M5" s="233" t="e">
        <f t="shared" si="0"/>
        <v>#N/A</v>
      </c>
      <c r="N5" s="233" t="e">
        <f t="shared" si="1"/>
        <v>#N/A</v>
      </c>
      <c r="O5" s="233" t="e">
        <f t="shared" si="2"/>
        <v>#N/A</v>
      </c>
      <c r="P5" s="233" t="e">
        <f t="shared" si="3"/>
        <v>#N/A</v>
      </c>
      <c r="Q5" s="233" t="e">
        <f t="shared" si="4"/>
        <v>#N/A</v>
      </c>
      <c r="R5" s="233" t="e">
        <f t="shared" si="5"/>
        <v>#N/A</v>
      </c>
    </row>
    <row r="6" spans="1:18" ht="18.75" x14ac:dyDescent="0.2">
      <c r="A6" s="231">
        <v>45311</v>
      </c>
      <c r="B6" t="s">
        <v>505</v>
      </c>
      <c r="D6" s="235" t="s">
        <v>445</v>
      </c>
      <c r="E6" s="236">
        <f>E5+7</f>
        <v>45313</v>
      </c>
      <c r="F6" s="236">
        <f t="shared" ref="F6:K55" si="8">F5+7</f>
        <v>45314</v>
      </c>
      <c r="G6" s="236">
        <f t="shared" si="7"/>
        <v>45315</v>
      </c>
      <c r="H6" s="236">
        <f t="shared" si="7"/>
        <v>45316</v>
      </c>
      <c r="I6" s="236">
        <f t="shared" si="7"/>
        <v>45317</v>
      </c>
      <c r="J6" s="236">
        <f t="shared" si="7"/>
        <v>45318</v>
      </c>
      <c r="K6" s="236">
        <f t="shared" si="7"/>
        <v>45319</v>
      </c>
      <c r="M6" s="233" t="e">
        <f t="shared" si="0"/>
        <v>#N/A</v>
      </c>
      <c r="N6" s="233" t="e">
        <f t="shared" si="1"/>
        <v>#N/A</v>
      </c>
      <c r="O6" s="233" t="e">
        <f t="shared" si="2"/>
        <v>#N/A</v>
      </c>
      <c r="P6" s="233" t="e">
        <f t="shared" si="3"/>
        <v>#N/A</v>
      </c>
      <c r="Q6" s="233" t="e">
        <f t="shared" si="4"/>
        <v>#N/A</v>
      </c>
      <c r="R6" s="233" t="e">
        <f t="shared" si="5"/>
        <v>#N/A</v>
      </c>
    </row>
    <row r="7" spans="1:18" ht="18.75" x14ac:dyDescent="0.2">
      <c r="D7" s="235" t="s">
        <v>446</v>
      </c>
      <c r="E7" s="236">
        <f>E6+7</f>
        <v>45320</v>
      </c>
      <c r="F7" s="236">
        <f t="shared" si="8"/>
        <v>45321</v>
      </c>
      <c r="G7" s="236">
        <f t="shared" si="7"/>
        <v>45322</v>
      </c>
      <c r="H7" s="236">
        <f t="shared" si="7"/>
        <v>45323</v>
      </c>
      <c r="I7" s="236">
        <f t="shared" si="7"/>
        <v>45324</v>
      </c>
      <c r="J7" s="236">
        <f t="shared" si="7"/>
        <v>45325</v>
      </c>
      <c r="K7" s="236">
        <f t="shared" si="7"/>
        <v>45326</v>
      </c>
      <c r="M7" s="233" t="e">
        <f t="shared" si="0"/>
        <v>#N/A</v>
      </c>
      <c r="N7" s="233" t="e">
        <f t="shared" si="1"/>
        <v>#N/A</v>
      </c>
      <c r="O7" s="233" t="e">
        <f t="shared" si="2"/>
        <v>#N/A</v>
      </c>
      <c r="P7" s="233" t="e">
        <f t="shared" si="3"/>
        <v>#N/A</v>
      </c>
      <c r="Q7" s="233" t="e">
        <f t="shared" si="4"/>
        <v>#N/A</v>
      </c>
      <c r="R7" s="233" t="e">
        <f t="shared" si="5"/>
        <v>#N/A</v>
      </c>
    </row>
    <row r="8" spans="1:18" ht="18.75" x14ac:dyDescent="0.2">
      <c r="D8" s="235" t="s">
        <v>447</v>
      </c>
      <c r="E8" s="236">
        <f t="shared" ref="E8:E55" si="9">E7+7</f>
        <v>45327</v>
      </c>
      <c r="F8" s="236">
        <f t="shared" si="8"/>
        <v>45328</v>
      </c>
      <c r="G8" s="236">
        <f t="shared" si="7"/>
        <v>45329</v>
      </c>
      <c r="H8" s="236">
        <f t="shared" si="7"/>
        <v>45330</v>
      </c>
      <c r="I8" s="236">
        <f t="shared" si="7"/>
        <v>45331</v>
      </c>
      <c r="J8" s="236">
        <f t="shared" si="7"/>
        <v>45332</v>
      </c>
      <c r="K8" s="236">
        <f t="shared" si="7"/>
        <v>45333</v>
      </c>
      <c r="M8" s="233" t="e">
        <f t="shared" si="0"/>
        <v>#N/A</v>
      </c>
      <c r="N8" s="233" t="e">
        <f t="shared" si="1"/>
        <v>#N/A</v>
      </c>
      <c r="O8" s="233" t="e">
        <f t="shared" si="2"/>
        <v>#N/A</v>
      </c>
      <c r="P8" s="233" t="e">
        <f t="shared" si="3"/>
        <v>#N/A</v>
      </c>
      <c r="Q8" s="233" t="e">
        <f t="shared" si="4"/>
        <v>#N/A</v>
      </c>
      <c r="R8" s="233">
        <f t="shared" si="5"/>
        <v>45339</v>
      </c>
    </row>
    <row r="9" spans="1:18" ht="18.75" x14ac:dyDescent="0.2">
      <c r="D9" s="235" t="s">
        <v>448</v>
      </c>
      <c r="E9" s="236">
        <f t="shared" si="9"/>
        <v>45334</v>
      </c>
      <c r="F9" s="236">
        <f t="shared" si="8"/>
        <v>45335</v>
      </c>
      <c r="G9" s="236">
        <f t="shared" si="7"/>
        <v>45336</v>
      </c>
      <c r="H9" s="236">
        <f t="shared" si="7"/>
        <v>45337</v>
      </c>
      <c r="I9" s="236">
        <f t="shared" si="7"/>
        <v>45338</v>
      </c>
      <c r="J9" s="236">
        <f t="shared" si="7"/>
        <v>45339</v>
      </c>
      <c r="K9" s="236">
        <f t="shared" si="7"/>
        <v>45340</v>
      </c>
      <c r="M9" s="233" t="e">
        <f t="shared" si="0"/>
        <v>#N/A</v>
      </c>
      <c r="N9" s="233" t="e">
        <f t="shared" si="1"/>
        <v>#N/A</v>
      </c>
      <c r="O9" s="233" t="e">
        <f t="shared" si="2"/>
        <v>#N/A</v>
      </c>
      <c r="P9" s="233" t="e">
        <f t="shared" si="3"/>
        <v>#N/A</v>
      </c>
      <c r="Q9" s="233" t="e">
        <f t="shared" si="4"/>
        <v>#N/A</v>
      </c>
      <c r="R9" s="233" t="e">
        <f t="shared" si="5"/>
        <v>#N/A</v>
      </c>
    </row>
    <row r="10" spans="1:18" ht="18.75" x14ac:dyDescent="0.2">
      <c r="D10" s="235" t="s">
        <v>449</v>
      </c>
      <c r="E10" s="236">
        <f t="shared" si="9"/>
        <v>45341</v>
      </c>
      <c r="F10" s="236">
        <f t="shared" si="8"/>
        <v>45342</v>
      </c>
      <c r="G10" s="236">
        <f t="shared" si="7"/>
        <v>45343</v>
      </c>
      <c r="H10" s="236">
        <f t="shared" si="7"/>
        <v>45344</v>
      </c>
      <c r="I10" s="236">
        <f t="shared" si="7"/>
        <v>45345</v>
      </c>
      <c r="J10" s="236">
        <f t="shared" si="7"/>
        <v>45346</v>
      </c>
      <c r="K10" s="236">
        <f t="shared" si="7"/>
        <v>45347</v>
      </c>
      <c r="M10" s="233" t="e">
        <f t="shared" si="0"/>
        <v>#N/A</v>
      </c>
      <c r="N10" s="233" t="e">
        <f t="shared" si="1"/>
        <v>#N/A</v>
      </c>
      <c r="O10" s="233" t="e">
        <f t="shared" si="2"/>
        <v>#N/A</v>
      </c>
      <c r="P10" s="233" t="e">
        <f t="shared" si="3"/>
        <v>#N/A</v>
      </c>
      <c r="Q10" s="233" t="e">
        <f t="shared" si="4"/>
        <v>#N/A</v>
      </c>
      <c r="R10" s="233" t="e">
        <f t="shared" si="5"/>
        <v>#N/A</v>
      </c>
    </row>
    <row r="11" spans="1:18" ht="18.75" x14ac:dyDescent="0.2">
      <c r="D11" s="235" t="s">
        <v>450</v>
      </c>
      <c r="E11" s="236">
        <f t="shared" si="9"/>
        <v>45348</v>
      </c>
      <c r="F11" s="236">
        <f t="shared" si="8"/>
        <v>45349</v>
      </c>
      <c r="G11" s="236">
        <f t="shared" si="7"/>
        <v>45350</v>
      </c>
      <c r="H11" s="236">
        <f t="shared" si="7"/>
        <v>45351</v>
      </c>
      <c r="I11" s="236">
        <f t="shared" si="7"/>
        <v>45352</v>
      </c>
      <c r="J11" s="236">
        <f t="shared" si="7"/>
        <v>45353</v>
      </c>
      <c r="K11" s="236">
        <f t="shared" si="7"/>
        <v>45354</v>
      </c>
      <c r="M11" s="233" t="e">
        <f t="shared" si="0"/>
        <v>#N/A</v>
      </c>
      <c r="N11" s="233" t="e">
        <f t="shared" si="1"/>
        <v>#N/A</v>
      </c>
      <c r="O11" s="233" t="e">
        <f t="shared" si="2"/>
        <v>#N/A</v>
      </c>
      <c r="P11" s="233" t="e">
        <f t="shared" si="3"/>
        <v>#N/A</v>
      </c>
      <c r="Q11" s="233" t="e">
        <f t="shared" si="4"/>
        <v>#N/A</v>
      </c>
      <c r="R11" s="233" t="e">
        <f t="shared" si="5"/>
        <v>#N/A</v>
      </c>
    </row>
    <row r="12" spans="1:18" ht="18.75" x14ac:dyDescent="0.2">
      <c r="D12" s="235" t="s">
        <v>451</v>
      </c>
      <c r="E12" s="236">
        <f t="shared" si="9"/>
        <v>45355</v>
      </c>
      <c r="F12" s="236">
        <f t="shared" si="8"/>
        <v>45356</v>
      </c>
      <c r="G12" s="236">
        <f t="shared" si="7"/>
        <v>45357</v>
      </c>
      <c r="H12" s="236">
        <f t="shared" si="7"/>
        <v>45358</v>
      </c>
      <c r="I12" s="236">
        <f t="shared" si="7"/>
        <v>45359</v>
      </c>
      <c r="J12" s="236">
        <f t="shared" si="7"/>
        <v>45360</v>
      </c>
      <c r="K12" s="236">
        <f t="shared" si="7"/>
        <v>45361</v>
      </c>
      <c r="M12" s="233" t="e">
        <f t="shared" si="0"/>
        <v>#N/A</v>
      </c>
      <c r="N12" s="233" t="e">
        <f t="shared" si="1"/>
        <v>#N/A</v>
      </c>
      <c r="O12" s="233" t="e">
        <f t="shared" si="2"/>
        <v>#N/A</v>
      </c>
      <c r="P12" s="233" t="e">
        <f t="shared" si="3"/>
        <v>#N/A</v>
      </c>
      <c r="Q12" s="233" t="e">
        <f t="shared" si="4"/>
        <v>#N/A</v>
      </c>
      <c r="R12" s="233" t="e">
        <f t="shared" si="5"/>
        <v>#N/A</v>
      </c>
    </row>
    <row r="13" spans="1:18" ht="18.75" x14ac:dyDescent="0.2">
      <c r="D13" s="235" t="s">
        <v>452</v>
      </c>
      <c r="E13" s="236">
        <f t="shared" si="9"/>
        <v>45362</v>
      </c>
      <c r="F13" s="236">
        <f t="shared" si="8"/>
        <v>45363</v>
      </c>
      <c r="G13" s="236">
        <f t="shared" si="7"/>
        <v>45364</v>
      </c>
      <c r="H13" s="236">
        <f t="shared" si="7"/>
        <v>45365</v>
      </c>
      <c r="I13" s="236">
        <f t="shared" si="7"/>
        <v>45366</v>
      </c>
      <c r="J13" s="236">
        <f t="shared" si="7"/>
        <v>45367</v>
      </c>
      <c r="K13" s="236">
        <f t="shared" si="7"/>
        <v>45368</v>
      </c>
      <c r="M13" s="233" t="e">
        <f t="shared" si="0"/>
        <v>#N/A</v>
      </c>
      <c r="N13" s="233" t="e">
        <f t="shared" si="1"/>
        <v>#N/A</v>
      </c>
      <c r="O13" s="233" t="e">
        <f t="shared" si="2"/>
        <v>#N/A</v>
      </c>
      <c r="P13" s="233" t="e">
        <f t="shared" si="3"/>
        <v>#N/A</v>
      </c>
      <c r="Q13" s="233" t="e">
        <f t="shared" si="4"/>
        <v>#N/A</v>
      </c>
      <c r="R13" s="233" t="e">
        <f t="shared" si="5"/>
        <v>#N/A</v>
      </c>
    </row>
    <row r="14" spans="1:18" ht="18.75" x14ac:dyDescent="0.2">
      <c r="D14" s="235" t="s">
        <v>453</v>
      </c>
      <c r="E14" s="236">
        <f t="shared" si="9"/>
        <v>45369</v>
      </c>
      <c r="F14" s="236">
        <f t="shared" si="8"/>
        <v>45370</v>
      </c>
      <c r="G14" s="236">
        <f t="shared" si="7"/>
        <v>45371</v>
      </c>
      <c r="H14" s="236">
        <f t="shared" si="7"/>
        <v>45372</v>
      </c>
      <c r="I14" s="236">
        <f t="shared" si="7"/>
        <v>45373</v>
      </c>
      <c r="J14" s="236">
        <f t="shared" si="7"/>
        <v>45374</v>
      </c>
      <c r="K14" s="236">
        <f t="shared" si="7"/>
        <v>45375</v>
      </c>
      <c r="M14" s="233" t="e">
        <f t="shared" si="0"/>
        <v>#N/A</v>
      </c>
      <c r="N14" s="233" t="e">
        <f t="shared" si="1"/>
        <v>#N/A</v>
      </c>
      <c r="O14" s="233" t="e">
        <f t="shared" si="2"/>
        <v>#N/A</v>
      </c>
      <c r="P14" s="233" t="e">
        <f t="shared" si="3"/>
        <v>#N/A</v>
      </c>
      <c r="Q14" s="233" t="e">
        <f t="shared" si="4"/>
        <v>#N/A</v>
      </c>
      <c r="R14" s="233" t="e">
        <f t="shared" si="5"/>
        <v>#N/A</v>
      </c>
    </row>
    <row r="15" spans="1:18" ht="18.75" x14ac:dyDescent="0.2">
      <c r="D15" s="235" t="s">
        <v>454</v>
      </c>
      <c r="E15" s="236">
        <f t="shared" si="9"/>
        <v>45376</v>
      </c>
      <c r="F15" s="236">
        <f t="shared" si="8"/>
        <v>45377</v>
      </c>
      <c r="G15" s="236">
        <f t="shared" si="7"/>
        <v>45378</v>
      </c>
      <c r="H15" s="236">
        <f t="shared" si="7"/>
        <v>45379</v>
      </c>
      <c r="I15" s="236">
        <f t="shared" si="7"/>
        <v>45380</v>
      </c>
      <c r="J15" s="236">
        <f t="shared" si="7"/>
        <v>45381</v>
      </c>
      <c r="K15" s="236">
        <f t="shared" si="7"/>
        <v>45382</v>
      </c>
      <c r="M15" s="233" t="e">
        <f t="shared" si="0"/>
        <v>#N/A</v>
      </c>
      <c r="N15" s="233" t="e">
        <f t="shared" si="1"/>
        <v>#N/A</v>
      </c>
      <c r="O15" s="233" t="e">
        <f t="shared" si="2"/>
        <v>#N/A</v>
      </c>
      <c r="P15" s="233" t="e">
        <f t="shared" si="3"/>
        <v>#N/A</v>
      </c>
      <c r="Q15" s="233" t="e">
        <f t="shared" si="4"/>
        <v>#N/A</v>
      </c>
      <c r="R15" s="233" t="e">
        <f t="shared" si="5"/>
        <v>#N/A</v>
      </c>
    </row>
    <row r="16" spans="1:18" ht="18.75" x14ac:dyDescent="0.2">
      <c r="D16" s="235" t="s">
        <v>455</v>
      </c>
      <c r="E16" s="236">
        <f t="shared" si="9"/>
        <v>45383</v>
      </c>
      <c r="F16" s="236">
        <f t="shared" si="8"/>
        <v>45384</v>
      </c>
      <c r="G16" s="236">
        <f t="shared" si="7"/>
        <v>45385</v>
      </c>
      <c r="H16" s="236">
        <f t="shared" si="7"/>
        <v>45386</v>
      </c>
      <c r="I16" s="236">
        <f t="shared" si="7"/>
        <v>45387</v>
      </c>
      <c r="J16" s="236">
        <f t="shared" si="7"/>
        <v>45388</v>
      </c>
      <c r="K16" s="236">
        <f t="shared" si="7"/>
        <v>45389</v>
      </c>
      <c r="M16" s="233" t="e">
        <f t="shared" si="0"/>
        <v>#N/A</v>
      </c>
      <c r="N16" s="233" t="e">
        <f t="shared" si="1"/>
        <v>#N/A</v>
      </c>
      <c r="O16" s="233" t="e">
        <f t="shared" si="2"/>
        <v>#N/A</v>
      </c>
      <c r="P16" s="233" t="e">
        <f t="shared" si="3"/>
        <v>#N/A</v>
      </c>
      <c r="Q16" s="233" t="e">
        <f t="shared" si="4"/>
        <v>#N/A</v>
      </c>
      <c r="R16" s="233" t="e">
        <f t="shared" si="5"/>
        <v>#N/A</v>
      </c>
    </row>
    <row r="17" spans="4:18" ht="18.75" x14ac:dyDescent="0.2">
      <c r="D17" s="235" t="s">
        <v>456</v>
      </c>
      <c r="E17" s="236">
        <f t="shared" si="9"/>
        <v>45390</v>
      </c>
      <c r="F17" s="236">
        <f t="shared" si="8"/>
        <v>45391</v>
      </c>
      <c r="G17" s="236">
        <f t="shared" si="7"/>
        <v>45392</v>
      </c>
      <c r="H17" s="236">
        <f t="shared" si="7"/>
        <v>45393</v>
      </c>
      <c r="I17" s="236">
        <f t="shared" si="7"/>
        <v>45394</v>
      </c>
      <c r="J17" s="236">
        <f t="shared" si="7"/>
        <v>45395</v>
      </c>
      <c r="K17" s="236">
        <f t="shared" si="7"/>
        <v>45396</v>
      </c>
      <c r="M17" s="233" t="e">
        <f t="shared" si="0"/>
        <v>#N/A</v>
      </c>
      <c r="N17" s="233" t="e">
        <f t="shared" si="1"/>
        <v>#N/A</v>
      </c>
      <c r="O17" s="233" t="e">
        <f t="shared" si="2"/>
        <v>#N/A</v>
      </c>
      <c r="P17" s="233" t="e">
        <f t="shared" si="3"/>
        <v>#N/A</v>
      </c>
      <c r="Q17" s="233" t="e">
        <f t="shared" si="4"/>
        <v>#N/A</v>
      </c>
      <c r="R17" s="233" t="e">
        <f t="shared" si="5"/>
        <v>#N/A</v>
      </c>
    </row>
    <row r="18" spans="4:18" ht="18.75" x14ac:dyDescent="0.2">
      <c r="D18" s="235" t="s">
        <v>457</v>
      </c>
      <c r="E18" s="236">
        <f t="shared" si="9"/>
        <v>45397</v>
      </c>
      <c r="F18" s="236">
        <f t="shared" si="8"/>
        <v>45398</v>
      </c>
      <c r="G18" s="236">
        <f t="shared" si="7"/>
        <v>45399</v>
      </c>
      <c r="H18" s="236">
        <f t="shared" si="7"/>
        <v>45400</v>
      </c>
      <c r="I18" s="236">
        <f t="shared" si="7"/>
        <v>45401</v>
      </c>
      <c r="J18" s="236">
        <f t="shared" si="7"/>
        <v>45402</v>
      </c>
      <c r="K18" s="236">
        <f t="shared" si="7"/>
        <v>45403</v>
      </c>
      <c r="M18" s="233" t="e">
        <f t="shared" si="0"/>
        <v>#N/A</v>
      </c>
      <c r="N18" s="233" t="e">
        <f t="shared" si="1"/>
        <v>#N/A</v>
      </c>
      <c r="O18" s="233" t="e">
        <f t="shared" si="2"/>
        <v>#N/A</v>
      </c>
      <c r="P18" s="233" t="e">
        <f t="shared" si="3"/>
        <v>#N/A</v>
      </c>
      <c r="Q18" s="233" t="e">
        <f t="shared" si="4"/>
        <v>#N/A</v>
      </c>
      <c r="R18" s="233" t="e">
        <f t="shared" si="5"/>
        <v>#N/A</v>
      </c>
    </row>
    <row r="19" spans="4:18" ht="18.75" x14ac:dyDescent="0.2">
      <c r="D19" s="235" t="s">
        <v>458</v>
      </c>
      <c r="E19" s="236">
        <f t="shared" si="9"/>
        <v>45404</v>
      </c>
      <c r="F19" s="236">
        <f t="shared" si="8"/>
        <v>45405</v>
      </c>
      <c r="G19" s="236">
        <f t="shared" si="7"/>
        <v>45406</v>
      </c>
      <c r="H19" s="236">
        <f t="shared" si="7"/>
        <v>45407</v>
      </c>
      <c r="I19" s="236">
        <f t="shared" si="7"/>
        <v>45408</v>
      </c>
      <c r="J19" s="236">
        <f t="shared" si="7"/>
        <v>45409</v>
      </c>
      <c r="K19" s="236">
        <f t="shared" si="7"/>
        <v>45410</v>
      </c>
      <c r="M19" s="233" t="e">
        <f t="shared" si="0"/>
        <v>#N/A</v>
      </c>
      <c r="N19" s="233" t="e">
        <f t="shared" si="1"/>
        <v>#N/A</v>
      </c>
      <c r="O19" s="233" t="e">
        <f t="shared" si="2"/>
        <v>#N/A</v>
      </c>
      <c r="P19" s="233" t="e">
        <f t="shared" si="3"/>
        <v>#N/A</v>
      </c>
      <c r="Q19" s="233" t="e">
        <f t="shared" si="4"/>
        <v>#N/A</v>
      </c>
      <c r="R19" s="233" t="e">
        <f t="shared" si="5"/>
        <v>#N/A</v>
      </c>
    </row>
    <row r="20" spans="4:18" ht="18.75" x14ac:dyDescent="0.2">
      <c r="D20" s="235" t="s">
        <v>459</v>
      </c>
      <c r="E20" s="236">
        <f t="shared" si="9"/>
        <v>45411</v>
      </c>
      <c r="F20" s="236">
        <f t="shared" si="8"/>
        <v>45412</v>
      </c>
      <c r="G20" s="236">
        <f t="shared" si="8"/>
        <v>45413</v>
      </c>
      <c r="H20" s="236">
        <f t="shared" si="8"/>
        <v>45414</v>
      </c>
      <c r="I20" s="236">
        <f t="shared" si="8"/>
        <v>45415</v>
      </c>
      <c r="J20" s="236">
        <f t="shared" si="8"/>
        <v>45416</v>
      </c>
      <c r="K20" s="236">
        <f t="shared" si="8"/>
        <v>45417</v>
      </c>
      <c r="M20" s="233" t="e">
        <f t="shared" si="0"/>
        <v>#N/A</v>
      </c>
      <c r="N20" s="233" t="e">
        <f t="shared" si="1"/>
        <v>#N/A</v>
      </c>
      <c r="O20" s="233" t="e">
        <f t="shared" si="2"/>
        <v>#N/A</v>
      </c>
      <c r="P20" s="233" t="e">
        <f t="shared" si="3"/>
        <v>#N/A</v>
      </c>
      <c r="Q20" s="233" t="e">
        <f t="shared" si="4"/>
        <v>#N/A</v>
      </c>
      <c r="R20" s="233" t="e">
        <f t="shared" si="5"/>
        <v>#N/A</v>
      </c>
    </row>
    <row r="21" spans="4:18" ht="18.75" x14ac:dyDescent="0.2">
      <c r="D21" s="235" t="s">
        <v>460</v>
      </c>
      <c r="E21" s="236">
        <f t="shared" si="9"/>
        <v>45418</v>
      </c>
      <c r="F21" s="236">
        <f t="shared" si="8"/>
        <v>45419</v>
      </c>
      <c r="G21" s="236">
        <f t="shared" si="8"/>
        <v>45420</v>
      </c>
      <c r="H21" s="236">
        <f t="shared" si="8"/>
        <v>45421</v>
      </c>
      <c r="I21" s="236">
        <f t="shared" si="8"/>
        <v>45422</v>
      </c>
      <c r="J21" s="236">
        <f t="shared" si="8"/>
        <v>45423</v>
      </c>
      <c r="K21" s="236">
        <f t="shared" si="8"/>
        <v>45424</v>
      </c>
      <c r="M21" s="233" t="e">
        <f t="shared" si="0"/>
        <v>#N/A</v>
      </c>
      <c r="N21" s="233" t="e">
        <f t="shared" si="1"/>
        <v>#N/A</v>
      </c>
      <c r="O21" s="233" t="e">
        <f t="shared" si="2"/>
        <v>#N/A</v>
      </c>
      <c r="P21" s="233" t="e">
        <f t="shared" si="3"/>
        <v>#N/A</v>
      </c>
      <c r="Q21" s="233" t="e">
        <f t="shared" si="4"/>
        <v>#N/A</v>
      </c>
      <c r="R21" s="233" t="e">
        <f t="shared" si="5"/>
        <v>#N/A</v>
      </c>
    </row>
    <row r="22" spans="4:18" ht="18.75" x14ac:dyDescent="0.2">
      <c r="D22" s="235" t="s">
        <v>461</v>
      </c>
      <c r="E22" s="236">
        <f t="shared" si="9"/>
        <v>45425</v>
      </c>
      <c r="F22" s="236">
        <f t="shared" si="8"/>
        <v>45426</v>
      </c>
      <c r="G22" s="236">
        <f t="shared" si="8"/>
        <v>45427</v>
      </c>
      <c r="H22" s="236">
        <f t="shared" si="8"/>
        <v>45428</v>
      </c>
      <c r="I22" s="236">
        <f t="shared" si="8"/>
        <v>45429</v>
      </c>
      <c r="J22" s="236">
        <f t="shared" si="8"/>
        <v>45430</v>
      </c>
      <c r="K22" s="236">
        <f t="shared" si="8"/>
        <v>45431</v>
      </c>
      <c r="M22" s="233" t="e">
        <f t="shared" si="0"/>
        <v>#N/A</v>
      </c>
      <c r="N22" s="233" t="e">
        <f t="shared" si="1"/>
        <v>#N/A</v>
      </c>
      <c r="O22" s="233" t="e">
        <f t="shared" si="2"/>
        <v>#N/A</v>
      </c>
      <c r="P22" s="233" t="e">
        <f t="shared" si="3"/>
        <v>#N/A</v>
      </c>
      <c r="Q22" s="233" t="e">
        <f t="shared" si="4"/>
        <v>#N/A</v>
      </c>
      <c r="R22" s="233" t="e">
        <f t="shared" si="5"/>
        <v>#N/A</v>
      </c>
    </row>
    <row r="23" spans="4:18" ht="18.75" x14ac:dyDescent="0.2">
      <c r="D23" s="235" t="s">
        <v>462</v>
      </c>
      <c r="E23" s="236">
        <f t="shared" si="9"/>
        <v>45432</v>
      </c>
      <c r="F23" s="236">
        <f t="shared" si="8"/>
        <v>45433</v>
      </c>
      <c r="G23" s="236">
        <f t="shared" si="8"/>
        <v>45434</v>
      </c>
      <c r="H23" s="236">
        <f t="shared" si="8"/>
        <v>45435</v>
      </c>
      <c r="I23" s="236">
        <f t="shared" si="8"/>
        <v>45436</v>
      </c>
      <c r="J23" s="236">
        <f t="shared" si="8"/>
        <v>45437</v>
      </c>
      <c r="K23" s="236">
        <f t="shared" si="8"/>
        <v>45438</v>
      </c>
      <c r="M23" s="233" t="e">
        <f t="shared" si="0"/>
        <v>#N/A</v>
      </c>
      <c r="N23" s="233" t="e">
        <f t="shared" si="1"/>
        <v>#N/A</v>
      </c>
      <c r="O23" s="233" t="e">
        <f t="shared" si="2"/>
        <v>#N/A</v>
      </c>
      <c r="P23" s="233" t="e">
        <f t="shared" si="3"/>
        <v>#N/A</v>
      </c>
      <c r="Q23" s="233" t="e">
        <f t="shared" si="4"/>
        <v>#N/A</v>
      </c>
      <c r="R23" s="233" t="e">
        <f t="shared" si="5"/>
        <v>#N/A</v>
      </c>
    </row>
    <row r="24" spans="4:18" ht="18.75" x14ac:dyDescent="0.2">
      <c r="D24" s="235" t="s">
        <v>463</v>
      </c>
      <c r="E24" s="236">
        <f t="shared" si="9"/>
        <v>45439</v>
      </c>
      <c r="F24" s="236">
        <f t="shared" si="8"/>
        <v>45440</v>
      </c>
      <c r="G24" s="236">
        <f t="shared" si="8"/>
        <v>45441</v>
      </c>
      <c r="H24" s="236">
        <f t="shared" si="8"/>
        <v>45442</v>
      </c>
      <c r="I24" s="236">
        <f t="shared" si="8"/>
        <v>45443</v>
      </c>
      <c r="J24" s="236">
        <f t="shared" si="8"/>
        <v>45444</v>
      </c>
      <c r="K24" s="236">
        <f t="shared" si="8"/>
        <v>45445</v>
      </c>
      <c r="M24" s="233" t="e">
        <f t="shared" si="0"/>
        <v>#N/A</v>
      </c>
      <c r="N24" s="233" t="e">
        <f t="shared" si="1"/>
        <v>#N/A</v>
      </c>
      <c r="O24" s="233" t="e">
        <f t="shared" si="2"/>
        <v>#N/A</v>
      </c>
      <c r="P24" s="233" t="e">
        <f t="shared" si="3"/>
        <v>#N/A</v>
      </c>
      <c r="Q24" s="233" t="e">
        <f t="shared" si="4"/>
        <v>#N/A</v>
      </c>
      <c r="R24" s="233" t="e">
        <f t="shared" si="5"/>
        <v>#N/A</v>
      </c>
    </row>
    <row r="25" spans="4:18" ht="18.75" x14ac:dyDescent="0.2">
      <c r="D25" s="235" t="s">
        <v>464</v>
      </c>
      <c r="E25" s="236">
        <f t="shared" si="9"/>
        <v>45446</v>
      </c>
      <c r="F25" s="236">
        <f t="shared" si="8"/>
        <v>45447</v>
      </c>
      <c r="G25" s="236">
        <f t="shared" si="8"/>
        <v>45448</v>
      </c>
      <c r="H25" s="236">
        <f t="shared" si="8"/>
        <v>45449</v>
      </c>
      <c r="I25" s="236">
        <f t="shared" si="8"/>
        <v>45450</v>
      </c>
      <c r="J25" s="236">
        <f t="shared" si="8"/>
        <v>45451</v>
      </c>
      <c r="K25" s="236">
        <f t="shared" si="8"/>
        <v>45452</v>
      </c>
      <c r="M25" s="233" t="e">
        <f t="shared" si="0"/>
        <v>#N/A</v>
      </c>
      <c r="N25" s="233" t="e">
        <f t="shared" si="1"/>
        <v>#N/A</v>
      </c>
      <c r="O25" s="233" t="e">
        <f t="shared" si="2"/>
        <v>#N/A</v>
      </c>
      <c r="P25" s="233" t="e">
        <f t="shared" si="3"/>
        <v>#N/A</v>
      </c>
      <c r="Q25" s="233" t="e">
        <f t="shared" si="4"/>
        <v>#N/A</v>
      </c>
      <c r="R25" s="233" t="e">
        <f t="shared" si="5"/>
        <v>#N/A</v>
      </c>
    </row>
    <row r="26" spans="4:18" ht="18.75" x14ac:dyDescent="0.2">
      <c r="D26" s="235" t="s">
        <v>465</v>
      </c>
      <c r="E26" s="236">
        <f t="shared" si="9"/>
        <v>45453</v>
      </c>
      <c r="F26" s="236">
        <f t="shared" si="8"/>
        <v>45454</v>
      </c>
      <c r="G26" s="236">
        <f t="shared" si="8"/>
        <v>45455</v>
      </c>
      <c r="H26" s="236">
        <f t="shared" si="8"/>
        <v>45456</v>
      </c>
      <c r="I26" s="236">
        <f t="shared" si="8"/>
        <v>45457</v>
      </c>
      <c r="J26" s="236">
        <f t="shared" si="8"/>
        <v>45458</v>
      </c>
      <c r="K26" s="236">
        <f t="shared" si="8"/>
        <v>45459</v>
      </c>
      <c r="M26" s="233" t="e">
        <f t="shared" si="0"/>
        <v>#N/A</v>
      </c>
      <c r="N26" s="233" t="e">
        <f t="shared" si="1"/>
        <v>#N/A</v>
      </c>
      <c r="O26" s="233" t="e">
        <f t="shared" si="2"/>
        <v>#N/A</v>
      </c>
      <c r="P26" s="233" t="e">
        <f t="shared" si="3"/>
        <v>#N/A</v>
      </c>
      <c r="Q26" s="233" t="e">
        <f t="shared" si="4"/>
        <v>#N/A</v>
      </c>
      <c r="R26" s="233" t="e">
        <f t="shared" si="5"/>
        <v>#N/A</v>
      </c>
    </row>
    <row r="27" spans="4:18" ht="18.75" x14ac:dyDescent="0.2">
      <c r="D27" s="235" t="s">
        <v>466</v>
      </c>
      <c r="E27" s="236">
        <f t="shared" si="9"/>
        <v>45460</v>
      </c>
      <c r="F27" s="236">
        <f t="shared" si="8"/>
        <v>45461</v>
      </c>
      <c r="G27" s="236">
        <f t="shared" si="8"/>
        <v>45462</v>
      </c>
      <c r="H27" s="236">
        <f t="shared" si="8"/>
        <v>45463</v>
      </c>
      <c r="I27" s="236">
        <f t="shared" si="8"/>
        <v>45464</v>
      </c>
      <c r="J27" s="236">
        <f t="shared" si="8"/>
        <v>45465</v>
      </c>
      <c r="K27" s="236">
        <f t="shared" si="8"/>
        <v>45466</v>
      </c>
      <c r="M27" s="233" t="e">
        <f t="shared" si="0"/>
        <v>#N/A</v>
      </c>
      <c r="N27" s="233" t="e">
        <f t="shared" si="1"/>
        <v>#N/A</v>
      </c>
      <c r="O27" s="233" t="e">
        <f t="shared" si="2"/>
        <v>#N/A</v>
      </c>
      <c r="P27" s="233" t="e">
        <f t="shared" si="3"/>
        <v>#N/A</v>
      </c>
      <c r="Q27" s="233" t="e">
        <f t="shared" si="4"/>
        <v>#N/A</v>
      </c>
      <c r="R27" s="233" t="e">
        <f t="shared" si="5"/>
        <v>#N/A</v>
      </c>
    </row>
    <row r="28" spans="4:18" ht="18.75" x14ac:dyDescent="0.2">
      <c r="D28" s="235" t="s">
        <v>467</v>
      </c>
      <c r="E28" s="236">
        <f t="shared" si="9"/>
        <v>45467</v>
      </c>
      <c r="F28" s="236">
        <f t="shared" si="8"/>
        <v>45468</v>
      </c>
      <c r="G28" s="236">
        <f t="shared" si="8"/>
        <v>45469</v>
      </c>
      <c r="H28" s="236">
        <f t="shared" si="8"/>
        <v>45470</v>
      </c>
      <c r="I28" s="236">
        <f t="shared" si="8"/>
        <v>45471</v>
      </c>
      <c r="J28" s="236">
        <f t="shared" si="8"/>
        <v>45472</v>
      </c>
      <c r="K28" s="236">
        <f t="shared" si="8"/>
        <v>45473</v>
      </c>
      <c r="M28" s="233" t="e">
        <f t="shared" si="0"/>
        <v>#N/A</v>
      </c>
      <c r="N28" s="233" t="e">
        <f t="shared" si="1"/>
        <v>#N/A</v>
      </c>
      <c r="O28" s="233" t="e">
        <f t="shared" si="2"/>
        <v>#N/A</v>
      </c>
      <c r="P28" s="233" t="e">
        <f t="shared" si="3"/>
        <v>#N/A</v>
      </c>
      <c r="Q28" s="233" t="e">
        <f t="shared" si="4"/>
        <v>#N/A</v>
      </c>
      <c r="R28" s="233" t="e">
        <f t="shared" si="5"/>
        <v>#N/A</v>
      </c>
    </row>
    <row r="29" spans="4:18" ht="18.75" x14ac:dyDescent="0.2">
      <c r="D29" s="235" t="s">
        <v>468</v>
      </c>
      <c r="E29" s="236">
        <f t="shared" si="9"/>
        <v>45474</v>
      </c>
      <c r="F29" s="236">
        <f t="shared" si="8"/>
        <v>45475</v>
      </c>
      <c r="G29" s="236">
        <f t="shared" si="8"/>
        <v>45476</v>
      </c>
      <c r="H29" s="236">
        <f t="shared" si="8"/>
        <v>45477</v>
      </c>
      <c r="I29" s="236">
        <f t="shared" si="8"/>
        <v>45478</v>
      </c>
      <c r="J29" s="236">
        <f t="shared" si="8"/>
        <v>45479</v>
      </c>
      <c r="K29" s="236">
        <f t="shared" si="8"/>
        <v>45480</v>
      </c>
      <c r="M29" s="233" t="e">
        <f t="shared" si="0"/>
        <v>#N/A</v>
      </c>
      <c r="N29" s="233" t="e">
        <f t="shared" si="1"/>
        <v>#N/A</v>
      </c>
      <c r="O29" s="233" t="e">
        <f t="shared" si="2"/>
        <v>#N/A</v>
      </c>
      <c r="P29" s="233" t="e">
        <f t="shared" si="3"/>
        <v>#N/A</v>
      </c>
      <c r="Q29" s="233" t="e">
        <f t="shared" si="4"/>
        <v>#N/A</v>
      </c>
      <c r="R29" s="233" t="e">
        <f t="shared" si="5"/>
        <v>#N/A</v>
      </c>
    </row>
    <row r="30" spans="4:18" ht="18.75" x14ac:dyDescent="0.2">
      <c r="D30" s="235" t="s">
        <v>469</v>
      </c>
      <c r="E30" s="236">
        <f t="shared" si="9"/>
        <v>45481</v>
      </c>
      <c r="F30" s="236">
        <f t="shared" si="8"/>
        <v>45482</v>
      </c>
      <c r="G30" s="236">
        <f t="shared" si="8"/>
        <v>45483</v>
      </c>
      <c r="H30" s="236">
        <f t="shared" si="8"/>
        <v>45484</v>
      </c>
      <c r="I30" s="236">
        <f t="shared" si="8"/>
        <v>45485</v>
      </c>
      <c r="J30" s="236">
        <f t="shared" si="8"/>
        <v>45486</v>
      </c>
      <c r="K30" s="236">
        <f t="shared" si="8"/>
        <v>45487</v>
      </c>
      <c r="M30" s="233" t="e">
        <f t="shared" si="0"/>
        <v>#N/A</v>
      </c>
      <c r="N30" s="233" t="e">
        <f t="shared" si="1"/>
        <v>#N/A</v>
      </c>
      <c r="O30" s="233" t="e">
        <f t="shared" si="2"/>
        <v>#N/A</v>
      </c>
      <c r="P30" s="233" t="e">
        <f t="shared" si="3"/>
        <v>#N/A</v>
      </c>
      <c r="Q30" s="233" t="e">
        <f t="shared" si="4"/>
        <v>#N/A</v>
      </c>
      <c r="R30" s="233" t="e">
        <f t="shared" si="5"/>
        <v>#N/A</v>
      </c>
    </row>
    <row r="31" spans="4:18" ht="18.75" x14ac:dyDescent="0.2">
      <c r="D31" s="235" t="s">
        <v>470</v>
      </c>
      <c r="E31" s="236">
        <f t="shared" si="9"/>
        <v>45488</v>
      </c>
      <c r="F31" s="236">
        <f t="shared" si="8"/>
        <v>45489</v>
      </c>
      <c r="G31" s="236">
        <f t="shared" si="8"/>
        <v>45490</v>
      </c>
      <c r="H31" s="236">
        <f t="shared" si="8"/>
        <v>45491</v>
      </c>
      <c r="I31" s="236">
        <f t="shared" si="8"/>
        <v>45492</v>
      </c>
      <c r="J31" s="236">
        <f t="shared" si="8"/>
        <v>45493</v>
      </c>
      <c r="K31" s="236">
        <f t="shared" si="8"/>
        <v>45494</v>
      </c>
      <c r="M31" s="233" t="e">
        <f t="shared" si="0"/>
        <v>#N/A</v>
      </c>
      <c r="N31" s="233" t="e">
        <f t="shared" si="1"/>
        <v>#N/A</v>
      </c>
      <c r="O31" s="233" t="e">
        <f t="shared" si="2"/>
        <v>#N/A</v>
      </c>
      <c r="P31" s="233" t="e">
        <f t="shared" si="3"/>
        <v>#N/A</v>
      </c>
      <c r="Q31" s="233" t="e">
        <f t="shared" si="4"/>
        <v>#N/A</v>
      </c>
      <c r="R31" s="233" t="e">
        <f t="shared" si="5"/>
        <v>#N/A</v>
      </c>
    </row>
    <row r="32" spans="4:18" ht="18.75" x14ac:dyDescent="0.2">
      <c r="D32" s="235" t="s">
        <v>471</v>
      </c>
      <c r="E32" s="236">
        <f t="shared" si="9"/>
        <v>45495</v>
      </c>
      <c r="F32" s="236">
        <f t="shared" si="8"/>
        <v>45496</v>
      </c>
      <c r="G32" s="236">
        <f t="shared" si="8"/>
        <v>45497</v>
      </c>
      <c r="H32" s="236">
        <f t="shared" si="8"/>
        <v>45498</v>
      </c>
      <c r="I32" s="236">
        <f t="shared" si="8"/>
        <v>45499</v>
      </c>
      <c r="J32" s="236">
        <f t="shared" si="8"/>
        <v>45500</v>
      </c>
      <c r="K32" s="236">
        <f t="shared" si="8"/>
        <v>45501</v>
      </c>
      <c r="M32" s="233" t="e">
        <f t="shared" si="0"/>
        <v>#N/A</v>
      </c>
      <c r="N32" s="233" t="e">
        <f t="shared" si="1"/>
        <v>#N/A</v>
      </c>
      <c r="O32" s="233" t="e">
        <f t="shared" si="2"/>
        <v>#N/A</v>
      </c>
      <c r="P32" s="233" t="e">
        <f t="shared" si="3"/>
        <v>#N/A</v>
      </c>
      <c r="Q32" s="233" t="e">
        <f t="shared" si="4"/>
        <v>#N/A</v>
      </c>
      <c r="R32" s="233" t="e">
        <f t="shared" si="5"/>
        <v>#N/A</v>
      </c>
    </row>
    <row r="33" spans="4:18" ht="18.75" x14ac:dyDescent="0.2">
      <c r="D33" s="235" t="s">
        <v>472</v>
      </c>
      <c r="E33" s="236">
        <f t="shared" si="9"/>
        <v>45502</v>
      </c>
      <c r="F33" s="236">
        <f t="shared" si="8"/>
        <v>45503</v>
      </c>
      <c r="G33" s="236">
        <f t="shared" si="8"/>
        <v>45504</v>
      </c>
      <c r="H33" s="236">
        <f t="shared" si="8"/>
        <v>45505</v>
      </c>
      <c r="I33" s="236">
        <f t="shared" si="8"/>
        <v>45506</v>
      </c>
      <c r="J33" s="236">
        <f t="shared" si="8"/>
        <v>45507</v>
      </c>
      <c r="K33" s="236">
        <f t="shared" si="8"/>
        <v>45508</v>
      </c>
      <c r="M33" s="233" t="e">
        <f t="shared" si="0"/>
        <v>#N/A</v>
      </c>
      <c r="N33" s="233" t="e">
        <f t="shared" si="1"/>
        <v>#N/A</v>
      </c>
      <c r="O33" s="233" t="e">
        <f t="shared" si="2"/>
        <v>#N/A</v>
      </c>
      <c r="P33" s="233" t="e">
        <f t="shared" si="3"/>
        <v>#N/A</v>
      </c>
      <c r="Q33" s="233" t="e">
        <f t="shared" si="4"/>
        <v>#N/A</v>
      </c>
      <c r="R33" s="233" t="e">
        <f t="shared" si="5"/>
        <v>#N/A</v>
      </c>
    </row>
    <row r="34" spans="4:18" ht="18.75" x14ac:dyDescent="0.2">
      <c r="D34" s="235" t="s">
        <v>473</v>
      </c>
      <c r="E34" s="236">
        <f t="shared" si="9"/>
        <v>45509</v>
      </c>
      <c r="F34" s="236">
        <f t="shared" si="8"/>
        <v>45510</v>
      </c>
      <c r="G34" s="236">
        <f t="shared" si="8"/>
        <v>45511</v>
      </c>
      <c r="H34" s="236">
        <f t="shared" si="8"/>
        <v>45512</v>
      </c>
      <c r="I34" s="236">
        <f t="shared" si="8"/>
        <v>45513</v>
      </c>
      <c r="J34" s="236">
        <f t="shared" si="8"/>
        <v>45514</v>
      </c>
      <c r="K34" s="236">
        <f t="shared" si="8"/>
        <v>45515</v>
      </c>
      <c r="M34" s="233" t="e">
        <f t="shared" ref="M34:M55" si="10">VLOOKUP(E35,$A$2:$A$6,1,0)</f>
        <v>#N/A</v>
      </c>
      <c r="N34" s="233" t="e">
        <f t="shared" ref="N34:N55" si="11">VLOOKUP(F35,$A$2:$A$6,1,0)</f>
        <v>#N/A</v>
      </c>
      <c r="O34" s="233" t="e">
        <f t="shared" ref="O34:O55" si="12">VLOOKUP(G35,$A$2:$A$6,1,0)</f>
        <v>#N/A</v>
      </c>
      <c r="P34" s="233" t="e">
        <f t="shared" ref="P34:P55" si="13">VLOOKUP(H35,$A$2:$A$6,1,0)</f>
        <v>#N/A</v>
      </c>
      <c r="Q34" s="233" t="e">
        <f t="shared" ref="Q34:Q55" si="14">VLOOKUP(I35,$A$2:$A$6,1,0)</f>
        <v>#N/A</v>
      </c>
      <c r="R34" s="233" t="e">
        <f t="shared" ref="R34:R55" si="15">VLOOKUP(J35,$A$2:$A$6,1,0)</f>
        <v>#N/A</v>
      </c>
    </row>
    <row r="35" spans="4:18" ht="18.75" x14ac:dyDescent="0.2">
      <c r="D35" s="235" t="s">
        <v>474</v>
      </c>
      <c r="E35" s="236">
        <f t="shared" si="9"/>
        <v>45516</v>
      </c>
      <c r="F35" s="236">
        <f t="shared" si="8"/>
        <v>45517</v>
      </c>
      <c r="G35" s="236">
        <f t="shared" si="8"/>
        <v>45518</v>
      </c>
      <c r="H35" s="236">
        <f t="shared" si="8"/>
        <v>45519</v>
      </c>
      <c r="I35" s="236">
        <f t="shared" si="8"/>
        <v>45520</v>
      </c>
      <c r="J35" s="236">
        <f t="shared" si="8"/>
        <v>45521</v>
      </c>
      <c r="K35" s="236">
        <f t="shared" si="8"/>
        <v>45522</v>
      </c>
      <c r="M35" s="233" t="e">
        <f t="shared" si="10"/>
        <v>#N/A</v>
      </c>
      <c r="N35" s="233" t="e">
        <f t="shared" si="11"/>
        <v>#N/A</v>
      </c>
      <c r="O35" s="233" t="e">
        <f t="shared" si="12"/>
        <v>#N/A</v>
      </c>
      <c r="P35" s="233" t="e">
        <f t="shared" si="13"/>
        <v>#N/A</v>
      </c>
      <c r="Q35" s="233" t="e">
        <f t="shared" si="14"/>
        <v>#N/A</v>
      </c>
      <c r="R35" s="233" t="e">
        <f t="shared" si="15"/>
        <v>#N/A</v>
      </c>
    </row>
    <row r="36" spans="4:18" ht="18.75" x14ac:dyDescent="0.2">
      <c r="D36" s="235" t="s">
        <v>475</v>
      </c>
      <c r="E36" s="236">
        <f t="shared" si="9"/>
        <v>45523</v>
      </c>
      <c r="F36" s="236">
        <f t="shared" si="8"/>
        <v>45524</v>
      </c>
      <c r="G36" s="236">
        <f t="shared" si="8"/>
        <v>45525</v>
      </c>
      <c r="H36" s="236">
        <f t="shared" si="8"/>
        <v>45526</v>
      </c>
      <c r="I36" s="236">
        <f t="shared" si="8"/>
        <v>45527</v>
      </c>
      <c r="J36" s="236">
        <f t="shared" si="8"/>
        <v>45528</v>
      </c>
      <c r="K36" s="236">
        <f t="shared" si="8"/>
        <v>45529</v>
      </c>
      <c r="M36" s="233" t="e">
        <f t="shared" si="10"/>
        <v>#N/A</v>
      </c>
      <c r="N36" s="233" t="e">
        <f t="shared" si="11"/>
        <v>#N/A</v>
      </c>
      <c r="O36" s="233" t="e">
        <f t="shared" si="12"/>
        <v>#N/A</v>
      </c>
      <c r="P36" s="233" t="e">
        <f t="shared" si="13"/>
        <v>#N/A</v>
      </c>
      <c r="Q36" s="233" t="e">
        <f t="shared" si="14"/>
        <v>#N/A</v>
      </c>
      <c r="R36" s="233" t="e">
        <f t="shared" si="15"/>
        <v>#N/A</v>
      </c>
    </row>
    <row r="37" spans="4:18" ht="18.75" x14ac:dyDescent="0.2">
      <c r="D37" s="235" t="s">
        <v>476</v>
      </c>
      <c r="E37" s="236">
        <f t="shared" si="9"/>
        <v>45530</v>
      </c>
      <c r="F37" s="236">
        <f t="shared" si="8"/>
        <v>45531</v>
      </c>
      <c r="G37" s="236">
        <f t="shared" si="8"/>
        <v>45532</v>
      </c>
      <c r="H37" s="236">
        <f t="shared" si="8"/>
        <v>45533</v>
      </c>
      <c r="I37" s="236">
        <f t="shared" si="8"/>
        <v>45534</v>
      </c>
      <c r="J37" s="236">
        <f t="shared" si="8"/>
        <v>45535</v>
      </c>
      <c r="K37" s="236">
        <f t="shared" si="8"/>
        <v>45536</v>
      </c>
      <c r="M37" s="233" t="e">
        <f t="shared" si="10"/>
        <v>#N/A</v>
      </c>
      <c r="N37" s="233" t="e">
        <f t="shared" si="11"/>
        <v>#N/A</v>
      </c>
      <c r="O37" s="233" t="e">
        <f t="shared" si="12"/>
        <v>#N/A</v>
      </c>
      <c r="P37" s="233" t="e">
        <f t="shared" si="13"/>
        <v>#N/A</v>
      </c>
      <c r="Q37" s="233" t="e">
        <f t="shared" si="14"/>
        <v>#N/A</v>
      </c>
      <c r="R37" s="233" t="e">
        <f t="shared" si="15"/>
        <v>#N/A</v>
      </c>
    </row>
    <row r="38" spans="4:18" ht="18.75" x14ac:dyDescent="0.2">
      <c r="D38" s="235" t="s">
        <v>477</v>
      </c>
      <c r="E38" s="236">
        <f t="shared" si="9"/>
        <v>45537</v>
      </c>
      <c r="F38" s="236">
        <f t="shared" si="8"/>
        <v>45538</v>
      </c>
      <c r="G38" s="236">
        <f t="shared" si="8"/>
        <v>45539</v>
      </c>
      <c r="H38" s="236">
        <f t="shared" si="8"/>
        <v>45540</v>
      </c>
      <c r="I38" s="236">
        <f t="shared" si="8"/>
        <v>45541</v>
      </c>
      <c r="J38" s="236">
        <f t="shared" si="8"/>
        <v>45542</v>
      </c>
      <c r="K38" s="236">
        <f t="shared" si="8"/>
        <v>45543</v>
      </c>
      <c r="M38" s="233" t="e">
        <f t="shared" si="10"/>
        <v>#N/A</v>
      </c>
      <c r="N38" s="233" t="e">
        <f t="shared" si="11"/>
        <v>#N/A</v>
      </c>
      <c r="O38" s="233" t="e">
        <f t="shared" si="12"/>
        <v>#N/A</v>
      </c>
      <c r="P38" s="233" t="e">
        <f t="shared" si="13"/>
        <v>#N/A</v>
      </c>
      <c r="Q38" s="233" t="e">
        <f t="shared" si="14"/>
        <v>#N/A</v>
      </c>
      <c r="R38" s="233" t="e">
        <f t="shared" si="15"/>
        <v>#N/A</v>
      </c>
    </row>
    <row r="39" spans="4:18" ht="18.75" x14ac:dyDescent="0.2">
      <c r="D39" s="235" t="s">
        <v>478</v>
      </c>
      <c r="E39" s="236">
        <f t="shared" si="9"/>
        <v>45544</v>
      </c>
      <c r="F39" s="236">
        <f t="shared" si="8"/>
        <v>45545</v>
      </c>
      <c r="G39" s="236">
        <f t="shared" si="8"/>
        <v>45546</v>
      </c>
      <c r="H39" s="236">
        <f t="shared" si="8"/>
        <v>45547</v>
      </c>
      <c r="I39" s="236">
        <f t="shared" si="8"/>
        <v>45548</v>
      </c>
      <c r="J39" s="236">
        <f t="shared" si="8"/>
        <v>45549</v>
      </c>
      <c r="K39" s="236">
        <f t="shared" si="8"/>
        <v>45550</v>
      </c>
      <c r="M39" s="233" t="e">
        <f t="shared" si="10"/>
        <v>#N/A</v>
      </c>
      <c r="N39" s="233" t="e">
        <f t="shared" si="11"/>
        <v>#N/A</v>
      </c>
      <c r="O39" s="233" t="e">
        <f t="shared" si="12"/>
        <v>#N/A</v>
      </c>
      <c r="P39" s="233" t="e">
        <f t="shared" si="13"/>
        <v>#N/A</v>
      </c>
      <c r="Q39" s="233" t="e">
        <f t="shared" si="14"/>
        <v>#N/A</v>
      </c>
      <c r="R39" s="233" t="e">
        <f t="shared" si="15"/>
        <v>#N/A</v>
      </c>
    </row>
    <row r="40" spans="4:18" ht="18.75" x14ac:dyDescent="0.2">
      <c r="D40" s="235" t="s">
        <v>479</v>
      </c>
      <c r="E40" s="236">
        <f t="shared" si="9"/>
        <v>45551</v>
      </c>
      <c r="F40" s="236">
        <f t="shared" si="8"/>
        <v>45552</v>
      </c>
      <c r="G40" s="236">
        <f t="shared" si="8"/>
        <v>45553</v>
      </c>
      <c r="H40" s="236">
        <f t="shared" si="8"/>
        <v>45554</v>
      </c>
      <c r="I40" s="236">
        <f t="shared" si="8"/>
        <v>45555</v>
      </c>
      <c r="J40" s="236">
        <f t="shared" si="8"/>
        <v>45556</v>
      </c>
      <c r="K40" s="236">
        <f t="shared" si="8"/>
        <v>45557</v>
      </c>
      <c r="M40" s="233" t="e">
        <f t="shared" si="10"/>
        <v>#N/A</v>
      </c>
      <c r="N40" s="233" t="e">
        <f t="shared" si="11"/>
        <v>#N/A</v>
      </c>
      <c r="O40" s="233" t="e">
        <f t="shared" si="12"/>
        <v>#N/A</v>
      </c>
      <c r="P40" s="233" t="e">
        <f t="shared" si="13"/>
        <v>#N/A</v>
      </c>
      <c r="Q40" s="233" t="e">
        <f t="shared" si="14"/>
        <v>#N/A</v>
      </c>
      <c r="R40" s="233" t="e">
        <f t="shared" si="15"/>
        <v>#N/A</v>
      </c>
    </row>
    <row r="41" spans="4:18" ht="18.75" x14ac:dyDescent="0.2">
      <c r="D41" s="235" t="s">
        <v>480</v>
      </c>
      <c r="E41" s="236">
        <f t="shared" si="9"/>
        <v>45558</v>
      </c>
      <c r="F41" s="236">
        <f t="shared" si="8"/>
        <v>45559</v>
      </c>
      <c r="G41" s="236">
        <f t="shared" si="8"/>
        <v>45560</v>
      </c>
      <c r="H41" s="236">
        <f t="shared" si="8"/>
        <v>45561</v>
      </c>
      <c r="I41" s="236">
        <f t="shared" si="8"/>
        <v>45562</v>
      </c>
      <c r="J41" s="236">
        <f t="shared" si="8"/>
        <v>45563</v>
      </c>
      <c r="K41" s="236">
        <f t="shared" si="8"/>
        <v>45564</v>
      </c>
      <c r="M41" s="233" t="e">
        <f t="shared" si="10"/>
        <v>#N/A</v>
      </c>
      <c r="N41" s="233" t="e">
        <f t="shared" si="11"/>
        <v>#N/A</v>
      </c>
      <c r="O41" s="233" t="e">
        <f t="shared" si="12"/>
        <v>#N/A</v>
      </c>
      <c r="P41" s="233" t="e">
        <f t="shared" si="13"/>
        <v>#N/A</v>
      </c>
      <c r="Q41" s="233" t="e">
        <f t="shared" si="14"/>
        <v>#N/A</v>
      </c>
      <c r="R41" s="233" t="e">
        <f t="shared" si="15"/>
        <v>#N/A</v>
      </c>
    </row>
    <row r="42" spans="4:18" ht="18.75" x14ac:dyDescent="0.2">
      <c r="D42" s="235" t="s">
        <v>481</v>
      </c>
      <c r="E42" s="236">
        <f t="shared" si="9"/>
        <v>45565</v>
      </c>
      <c r="F42" s="236">
        <f t="shared" si="8"/>
        <v>45566</v>
      </c>
      <c r="G42" s="236">
        <f t="shared" si="8"/>
        <v>45567</v>
      </c>
      <c r="H42" s="236">
        <f t="shared" si="8"/>
        <v>45568</v>
      </c>
      <c r="I42" s="236">
        <f t="shared" si="8"/>
        <v>45569</v>
      </c>
      <c r="J42" s="236">
        <f t="shared" si="8"/>
        <v>45570</v>
      </c>
      <c r="K42" s="236">
        <f t="shared" si="8"/>
        <v>45571</v>
      </c>
      <c r="M42" s="233" t="e">
        <f t="shared" si="10"/>
        <v>#N/A</v>
      </c>
      <c r="N42" s="233" t="e">
        <f t="shared" si="11"/>
        <v>#N/A</v>
      </c>
      <c r="O42" s="233" t="e">
        <f t="shared" si="12"/>
        <v>#N/A</v>
      </c>
      <c r="P42" s="233" t="e">
        <f t="shared" si="13"/>
        <v>#N/A</v>
      </c>
      <c r="Q42" s="233" t="e">
        <f t="shared" si="14"/>
        <v>#N/A</v>
      </c>
      <c r="R42" s="233" t="e">
        <f t="shared" si="15"/>
        <v>#N/A</v>
      </c>
    </row>
    <row r="43" spans="4:18" ht="18.75" x14ac:dyDescent="0.2">
      <c r="D43" s="235" t="s">
        <v>482</v>
      </c>
      <c r="E43" s="236">
        <f t="shared" si="9"/>
        <v>45572</v>
      </c>
      <c r="F43" s="236">
        <f t="shared" si="8"/>
        <v>45573</v>
      </c>
      <c r="G43" s="236">
        <f t="shared" si="8"/>
        <v>45574</v>
      </c>
      <c r="H43" s="236">
        <f t="shared" si="8"/>
        <v>45575</v>
      </c>
      <c r="I43" s="236">
        <f t="shared" si="8"/>
        <v>45576</v>
      </c>
      <c r="J43" s="236">
        <f t="shared" si="8"/>
        <v>45577</v>
      </c>
      <c r="K43" s="236">
        <f t="shared" si="8"/>
        <v>45578</v>
      </c>
      <c r="M43" s="233" t="e">
        <f t="shared" si="10"/>
        <v>#N/A</v>
      </c>
      <c r="N43" s="233" t="e">
        <f t="shared" si="11"/>
        <v>#N/A</v>
      </c>
      <c r="O43" s="233" t="e">
        <f t="shared" si="12"/>
        <v>#N/A</v>
      </c>
      <c r="P43" s="233" t="e">
        <f t="shared" si="13"/>
        <v>#N/A</v>
      </c>
      <c r="Q43" s="233" t="e">
        <f t="shared" si="14"/>
        <v>#N/A</v>
      </c>
      <c r="R43" s="233" t="e">
        <f t="shared" si="15"/>
        <v>#N/A</v>
      </c>
    </row>
    <row r="44" spans="4:18" ht="18.75" x14ac:dyDescent="0.2">
      <c r="D44" s="235" t="s">
        <v>483</v>
      </c>
      <c r="E44" s="236">
        <f t="shared" si="9"/>
        <v>45579</v>
      </c>
      <c r="F44" s="236">
        <f t="shared" si="8"/>
        <v>45580</v>
      </c>
      <c r="G44" s="236">
        <f t="shared" si="8"/>
        <v>45581</v>
      </c>
      <c r="H44" s="236">
        <f t="shared" si="8"/>
        <v>45582</v>
      </c>
      <c r="I44" s="236">
        <f t="shared" si="8"/>
        <v>45583</v>
      </c>
      <c r="J44" s="236">
        <f t="shared" si="8"/>
        <v>45584</v>
      </c>
      <c r="K44" s="236">
        <f t="shared" si="8"/>
        <v>45585</v>
      </c>
      <c r="M44" s="233" t="e">
        <f t="shared" si="10"/>
        <v>#N/A</v>
      </c>
      <c r="N44" s="233" t="e">
        <f t="shared" si="11"/>
        <v>#N/A</v>
      </c>
      <c r="O44" s="233" t="e">
        <f t="shared" si="12"/>
        <v>#N/A</v>
      </c>
      <c r="P44" s="233" t="e">
        <f t="shared" si="13"/>
        <v>#N/A</v>
      </c>
      <c r="Q44" s="233" t="e">
        <f t="shared" si="14"/>
        <v>#N/A</v>
      </c>
      <c r="R44" s="233" t="e">
        <f t="shared" si="15"/>
        <v>#N/A</v>
      </c>
    </row>
    <row r="45" spans="4:18" ht="18.75" x14ac:dyDescent="0.2">
      <c r="D45" s="235" t="s">
        <v>484</v>
      </c>
      <c r="E45" s="236">
        <f t="shared" si="9"/>
        <v>45586</v>
      </c>
      <c r="F45" s="236">
        <f t="shared" si="8"/>
        <v>45587</v>
      </c>
      <c r="G45" s="236">
        <f t="shared" si="8"/>
        <v>45588</v>
      </c>
      <c r="H45" s="236">
        <f t="shared" si="8"/>
        <v>45589</v>
      </c>
      <c r="I45" s="236">
        <f t="shared" si="8"/>
        <v>45590</v>
      </c>
      <c r="J45" s="236">
        <f t="shared" si="8"/>
        <v>45591</v>
      </c>
      <c r="K45" s="236">
        <f t="shared" si="8"/>
        <v>45592</v>
      </c>
      <c r="M45" s="233" t="e">
        <f t="shared" si="10"/>
        <v>#N/A</v>
      </c>
      <c r="N45" s="233" t="e">
        <f t="shared" si="11"/>
        <v>#N/A</v>
      </c>
      <c r="O45" s="233" t="e">
        <f t="shared" si="12"/>
        <v>#N/A</v>
      </c>
      <c r="P45" s="233" t="e">
        <f t="shared" si="13"/>
        <v>#N/A</v>
      </c>
      <c r="Q45" s="233" t="e">
        <f t="shared" si="14"/>
        <v>#N/A</v>
      </c>
      <c r="R45" s="233" t="e">
        <f t="shared" si="15"/>
        <v>#N/A</v>
      </c>
    </row>
    <row r="46" spans="4:18" ht="18.75" x14ac:dyDescent="0.2">
      <c r="D46" s="235" t="s">
        <v>485</v>
      </c>
      <c r="E46" s="236">
        <f t="shared" si="9"/>
        <v>45593</v>
      </c>
      <c r="F46" s="236">
        <f t="shared" si="8"/>
        <v>45594</v>
      </c>
      <c r="G46" s="236">
        <f t="shared" si="8"/>
        <v>45595</v>
      </c>
      <c r="H46" s="236">
        <f t="shared" si="8"/>
        <v>45596</v>
      </c>
      <c r="I46" s="236">
        <f t="shared" si="8"/>
        <v>45597</v>
      </c>
      <c r="J46" s="236">
        <f t="shared" si="8"/>
        <v>45598</v>
      </c>
      <c r="K46" s="236">
        <f t="shared" si="8"/>
        <v>45599</v>
      </c>
      <c r="M46" s="233" t="e">
        <f t="shared" si="10"/>
        <v>#N/A</v>
      </c>
      <c r="N46" s="233" t="e">
        <f t="shared" si="11"/>
        <v>#N/A</v>
      </c>
      <c r="O46" s="233" t="e">
        <f t="shared" si="12"/>
        <v>#N/A</v>
      </c>
      <c r="P46" s="233" t="e">
        <f t="shared" si="13"/>
        <v>#N/A</v>
      </c>
      <c r="Q46" s="233" t="e">
        <f t="shared" si="14"/>
        <v>#N/A</v>
      </c>
      <c r="R46" s="233" t="e">
        <f t="shared" si="15"/>
        <v>#N/A</v>
      </c>
    </row>
    <row r="47" spans="4:18" ht="18.75" x14ac:dyDescent="0.2">
      <c r="D47" s="235" t="s">
        <v>486</v>
      </c>
      <c r="E47" s="236">
        <f t="shared" si="9"/>
        <v>45600</v>
      </c>
      <c r="F47" s="236">
        <f t="shared" si="8"/>
        <v>45601</v>
      </c>
      <c r="G47" s="236">
        <f t="shared" si="8"/>
        <v>45602</v>
      </c>
      <c r="H47" s="236">
        <f t="shared" si="8"/>
        <v>45603</v>
      </c>
      <c r="I47" s="236">
        <f t="shared" si="8"/>
        <v>45604</v>
      </c>
      <c r="J47" s="236">
        <f t="shared" si="8"/>
        <v>45605</v>
      </c>
      <c r="K47" s="236">
        <f t="shared" si="8"/>
        <v>45606</v>
      </c>
      <c r="M47" s="233" t="e">
        <f t="shared" si="10"/>
        <v>#N/A</v>
      </c>
      <c r="N47" s="233" t="e">
        <f t="shared" si="11"/>
        <v>#N/A</v>
      </c>
      <c r="O47" s="233" t="e">
        <f t="shared" si="12"/>
        <v>#N/A</v>
      </c>
      <c r="P47" s="233" t="e">
        <f t="shared" si="13"/>
        <v>#N/A</v>
      </c>
      <c r="Q47" s="233" t="e">
        <f t="shared" si="14"/>
        <v>#N/A</v>
      </c>
      <c r="R47" s="233" t="e">
        <f t="shared" si="15"/>
        <v>#N/A</v>
      </c>
    </row>
    <row r="48" spans="4:18" ht="18.75" x14ac:dyDescent="0.2">
      <c r="D48" s="235" t="s">
        <v>487</v>
      </c>
      <c r="E48" s="236">
        <f t="shared" si="9"/>
        <v>45607</v>
      </c>
      <c r="F48" s="236">
        <f t="shared" si="8"/>
        <v>45608</v>
      </c>
      <c r="G48" s="236">
        <f t="shared" si="8"/>
        <v>45609</v>
      </c>
      <c r="H48" s="236">
        <f t="shared" si="8"/>
        <v>45610</v>
      </c>
      <c r="I48" s="236">
        <f t="shared" si="8"/>
        <v>45611</v>
      </c>
      <c r="J48" s="236">
        <f t="shared" si="8"/>
        <v>45612</v>
      </c>
      <c r="K48" s="236">
        <f t="shared" si="8"/>
        <v>45613</v>
      </c>
      <c r="M48" s="233" t="e">
        <f t="shared" si="10"/>
        <v>#N/A</v>
      </c>
      <c r="N48" s="233" t="e">
        <f t="shared" si="11"/>
        <v>#N/A</v>
      </c>
      <c r="O48" s="233" t="e">
        <f t="shared" si="12"/>
        <v>#N/A</v>
      </c>
      <c r="P48" s="233" t="e">
        <f t="shared" si="13"/>
        <v>#N/A</v>
      </c>
      <c r="Q48" s="233" t="e">
        <f t="shared" si="14"/>
        <v>#N/A</v>
      </c>
      <c r="R48" s="233" t="e">
        <f t="shared" si="15"/>
        <v>#N/A</v>
      </c>
    </row>
    <row r="49" spans="4:18" ht="18.75" x14ac:dyDescent="0.2">
      <c r="D49" s="235" t="s">
        <v>488</v>
      </c>
      <c r="E49" s="236">
        <f t="shared" si="9"/>
        <v>45614</v>
      </c>
      <c r="F49" s="236">
        <f t="shared" si="8"/>
        <v>45615</v>
      </c>
      <c r="G49" s="236">
        <f t="shared" si="8"/>
        <v>45616</v>
      </c>
      <c r="H49" s="236">
        <f t="shared" si="8"/>
        <v>45617</v>
      </c>
      <c r="I49" s="236">
        <f t="shared" si="8"/>
        <v>45618</v>
      </c>
      <c r="J49" s="236">
        <f t="shared" si="8"/>
        <v>45619</v>
      </c>
      <c r="K49" s="236">
        <f t="shared" si="8"/>
        <v>45620</v>
      </c>
      <c r="M49" s="233" t="e">
        <f t="shared" si="10"/>
        <v>#N/A</v>
      </c>
      <c r="N49" s="233" t="e">
        <f t="shared" si="11"/>
        <v>#N/A</v>
      </c>
      <c r="O49" s="233" t="e">
        <f t="shared" si="12"/>
        <v>#N/A</v>
      </c>
      <c r="P49" s="233" t="e">
        <f t="shared" si="13"/>
        <v>#N/A</v>
      </c>
      <c r="Q49" s="233" t="e">
        <f t="shared" si="14"/>
        <v>#N/A</v>
      </c>
      <c r="R49" s="233" t="e">
        <f t="shared" si="15"/>
        <v>#N/A</v>
      </c>
    </row>
    <row r="50" spans="4:18" ht="18.75" x14ac:dyDescent="0.2">
      <c r="D50" s="235" t="s">
        <v>489</v>
      </c>
      <c r="E50" s="236">
        <f t="shared" si="9"/>
        <v>45621</v>
      </c>
      <c r="F50" s="236">
        <f t="shared" si="8"/>
        <v>45622</v>
      </c>
      <c r="G50" s="236">
        <f t="shared" si="8"/>
        <v>45623</v>
      </c>
      <c r="H50" s="236">
        <f t="shared" si="8"/>
        <v>45624</v>
      </c>
      <c r="I50" s="236">
        <f t="shared" si="8"/>
        <v>45625</v>
      </c>
      <c r="J50" s="236">
        <f t="shared" si="8"/>
        <v>45626</v>
      </c>
      <c r="K50" s="236">
        <f t="shared" si="8"/>
        <v>45627</v>
      </c>
      <c r="M50" s="233" t="e">
        <f t="shared" si="10"/>
        <v>#N/A</v>
      </c>
      <c r="N50" s="233" t="e">
        <f t="shared" si="11"/>
        <v>#N/A</v>
      </c>
      <c r="O50" s="233" t="e">
        <f t="shared" si="12"/>
        <v>#N/A</v>
      </c>
      <c r="P50" s="233" t="e">
        <f t="shared" si="13"/>
        <v>#N/A</v>
      </c>
      <c r="Q50" s="233" t="e">
        <f t="shared" si="14"/>
        <v>#N/A</v>
      </c>
      <c r="R50" s="233" t="e">
        <f t="shared" si="15"/>
        <v>#N/A</v>
      </c>
    </row>
    <row r="51" spans="4:18" ht="18.75" x14ac:dyDescent="0.2">
      <c r="D51" s="235" t="s">
        <v>490</v>
      </c>
      <c r="E51" s="236">
        <f t="shared" si="9"/>
        <v>45628</v>
      </c>
      <c r="F51" s="236">
        <f t="shared" si="8"/>
        <v>45629</v>
      </c>
      <c r="G51" s="236">
        <f t="shared" si="8"/>
        <v>45630</v>
      </c>
      <c r="H51" s="236">
        <f t="shared" si="8"/>
        <v>45631</v>
      </c>
      <c r="I51" s="236">
        <f t="shared" si="8"/>
        <v>45632</v>
      </c>
      <c r="J51" s="236">
        <f t="shared" si="8"/>
        <v>45633</v>
      </c>
      <c r="K51" s="236">
        <f t="shared" si="8"/>
        <v>45634</v>
      </c>
      <c r="M51" s="233" t="e">
        <f t="shared" si="10"/>
        <v>#N/A</v>
      </c>
      <c r="N51" s="233" t="e">
        <f t="shared" si="11"/>
        <v>#N/A</v>
      </c>
      <c r="O51" s="233" t="e">
        <f t="shared" si="12"/>
        <v>#N/A</v>
      </c>
      <c r="P51" s="233" t="e">
        <f t="shared" si="13"/>
        <v>#N/A</v>
      </c>
      <c r="Q51" s="233" t="e">
        <f t="shared" si="14"/>
        <v>#N/A</v>
      </c>
      <c r="R51" s="233" t="e">
        <f t="shared" si="15"/>
        <v>#N/A</v>
      </c>
    </row>
    <row r="52" spans="4:18" ht="18.75" x14ac:dyDescent="0.2">
      <c r="D52" s="235" t="s">
        <v>491</v>
      </c>
      <c r="E52" s="236">
        <f t="shared" si="9"/>
        <v>45635</v>
      </c>
      <c r="F52" s="236">
        <f t="shared" si="8"/>
        <v>45636</v>
      </c>
      <c r="G52" s="236">
        <f t="shared" si="8"/>
        <v>45637</v>
      </c>
      <c r="H52" s="236">
        <f t="shared" si="8"/>
        <v>45638</v>
      </c>
      <c r="I52" s="236">
        <f t="shared" si="8"/>
        <v>45639</v>
      </c>
      <c r="J52" s="236">
        <f t="shared" si="8"/>
        <v>45640</v>
      </c>
      <c r="K52" s="236">
        <f t="shared" si="8"/>
        <v>45641</v>
      </c>
      <c r="M52" s="233" t="e">
        <f t="shared" si="10"/>
        <v>#N/A</v>
      </c>
      <c r="N52" s="233" t="e">
        <f t="shared" si="11"/>
        <v>#N/A</v>
      </c>
      <c r="O52" s="233" t="e">
        <f t="shared" si="12"/>
        <v>#N/A</v>
      </c>
      <c r="P52" s="233" t="e">
        <f t="shared" si="13"/>
        <v>#N/A</v>
      </c>
      <c r="Q52" s="233" t="e">
        <f t="shared" si="14"/>
        <v>#N/A</v>
      </c>
      <c r="R52" s="233" t="e">
        <f t="shared" si="15"/>
        <v>#N/A</v>
      </c>
    </row>
    <row r="53" spans="4:18" ht="18.75" x14ac:dyDescent="0.2">
      <c r="D53" s="235" t="s">
        <v>492</v>
      </c>
      <c r="E53" s="236">
        <f t="shared" si="9"/>
        <v>45642</v>
      </c>
      <c r="F53" s="236">
        <f t="shared" si="8"/>
        <v>45643</v>
      </c>
      <c r="G53" s="236">
        <f t="shared" si="8"/>
        <v>45644</v>
      </c>
      <c r="H53" s="236">
        <f t="shared" si="8"/>
        <v>45645</v>
      </c>
      <c r="I53" s="236">
        <f t="shared" si="8"/>
        <v>45646</v>
      </c>
      <c r="J53" s="236">
        <f t="shared" si="8"/>
        <v>45647</v>
      </c>
      <c r="K53" s="236">
        <f t="shared" si="8"/>
        <v>45648</v>
      </c>
      <c r="M53" s="233" t="e">
        <f t="shared" si="10"/>
        <v>#N/A</v>
      </c>
      <c r="N53" s="233" t="e">
        <f t="shared" si="11"/>
        <v>#N/A</v>
      </c>
      <c r="O53" s="233" t="e">
        <f t="shared" si="12"/>
        <v>#N/A</v>
      </c>
      <c r="P53" s="233" t="e">
        <f t="shared" si="13"/>
        <v>#N/A</v>
      </c>
      <c r="Q53" s="233" t="e">
        <f t="shared" si="14"/>
        <v>#N/A</v>
      </c>
      <c r="R53" s="233" t="e">
        <f t="shared" si="15"/>
        <v>#N/A</v>
      </c>
    </row>
    <row r="54" spans="4:18" ht="18.75" x14ac:dyDescent="0.2">
      <c r="D54" s="235" t="s">
        <v>493</v>
      </c>
      <c r="E54" s="236">
        <f t="shared" si="9"/>
        <v>45649</v>
      </c>
      <c r="F54" s="236">
        <f t="shared" si="8"/>
        <v>45650</v>
      </c>
      <c r="G54" s="236">
        <f t="shared" si="8"/>
        <v>45651</v>
      </c>
      <c r="H54" s="236">
        <f t="shared" si="8"/>
        <v>45652</v>
      </c>
      <c r="I54" s="236">
        <f t="shared" si="8"/>
        <v>45653</v>
      </c>
      <c r="J54" s="236">
        <f t="shared" si="8"/>
        <v>45654</v>
      </c>
      <c r="K54" s="236">
        <f t="shared" si="8"/>
        <v>45655</v>
      </c>
      <c r="M54" s="233" t="e">
        <f t="shared" si="10"/>
        <v>#N/A</v>
      </c>
      <c r="N54" s="233" t="e">
        <f t="shared" si="11"/>
        <v>#N/A</v>
      </c>
      <c r="O54" s="233" t="e">
        <f t="shared" si="12"/>
        <v>#N/A</v>
      </c>
      <c r="P54" s="233" t="e">
        <f t="shared" si="13"/>
        <v>#N/A</v>
      </c>
      <c r="Q54" s="233" t="e">
        <f t="shared" si="14"/>
        <v>#N/A</v>
      </c>
      <c r="R54" s="233" t="e">
        <f t="shared" si="15"/>
        <v>#N/A</v>
      </c>
    </row>
    <row r="55" spans="4:18" ht="18.75" x14ac:dyDescent="0.2">
      <c r="D55" s="235" t="s">
        <v>494</v>
      </c>
      <c r="E55" s="236">
        <f t="shared" si="9"/>
        <v>45656</v>
      </c>
      <c r="F55" s="236">
        <f t="shared" si="8"/>
        <v>45657</v>
      </c>
      <c r="G55" s="236">
        <f t="shared" si="8"/>
        <v>45658</v>
      </c>
      <c r="H55" s="236">
        <f t="shared" si="8"/>
        <v>45659</v>
      </c>
      <c r="I55" s="236">
        <f t="shared" si="8"/>
        <v>45660</v>
      </c>
      <c r="J55" s="236">
        <f t="shared" si="8"/>
        <v>45661</v>
      </c>
      <c r="K55" s="236">
        <f t="shared" si="8"/>
        <v>45662</v>
      </c>
      <c r="M55" s="233" t="e">
        <f t="shared" si="10"/>
        <v>#N/A</v>
      </c>
      <c r="N55" s="233" t="e">
        <f t="shared" si="11"/>
        <v>#N/A</v>
      </c>
      <c r="O55" s="233" t="e">
        <f t="shared" si="12"/>
        <v>#N/A</v>
      </c>
      <c r="P55" s="233" t="e">
        <f t="shared" si="13"/>
        <v>#N/A</v>
      </c>
      <c r="Q55" s="233" t="e">
        <f t="shared" si="14"/>
        <v>#N/A</v>
      </c>
      <c r="R55" s="233" t="e">
        <f t="shared" si="15"/>
        <v>#N/A</v>
      </c>
    </row>
  </sheetData>
  <phoneticPr fontId="83" type="noConversion"/>
  <conditionalFormatting sqref="M2">
    <cfRule type="cellIs" dxfId="51" priority="3" operator="equal">
      <formula>M2</formula>
    </cfRule>
    <cfRule type="cellIs" dxfId="50" priority="4" operator="equal">
      <formula>M2</formula>
    </cfRule>
    <cfRule type="cellIs" dxfId="49" priority="5" operator="equal">
      <formula>$M$2</formula>
    </cfRule>
  </conditionalFormatting>
  <conditionalFormatting sqref="E2:K55">
    <cfRule type="cellIs" dxfId="48" priority="2" operator="equal">
      <formula>M2</formula>
    </cfRule>
  </conditionalFormatting>
  <conditionalFormatting sqref="E3:K55">
    <cfRule type="cellIs" dxfId="47" priority="1" operator="equal">
      <formula>M2</formula>
    </cfRule>
  </conditionalFormatting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D13" sqref="D13"/>
    </sheetView>
  </sheetViews>
  <sheetFormatPr defaultColWidth="9.33203125" defaultRowHeight="15.75" x14ac:dyDescent="0.25"/>
  <cols>
    <col min="1" max="1" width="30.6640625" style="25" bestFit="1" customWidth="1"/>
    <col min="2" max="2" width="18.33203125" style="25" customWidth="1"/>
    <col min="3" max="3" width="21.88671875" style="25" bestFit="1" customWidth="1"/>
    <col min="4" max="4" width="40.88671875" style="35" customWidth="1"/>
    <col min="5" max="5" width="19.21875" style="25" customWidth="1"/>
    <col min="6" max="6" width="18.6640625" style="25" customWidth="1"/>
    <col min="7" max="7" width="17.88671875" style="25" customWidth="1"/>
    <col min="8" max="8" width="18.109375" style="25" customWidth="1"/>
    <col min="9" max="10" width="18.6640625" style="25" customWidth="1"/>
    <col min="11" max="11" width="27.77734375" style="25" customWidth="1"/>
    <col min="12" max="16384" width="9.33203125" style="25"/>
  </cols>
  <sheetData>
    <row r="1" spans="1:11" ht="39.950000000000003" customHeight="1" x14ac:dyDescent="0.25">
      <c r="A1" s="237" t="s">
        <v>28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</row>
    <row r="2" spans="1:11" ht="26.1" customHeight="1" x14ac:dyDescent="0.25">
      <c r="A2" s="237" t="s">
        <v>49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</row>
    <row r="3" spans="1:11" s="32" customFormat="1" ht="36" customHeight="1" x14ac:dyDescent="0.3">
      <c r="A3" s="29" t="s">
        <v>27</v>
      </c>
      <c r="B3" s="29" t="s">
        <v>26</v>
      </c>
      <c r="C3" s="29" t="s">
        <v>25</v>
      </c>
      <c r="D3" s="36" t="s">
        <v>24</v>
      </c>
      <c r="E3" s="31" t="s">
        <v>23</v>
      </c>
      <c r="F3" s="31" t="s">
        <v>22</v>
      </c>
      <c r="G3" s="29" t="s">
        <v>21</v>
      </c>
      <c r="H3" s="29" t="s">
        <v>20</v>
      </c>
      <c r="I3" s="29" t="s">
        <v>19</v>
      </c>
      <c r="J3" s="29" t="s">
        <v>18</v>
      </c>
      <c r="K3" s="29" t="s">
        <v>17</v>
      </c>
    </row>
    <row r="4" spans="1:11" s="32" customFormat="1" ht="18" customHeight="1" x14ac:dyDescent="0.3">
      <c r="A4" s="302" t="s">
        <v>16</v>
      </c>
      <c r="B4" s="302" t="s">
        <v>15</v>
      </c>
      <c r="C4" s="302" t="s">
        <v>14</v>
      </c>
      <c r="D4" s="303" t="s">
        <v>413</v>
      </c>
      <c r="E4" s="303">
        <v>45443</v>
      </c>
      <c r="F4" s="25" t="s">
        <v>36</v>
      </c>
      <c r="G4" s="160">
        <v>200000</v>
      </c>
      <c r="H4" s="29"/>
      <c r="I4" s="29"/>
      <c r="J4" s="29"/>
      <c r="K4" s="29"/>
    </row>
    <row r="5" spans="1:11" x14ac:dyDescent="0.25">
      <c r="A5" s="302"/>
      <c r="B5" s="302"/>
      <c r="C5" s="302"/>
      <c r="D5" s="303"/>
      <c r="E5" s="303"/>
      <c r="F5" s="25" t="s">
        <v>41</v>
      </c>
      <c r="G5" s="160">
        <v>100000</v>
      </c>
      <c r="J5" s="25" t="s">
        <v>13</v>
      </c>
      <c r="K5" s="25" t="s">
        <v>55</v>
      </c>
    </row>
    <row r="6" spans="1:11" x14ac:dyDescent="0.25">
      <c r="A6" s="25" t="s">
        <v>12</v>
      </c>
      <c r="B6" s="25" t="s">
        <v>11</v>
      </c>
      <c r="C6" s="25" t="s">
        <v>10</v>
      </c>
      <c r="D6" s="162" t="s">
        <v>412</v>
      </c>
      <c r="E6" s="162">
        <v>45505</v>
      </c>
      <c r="F6" s="25" t="s">
        <v>36</v>
      </c>
      <c r="G6" s="160">
        <v>15000</v>
      </c>
    </row>
    <row r="7" spans="1:11" x14ac:dyDescent="0.25">
      <c r="A7" s="25" t="s">
        <v>9</v>
      </c>
      <c r="B7" s="25" t="s">
        <v>7</v>
      </c>
      <c r="C7" s="25" t="s">
        <v>6</v>
      </c>
      <c r="D7" s="162" t="s">
        <v>48</v>
      </c>
      <c r="E7" s="161" t="s">
        <v>48</v>
      </c>
      <c r="F7" s="25" t="s">
        <v>41</v>
      </c>
      <c r="G7" s="160">
        <v>200000</v>
      </c>
    </row>
    <row r="8" spans="1:11" x14ac:dyDescent="0.25">
      <c r="A8" s="25" t="s">
        <v>8</v>
      </c>
      <c r="B8" s="25" t="s">
        <v>7</v>
      </c>
      <c r="C8" s="25" t="s">
        <v>6</v>
      </c>
      <c r="D8" s="162" t="s">
        <v>48</v>
      </c>
      <c r="E8" s="161" t="s">
        <v>48</v>
      </c>
      <c r="F8" s="25" t="s">
        <v>45</v>
      </c>
      <c r="G8" s="160">
        <v>100000</v>
      </c>
    </row>
    <row r="10" spans="1:11" ht="26.1" customHeight="1" x14ac:dyDescent="0.25">
      <c r="A10" s="237" t="s">
        <v>50</v>
      </c>
      <c r="B10" s="237"/>
      <c r="C10" s="237"/>
      <c r="D10" s="237"/>
      <c r="E10" s="237"/>
      <c r="F10" s="237"/>
      <c r="G10" s="237"/>
      <c r="H10" s="237"/>
      <c r="I10" s="237"/>
      <c r="J10" s="237"/>
      <c r="K10" s="237"/>
    </row>
    <row r="11" spans="1:11" s="32" customFormat="1" ht="36" customHeight="1" x14ac:dyDescent="0.3">
      <c r="A11" s="29" t="s">
        <v>51</v>
      </c>
      <c r="B11" s="29" t="s">
        <v>26</v>
      </c>
      <c r="C11" s="29" t="s">
        <v>24</v>
      </c>
      <c r="D11" s="37" t="s">
        <v>23</v>
      </c>
      <c r="E11" s="31" t="s">
        <v>22</v>
      </c>
      <c r="F11" s="29" t="s">
        <v>21</v>
      </c>
      <c r="G11" s="29" t="s">
        <v>20</v>
      </c>
      <c r="H11" s="29" t="s">
        <v>18</v>
      </c>
      <c r="I11" s="29" t="s">
        <v>17</v>
      </c>
    </row>
    <row r="12" spans="1:11" x14ac:dyDescent="0.25">
      <c r="A12" s="25" t="s">
        <v>408</v>
      </c>
      <c r="B12" s="25" t="s">
        <v>15</v>
      </c>
      <c r="C12" s="25" t="s">
        <v>411</v>
      </c>
      <c r="D12" s="35">
        <v>45310</v>
      </c>
      <c r="E12" s="25" t="s">
        <v>440</v>
      </c>
      <c r="F12" s="160">
        <v>100000</v>
      </c>
    </row>
    <row r="13" spans="1:11" x14ac:dyDescent="0.25">
      <c r="A13" s="25" t="s">
        <v>409</v>
      </c>
      <c r="B13" s="25" t="s">
        <v>7</v>
      </c>
      <c r="C13" s="25" t="s">
        <v>410</v>
      </c>
      <c r="D13" s="35">
        <v>45300</v>
      </c>
      <c r="E13" s="25" t="s">
        <v>45</v>
      </c>
      <c r="F13" s="160">
        <v>50000</v>
      </c>
    </row>
    <row r="14" spans="1:11" x14ac:dyDescent="0.25">
      <c r="D14" s="35">
        <v>45301</v>
      </c>
      <c r="E14" s="25" t="s">
        <v>438</v>
      </c>
    </row>
    <row r="15" spans="1:11" x14ac:dyDescent="0.25">
      <c r="D15" s="35">
        <v>45302</v>
      </c>
      <c r="E15" s="25" t="s">
        <v>439</v>
      </c>
    </row>
    <row r="16" spans="1:11" x14ac:dyDescent="0.25">
      <c r="D16" s="35">
        <v>45323</v>
      </c>
      <c r="E16" s="25" t="s">
        <v>441</v>
      </c>
    </row>
  </sheetData>
  <mergeCells count="8">
    <mergeCell ref="A1:K1"/>
    <mergeCell ref="A2:K2"/>
    <mergeCell ref="A10:K10"/>
    <mergeCell ref="A4:A5"/>
    <mergeCell ref="B4:B5"/>
    <mergeCell ref="C4:C5"/>
    <mergeCell ref="D4:D5"/>
    <mergeCell ref="E4:E5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8" tint="0.59999389629810485"/>
    <pageSetUpPr autoPageBreaks="0" fitToPage="1"/>
  </sheetPr>
  <dimension ref="A1:AA41"/>
  <sheetViews>
    <sheetView showGridLines="0" zoomScaleNormal="100" workbookViewId="0">
      <selection activeCell="B5" sqref="B5"/>
    </sheetView>
  </sheetViews>
  <sheetFormatPr defaultColWidth="8.88671875" defaultRowHeight="14.25" x14ac:dyDescent="0.2"/>
  <cols>
    <col min="1" max="1" width="12.109375" style="1" bestFit="1" customWidth="1"/>
    <col min="2" max="8" width="15.33203125" style="1" customWidth="1"/>
    <col min="9" max="10" width="12.109375" style="1" bestFit="1" customWidth="1"/>
    <col min="11" max="12" width="12.33203125" style="1" customWidth="1"/>
    <col min="13" max="26" width="12.109375" style="1" bestFit="1" customWidth="1"/>
    <col min="27" max="16384" width="8.88671875" style="1"/>
  </cols>
  <sheetData>
    <row r="1" spans="1:12" ht="9" customHeight="1" x14ac:dyDescent="0.2">
      <c r="I1" s="1" t="s">
        <v>1</v>
      </c>
    </row>
    <row r="2" spans="1:12" ht="100.5" customHeight="1" x14ac:dyDescent="0.2">
      <c r="B2" s="304" t="str">
        <f>"January "&amp;CalendarYear</f>
        <v>January 2024</v>
      </c>
      <c r="C2" s="304"/>
      <c r="D2" s="304"/>
      <c r="E2" s="2"/>
      <c r="F2" s="2"/>
      <c r="G2" s="2"/>
      <c r="H2" s="3"/>
    </row>
    <row r="3" spans="1:12" s="4" customFormat="1" ht="19.5" customHeight="1" thickBot="1" x14ac:dyDescent="0.25">
      <c r="A3" s="1"/>
      <c r="B3" s="21" t="str">
        <f>WeekStart</f>
        <v>Monday</v>
      </c>
      <c r="C3" s="21" t="str">
        <f t="shared" ref="C3:H3" si="0">TEXT(C4,"dddd")</f>
        <v>terça-feira</v>
      </c>
      <c r="D3" s="21" t="str">
        <f t="shared" si="0"/>
        <v>quarta-feira</v>
      </c>
      <c r="E3" s="21" t="str">
        <f t="shared" si="0"/>
        <v>quinta-feira</v>
      </c>
      <c r="F3" s="21" t="str">
        <f t="shared" si="0"/>
        <v>sexta-feira</v>
      </c>
      <c r="G3" s="21" t="str">
        <f t="shared" si="0"/>
        <v>sábado</v>
      </c>
      <c r="H3" s="21" t="str">
        <f t="shared" si="0"/>
        <v>domingo</v>
      </c>
      <c r="K3" s="307" t="s">
        <v>2</v>
      </c>
      <c r="L3" s="307"/>
    </row>
    <row r="4" spans="1:12" s="6" customFormat="1" ht="19.5" customHeight="1" x14ac:dyDescent="0.2">
      <c r="B4" s="8">
        <f t="array" ref="B4:H4">DaysAndWeeks+DATE(CalendarYear,1,1)-WEEKDAY(DATE(CalendarYear,1,1),(WeekStart="Monday")+1)+1</f>
        <v>45292</v>
      </c>
      <c r="C4" s="8">
        <v>45293</v>
      </c>
      <c r="D4" s="8">
        <v>45294</v>
      </c>
      <c r="E4" s="8">
        <v>45295</v>
      </c>
      <c r="F4" s="8">
        <v>45296</v>
      </c>
      <c r="G4" s="8">
        <v>45297</v>
      </c>
      <c r="H4" s="8">
        <v>45298</v>
      </c>
      <c r="K4" s="12" t="s">
        <v>3</v>
      </c>
      <c r="L4" s="13" t="s">
        <v>4</v>
      </c>
    </row>
    <row r="5" spans="1:12" s="5" customFormat="1" ht="48" customHeight="1" x14ac:dyDescent="0.2">
      <c r="B5" s="5" t="e">
        <f ca="1">VLOOKUP(A18,'Mecanismos de Incentivo'!$D$12:$E$13,2,FALSE)</f>
        <v>#N/A</v>
      </c>
      <c r="C5" s="5" t="e">
        <f ca="1">VLOOKUP(B18,'Mecanismos de Incentivo'!$D$12:$E$13,2,FALSE)</f>
        <v>#N/A</v>
      </c>
      <c r="D5" s="5" t="e">
        <f ca="1">VLOOKUP(C18,'Mecanismos de Incentivo'!$D$12:$E$15,2,FALSE)</f>
        <v>#N/A</v>
      </c>
      <c r="E5" s="5" t="e">
        <f ca="1">VLOOKUP(D18,'Mecanismos de Incentivo'!$D$12:$E$19,2,FALSE)</f>
        <v>#N/A</v>
      </c>
      <c r="K5" s="10">
        <v>2024</v>
      </c>
      <c r="L5" s="11" t="s">
        <v>5</v>
      </c>
    </row>
    <row r="6" spans="1:12" s="6" customFormat="1" ht="19.5" customHeight="1" x14ac:dyDescent="0.2">
      <c r="B6" s="7">
        <f t="array" ref="B6:H6">DaysAndWeeks+DATE(CalendarYear,1,1)-WEEKDAY(DATE(CalendarYear,1,1),(WeekStart="Monday")+1)+8</f>
        <v>45299</v>
      </c>
      <c r="C6" s="7">
        <v>45300</v>
      </c>
      <c r="D6" s="7">
        <v>45301</v>
      </c>
      <c r="E6" s="7">
        <v>45302</v>
      </c>
      <c r="F6" s="7">
        <v>45303</v>
      </c>
      <c r="G6" s="7">
        <v>45304</v>
      </c>
      <c r="H6" s="7">
        <v>45305</v>
      </c>
    </row>
    <row r="7" spans="1:12" s="5" customFormat="1" ht="48" customHeight="1" x14ac:dyDescent="0.2">
      <c r="B7" s="9"/>
      <c r="C7" s="9"/>
      <c r="D7" s="9"/>
      <c r="E7" s="9"/>
      <c r="F7" s="9"/>
      <c r="G7" s="9"/>
      <c r="H7" s="9"/>
      <c r="K7" s="228"/>
    </row>
    <row r="8" spans="1:12" s="6" customFormat="1" ht="19.5" customHeight="1" x14ac:dyDescent="0.2">
      <c r="B8" s="8">
        <f t="array" ref="B8:H8">DaysAndWeeks+DATE(CalendarYear,1,1)-WEEKDAY(DATE(CalendarYear,1,1),(WeekStart="Monday")+1)+15</f>
        <v>45306</v>
      </c>
      <c r="C8" s="8">
        <v>45307</v>
      </c>
      <c r="D8" s="8">
        <v>45308</v>
      </c>
      <c r="E8" s="8">
        <v>45309</v>
      </c>
      <c r="F8" s="8">
        <v>45310</v>
      </c>
      <c r="G8" s="8">
        <v>45311</v>
      </c>
      <c r="H8" s="8">
        <v>45312</v>
      </c>
    </row>
    <row r="9" spans="1:12" s="5" customFormat="1" ht="48" customHeight="1" x14ac:dyDescent="0.2"/>
    <row r="10" spans="1:12" s="6" customFormat="1" ht="19.5" customHeight="1" x14ac:dyDescent="0.2">
      <c r="B10" s="7">
        <f t="array" ref="B10:H10">DaysAndWeeks+DATE(CalendarYear,1,1)-WEEKDAY(DATE(CalendarYear,1,1),(WeekStart="Monday")+1)+22</f>
        <v>45313</v>
      </c>
      <c r="C10" s="7">
        <v>45314</v>
      </c>
      <c r="D10" s="7">
        <v>45315</v>
      </c>
      <c r="E10" s="7">
        <v>45316</v>
      </c>
      <c r="F10" s="7">
        <v>45317</v>
      </c>
      <c r="G10" s="7">
        <v>45318</v>
      </c>
      <c r="H10" s="7">
        <v>45319</v>
      </c>
    </row>
    <row r="11" spans="1:12" s="5" customFormat="1" ht="48" customHeight="1" x14ac:dyDescent="0.2">
      <c r="B11" s="9"/>
      <c r="C11" s="9"/>
      <c r="D11" s="9"/>
      <c r="E11" s="9"/>
      <c r="F11" s="9"/>
      <c r="G11" s="9"/>
      <c r="H11" s="9"/>
    </row>
    <row r="12" spans="1:12" s="6" customFormat="1" ht="19.5" customHeight="1" x14ac:dyDescent="0.2">
      <c r="B12" s="8">
        <f t="array" ref="B12:H12">DaysAndWeeks+DATE(CalendarYear,1,1)-WEEKDAY(DATE(CalendarYear,1,1),(WeekStart="Monday")+1)+29</f>
        <v>45320</v>
      </c>
      <c r="C12" s="8">
        <v>45321</v>
      </c>
      <c r="D12" s="8">
        <v>45322</v>
      </c>
      <c r="E12" s="8">
        <v>45323</v>
      </c>
      <c r="F12" s="8">
        <v>45324</v>
      </c>
      <c r="G12" s="8">
        <v>45325</v>
      </c>
      <c r="H12" s="8">
        <v>45326</v>
      </c>
    </row>
    <row r="13" spans="1:12" s="5" customFormat="1" ht="48" customHeight="1" x14ac:dyDescent="0.2"/>
    <row r="14" spans="1:12" s="6" customFormat="1" ht="19.5" customHeight="1" x14ac:dyDescent="0.2">
      <c r="B14" s="7">
        <f t="array" ref="B14:C14">DaysAndWeeks+DATE(CalendarYear,1,1)-WEEKDAY(DATE(CalendarYear,1,1),(WeekStart="Monday")+1)+36</f>
        <v>45327</v>
      </c>
      <c r="C14" s="7">
        <v>45328</v>
      </c>
      <c r="D14" s="305" t="s">
        <v>0</v>
      </c>
      <c r="E14" s="305"/>
      <c r="F14" s="305"/>
      <c r="G14" s="305"/>
      <c r="H14" s="305"/>
    </row>
    <row r="15" spans="1:12" s="5" customFormat="1" ht="48" customHeight="1" x14ac:dyDescent="0.2">
      <c r="B15" s="9"/>
      <c r="C15" s="9"/>
      <c r="D15" s="306"/>
      <c r="E15" s="306"/>
      <c r="F15" s="306"/>
      <c r="G15" s="306"/>
      <c r="H15" s="306"/>
    </row>
    <row r="17" spans="1:27" x14ac:dyDescent="0.2">
      <c r="D17" s="1">
        <v>1</v>
      </c>
    </row>
    <row r="18" spans="1:27" x14ac:dyDescent="0.2">
      <c r="A18" s="229">
        <f ca="1">TODAY()</f>
        <v>45802</v>
      </c>
      <c r="B18" s="229">
        <f t="shared" ref="B18:X18" ca="1" si="1">A18+$D$17</f>
        <v>45803</v>
      </c>
      <c r="C18" s="229">
        <f t="shared" ca="1" si="1"/>
        <v>45804</v>
      </c>
      <c r="D18" s="229">
        <f t="shared" ca="1" si="1"/>
        <v>45805</v>
      </c>
      <c r="E18" s="229">
        <f t="shared" ca="1" si="1"/>
        <v>45806</v>
      </c>
      <c r="F18" s="229">
        <f t="shared" ca="1" si="1"/>
        <v>45807</v>
      </c>
      <c r="G18" s="229">
        <f t="shared" ca="1" si="1"/>
        <v>45808</v>
      </c>
      <c r="H18" s="229">
        <f t="shared" ca="1" si="1"/>
        <v>45809</v>
      </c>
      <c r="I18" s="229">
        <f t="shared" ca="1" si="1"/>
        <v>45810</v>
      </c>
      <c r="J18" s="229">
        <f t="shared" ca="1" si="1"/>
        <v>45811</v>
      </c>
      <c r="K18" s="229">
        <f t="shared" ca="1" si="1"/>
        <v>45812</v>
      </c>
      <c r="L18" s="229">
        <f t="shared" ca="1" si="1"/>
        <v>45813</v>
      </c>
      <c r="M18" s="229">
        <f t="shared" ca="1" si="1"/>
        <v>45814</v>
      </c>
      <c r="N18" s="229">
        <f t="shared" ca="1" si="1"/>
        <v>45815</v>
      </c>
      <c r="O18" s="229">
        <f t="shared" ca="1" si="1"/>
        <v>45816</v>
      </c>
      <c r="P18" s="229">
        <f t="shared" ca="1" si="1"/>
        <v>45817</v>
      </c>
      <c r="Q18" s="229">
        <f t="shared" ca="1" si="1"/>
        <v>45818</v>
      </c>
      <c r="R18" s="229">
        <f t="shared" ca="1" si="1"/>
        <v>45819</v>
      </c>
      <c r="S18" s="229">
        <f t="shared" ca="1" si="1"/>
        <v>45820</v>
      </c>
      <c r="T18" s="229">
        <f t="shared" ca="1" si="1"/>
        <v>45821</v>
      </c>
      <c r="U18" s="229">
        <f t="shared" ca="1" si="1"/>
        <v>45822</v>
      </c>
      <c r="V18" s="229">
        <f t="shared" ca="1" si="1"/>
        <v>45823</v>
      </c>
      <c r="W18" s="229">
        <f t="shared" ca="1" si="1"/>
        <v>45824</v>
      </c>
      <c r="X18" s="229">
        <f t="shared" ca="1" si="1"/>
        <v>45825</v>
      </c>
    </row>
    <row r="19" spans="1:27" x14ac:dyDescent="0.2">
      <c r="B19" s="229"/>
      <c r="D19" s="229"/>
      <c r="E19" s="229"/>
      <c r="F19" s="229"/>
      <c r="G19" s="229"/>
      <c r="H19" s="229"/>
      <c r="I19" s="229"/>
      <c r="J19" s="229"/>
      <c r="K19" s="229"/>
      <c r="L19" s="229"/>
      <c r="M19" s="229"/>
      <c r="N19" s="229"/>
      <c r="O19" s="229"/>
      <c r="P19" s="229"/>
      <c r="Q19" s="229"/>
      <c r="R19" s="229"/>
      <c r="S19" s="229"/>
      <c r="T19" s="229"/>
      <c r="U19" s="229"/>
      <c r="V19" s="229"/>
      <c r="W19" s="229"/>
      <c r="X19" s="229"/>
      <c r="Y19" s="229"/>
      <c r="Z19" s="229"/>
      <c r="AA19" s="229"/>
    </row>
    <row r="20" spans="1:27" x14ac:dyDescent="0.2">
      <c r="B20" s="229"/>
    </row>
    <row r="21" spans="1:27" x14ac:dyDescent="0.2">
      <c r="B21" s="229"/>
    </row>
    <row r="22" spans="1:27" x14ac:dyDescent="0.2">
      <c r="B22" s="229"/>
    </row>
    <row r="23" spans="1:27" x14ac:dyDescent="0.2">
      <c r="B23" s="229"/>
    </row>
    <row r="24" spans="1:27" x14ac:dyDescent="0.2">
      <c r="B24" s="229"/>
    </row>
    <row r="25" spans="1:27" x14ac:dyDescent="0.2">
      <c r="B25" s="229"/>
    </row>
    <row r="26" spans="1:27" x14ac:dyDescent="0.2">
      <c r="B26" s="229"/>
    </row>
    <row r="27" spans="1:27" x14ac:dyDescent="0.2">
      <c r="B27" s="229"/>
    </row>
    <row r="28" spans="1:27" x14ac:dyDescent="0.2">
      <c r="B28" s="229"/>
    </row>
    <row r="29" spans="1:27" x14ac:dyDescent="0.2">
      <c r="B29" s="229"/>
    </row>
    <row r="30" spans="1:27" x14ac:dyDescent="0.2">
      <c r="B30" s="229"/>
    </row>
    <row r="31" spans="1:27" x14ac:dyDescent="0.2">
      <c r="B31" s="229"/>
    </row>
    <row r="32" spans="1:27" x14ac:dyDescent="0.2">
      <c r="B32" s="229"/>
    </row>
    <row r="33" spans="2:2" x14ac:dyDescent="0.2">
      <c r="B33" s="229"/>
    </row>
    <row r="34" spans="2:2" x14ac:dyDescent="0.2">
      <c r="B34" s="229"/>
    </row>
    <row r="35" spans="2:2" x14ac:dyDescent="0.2">
      <c r="B35" s="229"/>
    </row>
    <row r="36" spans="2:2" x14ac:dyDescent="0.2">
      <c r="B36" s="229"/>
    </row>
    <row r="37" spans="2:2" x14ac:dyDescent="0.2">
      <c r="B37" s="229"/>
    </row>
    <row r="38" spans="2:2" x14ac:dyDescent="0.2">
      <c r="B38" s="229"/>
    </row>
    <row r="39" spans="2:2" x14ac:dyDescent="0.2">
      <c r="B39" s="229"/>
    </row>
    <row r="40" spans="2:2" x14ac:dyDescent="0.2">
      <c r="B40" s="229"/>
    </row>
    <row r="41" spans="2:2" x14ac:dyDescent="0.2">
      <c r="B41" s="229"/>
    </row>
  </sheetData>
  <mergeCells count="4">
    <mergeCell ref="B2:D2"/>
    <mergeCell ref="D14:H14"/>
    <mergeCell ref="D15:H15"/>
    <mergeCell ref="K3:L3"/>
  </mergeCells>
  <phoneticPr fontId="2" type="noConversion"/>
  <conditionalFormatting sqref="B4:G4">
    <cfRule type="expression" dxfId="23" priority="23">
      <formula>DAY(B4)&gt;8</formula>
    </cfRule>
  </conditionalFormatting>
  <conditionalFormatting sqref="B12:H12 B14:C14">
    <cfRule type="expression" dxfId="22" priority="24">
      <formula>AND(DAY(B12)&gt;=1,DAY(B12)&lt;=15)</formula>
    </cfRule>
  </conditionalFormatting>
  <dataValidations count="13"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drop-down list, press DOWN ARROW then ENTER to make selection" sqref="L5">
      <formula1>"Sunday, Monday"</formula1>
    </dataValidation>
    <dataValidation allowBlank="1" showInputMessage="1" showErrorMessage="1" prompt="Create a custom one-month calendar in this workbook. Customize year and starting day of the week for all months with this January worksheet. Each month is on a separate worksheet." sqref="A1"/>
    <dataValidation allowBlank="1" showInputMessage="1" showErrorMessage="1" prompt="Enter year in cell below" sqref="K4"/>
    <dataValidation allowBlank="1" showInputMessage="1" showErrorMessage="1" prompt="Select week start day in cell below" sqref="L4"/>
    <dataValidation allowBlank="1" showInputMessage="1" showErrorMessage="1" prompt="Enter year in this cell" sqref="K5"/>
    <dataValidation allowBlank="1" showInputMessage="1" showErrorMessage="1" prompt="This row contains weekday names for this calendar. This cell contains the starting day of the week. To change week start day, enter a new weekday in cell L5, in this worksheet." sqref="B3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e year in this cell is automatically updated based on the year entered in cell K5. Calendar below has dates for previous and next month with lighter font shade." sqref="B2:D2"/>
    <dataValidation allowBlank="1" showInputMessage="1" showErrorMessage="1" prompt="Automatically determined weekday" sqref="C3:H3"/>
    <dataValidation allowBlank="1" showInputMessage="1" showErrorMessage="1" prompt="This row &amp; rows 7, 9, 11, 13, &amp; 15 are cells for entering daily notes related to the calendar day in the cell above." sqref="B5:F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Enter year and select calendar start day in cells below. These Calendar Settings cells will not print" sqref="K3"/>
  </dataValidations>
  <printOptions horizontalCentered="1"/>
  <pageMargins left="0.25" right="0.25" top="0.5" bottom="0.5" header="0.3" footer="0.3"/>
  <pageSetup orientation="landscape" r:id="rId1"/>
  <headerFooter differentFirst="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 tint="0.59999389629810485"/>
    <pageSetUpPr fitToPage="1"/>
  </sheetPr>
  <dimension ref="A1:I18"/>
  <sheetViews>
    <sheetView showGridLines="0" zoomScaleNormal="100" workbookViewId="0">
      <selection activeCell="E5" sqref="E5"/>
    </sheetView>
  </sheetViews>
  <sheetFormatPr defaultColWidth="8.88671875" defaultRowHeight="14.25" x14ac:dyDescent="0.2"/>
  <cols>
    <col min="1" max="1" width="12.109375" style="1" bestFit="1" customWidth="1"/>
    <col min="2" max="8" width="15.33203125" style="1" customWidth="1"/>
    <col min="9" max="9" width="1.88671875" style="1" customWidth="1"/>
    <col min="10" max="16384" width="8.88671875" style="1"/>
  </cols>
  <sheetData>
    <row r="1" spans="1:9" ht="9" customHeight="1" x14ac:dyDescent="0.2">
      <c r="I1" s="1" t="s">
        <v>1</v>
      </c>
    </row>
    <row r="2" spans="1:9" ht="100.5" customHeight="1" x14ac:dyDescent="0.2">
      <c r="B2" s="304" t="str">
        <f>"February "&amp;CalendarYear</f>
        <v>February 2024</v>
      </c>
      <c r="C2" s="304"/>
      <c r="D2" s="304"/>
      <c r="E2" s="2"/>
      <c r="F2" s="2"/>
      <c r="G2" s="2"/>
      <c r="H2" s="3"/>
    </row>
    <row r="3" spans="1:9" s="4" customFormat="1" ht="19.5" customHeight="1" thickBot="1" x14ac:dyDescent="0.25">
      <c r="A3" s="1"/>
      <c r="B3" s="21" t="str">
        <f>WeekStart</f>
        <v>Monday</v>
      </c>
      <c r="C3" s="21" t="str">
        <f t="shared" ref="C3:H3" si="0">TEXT(C4,"dddd")</f>
        <v>terça-feira</v>
      </c>
      <c r="D3" s="21" t="str">
        <f t="shared" si="0"/>
        <v>quarta-feira</v>
      </c>
      <c r="E3" s="21" t="str">
        <f t="shared" si="0"/>
        <v>quinta-feira</v>
      </c>
      <c r="F3" s="21" t="str">
        <f t="shared" si="0"/>
        <v>sexta-feira</v>
      </c>
      <c r="G3" s="21" t="str">
        <f t="shared" si="0"/>
        <v>sábado</v>
      </c>
      <c r="H3" s="21" t="str">
        <f t="shared" si="0"/>
        <v>domingo</v>
      </c>
    </row>
    <row r="4" spans="1:9" s="6" customFormat="1" ht="19.5" customHeight="1" x14ac:dyDescent="0.2">
      <c r="B4" s="8">
        <f t="array" ref="B4:H4">DaysAndWeeks+DATE(CalendarYear,2,1)-WEEKDAY(DATE(CalendarYear,2,1),(WeekStart="Monday")+1)+1</f>
        <v>45320</v>
      </c>
      <c r="C4" s="8">
        <v>45321</v>
      </c>
      <c r="D4" s="8">
        <v>45322</v>
      </c>
      <c r="E4" s="8">
        <v>45323</v>
      </c>
      <c r="F4" s="8">
        <v>45324</v>
      </c>
      <c r="G4" s="8">
        <v>45325</v>
      </c>
      <c r="H4" s="8">
        <v>45326</v>
      </c>
    </row>
    <row r="5" spans="1:9" s="5" customFormat="1" ht="48" customHeight="1" x14ac:dyDescent="0.2">
      <c r="E5" s="5" t="e">
        <f ca="1">VLOOKUP(A18,'Mecanismos de Incentivo'!D12:E16,2,FALSE)</f>
        <v>#N/A</v>
      </c>
    </row>
    <row r="6" spans="1:9" s="6" customFormat="1" ht="19.5" customHeight="1" x14ac:dyDescent="0.2">
      <c r="B6" s="7">
        <f t="array" ref="B6:H6">DaysAndWeeks+DATE(CalendarYear,2,1)-WEEKDAY(DATE(CalendarYear,2,1),(WeekStart="Monday")+1)+8</f>
        <v>45327</v>
      </c>
      <c r="C6" s="7">
        <v>45328</v>
      </c>
      <c r="D6" s="7">
        <v>45329</v>
      </c>
      <c r="E6" s="7">
        <v>45330</v>
      </c>
      <c r="F6" s="7">
        <v>45331</v>
      </c>
      <c r="G6" s="7">
        <v>45332</v>
      </c>
      <c r="H6" s="7">
        <v>45333</v>
      </c>
    </row>
    <row r="7" spans="1:9" s="5" customFormat="1" ht="48" customHeight="1" x14ac:dyDescent="0.2">
      <c r="B7" s="9"/>
      <c r="C7" s="9"/>
      <c r="D7" s="9"/>
      <c r="E7" s="9"/>
      <c r="F7" s="9"/>
      <c r="G7" s="9"/>
      <c r="H7" s="9"/>
    </row>
    <row r="8" spans="1:9" s="6" customFormat="1" ht="19.5" customHeight="1" x14ac:dyDescent="0.2">
      <c r="B8" s="8">
        <f t="array" ref="B8:H8">DaysAndWeeks+DATE(CalendarYear,2,1)-WEEKDAY(DATE(CalendarYear,2,1),(WeekStart="Monday")+1)+15</f>
        <v>45334</v>
      </c>
      <c r="C8" s="8">
        <v>45335</v>
      </c>
      <c r="D8" s="8">
        <v>45336</v>
      </c>
      <c r="E8" s="8">
        <v>45337</v>
      </c>
      <c r="F8" s="8">
        <v>45338</v>
      </c>
      <c r="G8" s="8">
        <v>45339</v>
      </c>
      <c r="H8" s="8">
        <v>45340</v>
      </c>
    </row>
    <row r="9" spans="1:9" s="5" customFormat="1" ht="48" customHeight="1" x14ac:dyDescent="0.2"/>
    <row r="10" spans="1:9" s="6" customFormat="1" ht="19.5" customHeight="1" x14ac:dyDescent="0.2">
      <c r="B10" s="7">
        <f t="array" ref="B10:H10">DaysAndWeeks+DATE(CalendarYear,2,1)-WEEKDAY(DATE(CalendarYear,2,1),(WeekStart="Monday")+1)+22</f>
        <v>45341</v>
      </c>
      <c r="C10" s="7">
        <v>45342</v>
      </c>
      <c r="D10" s="7">
        <v>45343</v>
      </c>
      <c r="E10" s="7">
        <v>45344</v>
      </c>
      <c r="F10" s="7">
        <v>45345</v>
      </c>
      <c r="G10" s="7">
        <v>45346</v>
      </c>
      <c r="H10" s="7">
        <v>45347</v>
      </c>
    </row>
    <row r="11" spans="1:9" s="5" customFormat="1" ht="48" customHeight="1" x14ac:dyDescent="0.2">
      <c r="B11" s="9"/>
      <c r="C11" s="9"/>
      <c r="D11" s="9"/>
      <c r="E11" s="9"/>
      <c r="F11" s="9"/>
      <c r="G11" s="9"/>
      <c r="H11" s="9"/>
    </row>
    <row r="12" spans="1:9" s="6" customFormat="1" ht="19.5" customHeight="1" x14ac:dyDescent="0.2">
      <c r="B12" s="8">
        <f t="array" ref="B12:H12">DaysAndWeeks+DATE(CalendarYear,2,1)-WEEKDAY(DATE(CalendarYear,2,1),(WeekStart="Monday")+1)+29</f>
        <v>45348</v>
      </c>
      <c r="C12" s="8">
        <v>45349</v>
      </c>
      <c r="D12" s="8">
        <v>45350</v>
      </c>
      <c r="E12" s="8">
        <v>45351</v>
      </c>
      <c r="F12" s="8">
        <v>45352</v>
      </c>
      <c r="G12" s="8">
        <v>45353</v>
      </c>
      <c r="H12" s="8">
        <v>45354</v>
      </c>
    </row>
    <row r="13" spans="1:9" s="5" customFormat="1" ht="48" customHeight="1" x14ac:dyDescent="0.2"/>
    <row r="14" spans="1:9" s="6" customFormat="1" ht="19.5" customHeight="1" x14ac:dyDescent="0.2">
      <c r="B14" s="7">
        <f t="array" ref="B14:C14">DaysAndWeeks+DATE(CalendarYear,2,1)-WEEKDAY(DATE(CalendarYear,2,1),(WeekStart="Monday")+1)+36</f>
        <v>45355</v>
      </c>
      <c r="C14" s="7">
        <v>45356</v>
      </c>
      <c r="D14" s="305" t="s">
        <v>0</v>
      </c>
      <c r="E14" s="305"/>
      <c r="F14" s="305"/>
      <c r="G14" s="305"/>
      <c r="H14" s="305"/>
    </row>
    <row r="15" spans="1:9" s="5" customFormat="1" ht="48" customHeight="1" x14ac:dyDescent="0.2">
      <c r="B15" s="9"/>
      <c r="C15" s="9"/>
      <c r="D15" s="306"/>
      <c r="E15" s="306"/>
      <c r="F15" s="306"/>
      <c r="G15" s="306"/>
      <c r="H15" s="306"/>
    </row>
    <row r="18" spans="1:1" x14ac:dyDescent="0.2">
      <c r="A18" s="229">
        <f ca="1">TODAY() + 24</f>
        <v>45826</v>
      </c>
    </row>
  </sheetData>
  <mergeCells count="3">
    <mergeCell ref="B2:D2"/>
    <mergeCell ref="D14:H14"/>
    <mergeCell ref="D15:H15"/>
  </mergeCells>
  <conditionalFormatting sqref="B4:G4">
    <cfRule type="expression" dxfId="21" priority="1">
      <formula>DAY(B4)&gt;8</formula>
    </cfRule>
  </conditionalFormatting>
  <conditionalFormatting sqref="B12:H12 B14:C14">
    <cfRule type="expression" dxfId="20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showErrorMessage="1" prompt="February month calendar" sqref="A1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7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88671875" style="1" customWidth="1"/>
    <col min="2" max="8" width="15.332031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1</v>
      </c>
    </row>
    <row r="2" spans="1:9" s="1" customFormat="1" ht="100.5" customHeight="1" x14ac:dyDescent="0.2">
      <c r="B2" s="308" t="str">
        <f>"June "&amp;CalendarYear</f>
        <v>June 2024</v>
      </c>
      <c r="C2" s="308"/>
      <c r="D2" s="308"/>
      <c r="E2" s="2"/>
      <c r="F2" s="2"/>
      <c r="G2" s="2"/>
      <c r="H2" s="3"/>
    </row>
    <row r="3" spans="1:9" s="4" customFormat="1" ht="19.5" customHeight="1" thickBot="1" x14ac:dyDescent="0.25">
      <c r="A3" s="1"/>
      <c r="B3" s="23" t="str">
        <f>WeekStart</f>
        <v>Monday</v>
      </c>
      <c r="C3" s="23" t="str">
        <f t="shared" ref="C3:H3" si="0">TEXT(C4,"dddd")</f>
        <v>terça-feira</v>
      </c>
      <c r="D3" s="23" t="str">
        <f t="shared" si="0"/>
        <v>quarta-feira</v>
      </c>
      <c r="E3" s="23" t="str">
        <f t="shared" si="0"/>
        <v>quinta-feira</v>
      </c>
      <c r="F3" s="23" t="str">
        <f t="shared" si="0"/>
        <v>sexta-feira</v>
      </c>
      <c r="G3" s="23" t="str">
        <f t="shared" si="0"/>
        <v>sábado</v>
      </c>
      <c r="H3" s="23" t="str">
        <f t="shared" si="0"/>
        <v>domingo</v>
      </c>
    </row>
    <row r="4" spans="1:9" s="6" customFormat="1" ht="19.5" customHeight="1" x14ac:dyDescent="0.2">
      <c r="B4" s="8">
        <f t="array" ref="B4:H4">DaysAndWeeks+DATE(CalendarYear,6,1)-WEEKDAY(DATE(CalendarYear,6,1),(WeekStart="Monday")+1)+1</f>
        <v>45439</v>
      </c>
      <c r="C4" s="8">
        <v>45440</v>
      </c>
      <c r="D4" s="8">
        <v>45441</v>
      </c>
      <c r="E4" s="8">
        <v>45442</v>
      </c>
      <c r="F4" s="8">
        <v>45443</v>
      </c>
      <c r="G4" s="8">
        <v>45444</v>
      </c>
      <c r="H4" s="8">
        <v>45445</v>
      </c>
    </row>
    <row r="5" spans="1:9" s="5" customFormat="1" ht="48" customHeight="1" x14ac:dyDescent="0.2"/>
    <row r="6" spans="1:9" s="6" customFormat="1" ht="19.5" customHeight="1" x14ac:dyDescent="0.2">
      <c r="B6" s="19">
        <f t="array" ref="B6:H6">DaysAndWeeks+DATE(CalendarYear,6,1)-WEEKDAY(DATE(CalendarYear,6,1),(WeekStart="Monday")+1)+8</f>
        <v>45446</v>
      </c>
      <c r="C6" s="19">
        <v>45447</v>
      </c>
      <c r="D6" s="19">
        <v>45448</v>
      </c>
      <c r="E6" s="19">
        <v>45449</v>
      </c>
      <c r="F6" s="19">
        <v>45450</v>
      </c>
      <c r="G6" s="19">
        <v>45451</v>
      </c>
      <c r="H6" s="19">
        <v>45452</v>
      </c>
    </row>
    <row r="7" spans="1:9" s="5" customFormat="1" ht="48" customHeight="1" x14ac:dyDescent="0.2">
      <c r="B7" s="20"/>
      <c r="C7" s="20"/>
      <c r="D7" s="20"/>
      <c r="E7" s="20"/>
      <c r="F7" s="20"/>
      <c r="G7" s="20"/>
      <c r="H7" s="20"/>
    </row>
    <row r="8" spans="1:9" s="6" customFormat="1" ht="19.5" customHeight="1" x14ac:dyDescent="0.2">
      <c r="B8" s="8">
        <f t="array" ref="B8:H8">DaysAndWeeks+DATE(CalendarYear,6,1)-WEEKDAY(DATE(CalendarYear,6,1),(WeekStart="Monday")+1)+15</f>
        <v>45453</v>
      </c>
      <c r="C8" s="8">
        <v>45454</v>
      </c>
      <c r="D8" s="8">
        <v>45455</v>
      </c>
      <c r="E8" s="8">
        <v>45456</v>
      </c>
      <c r="F8" s="8">
        <v>45457</v>
      </c>
      <c r="G8" s="8">
        <v>45458</v>
      </c>
      <c r="H8" s="8">
        <v>45459</v>
      </c>
    </row>
    <row r="9" spans="1:9" s="5" customFormat="1" ht="48" customHeight="1" x14ac:dyDescent="0.2"/>
    <row r="10" spans="1:9" s="6" customFormat="1" ht="19.5" customHeight="1" x14ac:dyDescent="0.2">
      <c r="B10" s="19">
        <f t="array" ref="B10:H10">DaysAndWeeks+DATE(CalendarYear,6,1)-WEEKDAY(DATE(CalendarYear,6,1),(WeekStart="Monday")+1)+22</f>
        <v>45460</v>
      </c>
      <c r="C10" s="19">
        <v>45461</v>
      </c>
      <c r="D10" s="19">
        <v>45462</v>
      </c>
      <c r="E10" s="19">
        <v>45463</v>
      </c>
      <c r="F10" s="19">
        <v>45464</v>
      </c>
      <c r="G10" s="19">
        <v>45465</v>
      </c>
      <c r="H10" s="19">
        <v>45466</v>
      </c>
    </row>
    <row r="11" spans="1:9" s="5" customFormat="1" ht="48" customHeight="1" x14ac:dyDescent="0.2">
      <c r="B11" s="20"/>
      <c r="C11" s="20"/>
      <c r="D11" s="20"/>
      <c r="E11" s="20"/>
      <c r="F11" s="20"/>
      <c r="G11" s="20"/>
      <c r="H11" s="20"/>
    </row>
    <row r="12" spans="1:9" s="6" customFormat="1" ht="19.5" customHeight="1" x14ac:dyDescent="0.2">
      <c r="B12" s="8">
        <f t="array" ref="B12:H12">DaysAndWeeks+DATE(CalendarYear,6,1)-WEEKDAY(DATE(CalendarYear,6,1),(WeekStart="Monday")+1)+29</f>
        <v>45467</v>
      </c>
      <c r="C12" s="8">
        <v>45468</v>
      </c>
      <c r="D12" s="8">
        <v>45469</v>
      </c>
      <c r="E12" s="8">
        <v>45470</v>
      </c>
      <c r="F12" s="8">
        <v>45471</v>
      </c>
      <c r="G12" s="8">
        <v>45472</v>
      </c>
      <c r="H12" s="8">
        <v>45473</v>
      </c>
    </row>
    <row r="13" spans="1:9" s="5" customFormat="1" ht="48" customHeight="1" x14ac:dyDescent="0.2"/>
    <row r="14" spans="1:9" s="6" customFormat="1" ht="19.5" customHeight="1" x14ac:dyDescent="0.2">
      <c r="B14" s="19">
        <f t="array" ref="B14:C14">DaysAndWeeks+DATE(CalendarYear,6,1)-WEEKDAY(DATE(CalendarYear,6,1),(WeekStart="Monday")+1)+36</f>
        <v>45474</v>
      </c>
      <c r="C14" s="19">
        <v>45475</v>
      </c>
      <c r="D14" s="309" t="s">
        <v>0</v>
      </c>
      <c r="E14" s="309"/>
      <c r="F14" s="309"/>
      <c r="G14" s="309"/>
      <c r="H14" s="309"/>
    </row>
    <row r="15" spans="1:9" s="5" customFormat="1" ht="48" customHeight="1" x14ac:dyDescent="0.2">
      <c r="B15" s="20"/>
      <c r="C15" s="20"/>
      <c r="D15" s="310"/>
      <c r="E15" s="310"/>
      <c r="F15" s="310"/>
      <c r="G15" s="310"/>
      <c r="H15" s="310"/>
    </row>
  </sheetData>
  <mergeCells count="3">
    <mergeCell ref="B2:D2"/>
    <mergeCell ref="D14:H14"/>
    <mergeCell ref="D15:H15"/>
  </mergeCells>
  <conditionalFormatting sqref="B4:G4">
    <cfRule type="expression" dxfId="19" priority="1">
      <formula>DAY(B4)&gt;8</formula>
    </cfRule>
  </conditionalFormatting>
  <conditionalFormatting sqref="B12:H12 B14:C14">
    <cfRule type="expression" dxfId="18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June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 tint="0.59999389629810485"/>
    <pageSetUpPr fitToPage="1"/>
  </sheetPr>
  <dimension ref="A1:I15"/>
  <sheetViews>
    <sheetView showGridLines="0" zoomScaleNormal="100" workbookViewId="0"/>
  </sheetViews>
  <sheetFormatPr defaultColWidth="8.88671875" defaultRowHeight="14.25" x14ac:dyDescent="0.2"/>
  <cols>
    <col min="1" max="1" width="1.88671875" style="1" customWidth="1"/>
    <col min="2" max="8" width="15.332031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1</v>
      </c>
    </row>
    <row r="2" spans="1:9" s="1" customFormat="1" ht="100.5" customHeight="1" x14ac:dyDescent="0.2">
      <c r="B2" s="311" t="str">
        <f>"March "&amp;CalendarYear</f>
        <v>March 2024</v>
      </c>
      <c r="C2" s="311"/>
      <c r="D2" s="311"/>
      <c r="E2" s="2"/>
      <c r="F2" s="2"/>
      <c r="G2" s="2"/>
      <c r="H2" s="3"/>
    </row>
    <row r="3" spans="1:9" s="4" customFormat="1" ht="19.5" customHeight="1" thickBot="1" x14ac:dyDescent="0.25">
      <c r="A3" s="1"/>
      <c r="B3" s="22" t="str">
        <f>WeekStart</f>
        <v>Monday</v>
      </c>
      <c r="C3" s="22" t="str">
        <f t="shared" ref="C3:H3" si="0">TEXT(C4,"dddd")</f>
        <v>terça-feira</v>
      </c>
      <c r="D3" s="22" t="str">
        <f t="shared" si="0"/>
        <v>quarta-feira</v>
      </c>
      <c r="E3" s="22" t="str">
        <f t="shared" si="0"/>
        <v>quinta-feira</v>
      </c>
      <c r="F3" s="22" t="str">
        <f t="shared" si="0"/>
        <v>sexta-feira</v>
      </c>
      <c r="G3" s="22" t="str">
        <f t="shared" si="0"/>
        <v>sábado</v>
      </c>
      <c r="H3" s="22" t="str">
        <f t="shared" si="0"/>
        <v>domingo</v>
      </c>
    </row>
    <row r="4" spans="1:9" s="6" customFormat="1" ht="19.5" customHeight="1" x14ac:dyDescent="0.2">
      <c r="B4" s="8">
        <f t="array" ref="B4:H4">DaysAndWeeks+DATE(CalendarYear,3,1)-WEEKDAY(DATE(CalendarYear,3,1),(WeekStart="Monday")+1)+1</f>
        <v>45348</v>
      </c>
      <c r="C4" s="8">
        <v>45349</v>
      </c>
      <c r="D4" s="8">
        <v>45350</v>
      </c>
      <c r="E4" s="8">
        <v>45351</v>
      </c>
      <c r="F4" s="8">
        <v>45352</v>
      </c>
      <c r="G4" s="8">
        <v>45353</v>
      </c>
      <c r="H4" s="8">
        <v>45354</v>
      </c>
    </row>
    <row r="5" spans="1:9" s="5" customFormat="1" ht="48" customHeight="1" x14ac:dyDescent="0.2"/>
    <row r="6" spans="1:9" s="6" customFormat="1" ht="19.5" customHeight="1" x14ac:dyDescent="0.2">
      <c r="B6" s="15">
        <f t="array" ref="B6:H6">DaysAndWeeks+DATE(CalendarYear,3,1)-WEEKDAY(DATE(CalendarYear,3,1),(WeekStart="Monday")+1)+8</f>
        <v>45355</v>
      </c>
      <c r="C6" s="15">
        <v>45356</v>
      </c>
      <c r="D6" s="15">
        <v>45357</v>
      </c>
      <c r="E6" s="15">
        <v>45358</v>
      </c>
      <c r="F6" s="15">
        <v>45359</v>
      </c>
      <c r="G6" s="15">
        <v>45360</v>
      </c>
      <c r="H6" s="15">
        <v>45361</v>
      </c>
    </row>
    <row r="7" spans="1:9" s="5" customFormat="1" ht="48" customHeight="1" x14ac:dyDescent="0.2">
      <c r="B7" s="16"/>
      <c r="C7" s="16"/>
      <c r="D7" s="16"/>
      <c r="E7" s="16"/>
      <c r="F7" s="16"/>
      <c r="G7" s="16"/>
      <c r="H7" s="16"/>
    </row>
    <row r="8" spans="1:9" s="6" customFormat="1" ht="19.5" customHeight="1" x14ac:dyDescent="0.2">
      <c r="B8" s="8">
        <f t="array" ref="B8:H8">DaysAndWeeks+DATE(CalendarYear,3,1)-WEEKDAY(DATE(CalendarYear,3,1),(WeekStart="Monday")+1)+15</f>
        <v>45362</v>
      </c>
      <c r="C8" s="8">
        <v>45363</v>
      </c>
      <c r="D8" s="8">
        <v>45364</v>
      </c>
      <c r="E8" s="8">
        <v>45365</v>
      </c>
      <c r="F8" s="8">
        <v>45366</v>
      </c>
      <c r="G8" s="8">
        <v>45367</v>
      </c>
      <c r="H8" s="8">
        <v>45368</v>
      </c>
    </row>
    <row r="9" spans="1:9" s="5" customFormat="1" ht="48" customHeight="1" x14ac:dyDescent="0.2"/>
    <row r="10" spans="1:9" s="6" customFormat="1" ht="19.5" customHeight="1" x14ac:dyDescent="0.2">
      <c r="B10" s="15">
        <f t="array" ref="B10:H10">DaysAndWeeks+DATE(CalendarYear,3,1)-WEEKDAY(DATE(CalendarYear,3,1),(WeekStart="Monday")+1)+22</f>
        <v>45369</v>
      </c>
      <c r="C10" s="15">
        <v>45370</v>
      </c>
      <c r="D10" s="15">
        <v>45371</v>
      </c>
      <c r="E10" s="15">
        <v>45372</v>
      </c>
      <c r="F10" s="15">
        <v>45373</v>
      </c>
      <c r="G10" s="15">
        <v>45374</v>
      </c>
      <c r="H10" s="15">
        <v>45375</v>
      </c>
    </row>
    <row r="11" spans="1:9" s="5" customFormat="1" ht="48" customHeight="1" x14ac:dyDescent="0.2">
      <c r="B11" s="16"/>
      <c r="C11" s="16"/>
      <c r="D11" s="16"/>
      <c r="E11" s="16"/>
      <c r="F11" s="16"/>
      <c r="G11" s="16"/>
      <c r="H11" s="16"/>
    </row>
    <row r="12" spans="1:9" s="6" customFormat="1" ht="19.5" customHeight="1" x14ac:dyDescent="0.2">
      <c r="B12" s="8">
        <f t="array" ref="B12:H12">DaysAndWeeks+DATE(CalendarYear,3,1)-WEEKDAY(DATE(CalendarYear,3,1),(WeekStart="Monday")+1)+29</f>
        <v>45376</v>
      </c>
      <c r="C12" s="8">
        <v>45377</v>
      </c>
      <c r="D12" s="8">
        <v>45378</v>
      </c>
      <c r="E12" s="8">
        <v>45379</v>
      </c>
      <c r="F12" s="8">
        <v>45380</v>
      </c>
      <c r="G12" s="8">
        <v>45381</v>
      </c>
      <c r="H12" s="8">
        <v>45382</v>
      </c>
    </row>
    <row r="13" spans="1:9" s="5" customFormat="1" ht="48" customHeight="1" x14ac:dyDescent="0.2"/>
    <row r="14" spans="1:9" s="6" customFormat="1" ht="19.5" customHeight="1" x14ac:dyDescent="0.2">
      <c r="B14" s="15">
        <f t="array" ref="B14:C14">DaysAndWeeks+DATE(CalendarYear,3,1)-WEEKDAY(DATE(CalendarYear,3,1),(WeekStart="Monday")+1)+36</f>
        <v>45383</v>
      </c>
      <c r="C14" s="15">
        <v>45384</v>
      </c>
      <c r="D14" s="312" t="s">
        <v>0</v>
      </c>
      <c r="E14" s="312"/>
      <c r="F14" s="312"/>
      <c r="G14" s="312"/>
      <c r="H14" s="312"/>
    </row>
    <row r="15" spans="1:9" s="5" customFormat="1" ht="48" customHeight="1" x14ac:dyDescent="0.2">
      <c r="B15" s="16"/>
      <c r="C15" s="16"/>
      <c r="D15" s="313"/>
      <c r="E15" s="313"/>
      <c r="F15" s="313"/>
      <c r="G15" s="313"/>
      <c r="H15" s="313"/>
    </row>
  </sheetData>
  <mergeCells count="3">
    <mergeCell ref="B2:D2"/>
    <mergeCell ref="D14:H14"/>
    <mergeCell ref="D15:H15"/>
  </mergeCells>
  <conditionalFormatting sqref="B4:G4">
    <cfRule type="expression" dxfId="17" priority="1">
      <formula>DAY(B4)&gt;8</formula>
    </cfRule>
  </conditionalFormatting>
  <conditionalFormatting sqref="B12:H12 B14:C14">
    <cfRule type="expression" dxfId="16" priority="2">
      <formula>AND(DAY(B12)&gt;=1,DAY(B12)&lt;=15)</formula>
    </cfRule>
  </conditionalFormatting>
  <dataValidations count="8">
    <dataValidation allowBlank="1" showInputMessage="1" showErrorMessage="1" prompt="March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Automatically determined weekday" sqref="C3:H3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9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88671875" style="1" customWidth="1"/>
    <col min="2" max="8" width="15.332031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1</v>
      </c>
    </row>
    <row r="2" spans="1:9" s="1" customFormat="1" ht="100.5" customHeight="1" x14ac:dyDescent="0.2">
      <c r="B2" s="311" t="str">
        <f>"April "&amp;CalendarYear</f>
        <v>April 2024</v>
      </c>
      <c r="C2" s="311"/>
      <c r="D2" s="311"/>
      <c r="E2" s="2"/>
      <c r="F2" s="2"/>
      <c r="G2" s="2"/>
      <c r="H2" s="3"/>
    </row>
    <row r="3" spans="1:9" s="4" customFormat="1" ht="19.5" customHeight="1" thickBot="1" x14ac:dyDescent="0.25">
      <c r="A3" s="1"/>
      <c r="B3" s="22" t="str">
        <f>WeekStart</f>
        <v>Monday</v>
      </c>
      <c r="C3" s="22" t="str">
        <f t="shared" ref="C3:H3" si="0">TEXT(C4,"dddd")</f>
        <v>terça-feira</v>
      </c>
      <c r="D3" s="22" t="str">
        <f t="shared" si="0"/>
        <v>quarta-feira</v>
      </c>
      <c r="E3" s="22" t="str">
        <f t="shared" si="0"/>
        <v>quinta-feira</v>
      </c>
      <c r="F3" s="22" t="str">
        <f t="shared" si="0"/>
        <v>sexta-feira</v>
      </c>
      <c r="G3" s="22" t="str">
        <f t="shared" si="0"/>
        <v>sábado</v>
      </c>
      <c r="H3" s="22" t="str">
        <f t="shared" si="0"/>
        <v>domingo</v>
      </c>
    </row>
    <row r="4" spans="1:9" s="6" customFormat="1" ht="19.5" customHeight="1" x14ac:dyDescent="0.2">
      <c r="B4" s="8">
        <f t="array" ref="B4:H4">DaysAndWeeks+DATE(CalendarYear,4,1)-WEEKDAY(DATE(CalendarYear,4,1),(WeekStart="Monday")+1)+1</f>
        <v>45383</v>
      </c>
      <c r="C4" s="8">
        <v>45384</v>
      </c>
      <c r="D4" s="8">
        <v>45385</v>
      </c>
      <c r="E4" s="8">
        <v>45386</v>
      </c>
      <c r="F4" s="8">
        <v>45387</v>
      </c>
      <c r="G4" s="8">
        <v>45388</v>
      </c>
      <c r="H4" s="8">
        <v>45389</v>
      </c>
    </row>
    <row r="5" spans="1:9" s="5" customFormat="1" ht="48" customHeight="1" x14ac:dyDescent="0.2"/>
    <row r="6" spans="1:9" s="6" customFormat="1" ht="19.5" customHeight="1" x14ac:dyDescent="0.2">
      <c r="B6" s="15">
        <f t="array" ref="B6:H6">DaysAndWeeks+DATE(CalendarYear,4,1)-WEEKDAY(DATE(CalendarYear,4,1),(WeekStart="Monday")+1)+8</f>
        <v>45390</v>
      </c>
      <c r="C6" s="15">
        <v>45391</v>
      </c>
      <c r="D6" s="15">
        <v>45392</v>
      </c>
      <c r="E6" s="15">
        <v>45393</v>
      </c>
      <c r="F6" s="15">
        <v>45394</v>
      </c>
      <c r="G6" s="15">
        <v>45395</v>
      </c>
      <c r="H6" s="15">
        <v>45396</v>
      </c>
    </row>
    <row r="7" spans="1:9" s="5" customFormat="1" ht="48" customHeight="1" x14ac:dyDescent="0.2">
      <c r="B7" s="16"/>
      <c r="C7" s="16"/>
      <c r="D7" s="16"/>
      <c r="E7" s="16"/>
      <c r="F7" s="16"/>
      <c r="G7" s="16"/>
      <c r="H7" s="16"/>
    </row>
    <row r="8" spans="1:9" s="6" customFormat="1" ht="19.5" customHeight="1" x14ac:dyDescent="0.2">
      <c r="B8" s="8">
        <f t="array" ref="B8:H8">DaysAndWeeks+DATE(CalendarYear,4,1)-WEEKDAY(DATE(CalendarYear,4,1),(WeekStart="Monday")+1)+15</f>
        <v>45397</v>
      </c>
      <c r="C8" s="8">
        <v>45398</v>
      </c>
      <c r="D8" s="8">
        <v>45399</v>
      </c>
      <c r="E8" s="8">
        <v>45400</v>
      </c>
      <c r="F8" s="8">
        <v>45401</v>
      </c>
      <c r="G8" s="8">
        <v>45402</v>
      </c>
      <c r="H8" s="8">
        <v>45403</v>
      </c>
    </row>
    <row r="9" spans="1:9" s="5" customFormat="1" ht="48" customHeight="1" x14ac:dyDescent="0.2"/>
    <row r="10" spans="1:9" s="6" customFormat="1" ht="19.5" customHeight="1" x14ac:dyDescent="0.2">
      <c r="B10" s="15">
        <f t="array" ref="B10:H10">DaysAndWeeks+DATE(CalendarYear,4,1)-WEEKDAY(DATE(CalendarYear,4,1),(WeekStart="Monday")+1)+22</f>
        <v>45404</v>
      </c>
      <c r="C10" s="15">
        <v>45405</v>
      </c>
      <c r="D10" s="15">
        <v>45406</v>
      </c>
      <c r="E10" s="15">
        <v>45407</v>
      </c>
      <c r="F10" s="15">
        <v>45408</v>
      </c>
      <c r="G10" s="15">
        <v>45409</v>
      </c>
      <c r="H10" s="15">
        <v>45410</v>
      </c>
    </row>
    <row r="11" spans="1:9" s="5" customFormat="1" ht="48" customHeight="1" x14ac:dyDescent="0.2">
      <c r="B11" s="16"/>
      <c r="C11" s="16"/>
      <c r="D11" s="16"/>
      <c r="E11" s="16"/>
      <c r="F11" s="16"/>
      <c r="G11" s="16"/>
      <c r="H11" s="16"/>
    </row>
    <row r="12" spans="1:9" s="6" customFormat="1" ht="19.5" customHeight="1" x14ac:dyDescent="0.2">
      <c r="B12" s="8">
        <f t="array" ref="B12:H12">DaysAndWeeks+DATE(CalendarYear,4,1)-WEEKDAY(DATE(CalendarYear,4,1),(WeekStart="Monday")+1)+29</f>
        <v>45411</v>
      </c>
      <c r="C12" s="8">
        <v>45412</v>
      </c>
      <c r="D12" s="8">
        <v>45413</v>
      </c>
      <c r="E12" s="8">
        <v>45414</v>
      </c>
      <c r="F12" s="8">
        <v>45415</v>
      </c>
      <c r="G12" s="8">
        <v>45416</v>
      </c>
      <c r="H12" s="8">
        <v>45417</v>
      </c>
    </row>
    <row r="13" spans="1:9" s="5" customFormat="1" ht="48" customHeight="1" x14ac:dyDescent="0.2"/>
    <row r="14" spans="1:9" s="6" customFormat="1" ht="19.5" customHeight="1" x14ac:dyDescent="0.2">
      <c r="B14" s="15">
        <f t="array" ref="B14:C14">DaysAndWeeks+DATE(CalendarYear,4,1)-WEEKDAY(DATE(CalendarYear,4,1),(WeekStart="Monday")+1)+36</f>
        <v>45418</v>
      </c>
      <c r="C14" s="15">
        <v>45419</v>
      </c>
      <c r="D14" s="312" t="s">
        <v>0</v>
      </c>
      <c r="E14" s="312"/>
      <c r="F14" s="312"/>
      <c r="G14" s="312"/>
      <c r="H14" s="312"/>
    </row>
    <row r="15" spans="1:9" s="5" customFormat="1" ht="48" customHeight="1" x14ac:dyDescent="0.2">
      <c r="B15" s="16"/>
      <c r="C15" s="16"/>
      <c r="D15" s="313"/>
      <c r="E15" s="313"/>
      <c r="F15" s="313"/>
      <c r="G15" s="313"/>
      <c r="H15" s="313"/>
    </row>
  </sheetData>
  <mergeCells count="3">
    <mergeCell ref="B2:D2"/>
    <mergeCell ref="D14:H14"/>
    <mergeCell ref="D15:H15"/>
  </mergeCells>
  <conditionalFormatting sqref="B4:G4">
    <cfRule type="expression" dxfId="15" priority="1">
      <formula>DAY(B4)&gt;8</formula>
    </cfRule>
  </conditionalFormatting>
  <conditionalFormatting sqref="B12:H12 B14:C14">
    <cfRule type="expression" dxfId="14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April month calendar" sqref="A1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9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88671875" style="1" customWidth="1"/>
    <col min="2" max="8" width="15.332031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1</v>
      </c>
    </row>
    <row r="2" spans="1:9" s="1" customFormat="1" ht="100.5" customHeight="1" x14ac:dyDescent="0.2">
      <c r="B2" s="311" t="str">
        <f>"May "&amp;CalendarYear</f>
        <v>May 2024</v>
      </c>
      <c r="C2" s="311"/>
      <c r="D2" s="311"/>
      <c r="E2" s="2"/>
      <c r="F2" s="2"/>
      <c r="G2" s="2"/>
      <c r="H2" s="3"/>
    </row>
    <row r="3" spans="1:9" s="4" customFormat="1" ht="19.5" customHeight="1" thickBot="1" x14ac:dyDescent="0.25">
      <c r="A3" s="1"/>
      <c r="B3" s="22" t="str">
        <f>WeekStart</f>
        <v>Monday</v>
      </c>
      <c r="C3" s="22" t="str">
        <f t="shared" ref="C3:H3" si="0">TEXT(C4,"dddd")</f>
        <v>terça-feira</v>
      </c>
      <c r="D3" s="22" t="str">
        <f t="shared" si="0"/>
        <v>quarta-feira</v>
      </c>
      <c r="E3" s="22" t="str">
        <f t="shared" si="0"/>
        <v>quinta-feira</v>
      </c>
      <c r="F3" s="22" t="str">
        <f t="shared" si="0"/>
        <v>sexta-feira</v>
      </c>
      <c r="G3" s="22" t="str">
        <f t="shared" si="0"/>
        <v>sábado</v>
      </c>
      <c r="H3" s="22" t="str">
        <f t="shared" si="0"/>
        <v>domingo</v>
      </c>
    </row>
    <row r="4" spans="1:9" s="6" customFormat="1" ht="19.5" customHeight="1" x14ac:dyDescent="0.2">
      <c r="B4" s="8">
        <f t="array" ref="B4:H4">DaysAndWeeks+DATE(CalendarYear,5,1)-WEEKDAY(DATE(CalendarYear,5,1),(WeekStart="Monday")+1)+1</f>
        <v>45411</v>
      </c>
      <c r="C4" s="8">
        <v>45412</v>
      </c>
      <c r="D4" s="8">
        <v>45413</v>
      </c>
      <c r="E4" s="8">
        <v>45414</v>
      </c>
      <c r="F4" s="8">
        <v>45415</v>
      </c>
      <c r="G4" s="8">
        <v>45416</v>
      </c>
      <c r="H4" s="8">
        <v>45417</v>
      </c>
    </row>
    <row r="5" spans="1:9" s="5" customFormat="1" ht="48" customHeight="1" x14ac:dyDescent="0.2"/>
    <row r="6" spans="1:9" s="6" customFormat="1" ht="19.5" customHeight="1" x14ac:dyDescent="0.2">
      <c r="B6" s="15">
        <f t="array" ref="B6:H6">DaysAndWeeks+DATE(CalendarYear,5,1)-WEEKDAY(DATE(CalendarYear,5,1),(WeekStart="Monday")+1)+8</f>
        <v>45418</v>
      </c>
      <c r="C6" s="15">
        <v>45419</v>
      </c>
      <c r="D6" s="15">
        <v>45420</v>
      </c>
      <c r="E6" s="15">
        <v>45421</v>
      </c>
      <c r="F6" s="15">
        <v>45422</v>
      </c>
      <c r="G6" s="15">
        <v>45423</v>
      </c>
      <c r="H6" s="15">
        <v>45424</v>
      </c>
    </row>
    <row r="7" spans="1:9" s="5" customFormat="1" ht="48" customHeight="1" x14ac:dyDescent="0.2">
      <c r="B7" s="16"/>
      <c r="C7" s="16"/>
      <c r="D7" s="16"/>
      <c r="E7" s="16"/>
      <c r="F7" s="16"/>
      <c r="G7" s="16"/>
      <c r="H7" s="16"/>
    </row>
    <row r="8" spans="1:9" s="6" customFormat="1" ht="19.5" customHeight="1" x14ac:dyDescent="0.2">
      <c r="B8" s="8">
        <f t="array" ref="B8:H8">DaysAndWeeks+DATE(CalendarYear,5,1)-WEEKDAY(DATE(CalendarYear,5,1),(WeekStart="Monday")+1)+15</f>
        <v>45425</v>
      </c>
      <c r="C8" s="8">
        <v>45426</v>
      </c>
      <c r="D8" s="8">
        <v>45427</v>
      </c>
      <c r="E8" s="8">
        <v>45428</v>
      </c>
      <c r="F8" s="8">
        <v>45429</v>
      </c>
      <c r="G8" s="8">
        <v>45430</v>
      </c>
      <c r="H8" s="8">
        <v>45431</v>
      </c>
    </row>
    <row r="9" spans="1:9" s="5" customFormat="1" ht="48" customHeight="1" x14ac:dyDescent="0.2"/>
    <row r="10" spans="1:9" s="6" customFormat="1" ht="19.5" customHeight="1" x14ac:dyDescent="0.2">
      <c r="B10" s="15">
        <f t="array" ref="B10:H10">DaysAndWeeks+DATE(CalendarYear,5,1)-WEEKDAY(DATE(CalendarYear,5,1),(WeekStart="Monday")+1)+22</f>
        <v>45432</v>
      </c>
      <c r="C10" s="15">
        <v>45433</v>
      </c>
      <c r="D10" s="15">
        <v>45434</v>
      </c>
      <c r="E10" s="15">
        <v>45435</v>
      </c>
      <c r="F10" s="15">
        <v>45436</v>
      </c>
      <c r="G10" s="15">
        <v>45437</v>
      </c>
      <c r="H10" s="15">
        <v>45438</v>
      </c>
    </row>
    <row r="11" spans="1:9" s="5" customFormat="1" ht="48" customHeight="1" x14ac:dyDescent="0.2">
      <c r="B11" s="16"/>
      <c r="C11" s="16"/>
      <c r="D11" s="16"/>
      <c r="E11" s="16"/>
      <c r="F11" s="16"/>
      <c r="G11" s="16"/>
      <c r="H11" s="16"/>
    </row>
    <row r="12" spans="1:9" s="6" customFormat="1" ht="19.5" customHeight="1" x14ac:dyDescent="0.2">
      <c r="B12" s="8">
        <f t="array" ref="B12:H12">DaysAndWeeks+DATE(CalendarYear,5,1)-WEEKDAY(DATE(CalendarYear,5,1),(WeekStart="Monday")+1)+29</f>
        <v>45439</v>
      </c>
      <c r="C12" s="8">
        <v>45440</v>
      </c>
      <c r="D12" s="8">
        <v>45441</v>
      </c>
      <c r="E12" s="8">
        <v>45442</v>
      </c>
      <c r="F12" s="8">
        <v>45443</v>
      </c>
      <c r="G12" s="8">
        <v>45444</v>
      </c>
      <c r="H12" s="8">
        <v>45445</v>
      </c>
    </row>
    <row r="13" spans="1:9" s="5" customFormat="1" ht="48" customHeight="1" x14ac:dyDescent="0.2"/>
    <row r="14" spans="1:9" s="6" customFormat="1" ht="19.5" customHeight="1" x14ac:dyDescent="0.2">
      <c r="B14" s="15">
        <f t="array" ref="B14:C14">DaysAndWeeks+DATE(CalendarYear,5,1)-WEEKDAY(DATE(CalendarYear,5,1),(WeekStart="Monday")+1)+36</f>
        <v>45446</v>
      </c>
      <c r="C14" s="15">
        <v>45447</v>
      </c>
      <c r="D14" s="312" t="s">
        <v>0</v>
      </c>
      <c r="E14" s="312"/>
      <c r="F14" s="312"/>
      <c r="G14" s="312"/>
      <c r="H14" s="312"/>
    </row>
    <row r="15" spans="1:9" s="5" customFormat="1" ht="48" customHeight="1" x14ac:dyDescent="0.2">
      <c r="B15" s="16"/>
      <c r="C15" s="16"/>
      <c r="D15" s="313"/>
      <c r="E15" s="313"/>
      <c r="F15" s="313"/>
      <c r="G15" s="313"/>
      <c r="H15" s="313"/>
    </row>
  </sheetData>
  <mergeCells count="3">
    <mergeCell ref="B2:D2"/>
    <mergeCell ref="D14:H14"/>
    <mergeCell ref="D15:H15"/>
  </mergeCells>
  <conditionalFormatting sqref="B4:G4">
    <cfRule type="expression" dxfId="13" priority="1">
      <formula>DAY(B4)&gt;8</formula>
    </cfRule>
  </conditionalFormatting>
  <conditionalFormatting sqref="B12:H12 B14:C14">
    <cfRule type="expression" dxfId="12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May month calendar" sqref="A1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7" tint="0.59999389629810485"/>
    <pageSetUpPr fitToPage="1"/>
  </sheetPr>
  <dimension ref="A1:I15"/>
  <sheetViews>
    <sheetView showGridLines="0" zoomScaleNormal="100" workbookViewId="0"/>
  </sheetViews>
  <sheetFormatPr defaultColWidth="8.88671875" defaultRowHeight="14.25" x14ac:dyDescent="0.2"/>
  <cols>
    <col min="1" max="1" width="1.88671875" style="1" customWidth="1"/>
    <col min="2" max="8" width="15.332031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1</v>
      </c>
    </row>
    <row r="2" spans="1:9" s="1" customFormat="1" ht="100.5" customHeight="1" x14ac:dyDescent="0.2">
      <c r="B2" s="308" t="str">
        <f>"July "&amp;CalendarYear</f>
        <v>July 2024</v>
      </c>
      <c r="C2" s="308"/>
      <c r="D2" s="308"/>
      <c r="E2" s="2"/>
      <c r="F2" s="2"/>
      <c r="G2" s="2"/>
      <c r="H2" s="3"/>
    </row>
    <row r="3" spans="1:9" s="4" customFormat="1" ht="19.5" customHeight="1" thickBot="1" x14ac:dyDescent="0.25">
      <c r="A3" s="1"/>
      <c r="B3" s="23" t="str">
        <f>WeekStart</f>
        <v>Monday</v>
      </c>
      <c r="C3" s="23" t="str">
        <f t="shared" ref="C3:H3" si="0">TEXT(C4,"dddd")</f>
        <v>terça-feira</v>
      </c>
      <c r="D3" s="23" t="str">
        <f t="shared" si="0"/>
        <v>quarta-feira</v>
      </c>
      <c r="E3" s="23" t="str">
        <f t="shared" si="0"/>
        <v>quinta-feira</v>
      </c>
      <c r="F3" s="23" t="str">
        <f t="shared" si="0"/>
        <v>sexta-feira</v>
      </c>
      <c r="G3" s="23" t="str">
        <f t="shared" si="0"/>
        <v>sábado</v>
      </c>
      <c r="H3" s="23" t="str">
        <f t="shared" si="0"/>
        <v>domingo</v>
      </c>
    </row>
    <row r="4" spans="1:9" s="6" customFormat="1" ht="19.5" customHeight="1" x14ac:dyDescent="0.2">
      <c r="B4" s="8">
        <f t="array" ref="B4:H4">DaysAndWeeks+DATE(CalendarYear,7,1)-WEEKDAY(DATE(CalendarYear,7,1),(WeekStart="Monday")+1)+1</f>
        <v>45474</v>
      </c>
      <c r="C4" s="8">
        <v>45475</v>
      </c>
      <c r="D4" s="8">
        <v>45476</v>
      </c>
      <c r="E4" s="8">
        <v>45477</v>
      </c>
      <c r="F4" s="8">
        <v>45478</v>
      </c>
      <c r="G4" s="8">
        <v>45479</v>
      </c>
      <c r="H4" s="8">
        <v>45480</v>
      </c>
    </row>
    <row r="5" spans="1:9" s="5" customFormat="1" ht="48" customHeight="1" x14ac:dyDescent="0.2"/>
    <row r="6" spans="1:9" s="6" customFormat="1" ht="19.5" customHeight="1" x14ac:dyDescent="0.2">
      <c r="B6" s="19">
        <f t="array" ref="B6:H6">DaysAndWeeks+DATE(CalendarYear,7,1)-WEEKDAY(DATE(CalendarYear,7,1),(WeekStart="Monday")+1)+8</f>
        <v>45481</v>
      </c>
      <c r="C6" s="19">
        <v>45482</v>
      </c>
      <c r="D6" s="19">
        <v>45483</v>
      </c>
      <c r="E6" s="19">
        <v>45484</v>
      </c>
      <c r="F6" s="19">
        <v>45485</v>
      </c>
      <c r="G6" s="19">
        <v>45486</v>
      </c>
      <c r="H6" s="19">
        <v>45487</v>
      </c>
    </row>
    <row r="7" spans="1:9" s="5" customFormat="1" ht="48" customHeight="1" x14ac:dyDescent="0.2">
      <c r="B7" s="20"/>
      <c r="C7" s="20"/>
      <c r="D7" s="20"/>
      <c r="E7" s="20"/>
      <c r="F7" s="20"/>
      <c r="G7" s="20"/>
      <c r="H7" s="20"/>
    </row>
    <row r="8" spans="1:9" s="6" customFormat="1" ht="19.5" customHeight="1" x14ac:dyDescent="0.2">
      <c r="B8" s="8">
        <f t="array" ref="B8:H8">DaysAndWeeks+DATE(CalendarYear,7,1)-WEEKDAY(DATE(CalendarYear,7,1),(WeekStart="Monday")+1)+15</f>
        <v>45488</v>
      </c>
      <c r="C8" s="8">
        <v>45489</v>
      </c>
      <c r="D8" s="8">
        <v>45490</v>
      </c>
      <c r="E8" s="8">
        <v>45491</v>
      </c>
      <c r="F8" s="8">
        <v>45492</v>
      </c>
      <c r="G8" s="8">
        <v>45493</v>
      </c>
      <c r="H8" s="8">
        <v>45494</v>
      </c>
    </row>
    <row r="9" spans="1:9" s="5" customFormat="1" ht="48" customHeight="1" x14ac:dyDescent="0.2"/>
    <row r="10" spans="1:9" s="6" customFormat="1" ht="19.5" customHeight="1" x14ac:dyDescent="0.2">
      <c r="B10" s="19">
        <f t="array" ref="B10:H10">DaysAndWeeks+DATE(CalendarYear,7,1)-WEEKDAY(DATE(CalendarYear,7,1),(WeekStart="Monday")+1)+22</f>
        <v>45495</v>
      </c>
      <c r="C10" s="19">
        <v>45496</v>
      </c>
      <c r="D10" s="19">
        <v>45497</v>
      </c>
      <c r="E10" s="19">
        <v>45498</v>
      </c>
      <c r="F10" s="19">
        <v>45499</v>
      </c>
      <c r="G10" s="19">
        <v>45500</v>
      </c>
      <c r="H10" s="19">
        <v>45501</v>
      </c>
    </row>
    <row r="11" spans="1:9" s="5" customFormat="1" ht="48" customHeight="1" x14ac:dyDescent="0.2">
      <c r="B11" s="20"/>
      <c r="C11" s="20"/>
      <c r="D11" s="20"/>
      <c r="E11" s="20"/>
      <c r="F11" s="20"/>
      <c r="G11" s="20"/>
      <c r="H11" s="20"/>
    </row>
    <row r="12" spans="1:9" s="6" customFormat="1" ht="19.5" customHeight="1" x14ac:dyDescent="0.2">
      <c r="B12" s="8">
        <f t="array" ref="B12:H12">DaysAndWeeks+DATE(CalendarYear,7,1)-WEEKDAY(DATE(CalendarYear,7,1),(WeekStart="Monday")+1)+29</f>
        <v>45502</v>
      </c>
      <c r="C12" s="8">
        <v>45503</v>
      </c>
      <c r="D12" s="8">
        <v>45504</v>
      </c>
      <c r="E12" s="8">
        <v>45505</v>
      </c>
      <c r="F12" s="8">
        <v>45506</v>
      </c>
      <c r="G12" s="8">
        <v>45507</v>
      </c>
      <c r="H12" s="8">
        <v>45508</v>
      </c>
    </row>
    <row r="13" spans="1:9" s="5" customFormat="1" ht="48" customHeight="1" x14ac:dyDescent="0.2"/>
    <row r="14" spans="1:9" s="6" customFormat="1" ht="19.5" customHeight="1" x14ac:dyDescent="0.2">
      <c r="B14" s="19">
        <f t="array" ref="B14:C14">DaysAndWeeks+DATE(CalendarYear,7,1)-WEEKDAY(DATE(CalendarYear,7,1),(WeekStart="Monday")+1)+36</f>
        <v>45509</v>
      </c>
      <c r="C14" s="19">
        <v>45510</v>
      </c>
      <c r="D14" s="309" t="s">
        <v>0</v>
      </c>
      <c r="E14" s="309"/>
      <c r="F14" s="309"/>
      <c r="G14" s="309"/>
      <c r="H14" s="309"/>
    </row>
    <row r="15" spans="1:9" s="5" customFormat="1" ht="48" customHeight="1" x14ac:dyDescent="0.2">
      <c r="B15" s="20"/>
      <c r="C15" s="20"/>
      <c r="D15" s="310"/>
      <c r="E15" s="310"/>
      <c r="F15" s="310"/>
      <c r="G15" s="310"/>
      <c r="H15" s="310"/>
    </row>
  </sheetData>
  <mergeCells count="3">
    <mergeCell ref="B2:D2"/>
    <mergeCell ref="D14:H14"/>
    <mergeCell ref="D15:H15"/>
  </mergeCells>
  <conditionalFormatting sqref="B4:G4">
    <cfRule type="expression" dxfId="11" priority="1">
      <formula>DAY(B4)&gt;8</formula>
    </cfRule>
  </conditionalFormatting>
  <conditionalFormatting sqref="B12:H12 B14:C14">
    <cfRule type="expression" dxfId="10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July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7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88671875" style="1" customWidth="1"/>
    <col min="2" max="8" width="15.332031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1</v>
      </c>
    </row>
    <row r="2" spans="1:9" s="1" customFormat="1" ht="100.5" customHeight="1" x14ac:dyDescent="0.2">
      <c r="B2" s="308" t="str">
        <f>"August "&amp;CalendarYear</f>
        <v>August 2024</v>
      </c>
      <c r="C2" s="308"/>
      <c r="D2" s="308"/>
      <c r="E2" s="2"/>
      <c r="F2" s="2"/>
      <c r="G2" s="2"/>
      <c r="H2" s="3"/>
    </row>
    <row r="3" spans="1:9" s="4" customFormat="1" ht="19.5" customHeight="1" thickBot="1" x14ac:dyDescent="0.25">
      <c r="A3" s="1"/>
      <c r="B3" s="23" t="str">
        <f>WeekStart</f>
        <v>Monday</v>
      </c>
      <c r="C3" s="23" t="str">
        <f t="shared" ref="C3:H3" si="0">TEXT(C4,"dddd")</f>
        <v>terça-feira</v>
      </c>
      <c r="D3" s="23" t="str">
        <f t="shared" si="0"/>
        <v>quarta-feira</v>
      </c>
      <c r="E3" s="23" t="str">
        <f t="shared" si="0"/>
        <v>quinta-feira</v>
      </c>
      <c r="F3" s="23" t="str">
        <f t="shared" si="0"/>
        <v>sexta-feira</v>
      </c>
      <c r="G3" s="23" t="str">
        <f t="shared" si="0"/>
        <v>sábado</v>
      </c>
      <c r="H3" s="23" t="str">
        <f t="shared" si="0"/>
        <v>domingo</v>
      </c>
    </row>
    <row r="4" spans="1:9" s="6" customFormat="1" ht="19.5" customHeight="1" x14ac:dyDescent="0.2">
      <c r="B4" s="8">
        <f t="array" ref="B4:H4">DaysAndWeeks+DATE(CalendarYear,8,1)-WEEKDAY(DATE(CalendarYear,8,1),(WeekStart="Monday")+1)+1</f>
        <v>45502</v>
      </c>
      <c r="C4" s="8">
        <v>45503</v>
      </c>
      <c r="D4" s="8">
        <v>45504</v>
      </c>
      <c r="E4" s="8">
        <v>45505</v>
      </c>
      <c r="F4" s="8">
        <v>45506</v>
      </c>
      <c r="G4" s="8">
        <v>45507</v>
      </c>
      <c r="H4" s="8">
        <v>45508</v>
      </c>
    </row>
    <row r="5" spans="1:9" s="5" customFormat="1" ht="48" customHeight="1" x14ac:dyDescent="0.2"/>
    <row r="6" spans="1:9" s="6" customFormat="1" ht="19.5" customHeight="1" x14ac:dyDescent="0.2">
      <c r="B6" s="19">
        <f t="array" ref="B6:H6">DaysAndWeeks+DATE(CalendarYear,8,1)-WEEKDAY(DATE(CalendarYear,8,1),(WeekStart="Monday")+1)+8</f>
        <v>45509</v>
      </c>
      <c r="C6" s="19">
        <v>45510</v>
      </c>
      <c r="D6" s="19">
        <v>45511</v>
      </c>
      <c r="E6" s="19">
        <v>45512</v>
      </c>
      <c r="F6" s="19">
        <v>45513</v>
      </c>
      <c r="G6" s="19">
        <v>45514</v>
      </c>
      <c r="H6" s="19">
        <v>45515</v>
      </c>
    </row>
    <row r="7" spans="1:9" s="5" customFormat="1" ht="48" customHeight="1" x14ac:dyDescent="0.2">
      <c r="B7" s="20"/>
      <c r="C7" s="20"/>
      <c r="D7" s="20"/>
      <c r="E7" s="20"/>
      <c r="F7" s="20"/>
      <c r="G7" s="20"/>
      <c r="H7" s="20"/>
    </row>
    <row r="8" spans="1:9" s="6" customFormat="1" ht="19.5" customHeight="1" x14ac:dyDescent="0.2">
      <c r="B8" s="8">
        <f t="array" ref="B8:H8">DaysAndWeeks+DATE(CalendarYear,8,1)-WEEKDAY(DATE(CalendarYear,8,1),(WeekStart="Monday")+1)+15</f>
        <v>45516</v>
      </c>
      <c r="C8" s="8">
        <v>45517</v>
      </c>
      <c r="D8" s="8">
        <v>45518</v>
      </c>
      <c r="E8" s="8">
        <v>45519</v>
      </c>
      <c r="F8" s="8">
        <v>45520</v>
      </c>
      <c r="G8" s="8">
        <v>45521</v>
      </c>
      <c r="H8" s="8">
        <v>45522</v>
      </c>
    </row>
    <row r="9" spans="1:9" s="5" customFormat="1" ht="48" customHeight="1" x14ac:dyDescent="0.2"/>
    <row r="10" spans="1:9" s="6" customFormat="1" ht="19.5" customHeight="1" x14ac:dyDescent="0.2">
      <c r="B10" s="19">
        <f t="array" ref="B10:H10">DaysAndWeeks+DATE(CalendarYear,8,1)-WEEKDAY(DATE(CalendarYear,8,1),(WeekStart="Monday")+1)+22</f>
        <v>45523</v>
      </c>
      <c r="C10" s="19">
        <v>45524</v>
      </c>
      <c r="D10" s="19">
        <v>45525</v>
      </c>
      <c r="E10" s="19">
        <v>45526</v>
      </c>
      <c r="F10" s="19">
        <v>45527</v>
      </c>
      <c r="G10" s="19">
        <v>45528</v>
      </c>
      <c r="H10" s="19">
        <v>45529</v>
      </c>
    </row>
    <row r="11" spans="1:9" s="5" customFormat="1" ht="48" customHeight="1" x14ac:dyDescent="0.2">
      <c r="B11" s="20"/>
      <c r="C11" s="20"/>
      <c r="D11" s="20"/>
      <c r="E11" s="20"/>
      <c r="F11" s="20"/>
      <c r="G11" s="20"/>
      <c r="H11" s="20"/>
    </row>
    <row r="12" spans="1:9" s="6" customFormat="1" ht="19.5" customHeight="1" x14ac:dyDescent="0.2">
      <c r="B12" s="8">
        <f t="array" ref="B12:H12">DaysAndWeeks+DATE(CalendarYear,8,1)-WEEKDAY(DATE(CalendarYear,8,1),(WeekStart="Monday")+1)+29</f>
        <v>45530</v>
      </c>
      <c r="C12" s="8">
        <v>45531</v>
      </c>
      <c r="D12" s="8">
        <v>45532</v>
      </c>
      <c r="E12" s="8">
        <v>45533</v>
      </c>
      <c r="F12" s="8">
        <v>45534</v>
      </c>
      <c r="G12" s="8">
        <v>45535</v>
      </c>
      <c r="H12" s="8">
        <v>45536</v>
      </c>
    </row>
    <row r="13" spans="1:9" s="5" customFormat="1" ht="48" customHeight="1" x14ac:dyDescent="0.2"/>
    <row r="14" spans="1:9" s="6" customFormat="1" ht="19.5" customHeight="1" x14ac:dyDescent="0.2">
      <c r="B14" s="19">
        <f t="array" ref="B14:C14">DaysAndWeeks+DATE(CalendarYear,8,1)-WEEKDAY(DATE(CalendarYear,8,1),(WeekStart="Monday")+1)+36</f>
        <v>45537</v>
      </c>
      <c r="C14" s="19">
        <v>45538</v>
      </c>
      <c r="D14" s="309" t="s">
        <v>0</v>
      </c>
      <c r="E14" s="309"/>
      <c r="F14" s="309"/>
      <c r="G14" s="309"/>
      <c r="H14" s="309"/>
    </row>
    <row r="15" spans="1:9" s="5" customFormat="1" ht="48" customHeight="1" x14ac:dyDescent="0.2">
      <c r="B15" s="20"/>
      <c r="C15" s="20"/>
      <c r="D15" s="310"/>
      <c r="E15" s="310"/>
      <c r="F15" s="310"/>
      <c r="G15" s="310"/>
      <c r="H15" s="310"/>
    </row>
  </sheetData>
  <mergeCells count="3">
    <mergeCell ref="B2:D2"/>
    <mergeCell ref="D14:H14"/>
    <mergeCell ref="D15:H15"/>
  </mergeCells>
  <conditionalFormatting sqref="B4:G4">
    <cfRule type="expression" dxfId="9" priority="1">
      <formula>DAY(B4)&gt;8</formula>
    </cfRule>
  </conditionalFormatting>
  <conditionalFormatting sqref="B12:H12 B14:C14">
    <cfRule type="expression" dxfId="8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August month calendar" sqref="A1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5" tint="0.59999389629810485"/>
    <pageSetUpPr fitToPage="1"/>
  </sheetPr>
  <dimension ref="A1:I15"/>
  <sheetViews>
    <sheetView showGridLines="0" zoomScaleNormal="100" workbookViewId="0">
      <selection activeCell="D13" sqref="D13"/>
    </sheetView>
  </sheetViews>
  <sheetFormatPr defaultColWidth="8.88671875" defaultRowHeight="14.25" x14ac:dyDescent="0.2"/>
  <cols>
    <col min="1" max="1" width="1.88671875" style="1" customWidth="1"/>
    <col min="2" max="8" width="15.332031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1</v>
      </c>
    </row>
    <row r="2" spans="1:9" s="1" customFormat="1" ht="100.5" customHeight="1" x14ac:dyDescent="0.2">
      <c r="B2" s="314" t="str">
        <f>"September "&amp;CalendarYear</f>
        <v>September 2024</v>
      </c>
      <c r="C2" s="314"/>
      <c r="D2" s="314"/>
      <c r="E2" s="2"/>
      <c r="F2" s="2"/>
      <c r="G2" s="2"/>
      <c r="H2" s="3"/>
    </row>
    <row r="3" spans="1:9" s="4" customFormat="1" ht="19.5" customHeight="1" thickBot="1" x14ac:dyDescent="0.25">
      <c r="A3" s="1"/>
      <c r="B3" s="24" t="str">
        <f>WeekStart</f>
        <v>Monday</v>
      </c>
      <c r="C3" s="24" t="str">
        <f t="shared" ref="C3:H3" si="0">TEXT(C4,"dddd")</f>
        <v>terça-feira</v>
      </c>
      <c r="D3" s="24" t="str">
        <f t="shared" si="0"/>
        <v>quarta-feira</v>
      </c>
      <c r="E3" s="24" t="str">
        <f t="shared" si="0"/>
        <v>quinta-feira</v>
      </c>
      <c r="F3" s="24" t="str">
        <f t="shared" si="0"/>
        <v>sexta-feira</v>
      </c>
      <c r="G3" s="24" t="str">
        <f t="shared" si="0"/>
        <v>sábado</v>
      </c>
      <c r="H3" s="24" t="str">
        <f t="shared" si="0"/>
        <v>domingo</v>
      </c>
    </row>
    <row r="4" spans="1:9" s="6" customFormat="1" ht="19.5" customHeight="1" x14ac:dyDescent="0.2">
      <c r="B4" s="8">
        <f t="array" ref="B4:H4">DaysAndWeeks+DATE(CalendarYear,9,1)-WEEKDAY(DATE(CalendarYear,9,1),(WeekStart="Monday")+1)+1</f>
        <v>45530</v>
      </c>
      <c r="C4" s="8">
        <v>45531</v>
      </c>
      <c r="D4" s="8">
        <v>45532</v>
      </c>
      <c r="E4" s="8">
        <v>45533</v>
      </c>
      <c r="F4" s="8">
        <v>45534</v>
      </c>
      <c r="G4" s="8">
        <v>45535</v>
      </c>
      <c r="H4" s="8">
        <v>45536</v>
      </c>
    </row>
    <row r="5" spans="1:9" s="5" customFormat="1" ht="48" customHeight="1" x14ac:dyDescent="0.2"/>
    <row r="6" spans="1:9" s="6" customFormat="1" ht="19.5" customHeight="1" x14ac:dyDescent="0.2">
      <c r="B6" s="17">
        <f t="array" ref="B6:H6">DaysAndWeeks+DATE(CalendarYear,9,1)-WEEKDAY(DATE(CalendarYear,9,1),(WeekStart="Monday")+1)+8</f>
        <v>45537</v>
      </c>
      <c r="C6" s="17">
        <v>45538</v>
      </c>
      <c r="D6" s="17">
        <v>45539</v>
      </c>
      <c r="E6" s="17">
        <v>45540</v>
      </c>
      <c r="F6" s="17">
        <v>45541</v>
      </c>
      <c r="G6" s="17">
        <v>45542</v>
      </c>
      <c r="H6" s="17">
        <v>45543</v>
      </c>
    </row>
    <row r="7" spans="1:9" s="5" customFormat="1" ht="48" customHeight="1" x14ac:dyDescent="0.2">
      <c r="B7" s="18"/>
      <c r="C7" s="18"/>
      <c r="D7" s="18"/>
      <c r="E7" s="18"/>
      <c r="F7" s="18"/>
      <c r="G7" s="18"/>
      <c r="H7" s="18"/>
    </row>
    <row r="8" spans="1:9" s="6" customFormat="1" ht="19.5" customHeight="1" x14ac:dyDescent="0.2">
      <c r="B8" s="8">
        <f t="array" ref="B8:H8">DaysAndWeeks+DATE(CalendarYear,9,1)-WEEKDAY(DATE(CalendarYear,9,1),(WeekStart="Monday")+1)+15</f>
        <v>45544</v>
      </c>
      <c r="C8" s="8">
        <v>45545</v>
      </c>
      <c r="D8" s="8">
        <v>45546</v>
      </c>
      <c r="E8" s="8">
        <v>45547</v>
      </c>
      <c r="F8" s="8">
        <v>45548</v>
      </c>
      <c r="G8" s="8">
        <v>45549</v>
      </c>
      <c r="H8" s="8">
        <v>45550</v>
      </c>
    </row>
    <row r="9" spans="1:9" s="5" customFormat="1" ht="48" customHeight="1" x14ac:dyDescent="0.2"/>
    <row r="10" spans="1:9" s="6" customFormat="1" ht="19.5" customHeight="1" x14ac:dyDescent="0.2">
      <c r="B10" s="17">
        <f t="array" ref="B10:H10">DaysAndWeeks+DATE(CalendarYear,9,1)-WEEKDAY(DATE(CalendarYear,9,1),(WeekStart="Monday")+1)+22</f>
        <v>45551</v>
      </c>
      <c r="C10" s="17">
        <v>45552</v>
      </c>
      <c r="D10" s="17">
        <v>45553</v>
      </c>
      <c r="E10" s="17">
        <v>45554</v>
      </c>
      <c r="F10" s="17">
        <v>45555</v>
      </c>
      <c r="G10" s="17">
        <v>45556</v>
      </c>
      <c r="H10" s="17">
        <v>45557</v>
      </c>
    </row>
    <row r="11" spans="1:9" s="5" customFormat="1" ht="48" customHeight="1" x14ac:dyDescent="0.2">
      <c r="B11" s="18"/>
      <c r="C11" s="18"/>
      <c r="D11" s="18"/>
      <c r="E11" s="18"/>
      <c r="F11" s="18"/>
      <c r="G11" s="18"/>
      <c r="H11" s="18"/>
    </row>
    <row r="12" spans="1:9" s="6" customFormat="1" ht="19.5" customHeight="1" x14ac:dyDescent="0.2">
      <c r="B12" s="8">
        <f t="array" ref="B12:H12">DaysAndWeeks+DATE(CalendarYear,9,1)-WEEKDAY(DATE(CalendarYear,9,1),(WeekStart="Monday")+1)+29</f>
        <v>45558</v>
      </c>
      <c r="C12" s="8">
        <v>45559</v>
      </c>
      <c r="D12" s="8">
        <v>45560</v>
      </c>
      <c r="E12" s="8">
        <v>45561</v>
      </c>
      <c r="F12" s="8">
        <v>45562</v>
      </c>
      <c r="G12" s="8">
        <v>45563</v>
      </c>
      <c r="H12" s="8">
        <v>45564</v>
      </c>
    </row>
    <row r="13" spans="1:9" s="5" customFormat="1" ht="48" customHeight="1" x14ac:dyDescent="0.2"/>
    <row r="14" spans="1:9" s="6" customFormat="1" ht="19.5" customHeight="1" x14ac:dyDescent="0.2">
      <c r="B14" s="17">
        <f t="array" ref="B14:C14">DaysAndWeeks+DATE(CalendarYear,9,1)-WEEKDAY(DATE(CalendarYear,9,1),(WeekStart="Monday")+1)+36</f>
        <v>45565</v>
      </c>
      <c r="C14" s="17">
        <v>45566</v>
      </c>
      <c r="D14" s="315" t="s">
        <v>0</v>
      </c>
      <c r="E14" s="315"/>
      <c r="F14" s="315"/>
      <c r="G14" s="315"/>
      <c r="H14" s="315"/>
    </row>
    <row r="15" spans="1:9" s="5" customFormat="1" ht="48" customHeight="1" x14ac:dyDescent="0.2">
      <c r="B15" s="18"/>
      <c r="C15" s="18"/>
      <c r="D15" s="316"/>
      <c r="E15" s="316"/>
      <c r="F15" s="316"/>
      <c r="G15" s="316"/>
      <c r="H15" s="316"/>
    </row>
  </sheetData>
  <mergeCells count="3">
    <mergeCell ref="B2:D2"/>
    <mergeCell ref="D14:H14"/>
    <mergeCell ref="D15:H15"/>
  </mergeCells>
  <conditionalFormatting sqref="B4:G4">
    <cfRule type="expression" dxfId="7" priority="1">
      <formula>DAY(B4)&gt;8</formula>
    </cfRule>
  </conditionalFormatting>
  <conditionalFormatting sqref="B12:H12 B14:C14">
    <cfRule type="expression" dxfId="6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September month calendar" sqref="A1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88671875" style="1" customWidth="1"/>
    <col min="2" max="8" width="15.332031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1</v>
      </c>
    </row>
    <row r="2" spans="1:9" s="1" customFormat="1" ht="100.5" customHeight="1" x14ac:dyDescent="0.2">
      <c r="B2" s="314" t="str">
        <f>"October "&amp;CalendarYear</f>
        <v>October 2024</v>
      </c>
      <c r="C2" s="314"/>
      <c r="D2" s="314"/>
      <c r="E2" s="2"/>
      <c r="F2" s="2"/>
      <c r="G2" s="2"/>
      <c r="H2" s="3"/>
    </row>
    <row r="3" spans="1:9" s="4" customFormat="1" ht="19.5" customHeight="1" thickBot="1" x14ac:dyDescent="0.25">
      <c r="A3" s="1"/>
      <c r="B3" s="24" t="str">
        <f>WeekStart</f>
        <v>Monday</v>
      </c>
      <c r="C3" s="24" t="str">
        <f t="shared" ref="C3:H3" si="0">TEXT(C4,"dddd")</f>
        <v>terça-feira</v>
      </c>
      <c r="D3" s="24" t="str">
        <f t="shared" si="0"/>
        <v>quarta-feira</v>
      </c>
      <c r="E3" s="24" t="str">
        <f t="shared" si="0"/>
        <v>quinta-feira</v>
      </c>
      <c r="F3" s="24" t="str">
        <f t="shared" si="0"/>
        <v>sexta-feira</v>
      </c>
      <c r="G3" s="24" t="str">
        <f t="shared" si="0"/>
        <v>sábado</v>
      </c>
      <c r="H3" s="24" t="str">
        <f t="shared" si="0"/>
        <v>domingo</v>
      </c>
    </row>
    <row r="4" spans="1:9" s="6" customFormat="1" ht="19.5" customHeight="1" x14ac:dyDescent="0.2">
      <c r="B4" s="8">
        <f t="array" ref="B4:H4">DaysAndWeeks+DATE(CalendarYear,10,1)-WEEKDAY(DATE(CalendarYear,10,1),(WeekStart="Monday")+1)+1</f>
        <v>45565</v>
      </c>
      <c r="C4" s="8">
        <v>45566</v>
      </c>
      <c r="D4" s="8">
        <v>45567</v>
      </c>
      <c r="E4" s="8">
        <v>45568</v>
      </c>
      <c r="F4" s="8">
        <v>45569</v>
      </c>
      <c r="G4" s="8">
        <v>45570</v>
      </c>
      <c r="H4" s="8">
        <v>45571</v>
      </c>
    </row>
    <row r="5" spans="1:9" s="5" customFormat="1" ht="48" customHeight="1" x14ac:dyDescent="0.2"/>
    <row r="6" spans="1:9" s="6" customFormat="1" ht="19.5" customHeight="1" x14ac:dyDescent="0.2">
      <c r="B6" s="17">
        <f t="array" ref="B6:H6">DaysAndWeeks+DATE(CalendarYear,10,1)-WEEKDAY(DATE(CalendarYear,10,1),(WeekStart="Monday")+1)+8</f>
        <v>45572</v>
      </c>
      <c r="C6" s="17">
        <v>45573</v>
      </c>
      <c r="D6" s="17">
        <v>45574</v>
      </c>
      <c r="E6" s="17">
        <v>45575</v>
      </c>
      <c r="F6" s="17">
        <v>45576</v>
      </c>
      <c r="G6" s="17">
        <v>45577</v>
      </c>
      <c r="H6" s="17">
        <v>45578</v>
      </c>
    </row>
    <row r="7" spans="1:9" s="5" customFormat="1" ht="48" customHeight="1" x14ac:dyDescent="0.2">
      <c r="B7" s="18"/>
      <c r="C7" s="18"/>
      <c r="D7" s="18"/>
      <c r="E7" s="18"/>
      <c r="F7" s="18"/>
      <c r="G7" s="18"/>
      <c r="H7" s="18"/>
    </row>
    <row r="8" spans="1:9" s="6" customFormat="1" ht="19.5" customHeight="1" x14ac:dyDescent="0.2">
      <c r="B8" s="8">
        <f t="array" ref="B8:H8">DaysAndWeeks+DATE(CalendarYear,10,1)-WEEKDAY(DATE(CalendarYear,10,1),(WeekStart="Monday")+1)+15</f>
        <v>45579</v>
      </c>
      <c r="C8" s="8">
        <v>45580</v>
      </c>
      <c r="D8" s="8">
        <v>45581</v>
      </c>
      <c r="E8" s="8">
        <v>45582</v>
      </c>
      <c r="F8" s="8">
        <v>45583</v>
      </c>
      <c r="G8" s="8">
        <v>45584</v>
      </c>
      <c r="H8" s="8">
        <v>45585</v>
      </c>
    </row>
    <row r="9" spans="1:9" s="5" customFormat="1" ht="48" customHeight="1" x14ac:dyDescent="0.2"/>
    <row r="10" spans="1:9" s="6" customFormat="1" ht="19.5" customHeight="1" x14ac:dyDescent="0.2">
      <c r="B10" s="17">
        <f t="array" ref="B10:H10">DaysAndWeeks+DATE(CalendarYear,10,1)-WEEKDAY(DATE(CalendarYear,10,1),(WeekStart="Monday")+1)+22</f>
        <v>45586</v>
      </c>
      <c r="C10" s="17">
        <v>45587</v>
      </c>
      <c r="D10" s="17">
        <v>45588</v>
      </c>
      <c r="E10" s="17">
        <v>45589</v>
      </c>
      <c r="F10" s="17">
        <v>45590</v>
      </c>
      <c r="G10" s="17">
        <v>45591</v>
      </c>
      <c r="H10" s="17">
        <v>45592</v>
      </c>
    </row>
    <row r="11" spans="1:9" s="5" customFormat="1" ht="48" customHeight="1" x14ac:dyDescent="0.2">
      <c r="B11" s="18"/>
      <c r="C11" s="18"/>
      <c r="D11" s="18"/>
      <c r="E11" s="18"/>
      <c r="F11" s="18"/>
      <c r="G11" s="18"/>
      <c r="H11" s="18"/>
    </row>
    <row r="12" spans="1:9" s="6" customFormat="1" ht="19.5" customHeight="1" x14ac:dyDescent="0.2">
      <c r="B12" s="8">
        <f t="array" ref="B12:H12">DaysAndWeeks+DATE(CalendarYear,10,1)-WEEKDAY(DATE(CalendarYear,10,1),(WeekStart="Monday")+1)+29</f>
        <v>45593</v>
      </c>
      <c r="C12" s="8">
        <v>45594</v>
      </c>
      <c r="D12" s="8">
        <v>45595</v>
      </c>
      <c r="E12" s="8">
        <v>45596</v>
      </c>
      <c r="F12" s="8">
        <v>45597</v>
      </c>
      <c r="G12" s="8">
        <v>45598</v>
      </c>
      <c r="H12" s="8">
        <v>45599</v>
      </c>
    </row>
    <row r="13" spans="1:9" s="5" customFormat="1" ht="48" customHeight="1" x14ac:dyDescent="0.2"/>
    <row r="14" spans="1:9" s="6" customFormat="1" ht="19.5" customHeight="1" x14ac:dyDescent="0.2">
      <c r="B14" s="17">
        <f t="array" ref="B14:C14">DaysAndWeeks+DATE(CalendarYear,10,1)-WEEKDAY(DATE(CalendarYear,10,1),(WeekStart="Monday")+1)+36</f>
        <v>45600</v>
      </c>
      <c r="C14" s="17">
        <v>45601</v>
      </c>
      <c r="D14" s="315" t="s">
        <v>0</v>
      </c>
      <c r="E14" s="315"/>
      <c r="F14" s="315"/>
      <c r="G14" s="315"/>
      <c r="H14" s="315"/>
    </row>
    <row r="15" spans="1:9" s="5" customFormat="1" ht="48" customHeight="1" x14ac:dyDescent="0.2">
      <c r="B15" s="18"/>
      <c r="C15" s="18"/>
      <c r="D15" s="316"/>
      <c r="E15" s="316"/>
      <c r="F15" s="316"/>
      <c r="G15" s="316"/>
      <c r="H15" s="316"/>
    </row>
  </sheetData>
  <mergeCells count="3">
    <mergeCell ref="B2:D2"/>
    <mergeCell ref="D14:H14"/>
    <mergeCell ref="D15:H15"/>
  </mergeCells>
  <conditionalFormatting sqref="B4:G4">
    <cfRule type="expression" dxfId="5" priority="1">
      <formula>DAY(B4)&gt;8</formula>
    </cfRule>
  </conditionalFormatting>
  <conditionalFormatting sqref="B12:H12 B14:C14">
    <cfRule type="expression" dxfId="4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October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5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88671875" style="1" customWidth="1"/>
    <col min="2" max="8" width="15.332031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1</v>
      </c>
    </row>
    <row r="2" spans="1:9" s="1" customFormat="1" ht="100.5" customHeight="1" x14ac:dyDescent="0.2">
      <c r="B2" s="314" t="str">
        <f>"November "&amp;CalendarYear</f>
        <v>November 2024</v>
      </c>
      <c r="C2" s="314"/>
      <c r="D2" s="314"/>
      <c r="E2" s="2"/>
      <c r="F2" s="2"/>
      <c r="G2" s="2"/>
      <c r="H2" s="3"/>
    </row>
    <row r="3" spans="1:9" s="4" customFormat="1" ht="19.5" customHeight="1" thickBot="1" x14ac:dyDescent="0.25">
      <c r="A3" s="1"/>
      <c r="B3" s="24" t="str">
        <f>WeekStart</f>
        <v>Monday</v>
      </c>
      <c r="C3" s="24" t="str">
        <f t="shared" ref="C3:H3" si="0">TEXT(C4,"dddd")</f>
        <v>terça-feira</v>
      </c>
      <c r="D3" s="24" t="str">
        <f t="shared" si="0"/>
        <v>quarta-feira</v>
      </c>
      <c r="E3" s="24" t="str">
        <f t="shared" si="0"/>
        <v>quinta-feira</v>
      </c>
      <c r="F3" s="24" t="str">
        <f t="shared" si="0"/>
        <v>sexta-feira</v>
      </c>
      <c r="G3" s="24" t="str">
        <f t="shared" si="0"/>
        <v>sábado</v>
      </c>
      <c r="H3" s="24" t="str">
        <f t="shared" si="0"/>
        <v>domingo</v>
      </c>
    </row>
    <row r="4" spans="1:9" s="6" customFormat="1" ht="19.5" customHeight="1" x14ac:dyDescent="0.2">
      <c r="B4" s="8">
        <f t="array" ref="B4:H4">DaysAndWeeks+DATE(CalendarYear,11,1)-WEEKDAY(DATE(CalendarYear,11,1),(WeekStart="Monday")+1)+1</f>
        <v>45593</v>
      </c>
      <c r="C4" s="8">
        <v>45594</v>
      </c>
      <c r="D4" s="8">
        <v>45595</v>
      </c>
      <c r="E4" s="8">
        <v>45596</v>
      </c>
      <c r="F4" s="8">
        <v>45597</v>
      </c>
      <c r="G4" s="8">
        <v>45598</v>
      </c>
      <c r="H4" s="8">
        <v>45599</v>
      </c>
    </row>
    <row r="5" spans="1:9" s="5" customFormat="1" ht="48" customHeight="1" x14ac:dyDescent="0.2"/>
    <row r="6" spans="1:9" s="6" customFormat="1" ht="19.5" customHeight="1" x14ac:dyDescent="0.2">
      <c r="B6" s="17">
        <f t="array" ref="B6:H6">DaysAndWeeks+DATE(CalendarYear,11,1)-WEEKDAY(DATE(CalendarYear,11,1),(WeekStart="Monday")+1)+8</f>
        <v>45600</v>
      </c>
      <c r="C6" s="17">
        <v>45601</v>
      </c>
      <c r="D6" s="17">
        <v>45602</v>
      </c>
      <c r="E6" s="17">
        <v>45603</v>
      </c>
      <c r="F6" s="17">
        <v>45604</v>
      </c>
      <c r="G6" s="17">
        <v>45605</v>
      </c>
      <c r="H6" s="17">
        <v>45606</v>
      </c>
    </row>
    <row r="7" spans="1:9" s="5" customFormat="1" ht="48" customHeight="1" x14ac:dyDescent="0.2">
      <c r="B7" s="18"/>
      <c r="C7" s="18"/>
      <c r="D7" s="18"/>
      <c r="E7" s="18"/>
      <c r="F7" s="18"/>
      <c r="G7" s="18"/>
      <c r="H7" s="18"/>
    </row>
    <row r="8" spans="1:9" s="6" customFormat="1" ht="19.5" customHeight="1" x14ac:dyDescent="0.2">
      <c r="B8" s="8">
        <f t="array" ref="B8:H8">DaysAndWeeks+DATE(CalendarYear,11,1)-WEEKDAY(DATE(CalendarYear,11,1),(WeekStart="Monday")+1)+15</f>
        <v>45607</v>
      </c>
      <c r="C8" s="8">
        <v>45608</v>
      </c>
      <c r="D8" s="8">
        <v>45609</v>
      </c>
      <c r="E8" s="8">
        <v>45610</v>
      </c>
      <c r="F8" s="8">
        <v>45611</v>
      </c>
      <c r="G8" s="8">
        <v>45612</v>
      </c>
      <c r="H8" s="8">
        <v>45613</v>
      </c>
    </row>
    <row r="9" spans="1:9" s="5" customFormat="1" ht="48" customHeight="1" x14ac:dyDescent="0.2"/>
    <row r="10" spans="1:9" s="6" customFormat="1" ht="19.5" customHeight="1" x14ac:dyDescent="0.2">
      <c r="B10" s="17">
        <f t="array" ref="B10:H10">DaysAndWeeks+DATE(CalendarYear,11,1)-WEEKDAY(DATE(CalendarYear,11,1),(WeekStart="Monday")+1)+22</f>
        <v>45614</v>
      </c>
      <c r="C10" s="17">
        <v>45615</v>
      </c>
      <c r="D10" s="17">
        <v>45616</v>
      </c>
      <c r="E10" s="17">
        <v>45617</v>
      </c>
      <c r="F10" s="17">
        <v>45618</v>
      </c>
      <c r="G10" s="17">
        <v>45619</v>
      </c>
      <c r="H10" s="17">
        <v>45620</v>
      </c>
    </row>
    <row r="11" spans="1:9" s="5" customFormat="1" ht="48" customHeight="1" x14ac:dyDescent="0.2">
      <c r="B11" s="18"/>
      <c r="C11" s="18"/>
      <c r="D11" s="18"/>
      <c r="E11" s="18"/>
      <c r="F11" s="18"/>
      <c r="G11" s="18"/>
      <c r="H11" s="18"/>
    </row>
    <row r="12" spans="1:9" s="6" customFormat="1" ht="19.5" customHeight="1" x14ac:dyDescent="0.2">
      <c r="B12" s="8">
        <f t="array" ref="B12:H12">DaysAndWeeks+DATE(CalendarYear,11,1)-WEEKDAY(DATE(CalendarYear,11,1),(WeekStart="Monday")+1)+29</f>
        <v>45621</v>
      </c>
      <c r="C12" s="8">
        <v>45622</v>
      </c>
      <c r="D12" s="8">
        <v>45623</v>
      </c>
      <c r="E12" s="8">
        <v>45624</v>
      </c>
      <c r="F12" s="8">
        <v>45625</v>
      </c>
      <c r="G12" s="8">
        <v>45626</v>
      </c>
      <c r="H12" s="8">
        <v>45627</v>
      </c>
    </row>
    <row r="13" spans="1:9" s="5" customFormat="1" ht="48" customHeight="1" x14ac:dyDescent="0.2"/>
    <row r="14" spans="1:9" s="6" customFormat="1" ht="19.5" customHeight="1" x14ac:dyDescent="0.2">
      <c r="B14" s="17">
        <f t="array" ref="B14:C14">DaysAndWeeks+DATE(CalendarYear,11,1)-WEEKDAY(DATE(CalendarYear,11,1),(WeekStart="Monday")+1)+36</f>
        <v>45628</v>
      </c>
      <c r="C14" s="17">
        <v>45629</v>
      </c>
      <c r="D14" s="315" t="s">
        <v>0</v>
      </c>
      <c r="E14" s="315"/>
      <c r="F14" s="315"/>
      <c r="G14" s="315"/>
      <c r="H14" s="315"/>
    </row>
    <row r="15" spans="1:9" s="5" customFormat="1" ht="48" customHeight="1" x14ac:dyDescent="0.2">
      <c r="B15" s="18"/>
      <c r="C15" s="18"/>
      <c r="D15" s="316"/>
      <c r="E15" s="316"/>
      <c r="F15" s="316"/>
      <c r="G15" s="316"/>
      <c r="H15" s="316"/>
    </row>
  </sheetData>
  <mergeCells count="3">
    <mergeCell ref="B2:D2"/>
    <mergeCell ref="D14:H14"/>
    <mergeCell ref="D15:H15"/>
  </mergeCells>
  <conditionalFormatting sqref="B4:G4">
    <cfRule type="expression" dxfId="3" priority="1">
      <formula>DAY(B4)&gt;8</formula>
    </cfRule>
  </conditionalFormatting>
  <conditionalFormatting sqref="B12:H12 B14:C14">
    <cfRule type="expression" dxfId="2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November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8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88671875" style="1" customWidth="1"/>
    <col min="2" max="8" width="15.33203125" style="1" customWidth="1"/>
    <col min="9" max="9" width="1.88671875" style="1" customWidth="1"/>
    <col min="10" max="16384" width="8.88671875" style="14"/>
  </cols>
  <sheetData>
    <row r="1" spans="1:9" s="1" customFormat="1" ht="9" customHeight="1" x14ac:dyDescent="0.2">
      <c r="I1" s="1" t="s">
        <v>1</v>
      </c>
    </row>
    <row r="2" spans="1:9" s="1" customFormat="1" ht="100.5" customHeight="1" x14ac:dyDescent="0.2">
      <c r="B2" s="304" t="str">
        <f>"December "&amp;CalendarYear</f>
        <v>December 2024</v>
      </c>
      <c r="C2" s="304"/>
      <c r="D2" s="304"/>
      <c r="E2" s="2"/>
      <c r="F2" s="2"/>
      <c r="G2" s="2"/>
      <c r="H2" s="3"/>
    </row>
    <row r="3" spans="1:9" s="4" customFormat="1" ht="19.5" customHeight="1" thickBot="1" x14ac:dyDescent="0.25">
      <c r="A3" s="1"/>
      <c r="B3" s="21" t="str">
        <f>WeekStart</f>
        <v>Monday</v>
      </c>
      <c r="C3" s="21" t="str">
        <f t="shared" ref="C3:H3" si="0">TEXT(C4,"dddd")</f>
        <v>terça-feira</v>
      </c>
      <c r="D3" s="21" t="str">
        <f t="shared" si="0"/>
        <v>quarta-feira</v>
      </c>
      <c r="E3" s="21" t="str">
        <f t="shared" si="0"/>
        <v>quinta-feira</v>
      </c>
      <c r="F3" s="21" t="str">
        <f t="shared" si="0"/>
        <v>sexta-feira</v>
      </c>
      <c r="G3" s="21" t="str">
        <f t="shared" si="0"/>
        <v>sábado</v>
      </c>
      <c r="H3" s="21" t="str">
        <f t="shared" si="0"/>
        <v>domingo</v>
      </c>
    </row>
    <row r="4" spans="1:9" s="6" customFormat="1" ht="19.5" customHeight="1" x14ac:dyDescent="0.2">
      <c r="B4" s="8">
        <f t="array" ref="B4:H4">DaysAndWeeks+DATE(CalendarYear,12,1)-WEEKDAY(DATE(CalendarYear,12,1),(WeekStart="Monday")+1)+1</f>
        <v>45621</v>
      </c>
      <c r="C4" s="8">
        <v>45622</v>
      </c>
      <c r="D4" s="8">
        <v>45623</v>
      </c>
      <c r="E4" s="8">
        <v>45624</v>
      </c>
      <c r="F4" s="8">
        <v>45625</v>
      </c>
      <c r="G4" s="8">
        <v>45626</v>
      </c>
      <c r="H4" s="8">
        <v>45627</v>
      </c>
    </row>
    <row r="5" spans="1:9" s="5" customFormat="1" ht="48" customHeight="1" x14ac:dyDescent="0.2"/>
    <row r="6" spans="1:9" s="6" customFormat="1" ht="19.5" customHeight="1" x14ac:dyDescent="0.2">
      <c r="B6" s="7">
        <f t="array" ref="B6:H6">DaysAndWeeks+DATE(CalendarYear,12,1)-WEEKDAY(DATE(CalendarYear,12,1),(WeekStart="Monday")+1)+8</f>
        <v>45628</v>
      </c>
      <c r="C6" s="7">
        <v>45629</v>
      </c>
      <c r="D6" s="7">
        <v>45630</v>
      </c>
      <c r="E6" s="7">
        <v>45631</v>
      </c>
      <c r="F6" s="7">
        <v>45632</v>
      </c>
      <c r="G6" s="7">
        <v>45633</v>
      </c>
      <c r="H6" s="7">
        <v>45634</v>
      </c>
    </row>
    <row r="7" spans="1:9" s="5" customFormat="1" ht="48" customHeight="1" x14ac:dyDescent="0.2">
      <c r="B7" s="9"/>
      <c r="C7" s="9"/>
      <c r="D7" s="9"/>
      <c r="E7" s="9"/>
      <c r="F7" s="9"/>
      <c r="G7" s="9"/>
      <c r="H7" s="9"/>
    </row>
    <row r="8" spans="1:9" s="6" customFormat="1" ht="19.5" customHeight="1" x14ac:dyDescent="0.2">
      <c r="B8" s="8">
        <f t="array" ref="B8:H8">DaysAndWeeks+DATE(CalendarYear,12,1)-WEEKDAY(DATE(CalendarYear,12,1),(WeekStart="Monday")+1)+15</f>
        <v>45635</v>
      </c>
      <c r="C8" s="8">
        <v>45636</v>
      </c>
      <c r="D8" s="8">
        <v>45637</v>
      </c>
      <c r="E8" s="8">
        <v>45638</v>
      </c>
      <c r="F8" s="8">
        <v>45639</v>
      </c>
      <c r="G8" s="8">
        <v>45640</v>
      </c>
      <c r="H8" s="8">
        <v>45641</v>
      </c>
    </row>
    <row r="9" spans="1:9" s="5" customFormat="1" ht="48" customHeight="1" x14ac:dyDescent="0.2"/>
    <row r="10" spans="1:9" s="6" customFormat="1" ht="19.5" customHeight="1" x14ac:dyDescent="0.2">
      <c r="B10" s="7">
        <f t="array" ref="B10:H10">DaysAndWeeks+DATE(CalendarYear,12,1)-WEEKDAY(DATE(CalendarYear,12,1),(WeekStart="Monday")+1)+22</f>
        <v>45642</v>
      </c>
      <c r="C10" s="7">
        <v>45643</v>
      </c>
      <c r="D10" s="7">
        <v>45644</v>
      </c>
      <c r="E10" s="7">
        <v>45645</v>
      </c>
      <c r="F10" s="7">
        <v>45646</v>
      </c>
      <c r="G10" s="7">
        <v>45647</v>
      </c>
      <c r="H10" s="7">
        <v>45648</v>
      </c>
    </row>
    <row r="11" spans="1:9" s="5" customFormat="1" ht="48" customHeight="1" x14ac:dyDescent="0.2">
      <c r="B11" s="9"/>
      <c r="C11" s="9"/>
      <c r="D11" s="9"/>
      <c r="E11" s="9"/>
      <c r="F11" s="9"/>
      <c r="G11" s="9"/>
      <c r="H11" s="9"/>
    </row>
    <row r="12" spans="1:9" s="6" customFormat="1" ht="19.5" customHeight="1" x14ac:dyDescent="0.2">
      <c r="B12" s="8">
        <f t="array" ref="B12:H12">DaysAndWeeks+DATE(CalendarYear,12,1)-WEEKDAY(DATE(CalendarYear,12,1),(WeekStart="Monday")+1)+29</f>
        <v>45649</v>
      </c>
      <c r="C12" s="8">
        <v>45650</v>
      </c>
      <c r="D12" s="8">
        <v>45651</v>
      </c>
      <c r="E12" s="8">
        <v>45652</v>
      </c>
      <c r="F12" s="8">
        <v>45653</v>
      </c>
      <c r="G12" s="8">
        <v>45654</v>
      </c>
      <c r="H12" s="8">
        <v>45655</v>
      </c>
    </row>
    <row r="13" spans="1:9" s="5" customFormat="1" ht="48" customHeight="1" x14ac:dyDescent="0.2"/>
    <row r="14" spans="1:9" s="6" customFormat="1" ht="19.5" customHeight="1" x14ac:dyDescent="0.2">
      <c r="B14" s="7">
        <f t="array" ref="B14:C14">DaysAndWeeks+DATE(CalendarYear,12,1)-WEEKDAY(DATE(CalendarYear,12,1),(WeekStart="Monday")+1)+36</f>
        <v>45656</v>
      </c>
      <c r="C14" s="7">
        <v>45657</v>
      </c>
      <c r="D14" s="305" t="s">
        <v>0</v>
      </c>
      <c r="E14" s="305"/>
      <c r="F14" s="305"/>
      <c r="G14" s="305"/>
      <c r="H14" s="305"/>
    </row>
    <row r="15" spans="1:9" s="5" customFormat="1" ht="48" customHeight="1" x14ac:dyDescent="0.2">
      <c r="B15" s="9"/>
      <c r="C15" s="9"/>
      <c r="D15" s="306"/>
      <c r="E15" s="306"/>
      <c r="F15" s="306"/>
      <c r="G15" s="306"/>
      <c r="H15" s="306"/>
    </row>
  </sheetData>
  <mergeCells count="3">
    <mergeCell ref="B2:D2"/>
    <mergeCell ref="D14:H14"/>
    <mergeCell ref="D15:H15"/>
  </mergeCells>
  <conditionalFormatting sqref="B4:G4">
    <cfRule type="expression" dxfId="1" priority="1">
      <formula>DAY(B4)&gt;8</formula>
    </cfRule>
  </conditionalFormatting>
  <conditionalFormatting sqref="B12:H12 B14:C14">
    <cfRule type="expression" dxfId="0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December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1313E7-A55B-4652-8201-2BC6B09FAB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89767E-1328-40C6-9203-B1A04AEC6BD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4E41711A-14E7-411C-A3D2-992C0184A0D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TM34128371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19</vt:i4>
      </vt:variant>
      <vt:variant>
        <vt:lpstr>Intervalos nomeados</vt:lpstr>
      </vt:variant>
      <vt:variant>
        <vt:i4>57</vt:i4>
      </vt:variant>
    </vt:vector>
  </HeadingPairs>
  <TitlesOfParts>
    <vt:vector size="76" baseType="lpstr">
      <vt:lpstr>Projetos</vt:lpstr>
      <vt:lpstr>Dique</vt:lpstr>
      <vt:lpstr>Orçamento - Dique</vt:lpstr>
      <vt:lpstr>Full Year Calendar</vt:lpstr>
      <vt:lpstr>Weekly lesson planner 1</vt:lpstr>
      <vt:lpstr>Semanas</vt:lpstr>
      <vt:lpstr>Mecanismos de Incentivo</vt:lpstr>
      <vt:lpstr>January</vt:lpstr>
      <vt:lpstr>February</vt:lpstr>
      <vt:lpstr>June</vt:lpstr>
      <vt:lpstr>March</vt:lpstr>
      <vt:lpstr>April</vt:lpstr>
      <vt:lpstr>May</vt:lpstr>
      <vt:lpstr>July</vt:lpstr>
      <vt:lpstr>August</vt:lpstr>
      <vt:lpstr>September</vt:lpstr>
      <vt:lpstr>October</vt:lpstr>
      <vt:lpstr>November</vt:lpstr>
      <vt:lpstr>December</vt:lpstr>
      <vt:lpstr>April!Area_de_impressao</vt:lpstr>
      <vt:lpstr>August!Area_de_impressao</vt:lpstr>
      <vt:lpstr>December!Area_de_impressao</vt:lpstr>
      <vt:lpstr>February!Area_de_impressao</vt:lpstr>
      <vt:lpstr>'Full Year Calendar'!Area_de_impressao</vt:lpstr>
      <vt:lpstr>January!Area_de_impressao</vt:lpstr>
      <vt:lpstr>July!Area_de_impressao</vt:lpstr>
      <vt:lpstr>June!Area_de_impressao</vt:lpstr>
      <vt:lpstr>March!Area_de_impressao</vt:lpstr>
      <vt:lpstr>May!Area_de_impressao</vt:lpstr>
      <vt:lpstr>November!Area_de_impressao</vt:lpstr>
      <vt:lpstr>October!Area_de_impressao</vt:lpstr>
      <vt:lpstr>September!Area_de_impressao</vt:lpstr>
      <vt:lpstr>'Weekly lesson planner 1'!Area_de_impressao</vt:lpstr>
      <vt:lpstr>'Full Year Calendar'!CalendarYear</vt:lpstr>
      <vt:lpstr>CalendarYear</vt:lpstr>
      <vt:lpstr>ColumnTitleRegion1..H10.1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ColumnTitleRegion10..O26.1</vt:lpstr>
      <vt:lpstr>ColumnTitleRegion11..V26.1</vt:lpstr>
      <vt:lpstr>ColumnTitleRegion12..AC26.1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ColumnTitleRegion2..O10.1</vt:lpstr>
      <vt:lpstr>ColumnTitleRegion3..V10.1</vt:lpstr>
      <vt:lpstr>ColumnTitleRegion4..AC10.1</vt:lpstr>
      <vt:lpstr>ColumnTitleRegion5..H18.1</vt:lpstr>
      <vt:lpstr>ColumnTitleRegion6..O18.1</vt:lpstr>
      <vt:lpstr>ColumnTitleRegion7..V18.1</vt:lpstr>
      <vt:lpstr>ColumnTitleRegion8..AC18.1</vt:lpstr>
      <vt:lpstr>ColumnTitleRegion9..H26.1</vt:lpstr>
      <vt:lpstr>RowTitleRegion1..K1</vt:lpstr>
      <vt:lpstr>RowTitleRegion1..K3</vt:lpstr>
      <vt:lpstr>'Full Year Calendar'!WeekStart</vt:lpstr>
      <vt:lpstr>'Weekly lesson planner 1'!WeekStart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2022-12-28T23:54:15Z</dcterms:created>
  <dcterms:modified xsi:type="dcterms:W3CDTF">2025-05-26T02:41:40Z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