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4.xml" ContentType="application/vnd.openxmlformats-officedocument.drawingml.chartshapes+xml"/>
  <Override PartName="/xl/charts/chart11.xml" ContentType="application/vnd.openxmlformats-officedocument.drawingml.chart+xml"/>
  <Override PartName="/xl/drawings/drawing5.xml" ContentType="application/vnd.openxmlformats-officedocument.drawingml.chartshapes+xml"/>
  <Override PartName="/xl/charts/chart12.xml" ContentType="application/vnd.openxmlformats-officedocument.drawingml.chart+xml"/>
  <Override PartName="/xl/drawings/drawing6.xml" ContentType="application/vnd.openxmlformats-officedocument.drawingml.chartshapes+xml"/>
  <Override PartName="/xl/charts/chart13.xml" ContentType="application/vnd.openxmlformats-officedocument.drawingml.chart+xml"/>
  <Override PartName="/xl/drawings/drawing7.xml" ContentType="application/vnd.openxmlformats-officedocument.drawingml.chartshapes+xml"/>
  <Override PartName="/xl/charts/chart14.xml" ContentType="application/vnd.openxmlformats-officedocument.drawingml.chart+xml"/>
  <Override PartName="/xl/drawings/drawing8.xml" ContentType="application/vnd.openxmlformats-officedocument.drawingml.chartshapes+xml"/>
  <Override PartName="/xl/charts/chart15.xml" ContentType="application/vnd.openxmlformats-officedocument.drawingml.chart+xml"/>
  <Override PartName="/xl/drawings/drawing9.xml" ContentType="application/vnd.openxmlformats-officedocument.drawingml.chartshapes+xml"/>
  <Override PartName="/xl/charts/chart16.xml" ContentType="application/vnd.openxmlformats-officedocument.drawingml.chart+xml"/>
  <Override PartName="/xl/drawings/drawing10.xml" ContentType="application/vnd.openxmlformats-officedocument.drawingml.chartshapes+xml"/>
  <Override PartName="/xl/drawings/drawing11.xml" ContentType="application/vnd.openxmlformats-officedocument.drawing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drawings/drawing13.xml" ContentType="application/vnd.openxmlformats-officedocument.drawing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drawings/drawing14.xml" ContentType="application/vnd.openxmlformats-officedocument.drawing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showInkAnnotation="0"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user\Desktop\PVT_TSU\"/>
    </mc:Choice>
  </mc:AlternateContent>
  <xr:revisionPtr revIDLastSave="0" documentId="13_ncr:1_{1D07A8A0-3B85-4647-9057-272F6EF54945}" xr6:coauthVersionLast="47" xr6:coauthVersionMax="47" xr10:uidLastSave="{00000000-0000-0000-0000-000000000000}"/>
  <bookViews>
    <workbookView xWindow="-120" yWindow="-120" windowWidth="20730" windowHeight="11160" tabRatio="707" xr2:uid="{00000000-000D-0000-FFFF-FFFF00000000}"/>
  </bookViews>
  <sheets>
    <sheet name="PVT_Mod" sheetId="1" r:id="rId1"/>
    <sheet name="Library" sheetId="2" r:id="rId2"/>
    <sheet name="Вспом.лист" sheetId="3" r:id="rId3"/>
    <sheet name="Water_Binary" sheetId="4" r:id="rId4"/>
    <sheet name="CVD_results" sheetId="5" r:id="rId5"/>
    <sheet name="Пеляткинское_75.4" sheetId="6" r:id="rId6"/>
    <sheet name="Астраханское_269" sheetId="8" r:id="rId7"/>
    <sheet name="Уренгойское_430" sheetId="7" r:id="rId8"/>
    <sheet name="Астраханское без соли" sheetId="9" r:id="rId9"/>
    <sheet name="Уренгойское без соли" sheetId="10" r:id="rId10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K11" i="8" l="1"/>
  <c r="BK12" i="8"/>
  <c r="BK13" i="8"/>
  <c r="BK14" i="8"/>
  <c r="BK15" i="8"/>
  <c r="BK16" i="8"/>
  <c r="BK17" i="8"/>
  <c r="BK18" i="8"/>
  <c r="BK19" i="8"/>
  <c r="BK20" i="8"/>
  <c r="BK21" i="8"/>
  <c r="BK22" i="8"/>
  <c r="BK23" i="8"/>
  <c r="BK24" i="8"/>
  <c r="BK10" i="8"/>
  <c r="BD11" i="6"/>
  <c r="BD12" i="6"/>
  <c r="BD13" i="6"/>
  <c r="BD14" i="6"/>
  <c r="BD15" i="6"/>
  <c r="BD16" i="6"/>
  <c r="BD17" i="6"/>
  <c r="BD18" i="6"/>
  <c r="BD10" i="6"/>
  <c r="AT38" i="9" l="1"/>
  <c r="AT39" i="9" s="1"/>
  <c r="AT37" i="9"/>
  <c r="AR36" i="9"/>
  <c r="AS39" i="9" l="1"/>
  <c r="AS14" i="9"/>
  <c r="AS15" i="9"/>
  <c r="AS16" i="9"/>
  <c r="AS17" i="9"/>
  <c r="AS13" i="9"/>
  <c r="AS18" i="9" s="1"/>
  <c r="BH48" i="8" l="1"/>
  <c r="BH49" i="8"/>
  <c r="BH51" i="8"/>
  <c r="BH50" i="8"/>
  <c r="BH47" i="8"/>
  <c r="BH46" i="8"/>
  <c r="BH45" i="8"/>
  <c r="BH44" i="8"/>
  <c r="BH43" i="8"/>
  <c r="BH42" i="8"/>
  <c r="BR102" i="6"/>
  <c r="BP102" i="6"/>
  <c r="BS102" i="6" s="1"/>
  <c r="BP101" i="6"/>
  <c r="BP100" i="6"/>
  <c r="BP99" i="6"/>
  <c r="BS99" i="6" s="1"/>
  <c r="BP98" i="6"/>
  <c r="BP97" i="6"/>
  <c r="BP96" i="6"/>
  <c r="BP95" i="6"/>
  <c r="CH104" i="7"/>
  <c r="CH103" i="7"/>
  <c r="CK103" i="7" s="1"/>
  <c r="CH102" i="7"/>
  <c r="CH101" i="7"/>
  <c r="CH100" i="7"/>
  <c r="CH99" i="7"/>
  <c r="CH98" i="7"/>
  <c r="CH97" i="7"/>
  <c r="CH96" i="7"/>
  <c r="CH95" i="7"/>
  <c r="CK95" i="7" s="1"/>
  <c r="CH94" i="7"/>
  <c r="CH93" i="7"/>
  <c r="CH92" i="7"/>
  <c r="CK92" i="7" s="1"/>
  <c r="CH91" i="7"/>
  <c r="BP94" i="6"/>
  <c r="BP93" i="6"/>
  <c r="BP92" i="6"/>
  <c r="BR101" i="6"/>
  <c r="BR100" i="6"/>
  <c r="BR99" i="6"/>
  <c r="BR98" i="6"/>
  <c r="BR97" i="6"/>
  <c r="BR96" i="6"/>
  <c r="BR95" i="6"/>
  <c r="BR94" i="6"/>
  <c r="BR93" i="6"/>
  <c r="BR92" i="6"/>
  <c r="R78" i="1"/>
  <c r="R77" i="1"/>
  <c r="R79" i="1" s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75" i="1"/>
  <c r="CJ105" i="7"/>
  <c r="CJ104" i="7"/>
  <c r="CJ103" i="7"/>
  <c r="CJ102" i="7"/>
  <c r="CJ101" i="7"/>
  <c r="CJ100" i="7"/>
  <c r="CJ99" i="7"/>
  <c r="CJ98" i="7"/>
  <c r="CJ97" i="7"/>
  <c r="CJ96" i="7"/>
  <c r="CJ95" i="7"/>
  <c r="CJ94" i="7"/>
  <c r="CJ93" i="7"/>
  <c r="CJ92" i="7"/>
  <c r="CJ91" i="7"/>
  <c r="CH63" i="7"/>
  <c r="CH62" i="7"/>
  <c r="CH61" i="7"/>
  <c r="CH60" i="7"/>
  <c r="CH59" i="7"/>
  <c r="CH58" i="7"/>
  <c r="CJ60" i="7"/>
  <c r="CJ61" i="7"/>
  <c r="CJ62" i="7"/>
  <c r="CJ63" i="7"/>
  <c r="CH57" i="7"/>
  <c r="CH56" i="7"/>
  <c r="CH55" i="7"/>
  <c r="CH54" i="7"/>
  <c r="CH53" i="7"/>
  <c r="CH52" i="7"/>
  <c r="CH51" i="7"/>
  <c r="CH50" i="7"/>
  <c r="CJ59" i="7"/>
  <c r="CJ58" i="7"/>
  <c r="CJ57" i="7"/>
  <c r="CJ56" i="7"/>
  <c r="CJ55" i="7"/>
  <c r="CJ54" i="7"/>
  <c r="CJ53" i="7"/>
  <c r="CJ52" i="7"/>
  <c r="CJ51" i="7"/>
  <c r="CJ50" i="7"/>
  <c r="BJ92" i="8"/>
  <c r="BH92" i="8"/>
  <c r="BJ91" i="8"/>
  <c r="BH91" i="8"/>
  <c r="BJ90" i="8"/>
  <c r="BH90" i="8"/>
  <c r="BJ89" i="8"/>
  <c r="BH89" i="8"/>
  <c r="BJ88" i="8"/>
  <c r="BH88" i="8"/>
  <c r="BJ87" i="8"/>
  <c r="BH87" i="8"/>
  <c r="BJ86" i="8"/>
  <c r="BH86" i="8"/>
  <c r="BJ85" i="8"/>
  <c r="BH85" i="8"/>
  <c r="BJ84" i="8"/>
  <c r="BH84" i="8"/>
  <c r="BJ83" i="8"/>
  <c r="BH83" i="8"/>
  <c r="I67" i="1"/>
  <c r="I62" i="1"/>
  <c r="I60" i="1"/>
  <c r="I59" i="1"/>
  <c r="I54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68" i="1"/>
  <c r="BY84" i="10"/>
  <c r="BD81" i="10"/>
  <c r="BD82" i="10" s="1"/>
  <c r="AZ81" i="10"/>
  <c r="AZ82" i="10" s="1"/>
  <c r="AV81" i="10"/>
  <c r="AV82" i="10" s="1"/>
  <c r="AR81" i="10"/>
  <c r="AR82" i="10" s="1"/>
  <c r="AN81" i="10"/>
  <c r="AN82" i="10" s="1"/>
  <c r="AJ81" i="10"/>
  <c r="AJ82" i="10" s="1"/>
  <c r="AF81" i="10"/>
  <c r="AF82" i="10" s="1"/>
  <c r="AB81" i="10"/>
  <c r="AB82" i="10" s="1"/>
  <c r="X81" i="10"/>
  <c r="X82" i="10" s="1"/>
  <c r="T81" i="10"/>
  <c r="T82" i="10" s="1"/>
  <c r="P81" i="10"/>
  <c r="P82" i="10" s="1"/>
  <c r="L81" i="10"/>
  <c r="L82" i="10" s="1"/>
  <c r="G81" i="10"/>
  <c r="G82" i="10" s="1"/>
  <c r="BZ67" i="10" s="1"/>
  <c r="C81" i="10"/>
  <c r="C82" i="10" s="1"/>
  <c r="BY79" i="10"/>
  <c r="BH79" i="10"/>
  <c r="BH80" i="10" s="1"/>
  <c r="BG79" i="10"/>
  <c r="BG80" i="10" s="1"/>
  <c r="BE79" i="10"/>
  <c r="BE80" i="10" s="1"/>
  <c r="BD79" i="10"/>
  <c r="BD80" i="10" s="1"/>
  <c r="BC79" i="10"/>
  <c r="BW77" i="10" s="1"/>
  <c r="BA79" i="10"/>
  <c r="BA80" i="10" s="1"/>
  <c r="AZ79" i="10"/>
  <c r="AZ80" i="10" s="1"/>
  <c r="AY79" i="10"/>
  <c r="AW79" i="10"/>
  <c r="AW80" i="10" s="1"/>
  <c r="AV79" i="10"/>
  <c r="AV80" i="10" s="1"/>
  <c r="AU79" i="10"/>
  <c r="AU80" i="10" s="1"/>
  <c r="AS79" i="10"/>
  <c r="AS80" i="10" s="1"/>
  <c r="AR79" i="10"/>
  <c r="AR80" i="10" s="1"/>
  <c r="AQ79" i="10"/>
  <c r="AQ80" i="10" s="1"/>
  <c r="AO79" i="10"/>
  <c r="AO80" i="10"/>
  <c r="AN79" i="10"/>
  <c r="AN80" i="10"/>
  <c r="AM79" i="10"/>
  <c r="AM80" i="10" s="1"/>
  <c r="AK79" i="10"/>
  <c r="AK80" i="10" s="1"/>
  <c r="AJ79" i="10"/>
  <c r="AJ80" i="10" s="1"/>
  <c r="AI79" i="10"/>
  <c r="BW72" i="10" s="1"/>
  <c r="AG79" i="10"/>
  <c r="AG80" i="10" s="1"/>
  <c r="AF79" i="10"/>
  <c r="AF80" i="10" s="1"/>
  <c r="AE79" i="10"/>
  <c r="AE80" i="10" s="1"/>
  <c r="AC79" i="10"/>
  <c r="AC80" i="10" s="1"/>
  <c r="AB79" i="10"/>
  <c r="AB80" i="10" s="1"/>
  <c r="AA79" i="10"/>
  <c r="AA80" i="10" s="1"/>
  <c r="Y79" i="10"/>
  <c r="Y80" i="10" s="1"/>
  <c r="X79" i="10"/>
  <c r="X80" i="10" s="1"/>
  <c r="W79" i="10"/>
  <c r="W80" i="10"/>
  <c r="U79" i="10"/>
  <c r="U80" i="10" s="1"/>
  <c r="T79" i="10"/>
  <c r="T80" i="10" s="1"/>
  <c r="S79" i="10"/>
  <c r="BW68" i="10" s="1"/>
  <c r="Q79" i="10"/>
  <c r="Q80" i="10" s="1"/>
  <c r="P79" i="10"/>
  <c r="P80" i="10" s="1"/>
  <c r="O79" i="10"/>
  <c r="O80" i="10" s="1"/>
  <c r="BT49" i="10" s="1"/>
  <c r="M79" i="10"/>
  <c r="M80" i="10" s="1"/>
  <c r="L79" i="10"/>
  <c r="L80" i="10" s="1"/>
  <c r="K79" i="10"/>
  <c r="K80" i="10" s="1"/>
  <c r="H79" i="10"/>
  <c r="H80" i="10" s="1"/>
  <c r="G79" i="10"/>
  <c r="G80" i="10" s="1"/>
  <c r="D79" i="10"/>
  <c r="D80" i="10" s="1"/>
  <c r="C79" i="10"/>
  <c r="C80" i="10" s="1"/>
  <c r="BT45" i="10" s="1"/>
  <c r="BY78" i="10"/>
  <c r="BW78" i="10"/>
  <c r="BY77" i="10"/>
  <c r="BY76" i="10"/>
  <c r="BY75" i="10"/>
  <c r="BY74" i="10"/>
  <c r="AS74" i="10"/>
  <c r="AR74" i="10"/>
  <c r="AQ74" i="10"/>
  <c r="AO74" i="10"/>
  <c r="AN74" i="10"/>
  <c r="AM74" i="10"/>
  <c r="BY73" i="10"/>
  <c r="BW73" i="10"/>
  <c r="BY72" i="10"/>
  <c r="BY71" i="10"/>
  <c r="BY70" i="10"/>
  <c r="BW70" i="10"/>
  <c r="BY69" i="10"/>
  <c r="BW69" i="10"/>
  <c r="BY68" i="10"/>
  <c r="BY67" i="10"/>
  <c r="BY66" i="10"/>
  <c r="BO60" i="10"/>
  <c r="BL60" i="10"/>
  <c r="BU59" i="10"/>
  <c r="BO59" i="10"/>
  <c r="BL59" i="10"/>
  <c r="BU58" i="10"/>
  <c r="BO58" i="10"/>
  <c r="BL58" i="10"/>
  <c r="BU57" i="10"/>
  <c r="BO57" i="10"/>
  <c r="BL57" i="10"/>
  <c r="BU56" i="10"/>
  <c r="BO56" i="10"/>
  <c r="BL56" i="10"/>
  <c r="BU55" i="10"/>
  <c r="BO55" i="10"/>
  <c r="BL55" i="10"/>
  <c r="BU54" i="10"/>
  <c r="BO54" i="10"/>
  <c r="BL54" i="10"/>
  <c r="BU53" i="10"/>
  <c r="BO53" i="10"/>
  <c r="BL53" i="10"/>
  <c r="BU52" i="10"/>
  <c r="BO52" i="10"/>
  <c r="BL52" i="10"/>
  <c r="BU51" i="10"/>
  <c r="BO51" i="10"/>
  <c r="BL51" i="10"/>
  <c r="BU50" i="10"/>
  <c r="BO50" i="10"/>
  <c r="BL50" i="10"/>
  <c r="BU49" i="10"/>
  <c r="BO49" i="10"/>
  <c r="BL49" i="10"/>
  <c r="BU48" i="10"/>
  <c r="BO48" i="10"/>
  <c r="BL48" i="10"/>
  <c r="BU47" i="10"/>
  <c r="BL47" i="10"/>
  <c r="BU46" i="10"/>
  <c r="BL46" i="10"/>
  <c r="BU45" i="10"/>
  <c r="BY43" i="10"/>
  <c r="BD40" i="10"/>
  <c r="BD41" i="10" s="1"/>
  <c r="AZ40" i="10"/>
  <c r="AZ41" i="10" s="1"/>
  <c r="AV40" i="10"/>
  <c r="AV41" i="10" s="1"/>
  <c r="AR40" i="10"/>
  <c r="AR41" i="10" s="1"/>
  <c r="AN40" i="10"/>
  <c r="AN41" i="10" s="1"/>
  <c r="AJ40" i="10"/>
  <c r="AJ41" i="10" s="1"/>
  <c r="AF40" i="10"/>
  <c r="AF41" i="10" s="1"/>
  <c r="AB40" i="10"/>
  <c r="AB41" i="10" s="1"/>
  <c r="X40" i="10"/>
  <c r="X41" i="10" s="1"/>
  <c r="T40" i="10"/>
  <c r="T41" i="10"/>
  <c r="P40" i="10"/>
  <c r="P41" i="10" s="1"/>
  <c r="L40" i="10"/>
  <c r="L41" i="10" s="1"/>
  <c r="G40" i="10"/>
  <c r="G41" i="10" s="1"/>
  <c r="BZ26" i="10" s="1"/>
  <c r="C40" i="10"/>
  <c r="C41" i="10" s="1"/>
  <c r="BY38" i="10"/>
  <c r="BH38" i="10"/>
  <c r="BH39" i="10" s="1"/>
  <c r="BG38" i="10"/>
  <c r="BG39" i="10" s="1"/>
  <c r="BE38" i="10"/>
  <c r="BE39" i="10" s="1"/>
  <c r="BD38" i="10"/>
  <c r="BD39" i="10" s="1"/>
  <c r="BC38" i="10"/>
  <c r="BW36" i="10" s="1"/>
  <c r="BA38" i="10"/>
  <c r="BA39" i="10" s="1"/>
  <c r="AZ38" i="10"/>
  <c r="AZ39" i="10" s="1"/>
  <c r="AY38" i="10"/>
  <c r="AY39" i="10" s="1"/>
  <c r="AW38" i="10"/>
  <c r="AW39" i="10" s="1"/>
  <c r="AV38" i="10"/>
  <c r="AV39" i="10" s="1"/>
  <c r="AU38" i="10"/>
  <c r="AU39" i="10" s="1"/>
  <c r="AS38" i="10"/>
  <c r="AS39" i="10" s="1"/>
  <c r="AR38" i="10"/>
  <c r="AR39" i="10" s="1"/>
  <c r="AQ38" i="10"/>
  <c r="AQ39" i="10" s="1"/>
  <c r="AO38" i="10"/>
  <c r="AO39" i="10" s="1"/>
  <c r="AN38" i="10"/>
  <c r="AN39" i="10" s="1"/>
  <c r="AM38" i="10"/>
  <c r="BW32" i="10" s="1"/>
  <c r="AK38" i="10"/>
  <c r="AK39" i="10" s="1"/>
  <c r="AJ38" i="10"/>
  <c r="AJ39" i="10" s="1"/>
  <c r="AI38" i="10"/>
  <c r="AI39" i="10" s="1"/>
  <c r="AG38" i="10"/>
  <c r="AG39" i="10" s="1"/>
  <c r="AF38" i="10"/>
  <c r="AF39" i="10" s="1"/>
  <c r="AE38" i="10"/>
  <c r="AE39" i="10" s="1"/>
  <c r="AC38" i="10"/>
  <c r="AC39" i="10" s="1"/>
  <c r="AB38" i="10"/>
  <c r="AB39" i="10" s="1"/>
  <c r="AA38" i="10"/>
  <c r="AA39" i="10" s="1"/>
  <c r="Y38" i="10"/>
  <c r="Y39" i="10" s="1"/>
  <c r="X38" i="10"/>
  <c r="X39" i="10" s="1"/>
  <c r="W38" i="10"/>
  <c r="BW28" i="10" s="1"/>
  <c r="U38" i="10"/>
  <c r="U39" i="10" s="1"/>
  <c r="T38" i="10"/>
  <c r="T39" i="10" s="1"/>
  <c r="S38" i="10"/>
  <c r="S39" i="10" s="1"/>
  <c r="Q38" i="10"/>
  <c r="Q39" i="10" s="1"/>
  <c r="P38" i="10"/>
  <c r="P39" i="10" s="1"/>
  <c r="O38" i="10"/>
  <c r="O39" i="10" s="1"/>
  <c r="M38" i="10"/>
  <c r="M39" i="10" s="1"/>
  <c r="L38" i="10"/>
  <c r="L39" i="10" s="1"/>
  <c r="K38" i="10"/>
  <c r="K39" i="10" s="1"/>
  <c r="H38" i="10"/>
  <c r="H39" i="10" s="1"/>
  <c r="G38" i="10"/>
  <c r="G39" i="10" s="1"/>
  <c r="D38" i="10"/>
  <c r="D39" i="10" s="1"/>
  <c r="C38" i="10"/>
  <c r="C39" i="10" s="1"/>
  <c r="BY37" i="10"/>
  <c r="BY36" i="10"/>
  <c r="BY35" i="10"/>
  <c r="BW35" i="10"/>
  <c r="BY34" i="10"/>
  <c r="BY33" i="10"/>
  <c r="AS33" i="10"/>
  <c r="AR33" i="10"/>
  <c r="AQ33" i="10"/>
  <c r="BY32" i="10"/>
  <c r="BY31" i="10"/>
  <c r="BY30" i="10"/>
  <c r="BY29" i="10"/>
  <c r="BY28" i="10"/>
  <c r="BY27" i="10"/>
  <c r="BY26" i="10"/>
  <c r="BY25" i="10"/>
  <c r="BL20" i="10"/>
  <c r="BU19" i="10"/>
  <c r="BO19" i="10"/>
  <c r="BU18" i="10"/>
  <c r="BO18" i="10"/>
  <c r="BU17" i="10"/>
  <c r="BO17" i="10"/>
  <c r="BU16" i="10"/>
  <c r="BO16" i="10"/>
  <c r="BU15" i="10"/>
  <c r="BO15" i="10"/>
  <c r="BU14" i="10"/>
  <c r="BO14" i="10"/>
  <c r="BU13" i="10"/>
  <c r="BO13" i="10"/>
  <c r="BU12" i="10"/>
  <c r="BO12" i="10"/>
  <c r="BU11" i="10"/>
  <c r="BO11" i="10"/>
  <c r="BU10" i="10"/>
  <c r="BO10" i="10"/>
  <c r="BU9" i="10"/>
  <c r="BO9" i="10"/>
  <c r="BU8" i="10"/>
  <c r="BO8" i="10"/>
  <c r="BU7" i="10"/>
  <c r="BU6" i="10"/>
  <c r="BU5" i="10"/>
  <c r="BV1" i="10"/>
  <c r="C30" i="1"/>
  <c r="BJ42" i="8"/>
  <c r="AG7" i="4"/>
  <c r="BJ49" i="8"/>
  <c r="BJ50" i="8"/>
  <c r="BJ51" i="8"/>
  <c r="BJ43" i="8"/>
  <c r="BJ44" i="8"/>
  <c r="BJ45" i="8"/>
  <c r="BJ46" i="8"/>
  <c r="BJ47" i="8"/>
  <c r="BJ48" i="8"/>
  <c r="AV54" i="8"/>
  <c r="AV55" i="8"/>
  <c r="AV56" i="8"/>
  <c r="AV57" i="8"/>
  <c r="AV58" i="8"/>
  <c r="AV53" i="8"/>
  <c r="I57" i="1"/>
  <c r="C26" i="1"/>
  <c r="D26" i="1" s="1"/>
  <c r="I56" i="1"/>
  <c r="AN122" i="9"/>
  <c r="AN123" i="9" s="1"/>
  <c r="AJ122" i="9"/>
  <c r="AJ123" i="9" s="1"/>
  <c r="AF122" i="9"/>
  <c r="AF123" i="9" s="1"/>
  <c r="AB122" i="9"/>
  <c r="AB123" i="9" s="1"/>
  <c r="X122" i="9"/>
  <c r="X123" i="9" s="1"/>
  <c r="T122" i="9"/>
  <c r="T123" i="9"/>
  <c r="O122" i="9"/>
  <c r="O123" i="9" s="1"/>
  <c r="K122" i="9"/>
  <c r="K123" i="9" s="1"/>
  <c r="G122" i="9"/>
  <c r="G123" i="9" s="1"/>
  <c r="BD89" i="9" s="1"/>
  <c r="C122" i="9"/>
  <c r="C123" i="9" s="1"/>
  <c r="AO120" i="9"/>
  <c r="AO121" i="9" s="1"/>
  <c r="AN120" i="9"/>
  <c r="AN121" i="9" s="1"/>
  <c r="AM120" i="9"/>
  <c r="AM121" i="9" s="1"/>
  <c r="AK120" i="9"/>
  <c r="AK121" i="9" s="1"/>
  <c r="AJ120" i="9"/>
  <c r="AJ121" i="9" s="1"/>
  <c r="AI120" i="9"/>
  <c r="AI121" i="9" s="1"/>
  <c r="AG120" i="9"/>
  <c r="AG121" i="9" s="1"/>
  <c r="AF120" i="9"/>
  <c r="AF121" i="9" s="1"/>
  <c r="AE120" i="9"/>
  <c r="AE121" i="9" s="1"/>
  <c r="AC120" i="9"/>
  <c r="AC121" i="9" s="1"/>
  <c r="AB120" i="9"/>
  <c r="AB121" i="9" s="1"/>
  <c r="AA120" i="9"/>
  <c r="AA121" i="9" s="1"/>
  <c r="Y120" i="9"/>
  <c r="Y121" i="9" s="1"/>
  <c r="X120" i="9"/>
  <c r="X121" i="9" s="1"/>
  <c r="W120" i="9"/>
  <c r="W121" i="9" s="1"/>
  <c r="U120" i="9"/>
  <c r="U121" i="9" s="1"/>
  <c r="T120" i="9"/>
  <c r="T121" i="9" s="1"/>
  <c r="S120" i="9"/>
  <c r="S121" i="9" s="1"/>
  <c r="P120" i="9"/>
  <c r="P121" i="9" s="1"/>
  <c r="AW89" i="9" s="1"/>
  <c r="O120" i="9"/>
  <c r="O121" i="9"/>
  <c r="L120" i="9"/>
  <c r="L121" i="9" s="1"/>
  <c r="AW88" i="9" s="1"/>
  <c r="K120" i="9"/>
  <c r="K121" i="9" s="1"/>
  <c r="H120" i="9"/>
  <c r="H121" i="9" s="1"/>
  <c r="AW87" i="9" s="1"/>
  <c r="G120" i="9"/>
  <c r="G121" i="9" s="1"/>
  <c r="AX87" i="9" s="1"/>
  <c r="D120" i="9"/>
  <c r="D121" i="9" s="1"/>
  <c r="AW86" i="9" s="1"/>
  <c r="C120" i="9"/>
  <c r="C121" i="9"/>
  <c r="AU100" i="9"/>
  <c r="AU99" i="9"/>
  <c r="AU98" i="9"/>
  <c r="AU97" i="9"/>
  <c r="AU96" i="9"/>
  <c r="AU95" i="9"/>
  <c r="AF82" i="9"/>
  <c r="C82" i="9"/>
  <c r="AN81" i="9"/>
  <c r="AN82" i="9" s="1"/>
  <c r="AJ81" i="9"/>
  <c r="AJ82" i="9"/>
  <c r="AF81" i="9"/>
  <c r="AB81" i="9"/>
  <c r="AB82" i="9" s="1"/>
  <c r="X81" i="9"/>
  <c r="X82" i="9" s="1"/>
  <c r="T81" i="9"/>
  <c r="T82" i="9" s="1"/>
  <c r="O81" i="9"/>
  <c r="O82" i="9" s="1"/>
  <c r="K81" i="9"/>
  <c r="K82" i="9" s="1"/>
  <c r="G81" i="9"/>
  <c r="G82" i="9"/>
  <c r="BF65" i="9" s="1"/>
  <c r="C81" i="9"/>
  <c r="AO79" i="9"/>
  <c r="AO80" i="9"/>
  <c r="AN79" i="9"/>
  <c r="AN80" i="9" s="1"/>
  <c r="AM79" i="9"/>
  <c r="AM80" i="9"/>
  <c r="AK79" i="9"/>
  <c r="AK80" i="9" s="1"/>
  <c r="AJ79" i="9"/>
  <c r="AJ80" i="9" s="1"/>
  <c r="AI79" i="9"/>
  <c r="AI80" i="9" s="1"/>
  <c r="AG79" i="9"/>
  <c r="AG80" i="9" s="1"/>
  <c r="AF79" i="9"/>
  <c r="AF80" i="9" s="1"/>
  <c r="AE79" i="9"/>
  <c r="AE80" i="9" s="1"/>
  <c r="AC79" i="9"/>
  <c r="AC80" i="9" s="1"/>
  <c r="AB79" i="9"/>
  <c r="AB80" i="9" s="1"/>
  <c r="AA79" i="9"/>
  <c r="AA80" i="9" s="1"/>
  <c r="Y79" i="9"/>
  <c r="Y80" i="9" s="1"/>
  <c r="X79" i="9"/>
  <c r="X80" i="9" s="1"/>
  <c r="W79" i="9"/>
  <c r="W80" i="9" s="1"/>
  <c r="U79" i="9"/>
  <c r="U80" i="9"/>
  <c r="T79" i="9"/>
  <c r="T80" i="9" s="1"/>
  <c r="BD67" i="9" s="1"/>
  <c r="BE67" i="9" s="1"/>
  <c r="S79" i="9"/>
  <c r="S80" i="9" s="1"/>
  <c r="BA54" i="9" s="1"/>
  <c r="P79" i="9"/>
  <c r="P80" i="9" s="1"/>
  <c r="BA52" i="9" s="1"/>
  <c r="O79" i="9"/>
  <c r="O80" i="9" s="1"/>
  <c r="L79" i="9"/>
  <c r="L80" i="9" s="1"/>
  <c r="BA51" i="9" s="1"/>
  <c r="BB51" i="9" s="1"/>
  <c r="K79" i="9"/>
  <c r="K80" i="9" s="1"/>
  <c r="H79" i="9"/>
  <c r="H80" i="9" s="1"/>
  <c r="BA50" i="9" s="1"/>
  <c r="G79" i="9"/>
  <c r="G80" i="9" s="1"/>
  <c r="D79" i="9"/>
  <c r="D80" i="9" s="1"/>
  <c r="C79" i="9"/>
  <c r="C80" i="9" s="1"/>
  <c r="AV58" i="9"/>
  <c r="AV57" i="9"/>
  <c r="AV56" i="9"/>
  <c r="AV55" i="9"/>
  <c r="AV54" i="9"/>
  <c r="AV53" i="9"/>
  <c r="AN41" i="9"/>
  <c r="AN42" i="9" s="1"/>
  <c r="AJ41" i="9"/>
  <c r="AJ42" i="9" s="1"/>
  <c r="AF41" i="9"/>
  <c r="AF42" i="9"/>
  <c r="AB41" i="9"/>
  <c r="AB42" i="9" s="1"/>
  <c r="X41" i="9"/>
  <c r="X42" i="9" s="1"/>
  <c r="T41" i="9"/>
  <c r="T42" i="9"/>
  <c r="O41" i="9"/>
  <c r="O42" i="9"/>
  <c r="K41" i="9"/>
  <c r="K42" i="9" s="1"/>
  <c r="G41" i="9"/>
  <c r="G42" i="9" s="1"/>
  <c r="BD28" i="9" s="1"/>
  <c r="C41" i="9"/>
  <c r="C42" i="9" s="1"/>
  <c r="AN39" i="9"/>
  <c r="AN40" i="9" s="1"/>
  <c r="AM39" i="9"/>
  <c r="AM40" i="9"/>
  <c r="BE21" i="9" s="1"/>
  <c r="AJ39" i="9"/>
  <c r="AJ40" i="9" s="1"/>
  <c r="AI39" i="9"/>
  <c r="AI40" i="9" s="1"/>
  <c r="BE20" i="9" s="1"/>
  <c r="AF39" i="9"/>
  <c r="AF40" i="9" s="1"/>
  <c r="AE39" i="9"/>
  <c r="AE40" i="9" s="1"/>
  <c r="BE19" i="9" s="1"/>
  <c r="AB39" i="9"/>
  <c r="AB40" i="9" s="1"/>
  <c r="AA39" i="9"/>
  <c r="AA40" i="9" s="1"/>
  <c r="BE18" i="9" s="1"/>
  <c r="X39" i="9"/>
  <c r="X40" i="9" s="1"/>
  <c r="W39" i="9"/>
  <c r="W40" i="9" s="1"/>
  <c r="T39" i="9"/>
  <c r="T40" i="9" s="1"/>
  <c r="S39" i="9"/>
  <c r="S40" i="9" s="1"/>
  <c r="BE16" i="9" s="1"/>
  <c r="O39" i="9"/>
  <c r="O40" i="9"/>
  <c r="K39" i="9"/>
  <c r="K40" i="9" s="1"/>
  <c r="G39" i="9"/>
  <c r="G40" i="9"/>
  <c r="BF12" i="9" s="1"/>
  <c r="C39" i="9"/>
  <c r="C40" i="9" s="1"/>
  <c r="BF11" i="9" s="1"/>
  <c r="BF15" i="9"/>
  <c r="AO164" i="4"/>
  <c r="AO165" i="4"/>
  <c r="AO166" i="4"/>
  <c r="AO161" i="4"/>
  <c r="AP161" i="4"/>
  <c r="AQ161" i="4"/>
  <c r="AR161" i="4"/>
  <c r="AO162" i="4"/>
  <c r="AP162" i="4"/>
  <c r="AQ162" i="4"/>
  <c r="AR162" i="4"/>
  <c r="AO163" i="4"/>
  <c r="AP163" i="4"/>
  <c r="AQ163" i="4"/>
  <c r="AR163" i="4"/>
  <c r="AP164" i="4"/>
  <c r="AQ164" i="4"/>
  <c r="AR164" i="4"/>
  <c r="AP165" i="4"/>
  <c r="AQ165" i="4"/>
  <c r="AR165" i="4"/>
  <c r="AP166" i="4"/>
  <c r="AQ166" i="4"/>
  <c r="AR166" i="4"/>
  <c r="AP167" i="4"/>
  <c r="AQ167" i="4"/>
  <c r="AR167" i="4"/>
  <c r="AP168" i="4"/>
  <c r="AQ168" i="4"/>
  <c r="AR168" i="4"/>
  <c r="AP169" i="4"/>
  <c r="AQ169" i="4"/>
  <c r="AR169" i="4"/>
  <c r="AP170" i="4"/>
  <c r="AQ170" i="4"/>
  <c r="AR170" i="4"/>
  <c r="AP171" i="4"/>
  <c r="AQ171" i="4"/>
  <c r="AR171" i="4"/>
  <c r="AP172" i="4"/>
  <c r="AQ172" i="4"/>
  <c r="AR172" i="4"/>
  <c r="AP173" i="4"/>
  <c r="AQ173" i="4"/>
  <c r="AR173" i="4"/>
  <c r="AN162" i="4"/>
  <c r="AN163" i="4"/>
  <c r="AN161" i="4"/>
  <c r="AH161" i="4"/>
  <c r="AH162" i="4"/>
  <c r="AI162" i="4"/>
  <c r="AJ162" i="4"/>
  <c r="AK162" i="4"/>
  <c r="AH164" i="4"/>
  <c r="AI164" i="4"/>
  <c r="AJ164" i="4"/>
  <c r="AK164" i="4"/>
  <c r="AH165" i="4"/>
  <c r="AI165" i="4"/>
  <c r="AJ165" i="4"/>
  <c r="AK165" i="4"/>
  <c r="AH166" i="4"/>
  <c r="AI166" i="4"/>
  <c r="AJ166" i="4"/>
  <c r="AK166" i="4"/>
  <c r="AH167" i="4"/>
  <c r="AI168" i="4"/>
  <c r="AJ168" i="4"/>
  <c r="AK168" i="4"/>
  <c r="AI169" i="4"/>
  <c r="AJ169" i="4"/>
  <c r="AK169" i="4"/>
  <c r="AI170" i="4"/>
  <c r="AJ170" i="4"/>
  <c r="AK170" i="4"/>
  <c r="AI171" i="4"/>
  <c r="AJ171" i="4"/>
  <c r="AK171" i="4"/>
  <c r="AI172" i="4"/>
  <c r="AJ172" i="4"/>
  <c r="AK172" i="4"/>
  <c r="AI173" i="4"/>
  <c r="AJ173" i="4"/>
  <c r="AK173" i="4"/>
  <c r="AG162" i="4"/>
  <c r="AG163" i="4"/>
  <c r="AG161" i="4"/>
  <c r="AN115" i="4"/>
  <c r="AN116" i="4"/>
  <c r="AN117" i="4"/>
  <c r="AN118" i="4"/>
  <c r="AN119" i="4"/>
  <c r="AN120" i="4"/>
  <c r="AN114" i="4"/>
  <c r="AO105" i="4"/>
  <c r="AP105" i="4"/>
  <c r="AQ105" i="4"/>
  <c r="AR105" i="4"/>
  <c r="AO106" i="4"/>
  <c r="AP106" i="4"/>
  <c r="AQ106" i="4"/>
  <c r="AR106" i="4"/>
  <c r="AO107" i="4"/>
  <c r="AP107" i="4"/>
  <c r="AQ107" i="4"/>
  <c r="AR107" i="4"/>
  <c r="AO108" i="4"/>
  <c r="AP108" i="4"/>
  <c r="AQ108" i="4"/>
  <c r="AR108" i="4"/>
  <c r="AO109" i="4"/>
  <c r="AP109" i="4"/>
  <c r="AQ109" i="4"/>
  <c r="AR109" i="4"/>
  <c r="AO110" i="4"/>
  <c r="AP110" i="4"/>
  <c r="AQ110" i="4"/>
  <c r="AR110" i="4"/>
  <c r="AO111" i="4"/>
  <c r="AP111" i="4"/>
  <c r="AQ111" i="4"/>
  <c r="AR111" i="4"/>
  <c r="AN106" i="4"/>
  <c r="AN107" i="4"/>
  <c r="AN108" i="4"/>
  <c r="AN109" i="4"/>
  <c r="AN110" i="4"/>
  <c r="AN111" i="4"/>
  <c r="AN105" i="4"/>
  <c r="AG115" i="4"/>
  <c r="AG116" i="4"/>
  <c r="AG117" i="4"/>
  <c r="AG118" i="4"/>
  <c r="AG119" i="4"/>
  <c r="AG120" i="4"/>
  <c r="AG114" i="4"/>
  <c r="AH106" i="4"/>
  <c r="AI106" i="4"/>
  <c r="AJ106" i="4"/>
  <c r="AH107" i="4"/>
  <c r="AJ107" i="4"/>
  <c r="AH108" i="4"/>
  <c r="AJ108" i="4"/>
  <c r="AH109" i="4"/>
  <c r="AJ109" i="4"/>
  <c r="AH110" i="4"/>
  <c r="AJ110" i="4"/>
  <c r="AH111" i="4"/>
  <c r="AJ111" i="4"/>
  <c r="AK107" i="4"/>
  <c r="AK108" i="4"/>
  <c r="AK109" i="4"/>
  <c r="AK110" i="4"/>
  <c r="AK111" i="4"/>
  <c r="AH105" i="4"/>
  <c r="AI105" i="4"/>
  <c r="AJ105" i="4"/>
  <c r="AK105" i="4"/>
  <c r="AK106" i="4"/>
  <c r="AG106" i="4"/>
  <c r="AG105" i="4"/>
  <c r="AG78" i="4"/>
  <c r="AV92" i="4"/>
  <c r="AV93" i="4"/>
  <c r="AV94" i="4"/>
  <c r="AV95" i="4"/>
  <c r="AV96" i="4"/>
  <c r="AV97" i="4"/>
  <c r="AV98" i="4"/>
  <c r="AU92" i="4"/>
  <c r="AU93" i="4"/>
  <c r="AU94" i="4"/>
  <c r="AU95" i="4"/>
  <c r="AU96" i="4"/>
  <c r="AU97" i="4"/>
  <c r="AU98" i="4"/>
  <c r="AV78" i="4"/>
  <c r="AW78" i="4"/>
  <c r="AX78" i="4"/>
  <c r="AV79" i="4"/>
  <c r="AW79" i="4"/>
  <c r="AX79" i="4"/>
  <c r="AY79" i="4"/>
  <c r="AV80" i="4"/>
  <c r="AW80" i="4"/>
  <c r="AX80" i="4"/>
  <c r="AY80" i="4"/>
  <c r="AV81" i="4"/>
  <c r="AW81" i="4"/>
  <c r="AX81" i="4"/>
  <c r="AY81" i="4"/>
  <c r="AV82" i="4"/>
  <c r="AW82" i="4"/>
  <c r="AX82" i="4"/>
  <c r="AY82" i="4"/>
  <c r="AV83" i="4"/>
  <c r="AW83" i="4"/>
  <c r="AX83" i="4"/>
  <c r="AY83" i="4"/>
  <c r="AV84" i="4"/>
  <c r="AW84" i="4"/>
  <c r="AX84" i="4"/>
  <c r="AY84" i="4"/>
  <c r="AV85" i="4"/>
  <c r="AW85" i="4"/>
  <c r="AX85" i="4"/>
  <c r="AY85" i="4"/>
  <c r="AV86" i="4"/>
  <c r="AW86" i="4"/>
  <c r="AX86" i="4"/>
  <c r="AY86" i="4"/>
  <c r="AU79" i="4"/>
  <c r="AU80" i="4"/>
  <c r="AU81" i="4"/>
  <c r="AU82" i="4"/>
  <c r="AU83" i="4"/>
  <c r="AU84" i="4"/>
  <c r="AU85" i="4"/>
  <c r="AU86" i="4"/>
  <c r="AU78" i="4"/>
  <c r="AN93" i="4"/>
  <c r="AN94" i="4"/>
  <c r="AO94" i="4"/>
  <c r="AN95" i="4"/>
  <c r="AO95" i="4"/>
  <c r="AN96" i="4"/>
  <c r="AO96" i="4"/>
  <c r="AN97" i="4"/>
  <c r="AO97" i="4"/>
  <c r="AO98" i="4"/>
  <c r="AN98" i="4"/>
  <c r="AO78" i="4"/>
  <c r="AP78" i="4"/>
  <c r="AQ78" i="4"/>
  <c r="AO79" i="4"/>
  <c r="AP79" i="4"/>
  <c r="AQ79" i="4"/>
  <c r="AO80" i="4"/>
  <c r="AP80" i="4"/>
  <c r="AQ80" i="4"/>
  <c r="AR80" i="4"/>
  <c r="AO81" i="4"/>
  <c r="AP81" i="4"/>
  <c r="AQ81" i="4"/>
  <c r="AR81" i="4"/>
  <c r="AO82" i="4"/>
  <c r="AP82" i="4"/>
  <c r="AQ82" i="4"/>
  <c r="AR82" i="4"/>
  <c r="AO83" i="4"/>
  <c r="AP83" i="4"/>
  <c r="AQ83" i="4"/>
  <c r="AR83" i="4"/>
  <c r="AO84" i="4"/>
  <c r="AP84" i="4"/>
  <c r="AQ84" i="4"/>
  <c r="AR84" i="4"/>
  <c r="AO85" i="4"/>
  <c r="AP85" i="4"/>
  <c r="AQ85" i="4"/>
  <c r="AR85" i="4"/>
  <c r="AO86" i="4"/>
  <c r="AP86" i="4"/>
  <c r="AQ86" i="4"/>
  <c r="AR86" i="4"/>
  <c r="AN79" i="4"/>
  <c r="AN80" i="4"/>
  <c r="AN81" i="4"/>
  <c r="AN82" i="4"/>
  <c r="AN83" i="4"/>
  <c r="AN84" i="4"/>
  <c r="AN85" i="4"/>
  <c r="AN86" i="4"/>
  <c r="AN78" i="4"/>
  <c r="AG91" i="4"/>
  <c r="AG92" i="4"/>
  <c r="AG93" i="4"/>
  <c r="AG94" i="4"/>
  <c r="AG95" i="4"/>
  <c r="AG96" i="4"/>
  <c r="AG97" i="4"/>
  <c r="AG98" i="4"/>
  <c r="AG90" i="4"/>
  <c r="AK79" i="4"/>
  <c r="AK80" i="4"/>
  <c r="AK81" i="4"/>
  <c r="AK82" i="4"/>
  <c r="AK83" i="4"/>
  <c r="AK84" i="4"/>
  <c r="AK85" i="4"/>
  <c r="AK86" i="4"/>
  <c r="AK78" i="4"/>
  <c r="AJ79" i="4"/>
  <c r="AJ80" i="4"/>
  <c r="AJ81" i="4"/>
  <c r="AJ82" i="4"/>
  <c r="AJ83" i="4"/>
  <c r="AJ84" i="4"/>
  <c r="AJ85" i="4"/>
  <c r="AJ86" i="4"/>
  <c r="AJ78" i="4"/>
  <c r="AI79" i="4"/>
  <c r="AI80" i="4"/>
  <c r="AI81" i="4"/>
  <c r="AI82" i="4"/>
  <c r="AI83" i="4"/>
  <c r="AI84" i="4"/>
  <c r="AI85" i="4"/>
  <c r="AI86" i="4"/>
  <c r="AI78" i="4"/>
  <c r="AH79" i="4"/>
  <c r="AH80" i="4"/>
  <c r="AH81" i="4"/>
  <c r="AH82" i="4"/>
  <c r="AH83" i="4"/>
  <c r="AH84" i="4"/>
  <c r="AH85" i="4"/>
  <c r="AH86" i="4"/>
  <c r="AH78" i="4"/>
  <c r="AG79" i="4"/>
  <c r="AG80" i="4"/>
  <c r="AG81" i="4"/>
  <c r="AG82" i="4"/>
  <c r="AG83" i="4"/>
  <c r="AG84" i="4"/>
  <c r="AG85" i="4"/>
  <c r="AG86" i="4"/>
  <c r="BD70" i="4"/>
  <c r="BD71" i="4"/>
  <c r="BD72" i="4"/>
  <c r="BD73" i="4"/>
  <c r="BD69" i="4"/>
  <c r="BC70" i="4"/>
  <c r="BC71" i="4"/>
  <c r="BC72" i="4"/>
  <c r="BC73" i="4"/>
  <c r="BC69" i="4"/>
  <c r="BB70" i="4"/>
  <c r="BB71" i="4"/>
  <c r="BB72" i="4"/>
  <c r="BB73" i="4"/>
  <c r="BB69" i="4"/>
  <c r="BA70" i="4"/>
  <c r="BA71" i="4"/>
  <c r="BA72" i="4"/>
  <c r="BA73" i="4"/>
  <c r="BA69" i="4"/>
  <c r="BE62" i="4"/>
  <c r="BE63" i="4"/>
  <c r="BE64" i="4"/>
  <c r="BE65" i="4"/>
  <c r="BE61" i="4"/>
  <c r="BD62" i="4"/>
  <c r="BD63" i="4"/>
  <c r="BD64" i="4"/>
  <c r="BD65" i="4"/>
  <c r="BD61" i="4"/>
  <c r="BC62" i="4"/>
  <c r="BC63" i="4"/>
  <c r="BC64" i="4"/>
  <c r="BC65" i="4"/>
  <c r="BC61" i="4"/>
  <c r="BB62" i="4"/>
  <c r="BB63" i="4"/>
  <c r="BB64" i="4"/>
  <c r="BB65" i="4"/>
  <c r="BB61" i="4"/>
  <c r="BA65" i="4"/>
  <c r="BA62" i="4"/>
  <c r="BA63" i="4"/>
  <c r="BA64" i="4"/>
  <c r="BA61" i="4"/>
  <c r="AH50" i="4"/>
  <c r="AH51" i="4"/>
  <c r="AH52" i="4"/>
  <c r="AH53" i="4"/>
  <c r="AH54" i="4"/>
  <c r="AH49" i="4"/>
  <c r="AG50" i="4"/>
  <c r="AG51" i="4"/>
  <c r="AG52" i="4"/>
  <c r="AG53" i="4"/>
  <c r="AG54" i="4"/>
  <c r="AK38" i="4"/>
  <c r="AK39" i="4"/>
  <c r="AK40" i="4"/>
  <c r="AK41" i="4"/>
  <c r="AX41" i="4" s="1"/>
  <c r="AK42" i="4"/>
  <c r="AK43" i="4"/>
  <c r="AK44" i="4"/>
  <c r="AK45" i="4"/>
  <c r="AX45" i="4" s="1"/>
  <c r="AK46" i="4"/>
  <c r="AK37" i="4"/>
  <c r="AJ38" i="4"/>
  <c r="AJ39" i="4"/>
  <c r="AJ40" i="4"/>
  <c r="AJ41" i="4"/>
  <c r="AJ42" i="4"/>
  <c r="AJ43" i="4"/>
  <c r="AW43" i="4" s="1"/>
  <c r="AJ44" i="4"/>
  <c r="AW44" i="4" s="1"/>
  <c r="AJ45" i="4"/>
  <c r="AJ46" i="4"/>
  <c r="AJ37" i="4"/>
  <c r="AW37" i="4" s="1"/>
  <c r="AI38" i="4"/>
  <c r="AI39" i="4"/>
  <c r="AI40" i="4"/>
  <c r="AI41" i="4"/>
  <c r="AV41" i="4" s="1"/>
  <c r="AI42" i="4"/>
  <c r="AI43" i="4"/>
  <c r="AI44" i="4"/>
  <c r="AI45" i="4"/>
  <c r="AV45" i="4" s="1"/>
  <c r="AI46" i="4"/>
  <c r="AI37" i="4"/>
  <c r="AH38" i="4"/>
  <c r="AH39" i="4"/>
  <c r="AH40" i="4"/>
  <c r="AH41" i="4"/>
  <c r="AH42" i="4"/>
  <c r="AH43" i="4"/>
  <c r="AH44" i="4"/>
  <c r="AU44" i="4" s="1"/>
  <c r="AH45" i="4"/>
  <c r="AH46" i="4"/>
  <c r="AH37" i="4"/>
  <c r="AG38" i="4"/>
  <c r="AG39" i="4"/>
  <c r="AG40" i="4"/>
  <c r="AG41" i="4"/>
  <c r="AT41" i="4" s="1"/>
  <c r="AG42" i="4"/>
  <c r="AG43" i="4"/>
  <c r="AG44" i="4"/>
  <c r="AT44" i="4" s="1"/>
  <c r="AG45" i="4"/>
  <c r="AG46" i="4"/>
  <c r="AG37" i="4"/>
  <c r="AH8" i="4"/>
  <c r="AH9" i="4"/>
  <c r="AU9" i="4" s="1"/>
  <c r="AH10" i="4"/>
  <c r="AU10" i="4" s="1"/>
  <c r="AH11" i="4"/>
  <c r="AH12" i="4"/>
  <c r="AH13" i="4"/>
  <c r="AU13" i="4" s="1"/>
  <c r="AH14" i="4"/>
  <c r="AU14" i="4" s="1"/>
  <c r="AH15" i="4"/>
  <c r="AH16" i="4"/>
  <c r="AH17" i="4"/>
  <c r="AU17" i="4" s="1"/>
  <c r="AH7" i="4"/>
  <c r="AU7" i="4" s="1"/>
  <c r="AG8" i="4"/>
  <c r="AG9" i="4"/>
  <c r="AG10" i="4"/>
  <c r="AT10" i="4" s="1"/>
  <c r="AG11" i="4"/>
  <c r="AG12" i="4"/>
  <c r="AG13" i="4"/>
  <c r="AG14" i="4"/>
  <c r="AT14" i="4" s="1"/>
  <c r="AG15" i="4"/>
  <c r="AT15" i="4" s="1"/>
  <c r="AG16" i="4"/>
  <c r="AG17" i="4"/>
  <c r="AI7" i="4"/>
  <c r="BH7" i="4" s="1"/>
  <c r="AJ7" i="4"/>
  <c r="AK7" i="4"/>
  <c r="AI8" i="4"/>
  <c r="AJ8" i="4"/>
  <c r="AW8" i="4" s="1"/>
  <c r="AK8" i="4"/>
  <c r="AI9" i="4"/>
  <c r="AJ9" i="4"/>
  <c r="AW9" i="4" s="1"/>
  <c r="AK9" i="4"/>
  <c r="AI10" i="4"/>
  <c r="AJ10" i="4"/>
  <c r="AK10" i="4"/>
  <c r="AI11" i="4"/>
  <c r="AV11" i="4" s="1"/>
  <c r="AJ11" i="4"/>
  <c r="AW11" i="4" s="1"/>
  <c r="AK11" i="4"/>
  <c r="AX11" i="4" s="1"/>
  <c r="AI12" i="4"/>
  <c r="AJ12" i="4"/>
  <c r="AW12" i="4" s="1"/>
  <c r="AK12" i="4"/>
  <c r="AI13" i="4"/>
  <c r="AJ13" i="4"/>
  <c r="AK13" i="4"/>
  <c r="AX13" i="4" s="1"/>
  <c r="AI14" i="4"/>
  <c r="AJ14" i="4"/>
  <c r="AK14" i="4"/>
  <c r="AI15" i="4"/>
  <c r="AV15" i="4" s="1"/>
  <c r="AJ15" i="4"/>
  <c r="AK15" i="4"/>
  <c r="AI16" i="4"/>
  <c r="AV16" i="4" s="1"/>
  <c r="AJ16" i="4"/>
  <c r="AW16" i="4" s="1"/>
  <c r="AK16" i="4"/>
  <c r="AI17" i="4"/>
  <c r="AJ17" i="4"/>
  <c r="AK17" i="4"/>
  <c r="BP69" i="4"/>
  <c r="BQ69" i="4"/>
  <c r="BR69" i="4"/>
  <c r="BP70" i="4"/>
  <c r="BQ70" i="4"/>
  <c r="BR70" i="4"/>
  <c r="BP71" i="4"/>
  <c r="BQ71" i="4"/>
  <c r="BR71" i="4"/>
  <c r="BP72" i="4"/>
  <c r="BQ72" i="4"/>
  <c r="BR72" i="4"/>
  <c r="BP73" i="4"/>
  <c r="BQ73" i="4"/>
  <c r="BR73" i="4"/>
  <c r="BO70" i="4"/>
  <c r="BO71" i="4"/>
  <c r="BO72" i="4"/>
  <c r="BO73" i="4"/>
  <c r="BO69" i="4"/>
  <c r="BP61" i="4"/>
  <c r="BQ61" i="4"/>
  <c r="BR61" i="4"/>
  <c r="BS61" i="4"/>
  <c r="BP62" i="4"/>
  <c r="BQ62" i="4"/>
  <c r="BR62" i="4"/>
  <c r="BS62" i="4"/>
  <c r="BP63" i="4"/>
  <c r="BQ63" i="4"/>
  <c r="BR63" i="4"/>
  <c r="BS63" i="4"/>
  <c r="BP64" i="4"/>
  <c r="BQ64" i="4"/>
  <c r="BR64" i="4"/>
  <c r="BS64" i="4"/>
  <c r="BP65" i="4"/>
  <c r="BQ65" i="4"/>
  <c r="BR65" i="4"/>
  <c r="BS65" i="4"/>
  <c r="BO62" i="4"/>
  <c r="BO63" i="4"/>
  <c r="BO64" i="4"/>
  <c r="BO65" i="4"/>
  <c r="BO61" i="4"/>
  <c r="BI73" i="4"/>
  <c r="BJ73" i="4"/>
  <c r="BK73" i="4"/>
  <c r="BH73" i="4"/>
  <c r="AU49" i="4"/>
  <c r="AU50" i="4"/>
  <c r="AO54" i="4"/>
  <c r="AP54" i="4"/>
  <c r="AQ54" i="4"/>
  <c r="AT51" i="4"/>
  <c r="AN54" i="4"/>
  <c r="AW38" i="4"/>
  <c r="AV39" i="4"/>
  <c r="AW39" i="4"/>
  <c r="AX40" i="4"/>
  <c r="AW41" i="4"/>
  <c r="AV42" i="4"/>
  <c r="AW42" i="4"/>
  <c r="AX42" i="4"/>
  <c r="AV43" i="4"/>
  <c r="AX43" i="4"/>
  <c r="AO46" i="4"/>
  <c r="AP46" i="4"/>
  <c r="AQ46" i="4"/>
  <c r="AW46" i="4" s="1"/>
  <c r="AR46" i="4"/>
  <c r="AT38" i="4"/>
  <c r="AT40" i="4"/>
  <c r="AN46" i="4"/>
  <c r="AT37" i="4"/>
  <c r="BA49" i="4"/>
  <c r="BB49" i="4"/>
  <c r="BC49" i="4"/>
  <c r="BA50" i="4"/>
  <c r="BB50" i="4"/>
  <c r="BC50" i="4"/>
  <c r="BA51" i="4"/>
  <c r="BB51" i="4"/>
  <c r="BC51" i="4"/>
  <c r="BA52" i="4"/>
  <c r="BB52" i="4"/>
  <c r="BC52" i="4"/>
  <c r="BA53" i="4"/>
  <c r="BB53" i="4"/>
  <c r="BC53" i="4"/>
  <c r="BA54" i="4"/>
  <c r="BB54" i="4"/>
  <c r="BC54" i="4"/>
  <c r="AZ50" i="4"/>
  <c r="AZ51" i="4"/>
  <c r="AZ52" i="4"/>
  <c r="AZ53" i="4"/>
  <c r="AZ54" i="4"/>
  <c r="AZ49" i="4"/>
  <c r="AZ38" i="4"/>
  <c r="BA38" i="4"/>
  <c r="BG38" i="4" s="1"/>
  <c r="BB38" i="4"/>
  <c r="BC38" i="4"/>
  <c r="BD38" i="4"/>
  <c r="AZ39" i="4"/>
  <c r="BA39" i="4"/>
  <c r="BB39" i="4"/>
  <c r="BC39" i="4"/>
  <c r="BD39" i="4"/>
  <c r="BJ39" i="4" s="1"/>
  <c r="AZ40" i="4"/>
  <c r="BA40" i="4"/>
  <c r="BB40" i="4"/>
  <c r="BC40" i="4"/>
  <c r="BD40" i="4"/>
  <c r="BJ40" i="4" s="1"/>
  <c r="AZ41" i="4"/>
  <c r="BA41" i="4"/>
  <c r="BG41" i="4" s="1"/>
  <c r="BB41" i="4"/>
  <c r="BC41" i="4"/>
  <c r="BD41" i="4"/>
  <c r="AZ42" i="4"/>
  <c r="BA42" i="4"/>
  <c r="BB42" i="4"/>
  <c r="BC42" i="4"/>
  <c r="BD42" i="4"/>
  <c r="AZ43" i="4"/>
  <c r="BA43" i="4"/>
  <c r="BB43" i="4"/>
  <c r="BC43" i="4"/>
  <c r="BD43" i="4"/>
  <c r="AZ44" i="4"/>
  <c r="BA44" i="4"/>
  <c r="BB44" i="4"/>
  <c r="BC44" i="4"/>
  <c r="BI44" i="4" s="1"/>
  <c r="BD44" i="4"/>
  <c r="AZ45" i="4"/>
  <c r="BA45" i="4"/>
  <c r="BB45" i="4"/>
  <c r="BC45" i="4"/>
  <c r="BD45" i="4"/>
  <c r="AZ46" i="4"/>
  <c r="BA46" i="4"/>
  <c r="BG46" i="4" s="1"/>
  <c r="BB46" i="4"/>
  <c r="BC46" i="4"/>
  <c r="BD46" i="4"/>
  <c r="BA37" i="4"/>
  <c r="BB37" i="4"/>
  <c r="BC37" i="4"/>
  <c r="BD37" i="4"/>
  <c r="AZ37" i="4"/>
  <c r="BF37" i="4" s="1"/>
  <c r="AN146" i="4"/>
  <c r="AT146" i="4" s="1"/>
  <c r="AN147" i="4"/>
  <c r="AT147" i="4" s="1"/>
  <c r="AN148" i="4"/>
  <c r="AT148" i="4" s="1"/>
  <c r="AN145" i="4"/>
  <c r="AT145" i="4" s="1"/>
  <c r="AO145" i="4"/>
  <c r="AU145" i="4" s="1"/>
  <c r="AP145" i="4"/>
  <c r="AQ145" i="4"/>
  <c r="AR145" i="4"/>
  <c r="AO146" i="4"/>
  <c r="AP146" i="4"/>
  <c r="AQ146" i="4"/>
  <c r="AR146" i="4"/>
  <c r="AO147" i="4"/>
  <c r="AU147" i="4" s="1"/>
  <c r="AP147" i="4"/>
  <c r="AQ147" i="4"/>
  <c r="AR147" i="4"/>
  <c r="AO148" i="4"/>
  <c r="AU148" i="4" s="1"/>
  <c r="AP148" i="4"/>
  <c r="AV147" i="4" s="1"/>
  <c r="AQ148" i="4"/>
  <c r="AR148" i="4"/>
  <c r="AO149" i="4"/>
  <c r="AP149" i="4"/>
  <c r="AV148" i="4" s="1"/>
  <c r="AQ149" i="4"/>
  <c r="AR149" i="4"/>
  <c r="AO150" i="4"/>
  <c r="AP150" i="4"/>
  <c r="AV149" i="4" s="1"/>
  <c r="AQ150" i="4"/>
  <c r="AR150" i="4"/>
  <c r="AO151" i="4"/>
  <c r="AU151" i="4" s="1"/>
  <c r="AP151" i="4"/>
  <c r="AV150" i="4" s="1"/>
  <c r="AQ151" i="4"/>
  <c r="AR151" i="4"/>
  <c r="AO152" i="4"/>
  <c r="AU152" i="4" s="1"/>
  <c r="AP152" i="4"/>
  <c r="AV151" i="4" s="1"/>
  <c r="AQ152" i="4"/>
  <c r="AR152" i="4"/>
  <c r="AO153" i="4"/>
  <c r="AU153" i="4" s="1"/>
  <c r="AP153" i="4"/>
  <c r="AV152" i="4" s="1"/>
  <c r="AQ153" i="4"/>
  <c r="AR153" i="4"/>
  <c r="AN149" i="4"/>
  <c r="AT149" i="4" s="1"/>
  <c r="AN150" i="4"/>
  <c r="AN151" i="4"/>
  <c r="AN152" i="4"/>
  <c r="AN153" i="4"/>
  <c r="BA145" i="4"/>
  <c r="BG145" i="4" s="1"/>
  <c r="BB145" i="4"/>
  <c r="BC145" i="4"/>
  <c r="BD145" i="4"/>
  <c r="BH147" i="4"/>
  <c r="BA148" i="4"/>
  <c r="BG148" i="4" s="1"/>
  <c r="BB148" i="4"/>
  <c r="BH148" i="4" s="1"/>
  <c r="BC148" i="4"/>
  <c r="BD148" i="4"/>
  <c r="BA149" i="4"/>
  <c r="BG149" i="4" s="1"/>
  <c r="BB149" i="4"/>
  <c r="BH149" i="4" s="1"/>
  <c r="BC149" i="4"/>
  <c r="BD149" i="4"/>
  <c r="BA150" i="4"/>
  <c r="BB150" i="4"/>
  <c r="BH150" i="4" s="1"/>
  <c r="BC150" i="4"/>
  <c r="BD150" i="4"/>
  <c r="BA151" i="4"/>
  <c r="BG151" i="4"/>
  <c r="BB151" i="4"/>
  <c r="BH151" i="4"/>
  <c r="BC151" i="4"/>
  <c r="BD151" i="4"/>
  <c r="BA152" i="4"/>
  <c r="BG152" i="4" s="1"/>
  <c r="BB152" i="4"/>
  <c r="BH152" i="4" s="1"/>
  <c r="BC152" i="4"/>
  <c r="BD152" i="4"/>
  <c r="BA153" i="4"/>
  <c r="BB153" i="4"/>
  <c r="BH153" i="4" s="1"/>
  <c r="BC153" i="4"/>
  <c r="BD153" i="4"/>
  <c r="BF147" i="4"/>
  <c r="AZ148" i="4"/>
  <c r="AZ149" i="4"/>
  <c r="BF149" i="4" s="1"/>
  <c r="AZ150" i="4"/>
  <c r="BF150" i="4" s="1"/>
  <c r="AZ151" i="4"/>
  <c r="AZ152" i="4"/>
  <c r="AZ153" i="4"/>
  <c r="AZ145" i="4"/>
  <c r="BU6" i="7"/>
  <c r="BU7" i="7"/>
  <c r="BU8" i="7"/>
  <c r="BU9" i="7"/>
  <c r="BU10" i="7"/>
  <c r="BU11" i="7"/>
  <c r="BU12" i="7"/>
  <c r="BU13" i="7"/>
  <c r="BU14" i="7"/>
  <c r="BU15" i="7"/>
  <c r="BU16" i="7"/>
  <c r="BU17" i="7"/>
  <c r="BU18" i="7"/>
  <c r="BU19" i="7"/>
  <c r="BU20" i="7"/>
  <c r="BV27" i="7"/>
  <c r="BV28" i="7"/>
  <c r="BV29" i="7"/>
  <c r="BV30" i="7"/>
  <c r="BV31" i="7"/>
  <c r="BO32" i="7"/>
  <c r="BV32" i="7"/>
  <c r="BV33" i="7"/>
  <c r="BV34" i="7"/>
  <c r="BV35" i="7"/>
  <c r="BV36" i="7"/>
  <c r="BV37" i="7"/>
  <c r="BV38" i="7"/>
  <c r="C39" i="7"/>
  <c r="G39" i="7"/>
  <c r="K39" i="7"/>
  <c r="K40" i="7" s="1"/>
  <c r="L39" i="7"/>
  <c r="O39" i="7"/>
  <c r="O40" i="7" s="1"/>
  <c r="P39" i="7"/>
  <c r="P40" i="7" s="1"/>
  <c r="S39" i="7"/>
  <c r="S40" i="7" s="1"/>
  <c r="T39" i="7"/>
  <c r="W39" i="7"/>
  <c r="X39" i="7"/>
  <c r="X40" i="7" s="1"/>
  <c r="AA39" i="7"/>
  <c r="AA40" i="7" s="1"/>
  <c r="AB39" i="7"/>
  <c r="AE39" i="7"/>
  <c r="AE40" i="7" s="1"/>
  <c r="AF39" i="7"/>
  <c r="AF40" i="7" s="1"/>
  <c r="BT33" i="7" s="1"/>
  <c r="BU33" i="7" s="1"/>
  <c r="AI39" i="7"/>
  <c r="AI40" i="7" s="1"/>
  <c r="AJ39" i="7"/>
  <c r="AJ40" i="7" s="1"/>
  <c r="AM39" i="7"/>
  <c r="AM40" i="7" s="1"/>
  <c r="AN39" i="7"/>
  <c r="AN40" i="7" s="1"/>
  <c r="AQ39" i="7"/>
  <c r="AQ40" i="7" s="1"/>
  <c r="AR39" i="7"/>
  <c r="AR40" i="7" s="1"/>
  <c r="AU39" i="7"/>
  <c r="AU40" i="7" s="1"/>
  <c r="AV39" i="7"/>
  <c r="AV40" i="7" s="1"/>
  <c r="BT37" i="7" s="1"/>
  <c r="BU37" i="7" s="1"/>
  <c r="AY39" i="7"/>
  <c r="AY40" i="7"/>
  <c r="AZ39" i="7"/>
  <c r="BC39" i="7"/>
  <c r="BC40" i="7" s="1"/>
  <c r="BD39" i="7"/>
  <c r="BD40" i="7" s="1"/>
  <c r="BG39" i="7"/>
  <c r="BG40" i="7" s="1"/>
  <c r="BH39" i="7"/>
  <c r="BV39" i="7"/>
  <c r="C40" i="7"/>
  <c r="BT19" i="7" s="1"/>
  <c r="G40" i="7"/>
  <c r="BT7" i="7" s="1"/>
  <c r="L40" i="7"/>
  <c r="T40" i="7"/>
  <c r="W40" i="7"/>
  <c r="AB40" i="7"/>
  <c r="AZ40" i="7"/>
  <c r="BT38" i="7" s="1"/>
  <c r="BU38" i="7" s="1"/>
  <c r="BH40" i="7"/>
  <c r="BV40" i="7"/>
  <c r="C41" i="7"/>
  <c r="C42" i="7" s="1"/>
  <c r="G41" i="7"/>
  <c r="G42" i="7" s="1"/>
  <c r="BW28" i="7" s="1"/>
  <c r="L41" i="7"/>
  <c r="L42" i="7" s="1"/>
  <c r="P41" i="7"/>
  <c r="P42" i="7" s="1"/>
  <c r="T41" i="7"/>
  <c r="T42" i="7" s="1"/>
  <c r="X41" i="7"/>
  <c r="X42" i="7" s="1"/>
  <c r="AB41" i="7"/>
  <c r="AB42" i="7" s="1"/>
  <c r="AF41" i="7"/>
  <c r="AF42" i="7" s="1"/>
  <c r="AJ41" i="7"/>
  <c r="AJ42" i="7" s="1"/>
  <c r="AN41" i="7"/>
  <c r="AN42" i="7" s="1"/>
  <c r="AR41" i="7"/>
  <c r="AR42" i="7" s="1"/>
  <c r="AV41" i="7"/>
  <c r="AV42" i="7" s="1"/>
  <c r="AZ41" i="7"/>
  <c r="AZ42" i="7" s="1"/>
  <c r="BD41" i="7"/>
  <c r="BD42" i="7" s="1"/>
  <c r="BV43" i="7"/>
  <c r="BU47" i="7"/>
  <c r="BU48" i="7"/>
  <c r="BU49" i="7"/>
  <c r="BO50" i="7"/>
  <c r="BU50" i="7"/>
  <c r="BO51" i="7"/>
  <c r="BU51" i="7"/>
  <c r="BO52" i="7"/>
  <c r="BU52" i="7"/>
  <c r="BO53" i="7"/>
  <c r="BU53" i="7"/>
  <c r="BO54" i="7"/>
  <c r="BU54" i="7"/>
  <c r="BO55" i="7"/>
  <c r="BU55" i="7"/>
  <c r="BO56" i="7"/>
  <c r="BU56" i="7"/>
  <c r="BO57" i="7"/>
  <c r="BU57" i="7"/>
  <c r="BO58" i="7"/>
  <c r="BU58" i="7"/>
  <c r="BO59" i="7"/>
  <c r="BU59" i="7"/>
  <c r="BO60" i="7"/>
  <c r="BU60" i="7"/>
  <c r="BO61" i="7"/>
  <c r="BU61" i="7"/>
  <c r="BL62" i="7"/>
  <c r="BY67" i="7"/>
  <c r="BY68" i="7"/>
  <c r="BY69" i="7"/>
  <c r="BY70" i="7"/>
  <c r="BY71" i="7"/>
  <c r="BY72" i="7"/>
  <c r="BY73" i="7"/>
  <c r="BY74" i="7"/>
  <c r="AQ75" i="7"/>
  <c r="AR75" i="7"/>
  <c r="AS75" i="7"/>
  <c r="BY75" i="7"/>
  <c r="BY76" i="7"/>
  <c r="BY77" i="7"/>
  <c r="BY78" i="7"/>
  <c r="BY79" i="7"/>
  <c r="C80" i="7"/>
  <c r="C81" i="7" s="1"/>
  <c r="D80" i="7"/>
  <c r="D81" i="7" s="1"/>
  <c r="G80" i="7"/>
  <c r="G81" i="7" s="1"/>
  <c r="BT50" i="7" s="1"/>
  <c r="H80" i="7"/>
  <c r="K80" i="7"/>
  <c r="L80" i="7"/>
  <c r="L81" i="7" s="1"/>
  <c r="M80" i="7"/>
  <c r="M81" i="7" s="1"/>
  <c r="O80" i="7"/>
  <c r="O81" i="7" s="1"/>
  <c r="P80" i="7"/>
  <c r="Q80" i="7"/>
  <c r="Q81" i="7" s="1"/>
  <c r="S80" i="7"/>
  <c r="T80" i="7"/>
  <c r="T81" i="7" s="1"/>
  <c r="U80" i="7"/>
  <c r="U81" i="7" s="1"/>
  <c r="W80" i="7"/>
  <c r="W81" i="7"/>
  <c r="X80" i="7"/>
  <c r="Y80" i="7"/>
  <c r="Y81" i="7" s="1"/>
  <c r="AA80" i="7"/>
  <c r="BW71" i="7" s="1"/>
  <c r="AB80" i="7"/>
  <c r="AB81" i="7" s="1"/>
  <c r="AC80" i="7"/>
  <c r="AC81" i="7" s="1"/>
  <c r="AE80" i="7"/>
  <c r="BW72" i="7" s="1"/>
  <c r="AF80" i="7"/>
  <c r="AF81" i="7" s="1"/>
  <c r="AG80" i="7"/>
  <c r="AG81" i="7" s="1"/>
  <c r="AI80" i="7"/>
  <c r="AJ80" i="7"/>
  <c r="AJ81" i="7" s="1"/>
  <c r="AK80" i="7"/>
  <c r="AK81" i="7" s="1"/>
  <c r="AM80" i="7"/>
  <c r="AM81" i="7" s="1"/>
  <c r="AN80" i="7"/>
  <c r="AN81" i="7" s="1"/>
  <c r="AO80" i="7"/>
  <c r="AO81" i="7" s="1"/>
  <c r="AQ80" i="7"/>
  <c r="AR80" i="7"/>
  <c r="AR81" i="7" s="1"/>
  <c r="AS80" i="7"/>
  <c r="AU80" i="7"/>
  <c r="BW76" i="7" s="1"/>
  <c r="AV80" i="7"/>
  <c r="AV81" i="7" s="1"/>
  <c r="AW80" i="7"/>
  <c r="AW81" i="7"/>
  <c r="AY80" i="7"/>
  <c r="BW77" i="7" s="1"/>
  <c r="AZ80" i="7"/>
  <c r="AZ81" i="7" s="1"/>
  <c r="BA80" i="7"/>
  <c r="BC80" i="7"/>
  <c r="BC81" i="7"/>
  <c r="BD80" i="7"/>
  <c r="BD81" i="7" s="1"/>
  <c r="BE80" i="7"/>
  <c r="BE81" i="7" s="1"/>
  <c r="BG80" i="7"/>
  <c r="BG81" i="7" s="1"/>
  <c r="BH80" i="7"/>
  <c r="BH81" i="7"/>
  <c r="BY80" i="7"/>
  <c r="H81" i="7"/>
  <c r="K81" i="7"/>
  <c r="P81" i="7"/>
  <c r="X81" i="7"/>
  <c r="AA81" i="7"/>
  <c r="BT54" i="7" s="1"/>
  <c r="AS81" i="7"/>
  <c r="AY81" i="7"/>
  <c r="BA81" i="7"/>
  <c r="C82" i="7"/>
  <c r="C83" i="7" s="1"/>
  <c r="G82" i="7"/>
  <c r="G83" i="7" s="1"/>
  <c r="BZ68" i="7" s="1"/>
  <c r="CA68" i="7" s="1"/>
  <c r="L82" i="7"/>
  <c r="L83" i="7" s="1"/>
  <c r="P82" i="7"/>
  <c r="P83" i="7" s="1"/>
  <c r="T82" i="7"/>
  <c r="T83" i="7" s="1"/>
  <c r="X82" i="7"/>
  <c r="X83" i="7" s="1"/>
  <c r="AB82" i="7"/>
  <c r="AB83" i="7" s="1"/>
  <c r="AF82" i="7"/>
  <c r="AF83" i="7" s="1"/>
  <c r="AJ82" i="7"/>
  <c r="AJ83" i="7" s="1"/>
  <c r="AN82" i="7"/>
  <c r="AN83" i="7" s="1"/>
  <c r="AR82" i="7"/>
  <c r="AR83" i="7" s="1"/>
  <c r="AV82" i="7"/>
  <c r="AV83" i="7" s="1"/>
  <c r="AZ82" i="7"/>
  <c r="AZ83" i="7" s="1"/>
  <c r="BD82" i="7"/>
  <c r="BD83" i="7" s="1"/>
  <c r="BY85" i="7"/>
  <c r="BU87" i="7"/>
  <c r="BL88" i="7"/>
  <c r="BU88" i="7"/>
  <c r="BL89" i="7"/>
  <c r="BU89" i="7"/>
  <c r="BL90" i="7"/>
  <c r="BO90" i="7"/>
  <c r="BU90" i="7"/>
  <c r="BL91" i="7"/>
  <c r="BO91" i="7"/>
  <c r="BU91" i="7"/>
  <c r="BL92" i="7"/>
  <c r="BO92" i="7"/>
  <c r="BU92" i="7"/>
  <c r="BL93" i="7"/>
  <c r="BO93" i="7"/>
  <c r="BU93" i="7"/>
  <c r="BL94" i="7"/>
  <c r="BO94" i="7"/>
  <c r="BU94" i="7"/>
  <c r="BL95" i="7"/>
  <c r="BO95" i="7"/>
  <c r="BU95" i="7"/>
  <c r="BL96" i="7"/>
  <c r="BO96" i="7"/>
  <c r="BU96" i="7"/>
  <c r="BL97" i="7"/>
  <c r="BO97" i="7"/>
  <c r="BU97" i="7"/>
  <c r="BL98" i="7"/>
  <c r="BO98" i="7"/>
  <c r="BU98" i="7"/>
  <c r="BL99" i="7"/>
  <c r="BO99" i="7"/>
  <c r="BU99" i="7"/>
  <c r="BL100" i="7"/>
  <c r="BO100" i="7"/>
  <c r="BU100" i="7"/>
  <c r="BL101" i="7"/>
  <c r="BO101" i="7"/>
  <c r="BU101" i="7"/>
  <c r="BL102" i="7"/>
  <c r="BO102" i="7"/>
  <c r="BY108" i="7"/>
  <c r="BY109" i="7"/>
  <c r="BY110" i="7"/>
  <c r="BY111" i="7"/>
  <c r="BY112" i="7"/>
  <c r="BY113" i="7"/>
  <c r="BY114" i="7"/>
  <c r="BY115" i="7"/>
  <c r="AM116" i="7"/>
  <c r="AN116" i="7"/>
  <c r="AO116" i="7"/>
  <c r="AQ116" i="7"/>
  <c r="AR116" i="7"/>
  <c r="AS116" i="7"/>
  <c r="BY116" i="7"/>
  <c r="BY117" i="7"/>
  <c r="BY118" i="7"/>
  <c r="BY119" i="7"/>
  <c r="BY120" i="7"/>
  <c r="C121" i="7"/>
  <c r="D121" i="7"/>
  <c r="D122" i="7" s="1"/>
  <c r="G121" i="7"/>
  <c r="G122" i="7" s="1"/>
  <c r="BT88" i="7" s="1"/>
  <c r="BT89" i="7" s="1"/>
  <c r="H121" i="7"/>
  <c r="H122" i="7" s="1"/>
  <c r="K121" i="7"/>
  <c r="K122" i="7" s="1"/>
  <c r="L121" i="7"/>
  <c r="L122" i="7" s="1"/>
  <c r="M121" i="7"/>
  <c r="O121" i="7"/>
  <c r="O122" i="7" s="1"/>
  <c r="P121" i="7"/>
  <c r="Q121" i="7"/>
  <c r="Q122" i="7" s="1"/>
  <c r="S121" i="7"/>
  <c r="BW110" i="7" s="1"/>
  <c r="T121" i="7"/>
  <c r="T122" i="7" s="1"/>
  <c r="U121" i="7"/>
  <c r="U122" i="7" s="1"/>
  <c r="W121" i="7"/>
  <c r="BW111" i="7" s="1"/>
  <c r="X121" i="7"/>
  <c r="Y121" i="7"/>
  <c r="Y122" i="7" s="1"/>
  <c r="AA121" i="7"/>
  <c r="BW112" i="7" s="1"/>
  <c r="AB121" i="7"/>
  <c r="AB122" i="7" s="1"/>
  <c r="AC121" i="7"/>
  <c r="AC122" i="7" s="1"/>
  <c r="AE121" i="7"/>
  <c r="BW113" i="7" s="1"/>
  <c r="AF121" i="7"/>
  <c r="AG121" i="7"/>
  <c r="AG122" i="7" s="1"/>
  <c r="AI121" i="7"/>
  <c r="BW114" i="7" s="1"/>
  <c r="AJ121" i="7"/>
  <c r="AJ122" i="7" s="1"/>
  <c r="AK121" i="7"/>
  <c r="AK122" i="7" s="1"/>
  <c r="AM121" i="7"/>
  <c r="AN121" i="7"/>
  <c r="AO121" i="7"/>
  <c r="AO122" i="7" s="1"/>
  <c r="AQ121" i="7"/>
  <c r="BW116" i="7" s="1"/>
  <c r="AR121" i="7"/>
  <c r="AR122" i="7" s="1"/>
  <c r="AS121" i="7"/>
  <c r="AS122" i="7" s="1"/>
  <c r="AU121" i="7"/>
  <c r="AU122" i="7" s="1"/>
  <c r="AV121" i="7"/>
  <c r="AW121" i="7"/>
  <c r="AW122" i="7" s="1"/>
  <c r="AY121" i="7"/>
  <c r="AY122" i="7" s="1"/>
  <c r="AZ121" i="7"/>
  <c r="AZ122" i="7" s="1"/>
  <c r="BA121" i="7"/>
  <c r="BA122" i="7" s="1"/>
  <c r="BC121" i="7"/>
  <c r="BW119" i="7" s="1"/>
  <c r="BD121" i="7"/>
  <c r="BD122" i="7" s="1"/>
  <c r="BE121" i="7"/>
  <c r="BG121" i="7"/>
  <c r="BG122" i="7" s="1"/>
  <c r="BH121" i="7"/>
  <c r="BY121" i="7"/>
  <c r="C122" i="7"/>
  <c r="M122" i="7"/>
  <c r="P122" i="7"/>
  <c r="X122" i="7"/>
  <c r="AE122" i="7"/>
  <c r="AF122" i="7"/>
  <c r="AN122" i="7"/>
  <c r="AV122" i="7"/>
  <c r="BC122" i="7"/>
  <c r="BE122" i="7"/>
  <c r="BH122" i="7"/>
  <c r="C123" i="7"/>
  <c r="C124" i="7" s="1"/>
  <c r="G123" i="7"/>
  <c r="L123" i="7"/>
  <c r="L124" i="7" s="1"/>
  <c r="P123" i="7"/>
  <c r="P124" i="7"/>
  <c r="T123" i="7"/>
  <c r="T124" i="7"/>
  <c r="X123" i="7"/>
  <c r="AB123" i="7"/>
  <c r="AB124" i="7" s="1"/>
  <c r="AF123" i="7"/>
  <c r="AF124" i="7" s="1"/>
  <c r="AJ123" i="7"/>
  <c r="AJ124" i="7" s="1"/>
  <c r="AN123" i="7"/>
  <c r="AN124" i="7" s="1"/>
  <c r="AR123" i="7"/>
  <c r="AR124" i="7" s="1"/>
  <c r="AV123" i="7"/>
  <c r="AV124" i="7" s="1"/>
  <c r="AZ123" i="7"/>
  <c r="AZ124" i="7" s="1"/>
  <c r="BD123" i="7"/>
  <c r="G124" i="7"/>
  <c r="BZ109" i="7" s="1"/>
  <c r="CA109" i="7" s="1"/>
  <c r="X124" i="7"/>
  <c r="BD124" i="7"/>
  <c r="BY126" i="7"/>
  <c r="BF15" i="8"/>
  <c r="C39" i="8"/>
  <c r="G39" i="8"/>
  <c r="K39" i="8"/>
  <c r="O39" i="8"/>
  <c r="S39" i="8"/>
  <c r="T39" i="8"/>
  <c r="T40" i="8" s="1"/>
  <c r="BE30" i="8" s="1"/>
  <c r="W39" i="8"/>
  <c r="X39" i="8"/>
  <c r="X40" i="8" s="1"/>
  <c r="AA39" i="8"/>
  <c r="AB39" i="8"/>
  <c r="AB40" i="8" s="1"/>
  <c r="AE39" i="8"/>
  <c r="AE40" i="8" s="1"/>
  <c r="BE19" i="8" s="1"/>
  <c r="BF19" i="8" s="1"/>
  <c r="AF39" i="8"/>
  <c r="AF40" i="8" s="1"/>
  <c r="AI39" i="8"/>
  <c r="AJ39" i="8"/>
  <c r="AJ40" i="8" s="1"/>
  <c r="AM39" i="8"/>
  <c r="AN39" i="8"/>
  <c r="AN40" i="8" s="1"/>
  <c r="C40" i="8"/>
  <c r="BF11" i="8" s="1"/>
  <c r="G40" i="8"/>
  <c r="K40" i="8"/>
  <c r="O40" i="8"/>
  <c r="S40" i="8"/>
  <c r="BE16" i="8"/>
  <c r="W40" i="8"/>
  <c r="BE17" i="8"/>
  <c r="AA40" i="8"/>
  <c r="BE18" i="8" s="1"/>
  <c r="AI40" i="8"/>
  <c r="BE20" i="8" s="1"/>
  <c r="AM40" i="8"/>
  <c r="C41" i="8"/>
  <c r="C42" i="8" s="1"/>
  <c r="G41" i="8"/>
  <c r="G42" i="8" s="1"/>
  <c r="BD28" i="8" s="1"/>
  <c r="BG28" i="8" s="1"/>
  <c r="K41" i="8"/>
  <c r="K42" i="8" s="1"/>
  <c r="O41" i="8"/>
  <c r="O42" i="8" s="1"/>
  <c r="T41" i="8"/>
  <c r="X41" i="8"/>
  <c r="X42" i="8" s="1"/>
  <c r="AB41" i="8"/>
  <c r="AB42" i="8" s="1"/>
  <c r="AF41" i="8"/>
  <c r="AF42" i="8" s="1"/>
  <c r="AJ41" i="8"/>
  <c r="AJ42" i="8" s="1"/>
  <c r="AN41" i="8"/>
  <c r="AN42" i="8" s="1"/>
  <c r="T42" i="8"/>
  <c r="C79" i="8"/>
  <c r="C80" i="8"/>
  <c r="D79" i="8"/>
  <c r="D80" i="8" s="1"/>
  <c r="BA49" i="8" s="1"/>
  <c r="G79" i="8"/>
  <c r="G80" i="8" s="1"/>
  <c r="H79" i="8"/>
  <c r="H80" i="8" s="1"/>
  <c r="BA50" i="8" s="1"/>
  <c r="K79" i="8"/>
  <c r="K80" i="8" s="1"/>
  <c r="BD65" i="8" s="1"/>
  <c r="BE65" i="8" s="1"/>
  <c r="L79" i="8"/>
  <c r="L80" i="8" s="1"/>
  <c r="BA51" i="8" s="1"/>
  <c r="BB51" i="8" s="1"/>
  <c r="O79" i="8"/>
  <c r="O80" i="8"/>
  <c r="P79" i="8"/>
  <c r="P80" i="8" s="1"/>
  <c r="S79" i="8"/>
  <c r="S80" i="8" s="1"/>
  <c r="T79" i="8"/>
  <c r="T80" i="8" s="1"/>
  <c r="U79" i="8"/>
  <c r="U80" i="8" s="1"/>
  <c r="W79" i="8"/>
  <c r="W80" i="8" s="1"/>
  <c r="BA55" i="8" s="1"/>
  <c r="BB55" i="8" s="1"/>
  <c r="X79" i="8"/>
  <c r="X80" i="8" s="1"/>
  <c r="Y79" i="8"/>
  <c r="Y80" i="8" s="1"/>
  <c r="AA79" i="8"/>
  <c r="AA80" i="8" s="1"/>
  <c r="AB79" i="8"/>
  <c r="AB80" i="8" s="1"/>
  <c r="AC79" i="8"/>
  <c r="AC80" i="8" s="1"/>
  <c r="AE79" i="8"/>
  <c r="AE80" i="8" s="1"/>
  <c r="AF79" i="8"/>
  <c r="AG79" i="8"/>
  <c r="AG80" i="8" s="1"/>
  <c r="AI79" i="8"/>
  <c r="AI80" i="8" s="1"/>
  <c r="BD71" i="8" s="1"/>
  <c r="BE71" i="8" s="1"/>
  <c r="AJ79" i="8"/>
  <c r="AJ80" i="8"/>
  <c r="AK79" i="8"/>
  <c r="AK80" i="8"/>
  <c r="AM79" i="8"/>
  <c r="AM80" i="8" s="1"/>
  <c r="AN79" i="8"/>
  <c r="AN80" i="8" s="1"/>
  <c r="AO79" i="8"/>
  <c r="AO80" i="8" s="1"/>
  <c r="AF80" i="8"/>
  <c r="C81" i="8"/>
  <c r="C82" i="8" s="1"/>
  <c r="G81" i="8"/>
  <c r="G82" i="8" s="1"/>
  <c r="BF65" i="8" s="1"/>
  <c r="BG65" i="8" s="1"/>
  <c r="K81" i="8"/>
  <c r="K82" i="8" s="1"/>
  <c r="O81" i="8"/>
  <c r="O82" i="8" s="1"/>
  <c r="T81" i="8"/>
  <c r="T82" i="8"/>
  <c r="X81" i="8"/>
  <c r="X82" i="8" s="1"/>
  <c r="AB81" i="8"/>
  <c r="AB82" i="8" s="1"/>
  <c r="AF81" i="8"/>
  <c r="AF82" i="8" s="1"/>
  <c r="AJ81" i="8"/>
  <c r="AJ82" i="8" s="1"/>
  <c r="AN81" i="8"/>
  <c r="AN82" i="8" s="1"/>
  <c r="AU95" i="8"/>
  <c r="AU96" i="8"/>
  <c r="AU97" i="8"/>
  <c r="AU98" i="8"/>
  <c r="AU99" i="8"/>
  <c r="AU100" i="8"/>
  <c r="C120" i="8"/>
  <c r="C121" i="8" s="1"/>
  <c r="D120" i="8"/>
  <c r="D121" i="8"/>
  <c r="AW86" i="8" s="1"/>
  <c r="G120" i="8"/>
  <c r="G121" i="8" s="1"/>
  <c r="AX87" i="8" s="1"/>
  <c r="H120" i="8"/>
  <c r="H121" i="8" s="1"/>
  <c r="AW87" i="8" s="1"/>
  <c r="K120" i="8"/>
  <c r="K121" i="8" s="1"/>
  <c r="L120" i="8"/>
  <c r="L121" i="8" s="1"/>
  <c r="AW88" i="8" s="1"/>
  <c r="AX88" i="8" s="1"/>
  <c r="O120" i="8"/>
  <c r="P120" i="8"/>
  <c r="P121" i="8" s="1"/>
  <c r="AW89" i="8" s="1"/>
  <c r="S120" i="8"/>
  <c r="S121" i="8"/>
  <c r="T120" i="8"/>
  <c r="T121" i="8" s="1"/>
  <c r="U120" i="8"/>
  <c r="U121" i="8" s="1"/>
  <c r="W120" i="8"/>
  <c r="W121" i="8" s="1"/>
  <c r="X120" i="8"/>
  <c r="X121" i="8" s="1"/>
  <c r="Y120" i="8"/>
  <c r="Y121" i="8" s="1"/>
  <c r="AA120" i="8"/>
  <c r="AB120" i="8"/>
  <c r="AB121" i="8"/>
  <c r="AC120" i="8"/>
  <c r="AC121" i="8" s="1"/>
  <c r="AE120" i="8"/>
  <c r="AE121" i="8" s="1"/>
  <c r="AF120" i="8"/>
  <c r="AF121" i="8" s="1"/>
  <c r="AG120" i="8"/>
  <c r="AG121" i="8" s="1"/>
  <c r="AW94" i="8" s="1"/>
  <c r="AX94" i="8" s="1"/>
  <c r="AI120" i="8"/>
  <c r="AI121" i="8" s="1"/>
  <c r="AW95" i="8" s="1"/>
  <c r="AX95" i="8" s="1"/>
  <c r="AJ120" i="8"/>
  <c r="AJ121" i="8" s="1"/>
  <c r="AK120" i="8"/>
  <c r="AK121" i="8" s="1"/>
  <c r="AM120" i="8"/>
  <c r="AM121" i="8" s="1"/>
  <c r="AN120" i="8"/>
  <c r="AN121" i="8" s="1"/>
  <c r="AO120" i="8"/>
  <c r="AO121" i="8" s="1"/>
  <c r="O121" i="8"/>
  <c r="AA121" i="8"/>
  <c r="AW93" i="8" s="1"/>
  <c r="C122" i="8"/>
  <c r="C123" i="8" s="1"/>
  <c r="G122" i="8"/>
  <c r="G123" i="8" s="1"/>
  <c r="BD89" i="8" s="1"/>
  <c r="K122" i="8"/>
  <c r="K123" i="8" s="1"/>
  <c r="O122" i="8"/>
  <c r="O123" i="8" s="1"/>
  <c r="T122" i="8"/>
  <c r="T123" i="8" s="1"/>
  <c r="X122" i="8"/>
  <c r="X123" i="8" s="1"/>
  <c r="AB122" i="8"/>
  <c r="AB123" i="8" s="1"/>
  <c r="AF122" i="8"/>
  <c r="AF123" i="8" s="1"/>
  <c r="AJ122" i="8"/>
  <c r="AJ123" i="8" s="1"/>
  <c r="AN122" i="8"/>
  <c r="AN123" i="8" s="1"/>
  <c r="BA8" i="6"/>
  <c r="BJ8" i="6"/>
  <c r="M9" i="6"/>
  <c r="Q9" i="6"/>
  <c r="BJ9" i="6"/>
  <c r="BJ10" i="6"/>
  <c r="BJ11" i="6"/>
  <c r="BJ12" i="6"/>
  <c r="BJ13" i="6"/>
  <c r="BJ14" i="6"/>
  <c r="BJ15" i="6"/>
  <c r="BJ16" i="6"/>
  <c r="BJ17" i="6"/>
  <c r="BJ18" i="6"/>
  <c r="BJ19" i="6"/>
  <c r="BJ25" i="6"/>
  <c r="BJ26" i="6"/>
  <c r="BJ27" i="6"/>
  <c r="BJ28" i="6"/>
  <c r="BJ29" i="6"/>
  <c r="BJ30" i="6"/>
  <c r="BJ31" i="6"/>
  <c r="BJ32" i="6"/>
  <c r="BJ33" i="6"/>
  <c r="BJ34" i="6"/>
  <c r="C39" i="6"/>
  <c r="C40" i="6" s="1"/>
  <c r="BI8" i="6" s="1"/>
  <c r="G39" i="6"/>
  <c r="G40" i="6" s="1"/>
  <c r="K39" i="6"/>
  <c r="K40" i="6" s="1"/>
  <c r="L39" i="6"/>
  <c r="L40" i="6" s="1"/>
  <c r="O39" i="6"/>
  <c r="P39" i="6"/>
  <c r="S39" i="6"/>
  <c r="T39" i="6"/>
  <c r="T40" i="6" s="1"/>
  <c r="W39" i="6"/>
  <c r="W40" i="6" s="1"/>
  <c r="BH14" i="6" s="1"/>
  <c r="X39" i="6"/>
  <c r="X40" i="6" s="1"/>
  <c r="AA39" i="6"/>
  <c r="AA40" i="6" s="1"/>
  <c r="AB39" i="6"/>
  <c r="AB40" i="6" s="1"/>
  <c r="AE39" i="6"/>
  <c r="AE40" i="6" s="1"/>
  <c r="BH16" i="6" s="1"/>
  <c r="AF39" i="6"/>
  <c r="AF40" i="6" s="1"/>
  <c r="AI39" i="6"/>
  <c r="AJ39" i="6"/>
  <c r="AJ40" i="6" s="1"/>
  <c r="AM39" i="6"/>
  <c r="AN39" i="6"/>
  <c r="AN40" i="6" s="1"/>
  <c r="AQ39" i="6"/>
  <c r="AQ40" i="6" s="1"/>
  <c r="AR39" i="6"/>
  <c r="AR40" i="6" s="1"/>
  <c r="O40" i="6"/>
  <c r="BH12" i="6" s="1"/>
  <c r="P40" i="6"/>
  <c r="S40" i="6"/>
  <c r="BH13" i="6"/>
  <c r="AI40" i="6"/>
  <c r="BH17" i="6" s="1"/>
  <c r="AM40" i="6"/>
  <c r="BH18" i="6" s="1"/>
  <c r="C41" i="6"/>
  <c r="G41" i="6"/>
  <c r="G42" i="6" s="1"/>
  <c r="BK26" i="6" s="1"/>
  <c r="L41" i="6"/>
  <c r="L42" i="6" s="1"/>
  <c r="P41" i="6"/>
  <c r="P42" i="6" s="1"/>
  <c r="T41" i="6"/>
  <c r="T42" i="6" s="1"/>
  <c r="X41" i="6"/>
  <c r="X42" i="6" s="1"/>
  <c r="AB41" i="6"/>
  <c r="AB42" i="6"/>
  <c r="AF41" i="6"/>
  <c r="AF42" i="6" s="1"/>
  <c r="AJ41" i="6"/>
  <c r="AJ42" i="6" s="1"/>
  <c r="AN41" i="6"/>
  <c r="AN42" i="6" s="1"/>
  <c r="AR41" i="6"/>
  <c r="AR42" i="6" s="1"/>
  <c r="C42" i="6"/>
  <c r="BJ45" i="6"/>
  <c r="BJ46" i="6"/>
  <c r="BA47" i="6"/>
  <c r="BJ47" i="6"/>
  <c r="BJ48" i="6"/>
  <c r="BD49" i="6"/>
  <c r="BJ49" i="6"/>
  <c r="BD50" i="6"/>
  <c r="BJ50" i="6"/>
  <c r="BD51" i="6"/>
  <c r="BJ51" i="6"/>
  <c r="BD52" i="6"/>
  <c r="BJ52" i="6"/>
  <c r="BD53" i="6"/>
  <c r="BJ53" i="6"/>
  <c r="BD54" i="6"/>
  <c r="BJ54" i="6"/>
  <c r="BD55" i="6"/>
  <c r="BJ55" i="6"/>
  <c r="BD56" i="6"/>
  <c r="BJ56" i="6"/>
  <c r="BD57" i="6"/>
  <c r="BJ62" i="6"/>
  <c r="BJ63" i="6"/>
  <c r="BJ64" i="6"/>
  <c r="BJ65" i="6"/>
  <c r="BJ66" i="6"/>
  <c r="BJ67" i="6"/>
  <c r="BJ68" i="6"/>
  <c r="BJ69" i="6"/>
  <c r="BJ70" i="6"/>
  <c r="BJ71" i="6"/>
  <c r="C79" i="6"/>
  <c r="C80" i="6" s="1"/>
  <c r="D79" i="6"/>
  <c r="D80" i="6" s="1"/>
  <c r="G79" i="6"/>
  <c r="G80" i="6" s="1"/>
  <c r="H79" i="6"/>
  <c r="H80" i="6" s="1"/>
  <c r="I80" i="6" s="1"/>
  <c r="K79" i="6"/>
  <c r="K80" i="6"/>
  <c r="BH48" i="6" s="1"/>
  <c r="L79" i="6"/>
  <c r="M79" i="6"/>
  <c r="M80" i="6" s="1"/>
  <c r="O79" i="6"/>
  <c r="O80" i="6" s="1"/>
  <c r="P79" i="6"/>
  <c r="P80" i="6" s="1"/>
  <c r="Q79" i="6"/>
  <c r="S79" i="6"/>
  <c r="T79" i="6"/>
  <c r="T80" i="6" s="1"/>
  <c r="U79" i="6"/>
  <c r="U80" i="6" s="1"/>
  <c r="BH65" i="6" s="1"/>
  <c r="BI65" i="6" s="1"/>
  <c r="W79" i="6"/>
  <c r="W80" i="6" s="1"/>
  <c r="X79" i="6"/>
  <c r="Y79" i="6"/>
  <c r="Y80" i="6" s="1"/>
  <c r="AA79" i="6"/>
  <c r="AA80" i="6" s="1"/>
  <c r="AB79" i="6"/>
  <c r="AB80" i="6" s="1"/>
  <c r="AC79" i="6"/>
  <c r="AC80" i="6" s="1"/>
  <c r="AE79" i="6"/>
  <c r="AE80" i="6" s="1"/>
  <c r="AF79" i="6"/>
  <c r="AF80" i="6" s="1"/>
  <c r="BH68" i="6" s="1"/>
  <c r="BI68" i="6" s="1"/>
  <c r="AG79" i="6"/>
  <c r="AI79" i="6"/>
  <c r="AI80" i="6"/>
  <c r="AJ79" i="6"/>
  <c r="AJ80" i="6" s="1"/>
  <c r="AK79" i="6"/>
  <c r="AK80" i="6" s="1"/>
  <c r="AM79" i="6"/>
  <c r="AM80" i="6" s="1"/>
  <c r="AN79" i="6"/>
  <c r="AN80" i="6" s="1"/>
  <c r="AO79" i="6"/>
  <c r="AO80" i="6" s="1"/>
  <c r="BH55" i="6" s="1"/>
  <c r="AQ79" i="6"/>
  <c r="AQ80" i="6" s="1"/>
  <c r="AR79" i="6"/>
  <c r="AS79" i="6"/>
  <c r="AS80" i="6" s="1"/>
  <c r="L80" i="6"/>
  <c r="Q80" i="6"/>
  <c r="S80" i="6"/>
  <c r="X80" i="6"/>
  <c r="AG80" i="6"/>
  <c r="AR80" i="6"/>
  <c r="D81" i="6"/>
  <c r="D82" i="6" s="1"/>
  <c r="H81" i="6"/>
  <c r="H82" i="6" s="1"/>
  <c r="BK63" i="6" s="1"/>
  <c r="L81" i="6"/>
  <c r="L82" i="6" s="1"/>
  <c r="P81" i="6"/>
  <c r="P82" i="6" s="1"/>
  <c r="T81" i="6"/>
  <c r="T82" i="6" s="1"/>
  <c r="X81" i="6"/>
  <c r="X82" i="6" s="1"/>
  <c r="AB81" i="6"/>
  <c r="AB82" i="6" s="1"/>
  <c r="AF81" i="6"/>
  <c r="AF82" i="6" s="1"/>
  <c r="AJ81" i="6"/>
  <c r="AJ82" i="6" s="1"/>
  <c r="AN81" i="6"/>
  <c r="AN82" i="6" s="1"/>
  <c r="AR81" i="6"/>
  <c r="AR82" i="6" s="1"/>
  <c r="BJ88" i="6"/>
  <c r="BA89" i="6"/>
  <c r="BJ89" i="6"/>
  <c r="BJ90" i="6"/>
  <c r="BD91" i="6"/>
  <c r="BJ91" i="6"/>
  <c r="BD92" i="6"/>
  <c r="BJ92" i="6"/>
  <c r="BD93" i="6"/>
  <c r="BJ93" i="6"/>
  <c r="BD94" i="6"/>
  <c r="BJ94" i="6"/>
  <c r="BD95" i="6"/>
  <c r="BJ95" i="6"/>
  <c r="BD96" i="6"/>
  <c r="BJ96" i="6"/>
  <c r="BD97" i="6"/>
  <c r="BJ97" i="6"/>
  <c r="BD98" i="6"/>
  <c r="BJ98" i="6"/>
  <c r="BD99" i="6"/>
  <c r="BJ99" i="6"/>
  <c r="BJ103" i="6"/>
  <c r="BJ104" i="6"/>
  <c r="BJ105" i="6"/>
  <c r="BJ106" i="6"/>
  <c r="BJ107" i="6"/>
  <c r="BJ108" i="6"/>
  <c r="BJ109" i="6"/>
  <c r="BJ110" i="6"/>
  <c r="BJ111" i="6"/>
  <c r="BJ112" i="6"/>
  <c r="C120" i="6"/>
  <c r="C121" i="6" s="1"/>
  <c r="BH88" i="6" s="1"/>
  <c r="D120" i="6"/>
  <c r="D121" i="6" s="1"/>
  <c r="G120" i="6"/>
  <c r="H120" i="6"/>
  <c r="H121" i="6"/>
  <c r="K120" i="6"/>
  <c r="K121" i="6" s="1"/>
  <c r="L120" i="6"/>
  <c r="L121" i="6" s="1"/>
  <c r="M120" i="6"/>
  <c r="O120" i="6"/>
  <c r="O121" i="6" s="1"/>
  <c r="P120" i="6"/>
  <c r="P121" i="6" s="1"/>
  <c r="Q120" i="6"/>
  <c r="Q121" i="6"/>
  <c r="S120" i="6"/>
  <c r="S121" i="6" s="1"/>
  <c r="T120" i="6"/>
  <c r="T121" i="6" s="1"/>
  <c r="U120" i="6"/>
  <c r="U121" i="6" s="1"/>
  <c r="W120" i="6"/>
  <c r="W121" i="6" s="1"/>
  <c r="X120" i="6"/>
  <c r="X121" i="6" s="1"/>
  <c r="Y120" i="6"/>
  <c r="Y121" i="6" s="1"/>
  <c r="AA120" i="6"/>
  <c r="AA121" i="6" s="1"/>
  <c r="AB120" i="6"/>
  <c r="AC120" i="6"/>
  <c r="AC121" i="6" s="1"/>
  <c r="AE120" i="6"/>
  <c r="AE121" i="6"/>
  <c r="AF120" i="6"/>
  <c r="AG120" i="6"/>
  <c r="AG121" i="6" s="1"/>
  <c r="AI120" i="6"/>
  <c r="AJ120" i="6"/>
  <c r="AJ121" i="6" s="1"/>
  <c r="AK120" i="6"/>
  <c r="AK121" i="6" s="1"/>
  <c r="AM120" i="6"/>
  <c r="AM121" i="6" s="1"/>
  <c r="AN120" i="6"/>
  <c r="AN121" i="6" s="1"/>
  <c r="AO120" i="6"/>
  <c r="AO121" i="6" s="1"/>
  <c r="AQ120" i="6"/>
  <c r="AQ121" i="6" s="1"/>
  <c r="BH99" i="6" s="1"/>
  <c r="AR120" i="6"/>
  <c r="AR121" i="6" s="1"/>
  <c r="AS120" i="6"/>
  <c r="AS121" i="6" s="1"/>
  <c r="G121" i="6"/>
  <c r="BH89" i="6" s="1"/>
  <c r="M121" i="6"/>
  <c r="AB121" i="6"/>
  <c r="AF121" i="6"/>
  <c r="AI121" i="6"/>
  <c r="D122" i="6"/>
  <c r="H122" i="6"/>
  <c r="H123" i="6" s="1"/>
  <c r="BK104" i="6" s="1"/>
  <c r="L122" i="6"/>
  <c r="L123" i="6" s="1"/>
  <c r="BK105" i="6" s="1"/>
  <c r="P122" i="6"/>
  <c r="P123" i="6" s="1"/>
  <c r="T122" i="6"/>
  <c r="T123" i="6" s="1"/>
  <c r="X122" i="6"/>
  <c r="X123" i="6" s="1"/>
  <c r="AB122" i="6"/>
  <c r="AB123" i="6" s="1"/>
  <c r="AF122" i="6"/>
  <c r="AF123" i="6" s="1"/>
  <c r="AJ122" i="6"/>
  <c r="AN122" i="6"/>
  <c r="AN123" i="6" s="1"/>
  <c r="AR122" i="6"/>
  <c r="AR123" i="6" s="1"/>
  <c r="D123" i="6"/>
  <c r="AJ123" i="6"/>
  <c r="C39" i="5"/>
  <c r="C40" i="5" s="1"/>
  <c r="E40" i="5" s="1"/>
  <c r="D39" i="5"/>
  <c r="D40" i="5"/>
  <c r="G39" i="5"/>
  <c r="G40" i="5"/>
  <c r="H39" i="5"/>
  <c r="H40" i="5"/>
  <c r="I41" i="5" s="1"/>
  <c r="I39" i="5"/>
  <c r="I40" i="5" s="1"/>
  <c r="K39" i="5"/>
  <c r="K40" i="5" s="1"/>
  <c r="L39" i="5"/>
  <c r="L40" i="5" s="1"/>
  <c r="M39" i="5"/>
  <c r="M40" i="5" s="1"/>
  <c r="O39" i="5"/>
  <c r="O40" i="5" s="1"/>
  <c r="P39" i="5"/>
  <c r="P40" i="5" s="1"/>
  <c r="Q39" i="5"/>
  <c r="Q40" i="5" s="1"/>
  <c r="S39" i="5"/>
  <c r="S40" i="5" s="1"/>
  <c r="T39" i="5"/>
  <c r="T40" i="5" s="1"/>
  <c r="U39" i="5"/>
  <c r="U40" i="5" s="1"/>
  <c r="W39" i="5"/>
  <c r="W40" i="5" s="1"/>
  <c r="X39" i="5"/>
  <c r="X40" i="5" s="1"/>
  <c r="Y39" i="5"/>
  <c r="Y40" i="5" s="1"/>
  <c r="AA39" i="5"/>
  <c r="AA40" i="5" s="1"/>
  <c r="AB39" i="5"/>
  <c r="AB40" i="5" s="1"/>
  <c r="AC39" i="5"/>
  <c r="AC40" i="5" s="1"/>
  <c r="AE39" i="5"/>
  <c r="AE40" i="5" s="1"/>
  <c r="AF39" i="5"/>
  <c r="AF40" i="5" s="1"/>
  <c r="AG39" i="5"/>
  <c r="AG40" i="5" s="1"/>
  <c r="AI39" i="5"/>
  <c r="AI40" i="5" s="1"/>
  <c r="AJ39" i="5"/>
  <c r="AJ40" i="5" s="1"/>
  <c r="AK39" i="5"/>
  <c r="AK40" i="5" s="1"/>
  <c r="AM39" i="5"/>
  <c r="AM40" i="5" s="1"/>
  <c r="AN39" i="5"/>
  <c r="AN40" i="5" s="1"/>
  <c r="AO39" i="5"/>
  <c r="AO40" i="5" s="1"/>
  <c r="AQ39" i="5"/>
  <c r="AQ40" i="5" s="1"/>
  <c r="AR39" i="5"/>
  <c r="AR40" i="5" s="1"/>
  <c r="AS39" i="5"/>
  <c r="AS40" i="5" s="1"/>
  <c r="AU39" i="5"/>
  <c r="AU40" i="5" s="1"/>
  <c r="AV39" i="5"/>
  <c r="AV40" i="5" s="1"/>
  <c r="AW39" i="5"/>
  <c r="AW40" i="5" s="1"/>
  <c r="AY39" i="5"/>
  <c r="AY40" i="5" s="1"/>
  <c r="AZ39" i="5"/>
  <c r="AZ40" i="5" s="1"/>
  <c r="BA39" i="5"/>
  <c r="BA40" i="5" s="1"/>
  <c r="BC39" i="5"/>
  <c r="BC40" i="5" s="1"/>
  <c r="BD39" i="5"/>
  <c r="BD40" i="5" s="1"/>
  <c r="BE39" i="5"/>
  <c r="BE40" i="5" s="1"/>
  <c r="BG39" i="5"/>
  <c r="BG40" i="5" s="1"/>
  <c r="BH39" i="5"/>
  <c r="BH40" i="5" s="1"/>
  <c r="BI39" i="5"/>
  <c r="BI40" i="5"/>
  <c r="D77" i="5"/>
  <c r="D78" i="5" s="1"/>
  <c r="H77" i="5"/>
  <c r="K77" i="5"/>
  <c r="K78" i="5" s="1"/>
  <c r="O77" i="5"/>
  <c r="O78" i="5" s="1"/>
  <c r="S77" i="5"/>
  <c r="S78" i="5" s="1"/>
  <c r="W77" i="5"/>
  <c r="W78" i="5" s="1"/>
  <c r="AA77" i="5"/>
  <c r="AE77" i="5"/>
  <c r="AE78" i="5" s="1"/>
  <c r="AI77" i="5"/>
  <c r="AI78" i="5" s="1"/>
  <c r="AM77" i="5"/>
  <c r="AQ77" i="5"/>
  <c r="AQ78" i="5" s="1"/>
  <c r="H78" i="5"/>
  <c r="AA78" i="5"/>
  <c r="AM78" i="5"/>
  <c r="Q7" i="4"/>
  <c r="R7" i="4"/>
  <c r="S7" i="4"/>
  <c r="T7" i="4"/>
  <c r="U7" i="4"/>
  <c r="AT7" i="4"/>
  <c r="AX7" i="4"/>
  <c r="AZ7" i="4"/>
  <c r="BF7" i="4" s="1"/>
  <c r="BA7" i="4"/>
  <c r="BB7" i="4"/>
  <c r="BC7" i="4"/>
  <c r="BD7" i="4"/>
  <c r="Q8" i="4"/>
  <c r="R8" i="4"/>
  <c r="S8" i="4"/>
  <c r="T8" i="4"/>
  <c r="U8" i="4"/>
  <c r="AU8" i="4"/>
  <c r="AV8" i="4"/>
  <c r="AZ8" i="4"/>
  <c r="BA8" i="4"/>
  <c r="BG8" i="4" s="1"/>
  <c r="BB8" i="4"/>
  <c r="BC8" i="4"/>
  <c r="BD8" i="4"/>
  <c r="Q9" i="4"/>
  <c r="R9" i="4"/>
  <c r="S9" i="4"/>
  <c r="T9" i="4"/>
  <c r="U9" i="4"/>
  <c r="AV9" i="4"/>
  <c r="AZ9" i="4"/>
  <c r="BA9" i="4"/>
  <c r="BB9" i="4"/>
  <c r="BC9" i="4"/>
  <c r="BD9" i="4"/>
  <c r="Q10" i="4"/>
  <c r="R10" i="4"/>
  <c r="S10" i="4"/>
  <c r="T10" i="4"/>
  <c r="U10" i="4"/>
  <c r="AV10" i="4"/>
  <c r="AZ10" i="4"/>
  <c r="BF10" i="4" s="1"/>
  <c r="BA10" i="4"/>
  <c r="BB10" i="4"/>
  <c r="BC10" i="4"/>
  <c r="BD10" i="4"/>
  <c r="Q11" i="4"/>
  <c r="R11" i="4"/>
  <c r="S11" i="4"/>
  <c r="T11" i="4"/>
  <c r="U11" i="4"/>
  <c r="AU11" i="4"/>
  <c r="AZ11" i="4"/>
  <c r="BF11" i="4" s="1"/>
  <c r="BA11" i="4"/>
  <c r="BB11" i="4"/>
  <c r="BC11" i="4"/>
  <c r="BD11" i="4"/>
  <c r="BJ11" i="4" s="1"/>
  <c r="Q12" i="4"/>
  <c r="R12" i="4"/>
  <c r="S12" i="4"/>
  <c r="T12" i="4"/>
  <c r="U12" i="4"/>
  <c r="AT12" i="4"/>
  <c r="AU12" i="4"/>
  <c r="AV12" i="4"/>
  <c r="AZ12" i="4"/>
  <c r="BA12" i="4"/>
  <c r="BG12" i="4" s="1"/>
  <c r="BB12" i="4"/>
  <c r="BC12" i="4"/>
  <c r="BD12" i="4"/>
  <c r="Q13" i="4"/>
  <c r="R13" i="4"/>
  <c r="S13" i="4"/>
  <c r="T13" i="4"/>
  <c r="U13" i="4"/>
  <c r="AT13" i="4"/>
  <c r="AV13" i="4"/>
  <c r="AW13" i="4"/>
  <c r="AZ13" i="4"/>
  <c r="BA13" i="4"/>
  <c r="BB13" i="4"/>
  <c r="BC13" i="4"/>
  <c r="BD13" i="4"/>
  <c r="BJ13" i="4" s="1"/>
  <c r="BH13" i="4"/>
  <c r="Q14" i="4"/>
  <c r="R14" i="4"/>
  <c r="S14" i="4"/>
  <c r="T14" i="4"/>
  <c r="U14" i="4"/>
  <c r="AW14" i="4"/>
  <c r="AZ14" i="4"/>
  <c r="BA14" i="4"/>
  <c r="BG14" i="4" s="1"/>
  <c r="BB14" i="4"/>
  <c r="BC14" i="4"/>
  <c r="BD14" i="4"/>
  <c r="BJ14" i="4" s="1"/>
  <c r="Q15" i="4"/>
  <c r="R15" i="4"/>
  <c r="S15" i="4"/>
  <c r="T15" i="4"/>
  <c r="U15" i="4"/>
  <c r="AU15" i="4"/>
  <c r="AW15" i="4"/>
  <c r="AZ15" i="4"/>
  <c r="BA15" i="4"/>
  <c r="BB15" i="4"/>
  <c r="BC15" i="4"/>
  <c r="BI15" i="4" s="1"/>
  <c r="BD15" i="4"/>
  <c r="BJ15" i="4" s="1"/>
  <c r="Q16" i="4"/>
  <c r="R16" i="4"/>
  <c r="S16" i="4"/>
  <c r="T16" i="4"/>
  <c r="U16" i="4"/>
  <c r="AT16" i="4"/>
  <c r="AU16" i="4"/>
  <c r="AX16" i="4"/>
  <c r="AZ16" i="4"/>
  <c r="BA16" i="4"/>
  <c r="BG16" i="4" s="1"/>
  <c r="BB16" i="4"/>
  <c r="BC16" i="4"/>
  <c r="BD16" i="4"/>
  <c r="Q17" i="4"/>
  <c r="R17" i="4"/>
  <c r="S17" i="4"/>
  <c r="T17" i="4"/>
  <c r="U17" i="4"/>
  <c r="AW17" i="4"/>
  <c r="AT17" i="4"/>
  <c r="AV17" i="4"/>
  <c r="AZ17" i="4"/>
  <c r="BA17" i="4"/>
  <c r="BB17" i="4"/>
  <c r="BH17" i="4"/>
  <c r="BC17" i="4"/>
  <c r="BD17" i="4"/>
  <c r="Q20" i="4"/>
  <c r="R20" i="4"/>
  <c r="S20" i="4"/>
  <c r="Q21" i="4"/>
  <c r="R21" i="4"/>
  <c r="S21" i="4"/>
  <c r="T21" i="4"/>
  <c r="AG21" i="4"/>
  <c r="AH21" i="4"/>
  <c r="BG21" i="4" s="1"/>
  <c r="AI21" i="4"/>
  <c r="AT21" i="4"/>
  <c r="AZ21" i="4"/>
  <c r="BA21" i="4"/>
  <c r="BB21" i="4"/>
  <c r="BF21" i="4"/>
  <c r="Q22" i="4"/>
  <c r="R22" i="4"/>
  <c r="S22" i="4"/>
  <c r="T22" i="4"/>
  <c r="U22" i="4"/>
  <c r="AG22" i="4"/>
  <c r="AH22" i="4"/>
  <c r="AI22" i="4"/>
  <c r="AV22" i="4" s="1"/>
  <c r="AZ22" i="4"/>
  <c r="BA22" i="4"/>
  <c r="BB22" i="4"/>
  <c r="BH22" i="4" s="1"/>
  <c r="BC22" i="4"/>
  <c r="Q23" i="4"/>
  <c r="R23" i="4"/>
  <c r="S23" i="4"/>
  <c r="T23" i="4"/>
  <c r="U23" i="4"/>
  <c r="AG23" i="4"/>
  <c r="AT23" i="4" s="1"/>
  <c r="AH23" i="4"/>
  <c r="AI23" i="4"/>
  <c r="AV23" i="4" s="1"/>
  <c r="AZ23" i="4"/>
  <c r="BA23" i="4"/>
  <c r="BB23" i="4"/>
  <c r="BH23" i="4" s="1"/>
  <c r="BC23" i="4"/>
  <c r="BD23" i="4"/>
  <c r="Q24" i="4"/>
  <c r="R24" i="4"/>
  <c r="S24" i="4"/>
  <c r="T24" i="4"/>
  <c r="U24" i="4"/>
  <c r="AG24" i="4"/>
  <c r="AH24" i="4"/>
  <c r="AI24" i="4"/>
  <c r="AV24" i="4" s="1"/>
  <c r="AZ24" i="4"/>
  <c r="BA24" i="4"/>
  <c r="BB24" i="4"/>
  <c r="BC24" i="4"/>
  <c r="BD24" i="4"/>
  <c r="Q25" i="4"/>
  <c r="R25" i="4"/>
  <c r="S25" i="4"/>
  <c r="T25" i="4"/>
  <c r="U25" i="4"/>
  <c r="AG25" i="4"/>
  <c r="AH25" i="4"/>
  <c r="AU25" i="4" s="1"/>
  <c r="AI25" i="4"/>
  <c r="AV25" i="4" s="1"/>
  <c r="AZ25" i="4"/>
  <c r="BA25" i="4"/>
  <c r="BB25" i="4"/>
  <c r="BC25" i="4"/>
  <c r="BD25" i="4"/>
  <c r="Q26" i="4"/>
  <c r="R26" i="4"/>
  <c r="S26" i="4"/>
  <c r="T26" i="4"/>
  <c r="U26" i="4"/>
  <c r="AG26" i="4"/>
  <c r="AH26" i="4"/>
  <c r="AU26" i="4" s="1"/>
  <c r="AI26" i="4"/>
  <c r="AV26" i="4"/>
  <c r="AZ26" i="4"/>
  <c r="BA26" i="4"/>
  <c r="BB26" i="4"/>
  <c r="BC26" i="4"/>
  <c r="BD26" i="4"/>
  <c r="Q27" i="4"/>
  <c r="R27" i="4"/>
  <c r="S27" i="4"/>
  <c r="T27" i="4"/>
  <c r="U27" i="4"/>
  <c r="AG27" i="4"/>
  <c r="AT27" i="4" s="1"/>
  <c r="AH27" i="4"/>
  <c r="AI27" i="4"/>
  <c r="AV27" i="4" s="1"/>
  <c r="AZ27" i="4"/>
  <c r="BA27" i="4"/>
  <c r="BB27" i="4"/>
  <c r="BH27" i="4" s="1"/>
  <c r="BC27" i="4"/>
  <c r="BD27" i="4"/>
  <c r="Q28" i="4"/>
  <c r="R28" i="4"/>
  <c r="S28" i="4"/>
  <c r="T28" i="4"/>
  <c r="U28" i="4"/>
  <c r="AG28" i="4"/>
  <c r="AT28" i="4" s="1"/>
  <c r="AH28" i="4"/>
  <c r="AI28" i="4"/>
  <c r="AV28" i="4" s="1"/>
  <c r="AZ28" i="4"/>
  <c r="BA28" i="4"/>
  <c r="BB28" i="4"/>
  <c r="BC28" i="4"/>
  <c r="BD28" i="4"/>
  <c r="Q29" i="4"/>
  <c r="R29" i="4"/>
  <c r="S29" i="4"/>
  <c r="T29" i="4"/>
  <c r="U29" i="4"/>
  <c r="AG29" i="4"/>
  <c r="AT29" i="4" s="1"/>
  <c r="AH29" i="4"/>
  <c r="AI29" i="4"/>
  <c r="AV29" i="4" s="1"/>
  <c r="AZ29" i="4"/>
  <c r="BA29" i="4"/>
  <c r="BB29" i="4"/>
  <c r="BC29" i="4"/>
  <c r="BD29" i="4"/>
  <c r="Q30" i="4"/>
  <c r="R30" i="4"/>
  <c r="S30" i="4"/>
  <c r="T30" i="4"/>
  <c r="U30" i="4"/>
  <c r="AG30" i="4"/>
  <c r="AT30" i="4" s="1"/>
  <c r="AH30" i="4"/>
  <c r="AI30" i="4"/>
  <c r="AZ30" i="4"/>
  <c r="BA30" i="4"/>
  <c r="BB30" i="4"/>
  <c r="BC30" i="4"/>
  <c r="BD30" i="4"/>
  <c r="AG31" i="4"/>
  <c r="AH31" i="4"/>
  <c r="BG31" i="4" s="1"/>
  <c r="AI31" i="4"/>
  <c r="AN31" i="4"/>
  <c r="AO31" i="4"/>
  <c r="AU31" i="4"/>
  <c r="AP31" i="4"/>
  <c r="AV30" i="4"/>
  <c r="AQ31" i="4"/>
  <c r="AR31" i="4"/>
  <c r="AZ31" i="4"/>
  <c r="BF31" i="4" s="1"/>
  <c r="BA31" i="4"/>
  <c r="BB31" i="4"/>
  <c r="BC31" i="4"/>
  <c r="BD31" i="4"/>
  <c r="Q36" i="4"/>
  <c r="R36" i="4"/>
  <c r="S36" i="4"/>
  <c r="T36" i="4"/>
  <c r="U36" i="4"/>
  <c r="Q37" i="4"/>
  <c r="R37" i="4"/>
  <c r="S37" i="4"/>
  <c r="T37" i="4"/>
  <c r="U37" i="4"/>
  <c r="BI37" i="4"/>
  <c r="Q38" i="4"/>
  <c r="R38" i="4"/>
  <c r="S38" i="4"/>
  <c r="T38" i="4"/>
  <c r="U38" i="4"/>
  <c r="BH38" i="4"/>
  <c r="AV38" i="4"/>
  <c r="BJ38" i="4"/>
  <c r="AU38" i="4"/>
  <c r="AX38" i="4"/>
  <c r="Q39" i="4"/>
  <c r="R39" i="4"/>
  <c r="S39" i="4"/>
  <c r="T39" i="4"/>
  <c r="U39" i="4"/>
  <c r="BH39" i="4"/>
  <c r="Q40" i="4"/>
  <c r="R40" i="4"/>
  <c r="S40" i="4"/>
  <c r="T40" i="4"/>
  <c r="U40" i="4"/>
  <c r="BF40" i="4"/>
  <c r="BI40" i="4"/>
  <c r="AW40" i="4"/>
  <c r="Q41" i="4"/>
  <c r="R41" i="4"/>
  <c r="S41" i="4"/>
  <c r="T41" i="4"/>
  <c r="U41" i="4"/>
  <c r="BF41" i="4"/>
  <c r="Q42" i="4"/>
  <c r="R42" i="4"/>
  <c r="S42" i="4"/>
  <c r="T42" i="4"/>
  <c r="U42" i="4"/>
  <c r="BG42" i="4"/>
  <c r="BH42" i="4"/>
  <c r="BJ42" i="4"/>
  <c r="Q43" i="4"/>
  <c r="R43" i="4"/>
  <c r="S43" i="4"/>
  <c r="T43" i="4"/>
  <c r="U43" i="4"/>
  <c r="BG43" i="4"/>
  <c r="Q44" i="4"/>
  <c r="R44" i="4"/>
  <c r="S44" i="4"/>
  <c r="T44" i="4"/>
  <c r="U44" i="4"/>
  <c r="BF44" i="4"/>
  <c r="AV44" i="4"/>
  <c r="Q45" i="4"/>
  <c r="R45" i="4"/>
  <c r="S45" i="4"/>
  <c r="T45" i="4"/>
  <c r="U45" i="4"/>
  <c r="BI45" i="4"/>
  <c r="AW45" i="4"/>
  <c r="AT46" i="4"/>
  <c r="BH46" i="4"/>
  <c r="BI46" i="4"/>
  <c r="AX46" i="4"/>
  <c r="Q48" i="4"/>
  <c r="R48" i="4"/>
  <c r="S48" i="4"/>
  <c r="T48" i="4"/>
  <c r="Q49" i="4"/>
  <c r="R49" i="4"/>
  <c r="S49" i="4"/>
  <c r="T49" i="4"/>
  <c r="BG49" i="4"/>
  <c r="Q50" i="4"/>
  <c r="R50" i="4"/>
  <c r="S50" i="4"/>
  <c r="T50" i="4"/>
  <c r="BG50" i="4"/>
  <c r="Q51" i="4"/>
  <c r="R51" i="4"/>
  <c r="S51" i="4"/>
  <c r="T51" i="4"/>
  <c r="BG51" i="4"/>
  <c r="AU51" i="4"/>
  <c r="Q52" i="4"/>
  <c r="R52" i="4"/>
  <c r="S52" i="4"/>
  <c r="T52" i="4"/>
  <c r="Q53" i="4"/>
  <c r="R53" i="4"/>
  <c r="S53" i="4"/>
  <c r="T53" i="4"/>
  <c r="BG54" i="4"/>
  <c r="X60" i="4"/>
  <c r="Y60" i="4"/>
  <c r="AA60" i="4"/>
  <c r="AB60" i="4"/>
  <c r="AE60" i="4"/>
  <c r="AF60" i="4"/>
  <c r="AH60" i="4"/>
  <c r="AI60" i="4"/>
  <c r="AL60" i="4"/>
  <c r="AM60" i="4"/>
  <c r="AO60" i="4"/>
  <c r="AP60" i="4"/>
  <c r="Q61" i="4"/>
  <c r="R61" i="4"/>
  <c r="S61" i="4"/>
  <c r="T61" i="4"/>
  <c r="U61" i="4"/>
  <c r="AL61" i="4"/>
  <c r="AM61" i="4"/>
  <c r="AO61" i="4"/>
  <c r="AP61" i="4"/>
  <c r="Q62" i="4"/>
  <c r="R62" i="4"/>
  <c r="S62" i="4"/>
  <c r="T62" i="4"/>
  <c r="U62" i="4"/>
  <c r="AL62" i="4"/>
  <c r="AM62" i="4"/>
  <c r="AO62" i="4"/>
  <c r="AP62" i="4"/>
  <c r="Q63" i="4"/>
  <c r="R63" i="4"/>
  <c r="S63" i="4"/>
  <c r="T63" i="4"/>
  <c r="U63" i="4"/>
  <c r="AL63" i="4"/>
  <c r="AM63" i="4"/>
  <c r="AO63" i="4"/>
  <c r="AP63" i="4"/>
  <c r="Q64" i="4"/>
  <c r="R64" i="4"/>
  <c r="S64" i="4"/>
  <c r="T64" i="4"/>
  <c r="U64" i="4"/>
  <c r="AL64" i="4"/>
  <c r="AM64" i="4"/>
  <c r="AO64" i="4"/>
  <c r="AP64" i="4"/>
  <c r="Q65" i="4"/>
  <c r="R65" i="4"/>
  <c r="S65" i="4"/>
  <c r="T65" i="4"/>
  <c r="U65" i="4"/>
  <c r="AL65" i="4"/>
  <c r="AM65" i="4"/>
  <c r="AO65" i="4"/>
  <c r="AP65" i="4"/>
  <c r="AL66" i="4"/>
  <c r="AM66" i="4"/>
  <c r="AO66" i="4"/>
  <c r="AP66" i="4"/>
  <c r="AL67" i="4"/>
  <c r="AM67" i="4"/>
  <c r="AO67" i="4"/>
  <c r="AP67" i="4"/>
  <c r="Q68" i="4"/>
  <c r="R68" i="4"/>
  <c r="S68" i="4"/>
  <c r="T68" i="4"/>
  <c r="Q69" i="4"/>
  <c r="R69" i="4"/>
  <c r="S69" i="4"/>
  <c r="T69" i="4"/>
  <c r="Q70" i="4"/>
  <c r="R70" i="4"/>
  <c r="S70" i="4"/>
  <c r="T70" i="4"/>
  <c r="Q71" i="4"/>
  <c r="R71" i="4"/>
  <c r="S71" i="4"/>
  <c r="T71" i="4"/>
  <c r="Q72" i="4"/>
  <c r="R72" i="4"/>
  <c r="S72" i="4"/>
  <c r="T72" i="4"/>
  <c r="Q78" i="4"/>
  <c r="R78" i="4"/>
  <c r="S78" i="4"/>
  <c r="T78" i="4"/>
  <c r="Q79" i="4"/>
  <c r="R79" i="4"/>
  <c r="S79" i="4"/>
  <c r="T79" i="4"/>
  <c r="U79" i="4"/>
  <c r="Q80" i="4"/>
  <c r="R80" i="4"/>
  <c r="S80" i="4"/>
  <c r="T80" i="4"/>
  <c r="U80" i="4"/>
  <c r="Q81" i="4"/>
  <c r="R81" i="4"/>
  <c r="S81" i="4"/>
  <c r="T81" i="4"/>
  <c r="U81" i="4"/>
  <c r="Q82" i="4"/>
  <c r="R82" i="4"/>
  <c r="S82" i="4"/>
  <c r="T82" i="4"/>
  <c r="U82" i="4"/>
  <c r="Q83" i="4"/>
  <c r="R83" i="4"/>
  <c r="S83" i="4"/>
  <c r="T83" i="4"/>
  <c r="U83" i="4"/>
  <c r="Q84" i="4"/>
  <c r="R84" i="4"/>
  <c r="S84" i="4"/>
  <c r="T84" i="4"/>
  <c r="U84" i="4"/>
  <c r="Q85" i="4"/>
  <c r="R85" i="4"/>
  <c r="S85" i="4"/>
  <c r="T85" i="4"/>
  <c r="U85" i="4"/>
  <c r="Q86" i="4"/>
  <c r="R86" i="4"/>
  <c r="S86" i="4"/>
  <c r="T86" i="4"/>
  <c r="U86" i="4"/>
  <c r="Q91" i="4"/>
  <c r="R91" i="4"/>
  <c r="Q92" i="4"/>
  <c r="R92" i="4"/>
  <c r="Q93" i="4"/>
  <c r="R93" i="4"/>
  <c r="Q94" i="4"/>
  <c r="R94" i="4"/>
  <c r="Q95" i="4"/>
  <c r="R95" i="4"/>
  <c r="Q96" i="4"/>
  <c r="R96" i="4"/>
  <c r="Q97" i="4"/>
  <c r="R97" i="4"/>
  <c r="Q105" i="4"/>
  <c r="R105" i="4"/>
  <c r="S105" i="4"/>
  <c r="T105" i="4"/>
  <c r="U105" i="4"/>
  <c r="Q106" i="4"/>
  <c r="R106" i="4"/>
  <c r="S106" i="4"/>
  <c r="T106" i="4"/>
  <c r="U106" i="4"/>
  <c r="R107" i="4"/>
  <c r="S107" i="4"/>
  <c r="T107" i="4"/>
  <c r="U107" i="4"/>
  <c r="R108" i="4"/>
  <c r="S108" i="4"/>
  <c r="T108" i="4"/>
  <c r="U108" i="4"/>
  <c r="R109" i="4"/>
  <c r="S109" i="4"/>
  <c r="T109" i="4"/>
  <c r="U109" i="4"/>
  <c r="R110" i="4"/>
  <c r="S110" i="4"/>
  <c r="T110" i="4"/>
  <c r="U110" i="4"/>
  <c r="R111" i="4"/>
  <c r="S111" i="4"/>
  <c r="T111" i="4"/>
  <c r="U111" i="4"/>
  <c r="Q114" i="4"/>
  <c r="R114" i="4"/>
  <c r="S114" i="4"/>
  <c r="T114" i="4"/>
  <c r="U114" i="4"/>
  <c r="Q115" i="4"/>
  <c r="R115" i="4"/>
  <c r="S115" i="4"/>
  <c r="T115" i="4"/>
  <c r="U115" i="4"/>
  <c r="Q116" i="4"/>
  <c r="R116" i="4"/>
  <c r="S116" i="4"/>
  <c r="T116" i="4"/>
  <c r="U116" i="4"/>
  <c r="Q117" i="4"/>
  <c r="R117" i="4"/>
  <c r="S117" i="4"/>
  <c r="T117" i="4"/>
  <c r="U117" i="4"/>
  <c r="Q118" i="4"/>
  <c r="R118" i="4"/>
  <c r="S118" i="4"/>
  <c r="T118" i="4"/>
  <c r="U118" i="4"/>
  <c r="Q119" i="4"/>
  <c r="R119" i="4"/>
  <c r="S119" i="4"/>
  <c r="T119" i="4"/>
  <c r="U119" i="4"/>
  <c r="Q120" i="4"/>
  <c r="R120" i="4"/>
  <c r="S120" i="4"/>
  <c r="T120" i="4"/>
  <c r="U120" i="4"/>
  <c r="Q130" i="4"/>
  <c r="R130" i="4"/>
  <c r="S130" i="4"/>
  <c r="T130" i="4"/>
  <c r="U130" i="4"/>
  <c r="Q131" i="4"/>
  <c r="R131" i="4"/>
  <c r="S131" i="4"/>
  <c r="T131" i="4"/>
  <c r="U131" i="4"/>
  <c r="AN131" i="4"/>
  <c r="AT131" i="4" s="1"/>
  <c r="AO131" i="4"/>
  <c r="AU131" i="4" s="1"/>
  <c r="AP131" i="4"/>
  <c r="AV131" i="4" s="1"/>
  <c r="AQ131" i="4"/>
  <c r="AW131" i="4" s="1"/>
  <c r="AR131" i="4"/>
  <c r="AX131" i="4" s="1"/>
  <c r="AZ131" i="4"/>
  <c r="BF131" i="4" s="1"/>
  <c r="BA131" i="4"/>
  <c r="BG131" i="4" s="1"/>
  <c r="BB131" i="4"/>
  <c r="BC131" i="4"/>
  <c r="BI131" i="4" s="1"/>
  <c r="BD131" i="4"/>
  <c r="BJ131" i="4" s="1"/>
  <c r="BH131" i="4"/>
  <c r="Q132" i="4"/>
  <c r="R132" i="4"/>
  <c r="S132" i="4"/>
  <c r="T132" i="4"/>
  <c r="U132" i="4"/>
  <c r="AN132" i="4"/>
  <c r="AT132" i="4" s="1"/>
  <c r="AO132" i="4"/>
  <c r="AU132" i="4" s="1"/>
  <c r="AP132" i="4"/>
  <c r="AV132" i="4" s="1"/>
  <c r="AQ132" i="4"/>
  <c r="AW132" i="4" s="1"/>
  <c r="AR132" i="4"/>
  <c r="AX132" i="4" s="1"/>
  <c r="AZ132" i="4"/>
  <c r="BF132" i="4" s="1"/>
  <c r="BA132" i="4"/>
  <c r="BG132" i="4" s="1"/>
  <c r="BB132" i="4"/>
  <c r="BH132" i="4" s="1"/>
  <c r="BC132" i="4"/>
  <c r="BI132" i="4" s="1"/>
  <c r="BD132" i="4"/>
  <c r="BJ132" i="4" s="1"/>
  <c r="Q133" i="4"/>
  <c r="R133" i="4"/>
  <c r="S133" i="4"/>
  <c r="T133" i="4"/>
  <c r="U133" i="4"/>
  <c r="AN133" i="4"/>
  <c r="AT133" i="4" s="1"/>
  <c r="AO133" i="4"/>
  <c r="AU133" i="4" s="1"/>
  <c r="AP133" i="4"/>
  <c r="AV133" i="4" s="1"/>
  <c r="AQ133" i="4"/>
  <c r="AW133" i="4" s="1"/>
  <c r="AR133" i="4"/>
  <c r="AX133" i="4" s="1"/>
  <c r="AZ133" i="4"/>
  <c r="BF133" i="4" s="1"/>
  <c r="BA133" i="4"/>
  <c r="BG133" i="4" s="1"/>
  <c r="BB133" i="4"/>
  <c r="BH133" i="4" s="1"/>
  <c r="BC133" i="4"/>
  <c r="BI133" i="4" s="1"/>
  <c r="BD133" i="4"/>
  <c r="BJ133" i="4" s="1"/>
  <c r="Q134" i="4"/>
  <c r="R134" i="4"/>
  <c r="S134" i="4"/>
  <c r="T134" i="4"/>
  <c r="U134" i="4"/>
  <c r="AN134" i="4"/>
  <c r="AT134" i="4" s="1"/>
  <c r="AO134" i="4"/>
  <c r="AU134" i="4" s="1"/>
  <c r="AP134" i="4"/>
  <c r="AV134" i="4" s="1"/>
  <c r="AQ134" i="4"/>
  <c r="AW134" i="4" s="1"/>
  <c r="AR134" i="4"/>
  <c r="AX134" i="4" s="1"/>
  <c r="AZ134" i="4"/>
  <c r="BF134" i="4" s="1"/>
  <c r="BA134" i="4"/>
  <c r="BG134" i="4" s="1"/>
  <c r="BB134" i="4"/>
  <c r="BH134" i="4" s="1"/>
  <c r="BC134" i="4"/>
  <c r="BI134" i="4" s="1"/>
  <c r="BD134" i="4"/>
  <c r="BJ134" i="4"/>
  <c r="Q135" i="4"/>
  <c r="R135" i="4"/>
  <c r="S135" i="4"/>
  <c r="T135" i="4"/>
  <c r="U135" i="4"/>
  <c r="AN135" i="4"/>
  <c r="AT135" i="4" s="1"/>
  <c r="AO135" i="4"/>
  <c r="AU135" i="4" s="1"/>
  <c r="AP135" i="4"/>
  <c r="AV135" i="4" s="1"/>
  <c r="AQ135" i="4"/>
  <c r="AW135" i="4" s="1"/>
  <c r="AR135" i="4"/>
  <c r="AX135" i="4" s="1"/>
  <c r="AZ135" i="4"/>
  <c r="BF135" i="4" s="1"/>
  <c r="BA135" i="4"/>
  <c r="BG135" i="4" s="1"/>
  <c r="BB135" i="4"/>
  <c r="BH135" i="4" s="1"/>
  <c r="BC135" i="4"/>
  <c r="BI135" i="4" s="1"/>
  <c r="BD135" i="4"/>
  <c r="BJ135" i="4" s="1"/>
  <c r="Q136" i="4"/>
  <c r="R136" i="4"/>
  <c r="S136" i="4"/>
  <c r="T136" i="4"/>
  <c r="U136" i="4"/>
  <c r="AN136" i="4"/>
  <c r="AT136" i="4" s="1"/>
  <c r="AO136" i="4"/>
  <c r="AU136" i="4" s="1"/>
  <c r="AP136" i="4"/>
  <c r="AQ136" i="4"/>
  <c r="AW136" i="4" s="1"/>
  <c r="AR136" i="4"/>
  <c r="AX136" i="4" s="1"/>
  <c r="AV136" i="4"/>
  <c r="AZ136" i="4"/>
  <c r="BF136" i="4" s="1"/>
  <c r="BA136" i="4"/>
  <c r="BG136" i="4"/>
  <c r="BB136" i="4"/>
  <c r="BH136" i="4" s="1"/>
  <c r="BC136" i="4"/>
  <c r="BI136" i="4" s="1"/>
  <c r="BD136" i="4"/>
  <c r="BJ136" i="4" s="1"/>
  <c r="Q137" i="4"/>
  <c r="R137" i="4"/>
  <c r="S137" i="4"/>
  <c r="AN137" i="4"/>
  <c r="AT137" i="4" s="1"/>
  <c r="AO137" i="4"/>
  <c r="AU137" i="4" s="1"/>
  <c r="AP137" i="4"/>
  <c r="AV137" i="4" s="1"/>
  <c r="AQ137" i="4"/>
  <c r="AW137" i="4" s="1"/>
  <c r="AR137" i="4"/>
  <c r="AX137" i="4" s="1"/>
  <c r="AZ137" i="4"/>
  <c r="BF137" i="4" s="1"/>
  <c r="BA137" i="4"/>
  <c r="BG137" i="4" s="1"/>
  <c r="BB137" i="4"/>
  <c r="BH137" i="4" s="1"/>
  <c r="BC137" i="4"/>
  <c r="BI137" i="4" s="1"/>
  <c r="BD137" i="4"/>
  <c r="BJ137" i="4" s="1"/>
  <c r="T138" i="4"/>
  <c r="U138" i="4"/>
  <c r="AN138" i="4"/>
  <c r="AT138" i="4" s="1"/>
  <c r="AO138" i="4"/>
  <c r="AU138" i="4" s="1"/>
  <c r="AP138" i="4"/>
  <c r="AV138" i="4" s="1"/>
  <c r="AQ138" i="4"/>
  <c r="AW138" i="4" s="1"/>
  <c r="AR138" i="4"/>
  <c r="AX138" i="4" s="1"/>
  <c r="AZ138" i="4"/>
  <c r="BF138" i="4" s="1"/>
  <c r="BA138" i="4"/>
  <c r="BG138" i="4" s="1"/>
  <c r="BB138" i="4"/>
  <c r="BH138" i="4"/>
  <c r="BI138" i="4"/>
  <c r="BJ138" i="4"/>
  <c r="T139" i="4"/>
  <c r="U139" i="4"/>
  <c r="AN139" i="4"/>
  <c r="AT139" i="4" s="1"/>
  <c r="AO139" i="4"/>
  <c r="AU139" i="4" s="1"/>
  <c r="AP139" i="4"/>
  <c r="AV139" i="4" s="1"/>
  <c r="AQ139" i="4"/>
  <c r="AW139" i="4" s="1"/>
  <c r="AR139" i="4"/>
  <c r="AX139" i="4" s="1"/>
  <c r="AZ139" i="4"/>
  <c r="BF139" i="4" s="1"/>
  <c r="BA139" i="4"/>
  <c r="BG139" i="4" s="1"/>
  <c r="BB139" i="4"/>
  <c r="BH139" i="4"/>
  <c r="BC139" i="4"/>
  <c r="BI139" i="4" s="1"/>
  <c r="BD139" i="4"/>
  <c r="BJ139" i="4" s="1"/>
  <c r="AN140" i="4"/>
  <c r="AT140" i="4" s="1"/>
  <c r="AO140" i="4"/>
  <c r="AU140" i="4" s="1"/>
  <c r="AP140" i="4"/>
  <c r="AV140" i="4" s="1"/>
  <c r="AQ140" i="4"/>
  <c r="AW140" i="4" s="1"/>
  <c r="AR140" i="4"/>
  <c r="AX140" i="4" s="1"/>
  <c r="AZ140" i="4"/>
  <c r="BF140" i="4"/>
  <c r="BA140" i="4"/>
  <c r="BG140" i="4" s="1"/>
  <c r="BB140" i="4"/>
  <c r="BH140" i="4" s="1"/>
  <c r="BC140" i="4"/>
  <c r="BI140" i="4" s="1"/>
  <c r="BD140" i="4"/>
  <c r="BJ140" i="4"/>
  <c r="Q142" i="4"/>
  <c r="R142" i="4"/>
  <c r="S142" i="4"/>
  <c r="T142" i="4"/>
  <c r="U142" i="4"/>
  <c r="Q145" i="4"/>
  <c r="R145" i="4"/>
  <c r="S145" i="4"/>
  <c r="T145" i="4"/>
  <c r="U145" i="4"/>
  <c r="BF145" i="4"/>
  <c r="Q146" i="4"/>
  <c r="R146" i="4"/>
  <c r="S146" i="4"/>
  <c r="T146" i="4"/>
  <c r="U146" i="4"/>
  <c r="AU146" i="4"/>
  <c r="AV146" i="4"/>
  <c r="BF146" i="4"/>
  <c r="BG146" i="4"/>
  <c r="BH146" i="4"/>
  <c r="Q147" i="4"/>
  <c r="R147" i="4"/>
  <c r="S147" i="4"/>
  <c r="T147" i="4"/>
  <c r="U147" i="4"/>
  <c r="BG147" i="4"/>
  <c r="Q148" i="4"/>
  <c r="R148" i="4"/>
  <c r="S148" i="4"/>
  <c r="T148" i="4"/>
  <c r="U148" i="4"/>
  <c r="BF148" i="4"/>
  <c r="Q149" i="4"/>
  <c r="R149" i="4"/>
  <c r="S149" i="4"/>
  <c r="T149" i="4"/>
  <c r="U149" i="4"/>
  <c r="AU149" i="4"/>
  <c r="Q150" i="4"/>
  <c r="R150" i="4"/>
  <c r="S150" i="4"/>
  <c r="T150" i="4"/>
  <c r="U150" i="4"/>
  <c r="AT150" i="4"/>
  <c r="AU150" i="4"/>
  <c r="BG150" i="4"/>
  <c r="AT151" i="4"/>
  <c r="BF151" i="4"/>
  <c r="AT152" i="4"/>
  <c r="BF152" i="4"/>
  <c r="AT153" i="4"/>
  <c r="AV153" i="4"/>
  <c r="BF153" i="4"/>
  <c r="BG153" i="4"/>
  <c r="AT154" i="4"/>
  <c r="AU154" i="4"/>
  <c r="AV154" i="4"/>
  <c r="BF154" i="4"/>
  <c r="BG154" i="4"/>
  <c r="BH154" i="4"/>
  <c r="AT155" i="4"/>
  <c r="AU155" i="4"/>
  <c r="AV155" i="4"/>
  <c r="BF155" i="4"/>
  <c r="BG155" i="4"/>
  <c r="BH155" i="4"/>
  <c r="Q159" i="4"/>
  <c r="R159" i="4"/>
  <c r="Q160" i="4"/>
  <c r="R160" i="4"/>
  <c r="S160" i="4"/>
  <c r="T160" i="4"/>
  <c r="U160" i="4"/>
  <c r="Q161" i="4"/>
  <c r="R162" i="4"/>
  <c r="S162" i="4"/>
  <c r="T162" i="4"/>
  <c r="U162" i="4"/>
  <c r="R163" i="4"/>
  <c r="S163" i="4"/>
  <c r="T163" i="4"/>
  <c r="U163" i="4"/>
  <c r="R164" i="4"/>
  <c r="S164" i="4"/>
  <c r="T164" i="4"/>
  <c r="U164" i="4"/>
  <c r="R165" i="4"/>
  <c r="S166" i="4"/>
  <c r="T166" i="4"/>
  <c r="U166" i="4"/>
  <c r="S167" i="4"/>
  <c r="T167" i="4"/>
  <c r="U167" i="4"/>
  <c r="S168" i="4"/>
  <c r="T168" i="4"/>
  <c r="U168" i="4"/>
  <c r="S169" i="4"/>
  <c r="T169" i="4"/>
  <c r="U169" i="4"/>
  <c r="S170" i="4"/>
  <c r="T170" i="4"/>
  <c r="U170" i="4"/>
  <c r="S171" i="4"/>
  <c r="T171" i="4"/>
  <c r="U171" i="4"/>
  <c r="B13" i="3"/>
  <c r="B14" i="3"/>
  <c r="B17" i="3"/>
  <c r="B18" i="3"/>
  <c r="C18" i="3"/>
  <c r="C19" i="3" s="1"/>
  <c r="B19" i="3"/>
  <c r="C115" i="3"/>
  <c r="C116" i="3"/>
  <c r="C117" i="3"/>
  <c r="C118" i="3"/>
  <c r="C97" i="3" s="1"/>
  <c r="E95" i="3" s="1"/>
  <c r="C119" i="3"/>
  <c r="C120" i="3"/>
  <c r="C121" i="3"/>
  <c r="C122" i="3"/>
  <c r="C124" i="3"/>
  <c r="C125" i="3"/>
  <c r="C126" i="3"/>
  <c r="D105" i="3"/>
  <c r="M96" i="3" s="1"/>
  <c r="C127" i="3"/>
  <c r="C128" i="3"/>
  <c r="C129" i="3"/>
  <c r="C130" i="3"/>
  <c r="D109" i="3"/>
  <c r="Q96" i="3" s="1"/>
  <c r="C131" i="3"/>
  <c r="C132" i="3"/>
  <c r="C133" i="3"/>
  <c r="T59" i="2"/>
  <c r="K60" i="2"/>
  <c r="L59" i="2" s="1"/>
  <c r="K61" i="2"/>
  <c r="M59" i="2" s="1"/>
  <c r="L61" i="2"/>
  <c r="M60" i="2" s="1"/>
  <c r="P61" i="2"/>
  <c r="K62" i="2"/>
  <c r="N59" i="2" s="1"/>
  <c r="L62" i="2"/>
  <c r="N60" i="2" s="1"/>
  <c r="M62" i="2"/>
  <c r="N61" i="2" s="1"/>
  <c r="K63" i="2"/>
  <c r="O59" i="2" s="1"/>
  <c r="L63" i="2"/>
  <c r="O60" i="2" s="1"/>
  <c r="M63" i="2"/>
  <c r="O61" i="2" s="1"/>
  <c r="N63" i="2"/>
  <c r="O62" i="2" s="1"/>
  <c r="T63" i="2"/>
  <c r="K64" i="2"/>
  <c r="P59" i="2" s="1"/>
  <c r="L64" i="2"/>
  <c r="P60" i="2" s="1"/>
  <c r="M64" i="2"/>
  <c r="N64" i="2"/>
  <c r="P62" i="2" s="1"/>
  <c r="O64" i="2"/>
  <c r="P63" i="2" s="1"/>
  <c r="K65" i="2"/>
  <c r="Q59" i="2" s="1"/>
  <c r="L65" i="2"/>
  <c r="Q60" i="2" s="1"/>
  <c r="M65" i="2"/>
  <c r="Q61" i="2" s="1"/>
  <c r="N65" i="2"/>
  <c r="Q62" i="2" s="1"/>
  <c r="O65" i="2"/>
  <c r="Q63" i="2"/>
  <c r="P65" i="2"/>
  <c r="Q64" i="2" s="1"/>
  <c r="K66" i="2"/>
  <c r="R59" i="2"/>
  <c r="L66" i="2"/>
  <c r="R60" i="2" s="1"/>
  <c r="M66" i="2"/>
  <c r="R61" i="2" s="1"/>
  <c r="N66" i="2"/>
  <c r="R62" i="2" s="1"/>
  <c r="O66" i="2"/>
  <c r="R63" i="2" s="1"/>
  <c r="P66" i="2"/>
  <c r="R64" i="2" s="1"/>
  <c r="Q66" i="2"/>
  <c r="R65" i="2" s="1"/>
  <c r="K67" i="2"/>
  <c r="S59" i="2" s="1"/>
  <c r="L67" i="2"/>
  <c r="M67" i="2"/>
  <c r="S61" i="2" s="1"/>
  <c r="N67" i="2"/>
  <c r="S62" i="2" s="1"/>
  <c r="O67" i="2"/>
  <c r="S63" i="2" s="1"/>
  <c r="P67" i="2"/>
  <c r="S64" i="2" s="1"/>
  <c r="Q67" i="2"/>
  <c r="S65" i="2" s="1"/>
  <c r="R67" i="2"/>
  <c r="S66" i="2" s="1"/>
  <c r="K68" i="2"/>
  <c r="L68" i="2"/>
  <c r="M68" i="2"/>
  <c r="N68" i="2"/>
  <c r="T62" i="2" s="1"/>
  <c r="O68" i="2"/>
  <c r="P68" i="2"/>
  <c r="T64" i="2" s="1"/>
  <c r="Q68" i="2"/>
  <c r="T65" i="2" s="1"/>
  <c r="R68" i="2"/>
  <c r="T66" i="2" s="1"/>
  <c r="S68" i="2"/>
  <c r="T67" i="2" s="1"/>
  <c r="K69" i="2"/>
  <c r="U59" i="2" s="1"/>
  <c r="L69" i="2"/>
  <c r="U60" i="2" s="1"/>
  <c r="M69" i="2"/>
  <c r="U61" i="2" s="1"/>
  <c r="N69" i="2"/>
  <c r="U62" i="2" s="1"/>
  <c r="O69" i="2"/>
  <c r="U63" i="2" s="1"/>
  <c r="P69" i="2"/>
  <c r="U64" i="2" s="1"/>
  <c r="Q69" i="2"/>
  <c r="U65" i="2" s="1"/>
  <c r="R69" i="2"/>
  <c r="U66" i="2" s="1"/>
  <c r="S69" i="2"/>
  <c r="U67" i="2" s="1"/>
  <c r="T69" i="2"/>
  <c r="U68" i="2" s="1"/>
  <c r="AH69" i="2"/>
  <c r="K70" i="2"/>
  <c r="V59" i="2" s="1"/>
  <c r="L70" i="2"/>
  <c r="V60" i="2" s="1"/>
  <c r="M70" i="2"/>
  <c r="V61" i="2" s="1"/>
  <c r="N70" i="2"/>
  <c r="V62" i="2" s="1"/>
  <c r="O70" i="2"/>
  <c r="V63" i="2" s="1"/>
  <c r="P70" i="2"/>
  <c r="V64" i="2"/>
  <c r="Q70" i="2"/>
  <c r="V65" i="2" s="1"/>
  <c r="R70" i="2"/>
  <c r="V66" i="2" s="1"/>
  <c r="S70" i="2"/>
  <c r="V67" i="2" s="1"/>
  <c r="T70" i="2"/>
  <c r="V68" i="2" s="1"/>
  <c r="U70" i="2"/>
  <c r="V69" i="2" s="1"/>
  <c r="AG70" i="2"/>
  <c r="AH70" i="2"/>
  <c r="K71" i="2"/>
  <c r="L71" i="2"/>
  <c r="M71" i="2"/>
  <c r="W61" i="2" s="1"/>
  <c r="N71" i="2"/>
  <c r="W62" i="2" s="1"/>
  <c r="O71" i="2"/>
  <c r="W63" i="2" s="1"/>
  <c r="P71" i="2"/>
  <c r="W64" i="2" s="1"/>
  <c r="Q71" i="2"/>
  <c r="W65" i="2" s="1"/>
  <c r="R71" i="2"/>
  <c r="W66" i="2" s="1"/>
  <c r="S71" i="2"/>
  <c r="W67" i="2" s="1"/>
  <c r="T71" i="2"/>
  <c r="W68" i="2" s="1"/>
  <c r="U71" i="2"/>
  <c r="W69" i="2" s="1"/>
  <c r="V71" i="2"/>
  <c r="W70" i="2" s="1"/>
  <c r="AF71" i="2"/>
  <c r="AG71" i="2"/>
  <c r="AH71" i="2"/>
  <c r="K72" i="2"/>
  <c r="X59" i="2" s="1"/>
  <c r="L72" i="2"/>
  <c r="X60" i="2" s="1"/>
  <c r="M72" i="2"/>
  <c r="X61" i="2" s="1"/>
  <c r="N72" i="2"/>
  <c r="X62" i="2" s="1"/>
  <c r="O72" i="2"/>
  <c r="X63" i="2" s="1"/>
  <c r="P72" i="2"/>
  <c r="X64" i="2" s="1"/>
  <c r="Q72" i="2"/>
  <c r="X65" i="2" s="1"/>
  <c r="R72" i="2"/>
  <c r="X66" i="2" s="1"/>
  <c r="S72" i="2"/>
  <c r="X67" i="2" s="1"/>
  <c r="T72" i="2"/>
  <c r="X68" i="2" s="1"/>
  <c r="U72" i="2"/>
  <c r="X69" i="2" s="1"/>
  <c r="V72" i="2"/>
  <c r="X70" i="2" s="1"/>
  <c r="W72" i="2"/>
  <c r="X71" i="2"/>
  <c r="AE72" i="2"/>
  <c r="AF72" i="2"/>
  <c r="AG72" i="2"/>
  <c r="AH72" i="2"/>
  <c r="K73" i="2"/>
  <c r="Y59" i="2" s="1"/>
  <c r="L73" i="2"/>
  <c r="Y60" i="2" s="1"/>
  <c r="M73" i="2"/>
  <c r="Y61" i="2" s="1"/>
  <c r="N73" i="2"/>
  <c r="Y62" i="2" s="1"/>
  <c r="O73" i="2"/>
  <c r="Y63" i="2" s="1"/>
  <c r="P73" i="2"/>
  <c r="Y64" i="2" s="1"/>
  <c r="Q73" i="2"/>
  <c r="Y65" i="2"/>
  <c r="R73" i="2"/>
  <c r="Y66" i="2" s="1"/>
  <c r="S73" i="2"/>
  <c r="Y67" i="2" s="1"/>
  <c r="T73" i="2"/>
  <c r="Y68" i="2"/>
  <c r="U73" i="2"/>
  <c r="Y69" i="2" s="1"/>
  <c r="V73" i="2"/>
  <c r="Y70" i="2" s="1"/>
  <c r="W73" i="2"/>
  <c r="Y71" i="2" s="1"/>
  <c r="X73" i="2"/>
  <c r="Y72" i="2"/>
  <c r="AD73" i="2"/>
  <c r="AE73" i="2"/>
  <c r="AF73" i="2"/>
  <c r="AG73" i="2"/>
  <c r="AH73" i="2"/>
  <c r="K74" i="2"/>
  <c r="Z59" i="2"/>
  <c r="L74" i="2"/>
  <c r="Z60" i="2" s="1"/>
  <c r="M74" i="2"/>
  <c r="Z61" i="2" s="1"/>
  <c r="N74" i="2"/>
  <c r="Z62" i="2" s="1"/>
  <c r="O74" i="2"/>
  <c r="Z63" i="2" s="1"/>
  <c r="P74" i="2"/>
  <c r="Z64" i="2" s="1"/>
  <c r="Q74" i="2"/>
  <c r="Z65" i="2" s="1"/>
  <c r="R74" i="2"/>
  <c r="Z66" i="2" s="1"/>
  <c r="S74" i="2"/>
  <c r="Z67" i="2"/>
  <c r="T74" i="2"/>
  <c r="Z68" i="2" s="1"/>
  <c r="U74" i="2"/>
  <c r="Z69" i="2" s="1"/>
  <c r="V74" i="2"/>
  <c r="Z70" i="2" s="1"/>
  <c r="W74" i="2"/>
  <c r="Z71" i="2" s="1"/>
  <c r="X74" i="2"/>
  <c r="Z72" i="2" s="1"/>
  <c r="Y74" i="2"/>
  <c r="Z73" i="2" s="1"/>
  <c r="K75" i="2"/>
  <c r="AA59" i="2" s="1"/>
  <c r="L75" i="2"/>
  <c r="AA60" i="2" s="1"/>
  <c r="M75" i="2"/>
  <c r="AA61" i="2" s="1"/>
  <c r="N75" i="2"/>
  <c r="AA62" i="2" s="1"/>
  <c r="O75" i="2"/>
  <c r="AA63" i="2" s="1"/>
  <c r="P75" i="2"/>
  <c r="AA64" i="2" s="1"/>
  <c r="Q75" i="2"/>
  <c r="AA65" i="2" s="1"/>
  <c r="R75" i="2"/>
  <c r="AA66" i="2" s="1"/>
  <c r="S75" i="2"/>
  <c r="AA67" i="2" s="1"/>
  <c r="T75" i="2"/>
  <c r="AA68" i="2" s="1"/>
  <c r="U75" i="2"/>
  <c r="AA69" i="2" s="1"/>
  <c r="V75" i="2"/>
  <c r="AA70" i="2" s="1"/>
  <c r="W75" i="2"/>
  <c r="AA71" i="2" s="1"/>
  <c r="X75" i="2"/>
  <c r="AA72" i="2" s="1"/>
  <c r="Y75" i="2"/>
  <c r="AA73" i="2"/>
  <c r="K76" i="2"/>
  <c r="AB59" i="2" s="1"/>
  <c r="L76" i="2"/>
  <c r="AB60" i="2" s="1"/>
  <c r="M76" i="2"/>
  <c r="AB61" i="2" s="1"/>
  <c r="N76" i="2"/>
  <c r="AB62" i="2" s="1"/>
  <c r="O76" i="2"/>
  <c r="AB63" i="2" s="1"/>
  <c r="P76" i="2"/>
  <c r="AB64" i="2" s="1"/>
  <c r="Q76" i="2"/>
  <c r="AB65" i="2" s="1"/>
  <c r="R76" i="2"/>
  <c r="AB66" i="2" s="1"/>
  <c r="S76" i="2"/>
  <c r="AB67" i="2" s="1"/>
  <c r="T76" i="2"/>
  <c r="AB68" i="2" s="1"/>
  <c r="U76" i="2"/>
  <c r="AB69" i="2" s="1"/>
  <c r="V76" i="2"/>
  <c r="AB70" i="2" s="1"/>
  <c r="W76" i="2"/>
  <c r="AB71" i="2" s="1"/>
  <c r="X76" i="2"/>
  <c r="AB72" i="2" s="1"/>
  <c r="Y76" i="2"/>
  <c r="AB73" i="2" s="1"/>
  <c r="K77" i="2"/>
  <c r="AC59" i="2" s="1"/>
  <c r="L77" i="2"/>
  <c r="AC60" i="2" s="1"/>
  <c r="M77" i="2"/>
  <c r="AD60" i="2" s="1"/>
  <c r="N77" i="2"/>
  <c r="AF59" i="2" s="1"/>
  <c r="O77" i="2"/>
  <c r="P77" i="2"/>
  <c r="AG60" i="2" s="1"/>
  <c r="Q77" i="2"/>
  <c r="R77" i="2"/>
  <c r="AH61" i="2" s="1"/>
  <c r="S77" i="2"/>
  <c r="T77" i="2"/>
  <c r="U77" i="2"/>
  <c r="AC69" i="2" s="1"/>
  <c r="V77" i="2"/>
  <c r="AF67" i="2" s="1"/>
  <c r="W77" i="2"/>
  <c r="X77" i="2"/>
  <c r="Y77" i="2"/>
  <c r="AE71" i="2" s="1"/>
  <c r="K78" i="2"/>
  <c r="L78" i="2"/>
  <c r="M78" i="2"/>
  <c r="N78" i="2"/>
  <c r="O78" i="2"/>
  <c r="P78" i="2"/>
  <c r="Q78" i="2"/>
  <c r="R78" i="2"/>
  <c r="S78" i="2"/>
  <c r="T78" i="2"/>
  <c r="U78" i="2"/>
  <c r="V78" i="2"/>
  <c r="W78" i="2"/>
  <c r="X78" i="2"/>
  <c r="Y78" i="2"/>
  <c r="K79" i="2"/>
  <c r="L79" i="2"/>
  <c r="M79" i="2"/>
  <c r="N79" i="2"/>
  <c r="O79" i="2"/>
  <c r="P79" i="2"/>
  <c r="Q79" i="2"/>
  <c r="R79" i="2"/>
  <c r="S79" i="2"/>
  <c r="T79" i="2"/>
  <c r="U79" i="2"/>
  <c r="V79" i="2"/>
  <c r="W79" i="2"/>
  <c r="X79" i="2"/>
  <c r="Y79" i="2"/>
  <c r="K80" i="2"/>
  <c r="L80" i="2"/>
  <c r="M80" i="2"/>
  <c r="N80" i="2"/>
  <c r="O80" i="2"/>
  <c r="P80" i="2"/>
  <c r="Q80" i="2"/>
  <c r="R80" i="2"/>
  <c r="S80" i="2"/>
  <c r="T80" i="2"/>
  <c r="U80" i="2"/>
  <c r="V80" i="2"/>
  <c r="W80" i="2"/>
  <c r="X80" i="2"/>
  <c r="Y80" i="2"/>
  <c r="K81" i="2"/>
  <c r="L81" i="2"/>
  <c r="M81" i="2"/>
  <c r="N81" i="2"/>
  <c r="O81" i="2"/>
  <c r="P81" i="2"/>
  <c r="Q81" i="2"/>
  <c r="R81" i="2"/>
  <c r="S81" i="2"/>
  <c r="T81" i="2"/>
  <c r="U81" i="2"/>
  <c r="V81" i="2"/>
  <c r="W81" i="2"/>
  <c r="X81" i="2"/>
  <c r="Y81" i="2"/>
  <c r="K82" i="2"/>
  <c r="L82" i="2"/>
  <c r="M82" i="2"/>
  <c r="N82" i="2"/>
  <c r="O82" i="2"/>
  <c r="P82" i="2"/>
  <c r="Q82" i="2"/>
  <c r="R82" i="2"/>
  <c r="S82" i="2"/>
  <c r="T82" i="2"/>
  <c r="U82" i="2"/>
  <c r="V82" i="2"/>
  <c r="W82" i="2"/>
  <c r="X82" i="2"/>
  <c r="Y82" i="2"/>
  <c r="S96" i="2"/>
  <c r="T95" i="2" s="1"/>
  <c r="S98" i="2"/>
  <c r="V95" i="2" s="1"/>
  <c r="N110" i="2"/>
  <c r="AH90" i="2" s="1"/>
  <c r="C115" i="2"/>
  <c r="K109" i="2" s="1"/>
  <c r="AG87" i="2" s="1"/>
  <c r="C116" i="2"/>
  <c r="C117" i="2"/>
  <c r="M109" i="2" s="1"/>
  <c r="AG89" i="2" s="1"/>
  <c r="C118" i="2"/>
  <c r="N91" i="2" s="1"/>
  <c r="O90" i="2" s="1"/>
  <c r="C119" i="2"/>
  <c r="C120" i="2"/>
  <c r="P95" i="2" s="1"/>
  <c r="S92" i="2" s="1"/>
  <c r="C121" i="2"/>
  <c r="C122" i="2"/>
  <c r="C124" i="2"/>
  <c r="C125" i="2"/>
  <c r="U109" i="2" s="1"/>
  <c r="C126" i="2"/>
  <c r="C127" i="2"/>
  <c r="C128" i="2"/>
  <c r="C129" i="2"/>
  <c r="C130" i="2"/>
  <c r="C131" i="2"/>
  <c r="C132" i="2"/>
  <c r="C133" i="2"/>
  <c r="T105" i="2" s="1"/>
  <c r="AC96" i="2" s="1"/>
  <c r="AC9" i="1"/>
  <c r="AF10" i="1"/>
  <c r="W12" i="1"/>
  <c r="AE12" i="1"/>
  <c r="W13" i="1"/>
  <c r="W14" i="1"/>
  <c r="W15" i="1"/>
  <c r="W16" i="1"/>
  <c r="W17" i="1"/>
  <c r="W18" i="1"/>
  <c r="W19" i="1"/>
  <c r="W20" i="1"/>
  <c r="W21" i="1"/>
  <c r="W22" i="1"/>
  <c r="W23" i="1"/>
  <c r="W24" i="1"/>
  <c r="W25" i="1"/>
  <c r="W26" i="1"/>
  <c r="W27" i="1"/>
  <c r="W28" i="1"/>
  <c r="W29" i="1"/>
  <c r="W30" i="1"/>
  <c r="W31" i="1"/>
  <c r="W32" i="1"/>
  <c r="W33" i="1"/>
  <c r="W34" i="1"/>
  <c r="W35" i="1"/>
  <c r="C38" i="1"/>
  <c r="P53" i="1"/>
  <c r="P54" i="1"/>
  <c r="I55" i="1"/>
  <c r="P55" i="1"/>
  <c r="I58" i="1"/>
  <c r="I61" i="1"/>
  <c r="I63" i="1"/>
  <c r="I64" i="1"/>
  <c r="I65" i="1"/>
  <c r="I66" i="1"/>
  <c r="BF23" i="4"/>
  <c r="AT22" i="4"/>
  <c r="BH25" i="4"/>
  <c r="BG26" i="4"/>
  <c r="AU21" i="4"/>
  <c r="BG17" i="4"/>
  <c r="BG13" i="4"/>
  <c r="BG9" i="4"/>
  <c r="BH8" i="4"/>
  <c r="BG7" i="4"/>
  <c r="AU53" i="4"/>
  <c r="BI41" i="4"/>
  <c r="AU45" i="4"/>
  <c r="AU41" i="4"/>
  <c r="AT39" i="4"/>
  <c r="BG15" i="4"/>
  <c r="BG10" i="4"/>
  <c r="AT11" i="4"/>
  <c r="AW7" i="4"/>
  <c r="BI7" i="4"/>
  <c r="AV7" i="4"/>
  <c r="AX10" i="4"/>
  <c r="BI12" i="4"/>
  <c r="AW10" i="4"/>
  <c r="BI9" i="4"/>
  <c r="BH9" i="4"/>
  <c r="AX8" i="4"/>
  <c r="BJ16" i="4"/>
  <c r="BI11" i="4"/>
  <c r="BI14" i="4"/>
  <c r="AV14" i="4"/>
  <c r="BI13" i="4"/>
  <c r="BH11" i="4"/>
  <c r="BF17" i="4"/>
  <c r="AT9" i="4"/>
  <c r="BF12" i="4"/>
  <c r="AT8" i="4"/>
  <c r="AX44" i="4"/>
  <c r="AX39" i="4"/>
  <c r="AV37" i="4"/>
  <c r="AX37" i="4"/>
  <c r="BJ46" i="4"/>
  <c r="BJ45" i="4"/>
  <c r="BJ44" i="4"/>
  <c r="BJ43" i="4"/>
  <c r="BJ41" i="4"/>
  <c r="BJ37" i="4"/>
  <c r="AT42" i="4"/>
  <c r="BI17" i="4"/>
  <c r="BF16" i="4"/>
  <c r="BH15" i="4"/>
  <c r="AX15" i="4"/>
  <c r="BF13" i="4"/>
  <c r="BI42" i="4"/>
  <c r="BI38" i="4"/>
  <c r="AU46" i="4"/>
  <c r="AU43" i="4"/>
  <c r="AU42" i="4"/>
  <c r="AU39" i="4"/>
  <c r="AT31" i="4"/>
  <c r="BF30" i="4"/>
  <c r="BF29" i="4"/>
  <c r="BF27" i="4"/>
  <c r="AX17" i="4"/>
  <c r="BF15" i="4"/>
  <c r="AX12" i="4"/>
  <c r="BH45" i="4"/>
  <c r="BH41" i="4"/>
  <c r="BH37" i="4"/>
  <c r="AX14" i="4"/>
  <c r="BJ7" i="4"/>
  <c r="AT50" i="4"/>
  <c r="BF50" i="4"/>
  <c r="BF51" i="4"/>
  <c r="BF53" i="4"/>
  <c r="AT53" i="4"/>
  <c r="AT52" i="4"/>
  <c r="BF52" i="4"/>
  <c r="BF54" i="4"/>
  <c r="AG49" i="4"/>
  <c r="AT49" i="4" s="1"/>
  <c r="BE21" i="8"/>
  <c r="BE34" i="8"/>
  <c r="BF34" i="8" s="1"/>
  <c r="BE32" i="8"/>
  <c r="BF32" i="8" s="1"/>
  <c r="BE31" i="8"/>
  <c r="BF31" i="8" s="1"/>
  <c r="BE29" i="8"/>
  <c r="BF29" i="8" s="1"/>
  <c r="BA58" i="8"/>
  <c r="BB58" i="8" s="1"/>
  <c r="BA54" i="8"/>
  <c r="BB54" i="8" s="1"/>
  <c r="BB49" i="8"/>
  <c r="BB53" i="8"/>
  <c r="BB50" i="8"/>
  <c r="BD67" i="8"/>
  <c r="BE67" i="8" s="1"/>
  <c r="BD68" i="8"/>
  <c r="BE68" i="8" s="1"/>
  <c r="BD69" i="8"/>
  <c r="BE69" i="8" s="1"/>
  <c r="BD70" i="8"/>
  <c r="BE70" i="8" s="1"/>
  <c r="AX90" i="8"/>
  <c r="AX89" i="8"/>
  <c r="AX93" i="8"/>
  <c r="BE89" i="8"/>
  <c r="AX86" i="8"/>
  <c r="BB90" i="8"/>
  <c r="BC90" i="8" s="1"/>
  <c r="BB91" i="8"/>
  <c r="BC91" i="8" s="1"/>
  <c r="BB96" i="8"/>
  <c r="BC96" i="8"/>
  <c r="AW96" i="8"/>
  <c r="AX96" i="8"/>
  <c r="BE35" i="9"/>
  <c r="BF35" i="9" s="1"/>
  <c r="BA57" i="9"/>
  <c r="BB57" i="9" s="1"/>
  <c r="BB94" i="9"/>
  <c r="BC94" i="9" s="1"/>
  <c r="BB92" i="9"/>
  <c r="BC92" i="9" s="1"/>
  <c r="BB90" i="9"/>
  <c r="BC90" i="9"/>
  <c r="BB89" i="9"/>
  <c r="BC89" i="9" s="1"/>
  <c r="BB96" i="9"/>
  <c r="BC96" i="9" s="1"/>
  <c r="BB93" i="9"/>
  <c r="BC93" i="9" s="1"/>
  <c r="BB53" i="9"/>
  <c r="AX90" i="9"/>
  <c r="BD72" i="9"/>
  <c r="BE72" i="9" s="1"/>
  <c r="BD71" i="9"/>
  <c r="BE71" i="9" s="1"/>
  <c r="BD70" i="9"/>
  <c r="BE70" i="9" s="1"/>
  <c r="BD69" i="9"/>
  <c r="BE69" i="9" s="1"/>
  <c r="BD68" i="9"/>
  <c r="BE68" i="9" s="1"/>
  <c r="BD66" i="9"/>
  <c r="BE66" i="9" s="1"/>
  <c r="BD65" i="9"/>
  <c r="BE65" i="9" s="1"/>
  <c r="BB52" i="9"/>
  <c r="BB50" i="9"/>
  <c r="AX89" i="9"/>
  <c r="AW94" i="9"/>
  <c r="AX94" i="9" s="1"/>
  <c r="BG28" i="9"/>
  <c r="BF66" i="9"/>
  <c r="BF67" i="9" s="1"/>
  <c r="AW93" i="9"/>
  <c r="AX93" i="9"/>
  <c r="BE34" i="9"/>
  <c r="BF34" i="9" s="1"/>
  <c r="BE33" i="9"/>
  <c r="BF33" i="9" s="1"/>
  <c r="BE32" i="9"/>
  <c r="BF32" i="9" s="1"/>
  <c r="BE30" i="9"/>
  <c r="BF30" i="9" s="1"/>
  <c r="BE29" i="9"/>
  <c r="BF29" i="9"/>
  <c r="BE28" i="9"/>
  <c r="BF28" i="9" s="1"/>
  <c r="BB54" i="9"/>
  <c r="BA56" i="9"/>
  <c r="BB56" i="9" s="1"/>
  <c r="AX86" i="9"/>
  <c r="BE89" i="9"/>
  <c r="BF20" i="9"/>
  <c r="BF18" i="9"/>
  <c r="BF16" i="9"/>
  <c r="BF21" i="9"/>
  <c r="BF19" i="9"/>
  <c r="BZ110" i="7"/>
  <c r="CA110" i="7" s="1"/>
  <c r="BW109" i="7"/>
  <c r="E81" i="7"/>
  <c r="BT51" i="7"/>
  <c r="AU81" i="7"/>
  <c r="AE81" i="7"/>
  <c r="I81" i="7"/>
  <c r="BT55" i="7" s="1"/>
  <c r="BW78" i="7"/>
  <c r="BW74" i="7"/>
  <c r="BW70" i="7"/>
  <c r="BW68" i="7"/>
  <c r="BW29" i="7"/>
  <c r="BX29" i="7" s="1"/>
  <c r="BT30" i="7"/>
  <c r="BU30" i="7" s="1"/>
  <c r="BT32" i="7"/>
  <c r="BU32" i="7" s="1"/>
  <c r="BT18" i="7"/>
  <c r="BT14" i="7"/>
  <c r="BT12" i="7"/>
  <c r="BT8" i="7"/>
  <c r="BT39" i="7"/>
  <c r="BU39" i="7" s="1"/>
  <c r="BT35" i="7"/>
  <c r="BU35" i="7" s="1"/>
  <c r="BT28" i="7"/>
  <c r="BU28" i="7" s="1"/>
  <c r="BT36" i="7"/>
  <c r="BU36" i="7" s="1"/>
  <c r="BT29" i="7"/>
  <c r="BU29" i="7" s="1"/>
  <c r="BT20" i="7"/>
  <c r="BT16" i="7"/>
  <c r="BT10" i="7"/>
  <c r="BT6" i="7"/>
  <c r="BT34" i="7"/>
  <c r="BU34" i="7" s="1"/>
  <c r="BT31" i="7"/>
  <c r="BU31" i="7"/>
  <c r="BT17" i="7"/>
  <c r="BT15" i="7"/>
  <c r="BT13" i="7"/>
  <c r="BT11" i="7"/>
  <c r="BT9" i="7"/>
  <c r="M41" i="5"/>
  <c r="BT9" i="10"/>
  <c r="I39" i="10"/>
  <c r="BT14" i="10" s="1"/>
  <c r="W39" i="10"/>
  <c r="BT11" i="10" s="1"/>
  <c r="BW26" i="10"/>
  <c r="AM39" i="10"/>
  <c r="BZ27" i="10"/>
  <c r="CA27" i="10" s="1"/>
  <c r="BT48" i="10"/>
  <c r="BT51" i="10"/>
  <c r="BT52" i="10"/>
  <c r="BT53" i="10"/>
  <c r="BT55" i="10"/>
  <c r="BT56" i="10"/>
  <c r="BT57" i="10"/>
  <c r="BC39" i="10"/>
  <c r="BT8" i="10"/>
  <c r="BW76" i="10"/>
  <c r="AY80" i="10"/>
  <c r="BT58" i="10" s="1"/>
  <c r="BC80" i="10"/>
  <c r="BT59" i="10" s="1"/>
  <c r="BW75" i="10"/>
  <c r="AH63" i="2"/>
  <c r="AE66" i="2"/>
  <c r="AD67" i="2"/>
  <c r="AF65" i="2"/>
  <c r="AC64" i="2"/>
  <c r="AD59" i="2"/>
  <c r="G109" i="3"/>
  <c r="Q99" i="3" s="1"/>
  <c r="G100" i="3"/>
  <c r="H99" i="3" s="1"/>
  <c r="G101" i="3"/>
  <c r="I99" i="3" s="1"/>
  <c r="G102" i="3"/>
  <c r="J99" i="3" s="1"/>
  <c r="Y110" i="2"/>
  <c r="AH101" i="2" s="1"/>
  <c r="U107" i="2"/>
  <c r="U110" i="2"/>
  <c r="AH97" i="2" s="1"/>
  <c r="S97" i="2"/>
  <c r="U95" i="2" s="1"/>
  <c r="P107" i="2"/>
  <c r="AE92" i="2" s="1"/>
  <c r="P109" i="2"/>
  <c r="AG92" i="2" s="1"/>
  <c r="L108" i="2"/>
  <c r="AF88" i="2" s="1"/>
  <c r="T107" i="2"/>
  <c r="U106" i="2"/>
  <c r="AD97" i="2" s="1"/>
  <c r="U105" i="2"/>
  <c r="AC97" i="2" s="1"/>
  <c r="Q101" i="2"/>
  <c r="Y93" i="2" s="1"/>
  <c r="L98" i="2"/>
  <c r="V88" i="2" s="1"/>
  <c r="Q97" i="2"/>
  <c r="U93" i="2" s="1"/>
  <c r="L97" i="2"/>
  <c r="U88" i="2" s="1"/>
  <c r="AE65" i="2"/>
  <c r="AF64" i="2"/>
  <c r="AD62" i="2"/>
  <c r="AG59" i="2"/>
  <c r="AF60" i="2"/>
  <c r="J111" i="3"/>
  <c r="S102" i="3" s="1"/>
  <c r="B103" i="3"/>
  <c r="K94" i="3" s="1"/>
  <c r="K111" i="3"/>
  <c r="S103" i="3" s="1"/>
  <c r="F100" i="3"/>
  <c r="H98" i="3" s="1"/>
  <c r="F101" i="3"/>
  <c r="I98" i="3" s="1"/>
  <c r="F110" i="3"/>
  <c r="R98" i="3" s="1"/>
  <c r="F111" i="3"/>
  <c r="S98" i="3" s="1"/>
  <c r="B95" i="3"/>
  <c r="C94" i="3" s="1"/>
  <c r="B96" i="3"/>
  <c r="D94" i="3" s="1"/>
  <c r="G111" i="3"/>
  <c r="S99" i="3" s="1"/>
  <c r="I108" i="3"/>
  <c r="P101" i="3" s="1"/>
  <c r="B104" i="3"/>
  <c r="L94" i="3" s="1"/>
  <c r="AF69" i="2"/>
  <c r="AD63" i="2"/>
  <c r="AE62" i="2"/>
  <c r="J104" i="3"/>
  <c r="L102" i="3" s="1"/>
  <c r="L106" i="3"/>
  <c r="N104" i="3" s="1"/>
  <c r="C99" i="3"/>
  <c r="G95" i="3" s="1"/>
  <c r="C104" i="3"/>
  <c r="L95" i="3" s="1"/>
  <c r="C96" i="3"/>
  <c r="D95" i="3" s="1"/>
  <c r="C98" i="3"/>
  <c r="F95" i="3" s="1"/>
  <c r="F104" i="3"/>
  <c r="L98" i="3" s="1"/>
  <c r="T109" i="2"/>
  <c r="AG96" i="2" s="1"/>
  <c r="O92" i="2"/>
  <c r="P91" i="2" s="1"/>
  <c r="O93" i="2"/>
  <c r="Q91" i="2" s="1"/>
  <c r="O94" i="2"/>
  <c r="R91" i="2" s="1"/>
  <c r="O106" i="2"/>
  <c r="AD91" i="2" s="1"/>
  <c r="O108" i="2"/>
  <c r="AF91" i="2" s="1"/>
  <c r="K88" i="2"/>
  <c r="L87" i="2" s="1"/>
  <c r="K89" i="2"/>
  <c r="M87" i="2" s="1"/>
  <c r="K90" i="2"/>
  <c r="N87" i="2" s="1"/>
  <c r="K92" i="2"/>
  <c r="P87" i="2" s="1"/>
  <c r="K93" i="2"/>
  <c r="Q87" i="2" s="1"/>
  <c r="K94" i="2"/>
  <c r="R87" i="2" s="1"/>
  <c r="K95" i="2"/>
  <c r="S87" i="2" s="1"/>
  <c r="K97" i="2"/>
  <c r="U87" i="2" s="1"/>
  <c r="K106" i="2"/>
  <c r="AD87" i="2" s="1"/>
  <c r="K108" i="2"/>
  <c r="AF87" i="2" s="1"/>
  <c r="K110" i="2"/>
  <c r="AH87" i="2" s="1"/>
  <c r="O109" i="2"/>
  <c r="AG91" i="2" s="1"/>
  <c r="AB108" i="2"/>
  <c r="AF104" i="2" s="1"/>
  <c r="AB107" i="2"/>
  <c r="AE104" i="2" s="1"/>
  <c r="T104" i="2"/>
  <c r="AB96" i="2" s="1"/>
  <c r="M91" i="2"/>
  <c r="O89" i="2" s="1"/>
  <c r="T60" i="2"/>
  <c r="T61" i="2"/>
  <c r="AG64" i="2"/>
  <c r="K103" i="2"/>
  <c r="AA87" i="2" s="1"/>
  <c r="AA109" i="2"/>
  <c r="AG103" i="2" s="1"/>
  <c r="R96" i="2"/>
  <c r="T94" i="2" s="1"/>
  <c r="S99" i="2"/>
  <c r="W95" i="2" s="1"/>
  <c r="N104" i="2"/>
  <c r="AB90" i="2" s="1"/>
  <c r="AB110" i="2"/>
  <c r="AH104" i="2" s="1"/>
  <c r="T110" i="2"/>
  <c r="AH95" i="2" s="1"/>
  <c r="O110" i="2"/>
  <c r="AH91" i="2" s="1"/>
  <c r="N109" i="2"/>
  <c r="AG90" i="2" s="1"/>
  <c r="U108" i="2"/>
  <c r="AF97" i="2" s="1"/>
  <c r="N108" i="2"/>
  <c r="AF90" i="2" s="1"/>
  <c r="AA107" i="2"/>
  <c r="AE103" i="2" s="1"/>
  <c r="K107" i="2"/>
  <c r="AE87" i="2" s="1"/>
  <c r="L104" i="2"/>
  <c r="AB88" i="2" s="1"/>
  <c r="M103" i="2"/>
  <c r="AA89" i="2" s="1"/>
  <c r="Q99" i="2"/>
  <c r="W93" i="2" s="1"/>
  <c r="T97" i="2"/>
  <c r="U96" i="2" s="1"/>
  <c r="Q94" i="2"/>
  <c r="R93" i="2" s="1"/>
  <c r="L94" i="2"/>
  <c r="R88" i="2" s="1"/>
  <c r="L93" i="2"/>
  <c r="Q88" i="2" s="1"/>
  <c r="L92" i="2"/>
  <c r="P88" i="2" s="1"/>
  <c r="L91" i="2"/>
  <c r="O88" i="2" s="1"/>
  <c r="AD71" i="2"/>
  <c r="AE70" i="2"/>
  <c r="AC68" i="2"/>
  <c r="AG63" i="2"/>
  <c r="AH59" i="2"/>
  <c r="B111" i="3"/>
  <c r="S94" i="3"/>
  <c r="K105" i="3"/>
  <c r="M103" i="3" s="1"/>
  <c r="G104" i="3"/>
  <c r="L99" i="3" s="1"/>
  <c r="C102" i="3"/>
  <c r="J95" i="3" s="1"/>
  <c r="C101" i="3"/>
  <c r="I95" i="3" s="1"/>
  <c r="C100" i="3"/>
  <c r="H95" i="3" s="1"/>
  <c r="D98" i="3"/>
  <c r="F96" i="3" s="1"/>
  <c r="I103" i="3"/>
  <c r="K101" i="3" s="1"/>
  <c r="K102" i="2"/>
  <c r="Z87" i="2" s="1"/>
  <c r="M110" i="2"/>
  <c r="AH89" i="2" s="1"/>
  <c r="AH64" i="2"/>
  <c r="AE67" i="2"/>
  <c r="AD68" i="2"/>
  <c r="AD64" i="2"/>
  <c r="AE63" i="2"/>
  <c r="AC61" i="2"/>
  <c r="S60" i="2"/>
  <c r="AE59" i="2"/>
  <c r="D111" i="3"/>
  <c r="S96" i="3" s="1"/>
  <c r="H106" i="3"/>
  <c r="N100" i="3" s="1"/>
  <c r="H104" i="3"/>
  <c r="L100" i="3" s="1"/>
  <c r="AD69" i="2"/>
  <c r="AH65" i="2"/>
  <c r="AD65" i="2"/>
  <c r="AC62" i="2"/>
  <c r="C110" i="3"/>
  <c r="R95" i="3" s="1"/>
  <c r="B106" i="3"/>
  <c r="N94" i="3" s="1"/>
  <c r="N109" i="3"/>
  <c r="Q106" i="3" s="1"/>
  <c r="I104" i="3"/>
  <c r="L101" i="3" s="1"/>
  <c r="H103" i="3"/>
  <c r="K100" i="3" s="1"/>
  <c r="D103" i="3"/>
  <c r="K96" i="3" s="1"/>
  <c r="K104" i="3"/>
  <c r="L103" i="3" s="1"/>
  <c r="O96" i="2"/>
  <c r="T91" i="2" s="1"/>
  <c r="J103" i="3"/>
  <c r="K102" i="3" s="1"/>
  <c r="F103" i="3"/>
  <c r="K98" i="3" s="1"/>
  <c r="G105" i="3"/>
  <c r="M99" i="3" s="1"/>
  <c r="U99" i="2"/>
  <c r="W97" i="2" s="1"/>
  <c r="N111" i="3"/>
  <c r="S106" i="3" s="1"/>
  <c r="I106" i="3"/>
  <c r="N101" i="3" s="1"/>
  <c r="J107" i="3"/>
  <c r="O102" i="3" s="1"/>
  <c r="H107" i="3"/>
  <c r="O100" i="3" s="1"/>
  <c r="C107" i="3"/>
  <c r="O95" i="3" s="1"/>
  <c r="X107" i="2"/>
  <c r="AE100" i="2" s="1"/>
  <c r="S105" i="2"/>
  <c r="AC95" i="2" s="1"/>
  <c r="T100" i="2"/>
  <c r="X96" i="2" s="1"/>
  <c r="L107" i="3"/>
  <c r="O104" i="3" s="1"/>
  <c r="G107" i="3"/>
  <c r="O99" i="3" s="1"/>
  <c r="B107" i="3"/>
  <c r="O94" i="3" s="1"/>
  <c r="X106" i="2"/>
  <c r="AD100" i="2" s="1"/>
  <c r="S100" i="2"/>
  <c r="X95" i="2" s="1"/>
  <c r="F107" i="3"/>
  <c r="O98" i="3" s="1"/>
  <c r="M101" i="2"/>
  <c r="Y89" i="2" s="1"/>
  <c r="Y104" i="2"/>
  <c r="AB101" i="2" s="1"/>
  <c r="U101" i="2"/>
  <c r="Y97" i="2" s="1"/>
  <c r="Z108" i="2"/>
  <c r="AF102" i="2" s="1"/>
  <c r="Z109" i="2"/>
  <c r="AG102" i="2" s="1"/>
  <c r="S107" i="2"/>
  <c r="AE95" i="2" s="1"/>
  <c r="M102" i="2"/>
  <c r="Z89" i="2" s="1"/>
  <c r="Z104" i="2"/>
  <c r="AB102" i="2" s="1"/>
  <c r="Z103" i="2"/>
  <c r="AA102" i="2" s="1"/>
  <c r="R102" i="2"/>
  <c r="Z94" i="2" s="1"/>
  <c r="C109" i="3"/>
  <c r="Q95" i="3" s="1"/>
  <c r="Q102" i="2"/>
  <c r="Z93" i="2" s="1"/>
  <c r="J109" i="3"/>
  <c r="Q102" i="3" s="1"/>
  <c r="B109" i="3"/>
  <c r="Q94" i="3" s="1"/>
  <c r="J110" i="3"/>
  <c r="R102" i="3" s="1"/>
  <c r="B110" i="3"/>
  <c r="R94" i="3" s="1"/>
  <c r="AA104" i="2"/>
  <c r="AB103" i="2" s="1"/>
  <c r="R103" i="2"/>
  <c r="AA94" i="2" s="1"/>
  <c r="I110" i="3"/>
  <c r="R101" i="3" s="1"/>
  <c r="S103" i="2"/>
  <c r="AA95" i="2" s="1"/>
  <c r="O98" i="2"/>
  <c r="V91" i="2" s="1"/>
  <c r="K98" i="2"/>
  <c r="V87" i="2" s="1"/>
  <c r="V108" i="2"/>
  <c r="AF98" i="2" s="1"/>
  <c r="V106" i="2"/>
  <c r="AD98" i="2" s="1"/>
  <c r="R98" i="2"/>
  <c r="V94" i="2" s="1"/>
  <c r="N98" i="2"/>
  <c r="V90" i="2" s="1"/>
  <c r="M108" i="3"/>
  <c r="P105" i="3" s="1"/>
  <c r="M106" i="3"/>
  <c r="N105" i="3" s="1"/>
  <c r="I105" i="3"/>
  <c r="M101" i="3" s="1"/>
  <c r="U98" i="2"/>
  <c r="V97" i="2" s="1"/>
  <c r="Q98" i="2"/>
  <c r="V93" i="2" s="1"/>
  <c r="L105" i="3"/>
  <c r="M104" i="3" s="1"/>
  <c r="H105" i="3"/>
  <c r="M100" i="3" s="1"/>
  <c r="AC71" i="2"/>
  <c r="W100" i="2"/>
  <c r="X99" i="2" s="1"/>
  <c r="T99" i="2"/>
  <c r="W96" i="2" s="1"/>
  <c r="P99" i="2"/>
  <c r="W92" i="2" s="1"/>
  <c r="L99" i="2"/>
  <c r="W88" i="2" s="1"/>
  <c r="K99" i="2"/>
  <c r="W87" i="2" s="1"/>
  <c r="AF68" i="2"/>
  <c r="AG67" i="2"/>
  <c r="AH66" i="2"/>
  <c r="N110" i="3"/>
  <c r="R106" i="3" s="1"/>
  <c r="C106" i="3"/>
  <c r="N95" i="3" s="1"/>
  <c r="W108" i="2"/>
  <c r="AF99" i="2" s="1"/>
  <c r="W104" i="2"/>
  <c r="AB99" i="2" s="1"/>
  <c r="S104" i="2"/>
  <c r="AB95" i="2" s="1"/>
  <c r="V99" i="2"/>
  <c r="W98" i="2" s="1"/>
  <c r="R99" i="2"/>
  <c r="W94" i="2" s="1"/>
  <c r="F106" i="3"/>
  <c r="N98" i="3" s="1"/>
  <c r="X109" i="2"/>
  <c r="AG100" i="2" s="1"/>
  <c r="X108" i="2"/>
  <c r="AF100" i="2" s="1"/>
  <c r="V100" i="2"/>
  <c r="X98" i="2"/>
  <c r="AH67" i="2"/>
  <c r="X104" i="2"/>
  <c r="AB100" i="2" s="1"/>
  <c r="U100" i="2"/>
  <c r="X97" i="2" s="1"/>
  <c r="Q100" i="2"/>
  <c r="X93" i="2" s="1"/>
  <c r="O109" i="3"/>
  <c r="I107" i="3"/>
  <c r="O101" i="3" s="1"/>
  <c r="AF70" i="2"/>
  <c r="S106" i="2"/>
  <c r="AD95" i="2" s="1"/>
  <c r="Y103" i="2"/>
  <c r="AA101" i="2" s="1"/>
  <c r="X101" i="2"/>
  <c r="Y100" i="2" s="1"/>
  <c r="P101" i="2"/>
  <c r="Y92" i="2" s="1"/>
  <c r="L101" i="2"/>
  <c r="Y88" i="2" s="1"/>
  <c r="AC73" i="2"/>
  <c r="AG69" i="2"/>
  <c r="AH68" i="2"/>
  <c r="L108" i="3"/>
  <c r="P104" i="3" s="1"/>
  <c r="H108" i="3"/>
  <c r="P100" i="3" s="1"/>
  <c r="Y109" i="2"/>
  <c r="AG101" i="2"/>
  <c r="Y102" i="2"/>
  <c r="Z101" i="2" s="1"/>
  <c r="W101" i="2"/>
  <c r="Y99" i="2" s="1"/>
  <c r="O101" i="2"/>
  <c r="Y91" i="2" s="1"/>
  <c r="K101" i="2"/>
  <c r="Y87" i="2" s="1"/>
  <c r="AD72" i="2"/>
  <c r="O108" i="3"/>
  <c r="P107" i="3" s="1"/>
  <c r="K108" i="3"/>
  <c r="P103" i="3" s="1"/>
  <c r="G108" i="3"/>
  <c r="P99" i="3" s="1"/>
  <c r="C108" i="3"/>
  <c r="P95" i="3" s="1"/>
  <c r="Y108" i="2"/>
  <c r="AF101" i="2" s="1"/>
  <c r="Y107" i="2"/>
  <c r="AE101" i="2" s="1"/>
  <c r="Y106" i="2"/>
  <c r="AD101" i="2" s="1"/>
  <c r="V101" i="2"/>
  <c r="Y98" i="2" s="1"/>
  <c r="R101" i="2"/>
  <c r="Y94" i="2" s="1"/>
  <c r="N108" i="3"/>
  <c r="P106" i="3" s="1"/>
  <c r="J108" i="3"/>
  <c r="P102" i="3" s="1"/>
  <c r="F108" i="3"/>
  <c r="P98" i="3" s="1"/>
  <c r="Z110" i="2"/>
  <c r="AH102" i="2" s="1"/>
  <c r="Z107" i="2"/>
  <c r="AE102" i="2" s="1"/>
  <c r="X102" i="2"/>
  <c r="Z100" i="2" s="1"/>
  <c r="T102" i="2"/>
  <c r="Z96" i="2" s="1"/>
  <c r="P102" i="2"/>
  <c r="Z92" i="2" s="1"/>
  <c r="L102" i="2"/>
  <c r="Z88" i="2" s="1"/>
  <c r="I109" i="3"/>
  <c r="Q101" i="3" s="1"/>
  <c r="Z106" i="2"/>
  <c r="AD102" i="2" s="1"/>
  <c r="W102" i="2"/>
  <c r="Z99" i="2"/>
  <c r="Q110" i="3"/>
  <c r="P109" i="3"/>
  <c r="L109" i="3"/>
  <c r="Q104" i="3" s="1"/>
  <c r="H109" i="3"/>
  <c r="Q100" i="3" s="1"/>
  <c r="X103" i="2"/>
  <c r="AA100" i="2" s="1"/>
  <c r="P103" i="2"/>
  <c r="AA92" i="2" s="1"/>
  <c r="L103" i="2"/>
  <c r="AA88" i="2"/>
  <c r="P110" i="3"/>
  <c r="L110" i="3"/>
  <c r="R104" i="3" s="1"/>
  <c r="H110" i="3"/>
  <c r="R100" i="3" s="1"/>
  <c r="AA110" i="2"/>
  <c r="AH103" i="2" s="1"/>
  <c r="AA108" i="2"/>
  <c r="AF103" i="2" s="1"/>
  <c r="S108" i="2"/>
  <c r="AF95" i="2" s="1"/>
  <c r="AA106" i="2"/>
  <c r="AD103" i="2" s="1"/>
  <c r="W103" i="2"/>
  <c r="AA99" i="2" s="1"/>
  <c r="O103" i="2"/>
  <c r="AA91" i="2" s="1"/>
  <c r="O110" i="3"/>
  <c r="K110" i="3"/>
  <c r="R103" i="3" s="1"/>
  <c r="G110" i="3"/>
  <c r="R99" i="3" s="1"/>
  <c r="BZ111" i="7"/>
  <c r="CA111" i="7" s="1"/>
  <c r="BT59" i="7"/>
  <c r="BT57" i="7"/>
  <c r="BT61" i="7"/>
  <c r="BT47" i="7"/>
  <c r="BT48" i="7"/>
  <c r="BT53" i="7"/>
  <c r="BT60" i="7"/>
  <c r="BW30" i="7"/>
  <c r="BX30" i="7" s="1"/>
  <c r="BT13" i="10"/>
  <c r="BT6" i="10"/>
  <c r="BT18" i="10"/>
  <c r="BT12" i="10"/>
  <c r="BT16" i="10"/>
  <c r="BT10" i="10"/>
  <c r="AH96" i="2"/>
  <c r="AE96" i="2"/>
  <c r="AE97" i="2"/>
  <c r="BH64" i="6"/>
  <c r="BI64" i="6" s="1"/>
  <c r="E121" i="6"/>
  <c r="BH104" i="6" s="1"/>
  <c r="BI104" i="6" s="1"/>
  <c r="BH112" i="6"/>
  <c r="BI112" i="6" s="1"/>
  <c r="BH108" i="6"/>
  <c r="BI108" i="6" s="1"/>
  <c r="BH71" i="6"/>
  <c r="BI71" i="6" s="1"/>
  <c r="BH67" i="6"/>
  <c r="BI67" i="6" s="1"/>
  <c r="BH111" i="6"/>
  <c r="BI111" i="6" s="1"/>
  <c r="BH110" i="6"/>
  <c r="BI110" i="6" s="1"/>
  <c r="BH107" i="6"/>
  <c r="BI107" i="6" s="1"/>
  <c r="BH19" i="6"/>
  <c r="BI19" i="6" s="1"/>
  <c r="BH15" i="6"/>
  <c r="BI15" i="6" s="1"/>
  <c r="BH11" i="6"/>
  <c r="BI11" i="6" s="1"/>
  <c r="BI14" i="6"/>
  <c r="BI18" i="6"/>
  <c r="BI16" i="6"/>
  <c r="BI12" i="6"/>
  <c r="BK106" i="6"/>
  <c r="BK107" i="6" s="1"/>
  <c r="BH105" i="6"/>
  <c r="BI105" i="6" s="1"/>
  <c r="BH109" i="6"/>
  <c r="BI109" i="6" s="1"/>
  <c r="BH69" i="6"/>
  <c r="BI69" i="6" s="1"/>
  <c r="E80" i="6"/>
  <c r="BH32" i="6"/>
  <c r="BI32" i="6" s="1"/>
  <c r="BH28" i="6"/>
  <c r="BI28" i="6" s="1"/>
  <c r="BH31" i="6"/>
  <c r="BI31" i="6" s="1"/>
  <c r="BH27" i="6"/>
  <c r="BI27" i="6" s="1"/>
  <c r="BI90" i="6"/>
  <c r="BI89" i="6"/>
  <c r="BI88" i="6"/>
  <c r="BH70" i="6" l="1"/>
  <c r="BI70" i="6" s="1"/>
  <c r="B97" i="3"/>
  <c r="E94" i="3" s="1"/>
  <c r="BB89" i="8"/>
  <c r="BC89" i="8" s="1"/>
  <c r="BF28" i="4"/>
  <c r="AB105" i="2"/>
  <c r="AC104" i="2" s="1"/>
  <c r="R104" i="2"/>
  <c r="AB94" i="2" s="1"/>
  <c r="AB109" i="2"/>
  <c r="AG104" i="2" s="1"/>
  <c r="S109" i="2"/>
  <c r="S101" i="2"/>
  <c r="Y95" i="2" s="1"/>
  <c r="K96" i="2"/>
  <c r="T87" i="2" s="1"/>
  <c r="T106" i="2"/>
  <c r="AD96" i="2" s="1"/>
  <c r="T103" i="2"/>
  <c r="AA96" i="2" s="1"/>
  <c r="T108" i="2"/>
  <c r="AF96" i="2" s="1"/>
  <c r="P96" i="2"/>
  <c r="T92" i="2" s="1"/>
  <c r="T98" i="2"/>
  <c r="V96" i="2" s="1"/>
  <c r="T101" i="2"/>
  <c r="Y96" i="2" s="1"/>
  <c r="L107" i="2"/>
  <c r="L90" i="2"/>
  <c r="N88" i="2" s="1"/>
  <c r="L100" i="2"/>
  <c r="X88" i="2" s="1"/>
  <c r="L109" i="2"/>
  <c r="AG88" i="2" s="1"/>
  <c r="L106" i="2"/>
  <c r="AD88" i="2" s="1"/>
  <c r="L110" i="2"/>
  <c r="AH88" i="2" s="1"/>
  <c r="L95" i="2"/>
  <c r="S88" i="2" s="1"/>
  <c r="L89" i="2"/>
  <c r="M88" i="2" s="1"/>
  <c r="AH62" i="2"/>
  <c r="AC67" i="2"/>
  <c r="AD66" i="2"/>
  <c r="W59" i="2"/>
  <c r="W60" i="2"/>
  <c r="L111" i="3"/>
  <c r="S104" i="3" s="1"/>
  <c r="P111" i="3"/>
  <c r="H111" i="3"/>
  <c r="S100" i="3" s="1"/>
  <c r="R111" i="3"/>
  <c r="C111" i="3"/>
  <c r="S95" i="3" s="1"/>
  <c r="O111" i="3"/>
  <c r="Q111" i="3"/>
  <c r="J105" i="3"/>
  <c r="M102" i="3" s="1"/>
  <c r="M110" i="3"/>
  <c r="R105" i="3" s="1"/>
  <c r="M107" i="3"/>
  <c r="O105" i="3" s="1"/>
  <c r="C105" i="3"/>
  <c r="M95" i="3" s="1"/>
  <c r="M111" i="3"/>
  <c r="S105" i="3" s="1"/>
  <c r="M109" i="3"/>
  <c r="Q105" i="3" s="1"/>
  <c r="D100" i="3"/>
  <c r="H96" i="3" s="1"/>
  <c r="D107" i="3"/>
  <c r="O96" i="3" s="1"/>
  <c r="D110" i="3"/>
  <c r="R96" i="3" s="1"/>
  <c r="D104" i="3"/>
  <c r="L96" i="3" s="1"/>
  <c r="D99" i="3"/>
  <c r="G96" i="3" s="1"/>
  <c r="D106" i="3"/>
  <c r="N96" i="3" s="1"/>
  <c r="D108" i="3"/>
  <c r="P96" i="3" s="1"/>
  <c r="X105" i="2"/>
  <c r="AC100" i="2" s="1"/>
  <c r="BJ9" i="4"/>
  <c r="AX9" i="4"/>
  <c r="BF45" i="4"/>
  <c r="AT45" i="4"/>
  <c r="BG37" i="4"/>
  <c r="AU37" i="4"/>
  <c r="BG52" i="4"/>
  <c r="AU52" i="4"/>
  <c r="BE17" i="9"/>
  <c r="BF17" i="9" s="1"/>
  <c r="BE31" i="9"/>
  <c r="BF31" i="9" s="1"/>
  <c r="C112" i="3"/>
  <c r="T95" i="3" s="1"/>
  <c r="J112" i="3"/>
  <c r="T102" i="3" s="1"/>
  <c r="P112" i="3"/>
  <c r="L112" i="3"/>
  <c r="T104" i="3" s="1"/>
  <c r="O112" i="3"/>
  <c r="Q112" i="3"/>
  <c r="G112" i="3"/>
  <c r="T99" i="3" s="1"/>
  <c r="Z105" i="2"/>
  <c r="AC102" i="2" s="1"/>
  <c r="E104" i="3"/>
  <c r="L97" i="3" s="1"/>
  <c r="L105" i="2"/>
  <c r="AC88" i="2" s="1"/>
  <c r="F112" i="3"/>
  <c r="T98" i="3" s="1"/>
  <c r="AF62" i="2"/>
  <c r="AH60" i="2"/>
  <c r="E103" i="3"/>
  <c r="K97" i="3" s="1"/>
  <c r="G103" i="3"/>
  <c r="K99" i="3" s="1"/>
  <c r="C103" i="3"/>
  <c r="K95" i="3" s="1"/>
  <c r="K106" i="3"/>
  <c r="N103" i="3" s="1"/>
  <c r="K107" i="3"/>
  <c r="O103" i="3" s="1"/>
  <c r="K109" i="3"/>
  <c r="Q103" i="3" s="1"/>
  <c r="B108" i="3"/>
  <c r="P94" i="3" s="1"/>
  <c r="B98" i="3"/>
  <c r="F94" i="3" s="1"/>
  <c r="B99" i="3"/>
  <c r="G94" i="3" s="1"/>
  <c r="B102" i="3"/>
  <c r="J94" i="3" s="1"/>
  <c r="B100" i="3"/>
  <c r="H94" i="3" s="1"/>
  <c r="B105" i="3"/>
  <c r="M94" i="3" s="1"/>
  <c r="B101" i="3"/>
  <c r="I94" i="3" s="1"/>
  <c r="S110" i="2"/>
  <c r="R105" i="2"/>
  <c r="AC94" i="2" s="1"/>
  <c r="E111" i="3"/>
  <c r="S97" i="3" s="1"/>
  <c r="BE33" i="8"/>
  <c r="BF33" i="8" s="1"/>
  <c r="N107" i="2"/>
  <c r="AE90" i="2" s="1"/>
  <c r="AG68" i="2"/>
  <c r="AC72" i="2"/>
  <c r="AA105" i="2"/>
  <c r="AC103" i="2" s="1"/>
  <c r="K112" i="3"/>
  <c r="T103" i="3" s="1"/>
  <c r="N105" i="2"/>
  <c r="AC90" i="2" s="1"/>
  <c r="M112" i="3"/>
  <c r="T105" i="3" s="1"/>
  <c r="I112" i="3"/>
  <c r="T101" i="3" s="1"/>
  <c r="S112" i="3"/>
  <c r="X110" i="2"/>
  <c r="AH100" i="2" s="1"/>
  <c r="K100" i="2"/>
  <c r="X87" i="2" s="1"/>
  <c r="P100" i="2"/>
  <c r="X92" i="2" s="1"/>
  <c r="R100" i="2"/>
  <c r="X94" i="2" s="1"/>
  <c r="K105" i="2"/>
  <c r="AC87" i="2" s="1"/>
  <c r="AE69" i="2"/>
  <c r="AD70" i="2"/>
  <c r="AE61" i="2"/>
  <c r="AC63" i="2"/>
  <c r="AT24" i="4"/>
  <c r="BF24" i="4"/>
  <c r="BG22" i="4"/>
  <c r="AU22" i="4"/>
  <c r="BF66" i="8"/>
  <c r="BG66" i="8" s="1"/>
  <c r="BA52" i="8"/>
  <c r="BB52" i="8" s="1"/>
  <c r="BD66" i="8"/>
  <c r="BE66" i="8" s="1"/>
  <c r="E108" i="3"/>
  <c r="P97" i="3" s="1"/>
  <c r="E99" i="3"/>
  <c r="G97" i="3" s="1"/>
  <c r="E110" i="3"/>
  <c r="R97" i="3" s="1"/>
  <c r="BZ112" i="7"/>
  <c r="BZ113" i="7" s="1"/>
  <c r="Y105" i="2"/>
  <c r="AC101" i="2" s="1"/>
  <c r="E105" i="3"/>
  <c r="M97" i="3" s="1"/>
  <c r="D112" i="3"/>
  <c r="T96" i="3" s="1"/>
  <c r="W109" i="2"/>
  <c r="AG99" i="2" s="1"/>
  <c r="W107" i="2"/>
  <c r="AE99" i="2" s="1"/>
  <c r="W106" i="2"/>
  <c r="AD99" i="2" s="1"/>
  <c r="O107" i="2"/>
  <c r="AE91" i="2" s="1"/>
  <c r="O105" i="2"/>
  <c r="AC91" i="2" s="1"/>
  <c r="K91" i="2"/>
  <c r="O87" i="2" s="1"/>
  <c r="O95" i="2"/>
  <c r="S91" i="2" s="1"/>
  <c r="O102" i="2"/>
  <c r="Z91" i="2" s="1"/>
  <c r="O104" i="2"/>
  <c r="AB91" i="2" s="1"/>
  <c r="O97" i="2"/>
  <c r="U91" i="2" s="1"/>
  <c r="O100" i="2"/>
  <c r="X91" i="2" s="1"/>
  <c r="O99" i="2"/>
  <c r="W91" i="2" s="1"/>
  <c r="BB92" i="8"/>
  <c r="BC92" i="8" s="1"/>
  <c r="BW115" i="7"/>
  <c r="AM122" i="7"/>
  <c r="BW75" i="7"/>
  <c r="AQ81" i="7"/>
  <c r="BT58" i="7" s="1"/>
  <c r="BH63" i="6"/>
  <c r="BI63" i="6" s="1"/>
  <c r="R112" i="3"/>
  <c r="E109" i="3"/>
  <c r="Q97" i="3" s="1"/>
  <c r="W105" i="2"/>
  <c r="AC99" i="2" s="1"/>
  <c r="H112" i="3"/>
  <c r="T100" i="3" s="1"/>
  <c r="N112" i="3"/>
  <c r="T106" i="3" s="1"/>
  <c r="B112" i="3"/>
  <c r="T94" i="3" s="1"/>
  <c r="Q105" i="2"/>
  <c r="AC93" i="2" s="1"/>
  <c r="P98" i="2"/>
  <c r="V92" i="2" s="1"/>
  <c r="V103" i="2"/>
  <c r="AA98" i="2" s="1"/>
  <c r="V105" i="2"/>
  <c r="AC98" i="2" s="1"/>
  <c r="V104" i="2"/>
  <c r="AB98" i="2" s="1"/>
  <c r="V102" i="2"/>
  <c r="Z98" i="2" s="1"/>
  <c r="N101" i="2"/>
  <c r="Y90" i="2" s="1"/>
  <c r="N97" i="2"/>
  <c r="U90" i="2" s="1"/>
  <c r="N92" i="2"/>
  <c r="P90" i="2" s="1"/>
  <c r="N96" i="2"/>
  <c r="T90" i="2" s="1"/>
  <c r="N102" i="2"/>
  <c r="Z90" i="2" s="1"/>
  <c r="N95" i="2"/>
  <c r="S90" i="2" s="1"/>
  <c r="N100" i="2"/>
  <c r="X90" i="2" s="1"/>
  <c r="N107" i="3"/>
  <c r="O106" i="3" s="1"/>
  <c r="G106" i="3"/>
  <c r="N99" i="3" s="1"/>
  <c r="J106" i="3"/>
  <c r="N102" i="3" s="1"/>
  <c r="F102" i="3"/>
  <c r="J98" i="3" s="1"/>
  <c r="F99" i="3"/>
  <c r="G98" i="3" s="1"/>
  <c r="F105" i="3"/>
  <c r="M98" i="3" s="1"/>
  <c r="BH98" i="6"/>
  <c r="BI98" i="6" s="1"/>
  <c r="I121" i="6"/>
  <c r="BH29" i="4"/>
  <c r="BH26" i="4"/>
  <c r="BB95" i="8"/>
  <c r="BC95" i="8" s="1"/>
  <c r="BB95" i="9"/>
  <c r="BC95" i="9" s="1"/>
  <c r="CK96" i="7"/>
  <c r="CK104" i="7"/>
  <c r="BF22" i="4"/>
  <c r="BJ17" i="4"/>
  <c r="BI16" i="4"/>
  <c r="BW118" i="7"/>
  <c r="BH43" i="4"/>
  <c r="AU54" i="4"/>
  <c r="BS95" i="6"/>
  <c r="BH56" i="6"/>
  <c r="BB91" i="9"/>
  <c r="BC91" i="9" s="1"/>
  <c r="AI80" i="10"/>
  <c r="BT54" i="10" s="1"/>
  <c r="CK98" i="7"/>
  <c r="M99" i="2"/>
  <c r="W89" i="2" s="1"/>
  <c r="AF61" i="2"/>
  <c r="S102" i="2"/>
  <c r="Z95" i="2" s="1"/>
  <c r="U103" i="2"/>
  <c r="AA97" i="2" s="1"/>
  <c r="BH53" i="6"/>
  <c r="BI13" i="6"/>
  <c r="AW92" i="8"/>
  <c r="AX92" i="8" s="1"/>
  <c r="BD72" i="8"/>
  <c r="BE72" i="8" s="1"/>
  <c r="BT101" i="7"/>
  <c r="BH40" i="4"/>
  <c r="CK100" i="7"/>
  <c r="U104" i="2"/>
  <c r="AB97" i="2" s="1"/>
  <c r="Q104" i="2"/>
  <c r="AB93" i="2" s="1"/>
  <c r="BB94" i="8"/>
  <c r="BC94" i="8" s="1"/>
  <c r="BA57" i="8"/>
  <c r="BB57" i="8" s="1"/>
  <c r="BF30" i="8"/>
  <c r="W122" i="7"/>
  <c r="BT93" i="7" s="1"/>
  <c r="U102" i="2"/>
  <c r="Z97" i="2" s="1"/>
  <c r="M104" i="2"/>
  <c r="AB89" i="2" s="1"/>
  <c r="BF14" i="4"/>
  <c r="BH91" i="6"/>
  <c r="BI91" i="6" s="1"/>
  <c r="BK64" i="6"/>
  <c r="BK65" i="6" s="1"/>
  <c r="BK27" i="6"/>
  <c r="BK28" i="6" s="1"/>
  <c r="BD90" i="8"/>
  <c r="BB93" i="8"/>
  <c r="BC93" i="8" s="1"/>
  <c r="BG39" i="4"/>
  <c r="BH14" i="4"/>
  <c r="BF42" i="4"/>
  <c r="AV46" i="4"/>
  <c r="CK94" i="7"/>
  <c r="CK102" i="7"/>
  <c r="BG66" i="9"/>
  <c r="BG30" i="4"/>
  <c r="AU30" i="4"/>
  <c r="AU27" i="4"/>
  <c r="BG27" i="4"/>
  <c r="BG23" i="4"/>
  <c r="AU23" i="4"/>
  <c r="BL105" i="6"/>
  <c r="BH93" i="6"/>
  <c r="BD90" i="9"/>
  <c r="BD91" i="9" s="1"/>
  <c r="BE91" i="9" s="1"/>
  <c r="E100" i="3"/>
  <c r="H97" i="3" s="1"/>
  <c r="E106" i="3"/>
  <c r="N97" i="3" s="1"/>
  <c r="E107" i="3"/>
  <c r="O97" i="3" s="1"/>
  <c r="BA58" i="9"/>
  <c r="BB58" i="9" s="1"/>
  <c r="BI46" i="6"/>
  <c r="BI93" i="6"/>
  <c r="V110" i="2"/>
  <c r="AH98" i="2" s="1"/>
  <c r="V109" i="2"/>
  <c r="AG98" i="2" s="1"/>
  <c r="V107" i="2"/>
  <c r="AE98" i="2" s="1"/>
  <c r="BG28" i="4"/>
  <c r="AU28" i="4"/>
  <c r="BG24" i="4"/>
  <c r="AU24" i="4"/>
  <c r="BH51" i="6"/>
  <c r="BF17" i="8"/>
  <c r="BF21" i="8"/>
  <c r="BW67" i="10"/>
  <c r="BT46" i="10"/>
  <c r="BT47" i="10" s="1"/>
  <c r="M93" i="2"/>
  <c r="Q89" i="2" s="1"/>
  <c r="M98" i="2"/>
  <c r="V89" i="2" s="1"/>
  <c r="M96" i="2"/>
  <c r="T89" i="2" s="1"/>
  <c r="BA49" i="9"/>
  <c r="BB49" i="9" s="1"/>
  <c r="BG65" i="9"/>
  <c r="BG29" i="4"/>
  <c r="AU29" i="4"/>
  <c r="BF25" i="4"/>
  <c r="AT25" i="4"/>
  <c r="BI47" i="6"/>
  <c r="R97" i="2"/>
  <c r="U94" i="2" s="1"/>
  <c r="R95" i="2"/>
  <c r="S94" i="2" s="1"/>
  <c r="R109" i="2"/>
  <c r="BW31" i="7"/>
  <c r="BW32" i="7" s="1"/>
  <c r="Q106" i="2"/>
  <c r="AD93" i="2" s="1"/>
  <c r="Q107" i="2"/>
  <c r="AE93" i="2" s="1"/>
  <c r="Q110" i="2"/>
  <c r="AH93" i="2" s="1"/>
  <c r="Q96" i="2"/>
  <c r="T93" i="2" s="1"/>
  <c r="E112" i="3"/>
  <c r="T97" i="3" s="1"/>
  <c r="BF26" i="4"/>
  <c r="AT26" i="4"/>
  <c r="BE90" i="8"/>
  <c r="BD91" i="8"/>
  <c r="BE91" i="8" s="1"/>
  <c r="BI43" i="4"/>
  <c r="BH96" i="6"/>
  <c r="BI96" i="6" s="1"/>
  <c r="BL63" i="6"/>
  <c r="BH54" i="6"/>
  <c r="BI17" i="6"/>
  <c r="BE35" i="8"/>
  <c r="BF35" i="8" s="1"/>
  <c r="BT100" i="7"/>
  <c r="AI122" i="7"/>
  <c r="BT96" i="7" s="1"/>
  <c r="S122" i="7"/>
  <c r="BT92" i="7" s="1"/>
  <c r="BA59" i="9"/>
  <c r="BB59" i="9" s="1"/>
  <c r="AW91" i="9"/>
  <c r="AX91" i="9" s="1"/>
  <c r="BW27" i="10"/>
  <c r="BW37" i="10"/>
  <c r="S80" i="10"/>
  <c r="BT50" i="10" s="1"/>
  <c r="CK91" i="7"/>
  <c r="CK99" i="7"/>
  <c r="BS97" i="6"/>
  <c r="BG44" i="4"/>
  <c r="BH31" i="4"/>
  <c r="BH16" i="4"/>
  <c r="BH94" i="6"/>
  <c r="BH92" i="6"/>
  <c r="BH106" i="6"/>
  <c r="BI106" i="6" s="1"/>
  <c r="BF39" i="4"/>
  <c r="BA55" i="9"/>
  <c r="BB55" i="9" s="1"/>
  <c r="BS98" i="6"/>
  <c r="N94" i="2"/>
  <c r="R90" i="2" s="1"/>
  <c r="K104" i="2"/>
  <c r="AB87" i="2" s="1"/>
  <c r="BH66" i="6"/>
  <c r="BI66" i="6" s="1"/>
  <c r="BL27" i="6"/>
  <c r="BT95" i="7"/>
  <c r="BF46" i="4"/>
  <c r="BF38" i="4"/>
  <c r="BW33" i="10"/>
  <c r="E39" i="10"/>
  <c r="BW74" i="10"/>
  <c r="CK93" i="7"/>
  <c r="CK101" i="7"/>
  <c r="N103" i="2"/>
  <c r="AA90" i="2" s="1"/>
  <c r="H101" i="3"/>
  <c r="I100" i="3" s="1"/>
  <c r="H102" i="3"/>
  <c r="J100" i="3" s="1"/>
  <c r="BH30" i="4"/>
  <c r="BG25" i="4"/>
  <c r="BH97" i="6"/>
  <c r="BI97" i="6" s="1"/>
  <c r="BH49" i="6"/>
  <c r="BL26" i="6"/>
  <c r="AQ122" i="7"/>
  <c r="AV40" i="4"/>
  <c r="BS92" i="6"/>
  <c r="BS100" i="6"/>
  <c r="BH50" i="6"/>
  <c r="BF67" i="8"/>
  <c r="BG67" i="8" s="1"/>
  <c r="AA122" i="7"/>
  <c r="BS101" i="6"/>
  <c r="N99" i="2"/>
  <c r="W90" i="2" s="1"/>
  <c r="L96" i="2"/>
  <c r="T88" i="2" s="1"/>
  <c r="P108" i="2"/>
  <c r="AF92" i="2" s="1"/>
  <c r="P97" i="2"/>
  <c r="U92" i="2" s="1"/>
  <c r="F109" i="3"/>
  <c r="Q98" i="3" s="1"/>
  <c r="BT87" i="7"/>
  <c r="BT94" i="7"/>
  <c r="BG45" i="4"/>
  <c r="CA26" i="10"/>
  <c r="CA67" i="10"/>
  <c r="BL104" i="6"/>
  <c r="BH95" i="6"/>
  <c r="BI95" i="6" s="1"/>
  <c r="M94" i="1"/>
  <c r="BS93" i="6"/>
  <c r="CK97" i="7"/>
  <c r="D97" i="3"/>
  <c r="E96" i="3" s="1"/>
  <c r="BH52" i="6"/>
  <c r="BA56" i="8"/>
  <c r="BB56" i="8" s="1"/>
  <c r="AW95" i="9"/>
  <c r="AX95" i="9" s="1"/>
  <c r="BW71" i="10"/>
  <c r="BS94" i="6"/>
  <c r="BS96" i="6"/>
  <c r="BL107" i="6"/>
  <c r="BK108" i="6"/>
  <c r="BX32" i="7"/>
  <c r="BW33" i="7"/>
  <c r="CA113" i="7"/>
  <c r="BZ114" i="7"/>
  <c r="BI94" i="6"/>
  <c r="BI45" i="6"/>
  <c r="BL106" i="6"/>
  <c r="BX31" i="7"/>
  <c r="CA112" i="7"/>
  <c r="BF68" i="9"/>
  <c r="BG67" i="9"/>
  <c r="BI92" i="6"/>
  <c r="AG97" i="2"/>
  <c r="AG95" i="2"/>
  <c r="BI99" i="6"/>
  <c r="BD92" i="9"/>
  <c r="W110" i="2"/>
  <c r="AH99" i="2" s="1"/>
  <c r="R110" i="2"/>
  <c r="AH94" i="2" s="1"/>
  <c r="R108" i="2"/>
  <c r="M107" i="2"/>
  <c r="R106" i="2"/>
  <c r="AD94" i="2" s="1"/>
  <c r="P106" i="2"/>
  <c r="AD92" i="2" s="1"/>
  <c r="M106" i="2"/>
  <c r="AD89" i="2" s="1"/>
  <c r="P105" i="2"/>
  <c r="AC92" i="2" s="1"/>
  <c r="Q95" i="2"/>
  <c r="S93" i="2" s="1"/>
  <c r="P94" i="2"/>
  <c r="R92" i="2" s="1"/>
  <c r="M94" i="2"/>
  <c r="R89" i="2" s="1"/>
  <c r="P93" i="2"/>
  <c r="Q92" i="2" s="1"/>
  <c r="AD61" i="2"/>
  <c r="AE60" i="2"/>
  <c r="D101" i="3"/>
  <c r="I96" i="3" s="1"/>
  <c r="BZ28" i="10"/>
  <c r="M100" i="2"/>
  <c r="X89" i="2" s="1"/>
  <c r="P110" i="2"/>
  <c r="AH92" i="2" s="1"/>
  <c r="Q109" i="2"/>
  <c r="AG93" i="2" s="1"/>
  <c r="Q108" i="2"/>
  <c r="AF93" i="2" s="1"/>
  <c r="M108" i="2"/>
  <c r="AF89" i="2" s="1"/>
  <c r="R107" i="2"/>
  <c r="AE94" i="2" s="1"/>
  <c r="M105" i="2"/>
  <c r="AC89" i="2" s="1"/>
  <c r="P104" i="2"/>
  <c r="AB92" i="2" s="1"/>
  <c r="Q103" i="2"/>
  <c r="AA93" i="2" s="1"/>
  <c r="M97" i="2"/>
  <c r="U89" i="2" s="1"/>
  <c r="M95" i="2"/>
  <c r="S89" i="2" s="1"/>
  <c r="N93" i="2"/>
  <c r="Q90" i="2" s="1"/>
  <c r="M92" i="2"/>
  <c r="P89" i="2" s="1"/>
  <c r="M90" i="2"/>
  <c r="N89" i="2" s="1"/>
  <c r="AE68" i="2"/>
  <c r="AC70" i="2"/>
  <c r="AG62" i="2"/>
  <c r="AG66" i="2"/>
  <c r="I102" i="3"/>
  <c r="J101" i="3" s="1"/>
  <c r="E101" i="3"/>
  <c r="I97" i="3" s="1"/>
  <c r="BF49" i="4"/>
  <c r="AB106" i="2"/>
  <c r="AD104" i="2" s="1"/>
  <c r="N106" i="2"/>
  <c r="AD90" i="2" s="1"/>
  <c r="AG65" i="2"/>
  <c r="AF66" i="2"/>
  <c r="AF63" i="2"/>
  <c r="AC66" i="2"/>
  <c r="AE64" i="2"/>
  <c r="AC65" i="2"/>
  <c r="AG61" i="2"/>
  <c r="I111" i="3"/>
  <c r="S101" i="3" s="1"/>
  <c r="D102" i="3"/>
  <c r="J96" i="3" s="1"/>
  <c r="E98" i="3"/>
  <c r="F97" i="3" s="1"/>
  <c r="BH26" i="6"/>
  <c r="BI26" i="6" s="1"/>
  <c r="BH29" i="6"/>
  <c r="BI29" i="6" s="1"/>
  <c r="BH30" i="6"/>
  <c r="BI30" i="6" s="1"/>
  <c r="BI9" i="6"/>
  <c r="BH34" i="6"/>
  <c r="BI34" i="6" s="1"/>
  <c r="BH33" i="6"/>
  <c r="BI33" i="6" s="1"/>
  <c r="BD29" i="8"/>
  <c r="BT90" i="7"/>
  <c r="BI10" i="4"/>
  <c r="AV31" i="4"/>
  <c r="BH24" i="4"/>
  <c r="AW91" i="8"/>
  <c r="AX91" i="8" s="1"/>
  <c r="BF18" i="8"/>
  <c r="BF16" i="8"/>
  <c r="BF20" i="8"/>
  <c r="S81" i="7"/>
  <c r="BT52" i="7" s="1"/>
  <c r="BW69" i="7"/>
  <c r="BJ12" i="4"/>
  <c r="BH10" i="4"/>
  <c r="BF9" i="4"/>
  <c r="E102" i="3"/>
  <c r="J97" i="3" s="1"/>
  <c r="BH28" i="4"/>
  <c r="BA59" i="8"/>
  <c r="BB59" i="8" s="1"/>
  <c r="BF12" i="8"/>
  <c r="BE28" i="8"/>
  <c r="BF28" i="8" s="1"/>
  <c r="BJ8" i="4"/>
  <c r="BF8" i="4"/>
  <c r="AT43" i="4"/>
  <c r="BF43" i="4"/>
  <c r="BF68" i="8"/>
  <c r="BW117" i="7"/>
  <c r="BZ69" i="7"/>
  <c r="CA69" i="7" s="1"/>
  <c r="BW73" i="7"/>
  <c r="AI81" i="7"/>
  <c r="BT56" i="7" s="1"/>
  <c r="BW79" i="7"/>
  <c r="BX28" i="7"/>
  <c r="BH12" i="4"/>
  <c r="BJ10" i="4"/>
  <c r="BG40" i="4"/>
  <c r="AU40" i="4"/>
  <c r="AT54" i="4"/>
  <c r="BW120" i="7"/>
  <c r="BT99" i="7"/>
  <c r="BT98" i="7"/>
  <c r="BT97" i="7"/>
  <c r="BH44" i="4"/>
  <c r="BD29" i="9"/>
  <c r="AX88" i="9"/>
  <c r="BE90" i="9"/>
  <c r="BT91" i="7"/>
  <c r="BI8" i="4"/>
  <c r="BI39" i="4"/>
  <c r="BG53" i="4"/>
  <c r="AW96" i="9"/>
  <c r="AX96" i="9" s="1"/>
  <c r="S77" i="1"/>
  <c r="S78" i="1"/>
  <c r="BG11" i="4"/>
  <c r="AW92" i="9"/>
  <c r="AX92" i="9" s="1"/>
  <c r="BZ68" i="10"/>
  <c r="N76" i="1"/>
  <c r="N80" i="1"/>
  <c r="N84" i="1"/>
  <c r="N88" i="1"/>
  <c r="N92" i="1"/>
  <c r="N77" i="1"/>
  <c r="N81" i="1"/>
  <c r="N85" i="1"/>
  <c r="N89" i="1"/>
  <c r="N93" i="1"/>
  <c r="N78" i="1"/>
  <c r="N82" i="1"/>
  <c r="N86" i="1"/>
  <c r="N90" i="1"/>
  <c r="N75" i="1"/>
  <c r="N79" i="1"/>
  <c r="N83" i="1"/>
  <c r="N87" i="1"/>
  <c r="N91" i="1"/>
  <c r="BW29" i="10"/>
  <c r="BW31" i="10"/>
  <c r="BW34" i="10"/>
  <c r="BW30" i="10"/>
  <c r="BL65" i="6" l="1"/>
  <c r="BK66" i="6"/>
  <c r="BL64" i="6"/>
  <c r="BL28" i="6"/>
  <c r="BK29" i="6"/>
  <c r="AF94" i="2"/>
  <c r="AG94" i="2"/>
  <c r="BT5" i="10"/>
  <c r="BT17" i="10"/>
  <c r="BT19" i="10"/>
  <c r="BD92" i="8"/>
  <c r="BT15" i="10"/>
  <c r="CA68" i="10"/>
  <c r="BZ69" i="10"/>
  <c r="BW34" i="7"/>
  <c r="BX33" i="7"/>
  <c r="BL108" i="6"/>
  <c r="BK109" i="6"/>
  <c r="BG29" i="9"/>
  <c r="BD30" i="9"/>
  <c r="BZ70" i="7"/>
  <c r="BG68" i="9"/>
  <c r="BF69" i="9"/>
  <c r="BI51" i="6"/>
  <c r="BI55" i="6"/>
  <c r="BI48" i="6"/>
  <c r="BI52" i="6"/>
  <c r="BI56" i="6"/>
  <c r="BI49" i="6"/>
  <c r="BI53" i="6"/>
  <c r="BI50" i="6"/>
  <c r="BI54" i="6"/>
  <c r="BG68" i="8"/>
  <c r="BF69" i="8"/>
  <c r="BZ115" i="7"/>
  <c r="CA114" i="7"/>
  <c r="BG29" i="8"/>
  <c r="BD30" i="8"/>
  <c r="CA28" i="10"/>
  <c r="BZ29" i="10"/>
  <c r="AE88" i="2"/>
  <c r="AE89" i="2"/>
  <c r="BE92" i="9"/>
  <c r="BD93" i="9"/>
  <c r="BK30" i="6" l="1"/>
  <c r="BL29" i="6"/>
  <c r="BL66" i="6"/>
  <c r="BK67" i="6"/>
  <c r="BD93" i="8"/>
  <c r="BE92" i="8"/>
  <c r="BG30" i="8"/>
  <c r="BD31" i="8"/>
  <c r="BG30" i="9"/>
  <c r="BD31" i="9"/>
  <c r="CA115" i="7"/>
  <c r="BZ116" i="7"/>
  <c r="BF70" i="9"/>
  <c r="BG69" i="9"/>
  <c r="BX34" i="7"/>
  <c r="BW35" i="7"/>
  <c r="BE93" i="9"/>
  <c r="BD94" i="9"/>
  <c r="BG69" i="8"/>
  <c r="BF70" i="8"/>
  <c r="BL109" i="6"/>
  <c r="BK110" i="6"/>
  <c r="CA69" i="10"/>
  <c r="BZ70" i="10"/>
  <c r="CA29" i="10"/>
  <c r="BZ30" i="10"/>
  <c r="CA70" i="7"/>
  <c r="BZ71" i="7"/>
  <c r="BL67" i="6" l="1"/>
  <c r="BK68" i="6"/>
  <c r="BK31" i="6"/>
  <c r="BL30" i="6"/>
  <c r="BE93" i="8"/>
  <c r="BD94" i="8"/>
  <c r="CA70" i="10"/>
  <c r="BZ71" i="10"/>
  <c r="BG70" i="8"/>
  <c r="BF71" i="8"/>
  <c r="BE94" i="9"/>
  <c r="BD95" i="9"/>
  <c r="BG31" i="9"/>
  <c r="BD32" i="9"/>
  <c r="BG70" i="9"/>
  <c r="BF71" i="9"/>
  <c r="BZ31" i="10"/>
  <c r="CA30" i="10"/>
  <c r="BX35" i="7"/>
  <c r="BW36" i="7"/>
  <c r="CA116" i="7"/>
  <c r="BZ117" i="7"/>
  <c r="BG31" i="8"/>
  <c r="BD32" i="8"/>
  <c r="CA71" i="7"/>
  <c r="BZ72" i="7"/>
  <c r="BK111" i="6"/>
  <c r="BL110" i="6"/>
  <c r="BL31" i="6" l="1"/>
  <c r="BK32" i="6"/>
  <c r="BK69" i="6"/>
  <c r="BL68" i="6"/>
  <c r="BD95" i="8"/>
  <c r="BE94" i="8"/>
  <c r="BZ73" i="7"/>
  <c r="CA72" i="7"/>
  <c r="CA117" i="7"/>
  <c r="BZ118" i="7"/>
  <c r="BG32" i="9"/>
  <c r="BD33" i="9"/>
  <c r="BG71" i="8"/>
  <c r="BF72" i="8"/>
  <c r="BG72" i="8" s="1"/>
  <c r="BZ32" i="10"/>
  <c r="CA31" i="10"/>
  <c r="BX36" i="7"/>
  <c r="BW37" i="7"/>
  <c r="BE95" i="9"/>
  <c r="BD96" i="9"/>
  <c r="BE96" i="9" s="1"/>
  <c r="CA71" i="10"/>
  <c r="BZ72" i="10"/>
  <c r="BG32" i="8"/>
  <c r="BD33" i="8"/>
  <c r="BF72" i="9"/>
  <c r="BG72" i="9" s="1"/>
  <c r="BG71" i="9"/>
  <c r="BL111" i="6"/>
  <c r="BK112" i="6"/>
  <c r="BL112" i="6" s="1"/>
  <c r="BL69" i="6" l="1"/>
  <c r="BK70" i="6"/>
  <c r="BK33" i="6"/>
  <c r="BL32" i="6"/>
  <c r="BE95" i="8"/>
  <c r="BD96" i="8"/>
  <c r="BE96" i="8" s="1"/>
  <c r="CA72" i="10"/>
  <c r="BZ73" i="10"/>
  <c r="BX37" i="7"/>
  <c r="BW38" i="7"/>
  <c r="BZ119" i="7"/>
  <c r="CA118" i="7"/>
  <c r="BD34" i="8"/>
  <c r="BG33" i="8"/>
  <c r="BG33" i="9"/>
  <c r="BD34" i="9"/>
  <c r="BZ33" i="10"/>
  <c r="CA32" i="10"/>
  <c r="CA73" i="7"/>
  <c r="BZ74" i="7"/>
  <c r="BL70" i="6" l="1"/>
  <c r="BK71" i="6"/>
  <c r="BL71" i="6" s="1"/>
  <c r="BL33" i="6"/>
  <c r="BK34" i="6"/>
  <c r="BL34" i="6" s="1"/>
  <c r="BZ120" i="7"/>
  <c r="CA119" i="7"/>
  <c r="BX38" i="7"/>
  <c r="BW39" i="7"/>
  <c r="BX39" i="7" s="1"/>
  <c r="BZ75" i="7"/>
  <c r="CA74" i="7"/>
  <c r="BZ34" i="10"/>
  <c r="CA33" i="10"/>
  <c r="BG34" i="8"/>
  <c r="BD35" i="8"/>
  <c r="BG35" i="8" s="1"/>
  <c r="BG34" i="9"/>
  <c r="BD35" i="9"/>
  <c r="BG35" i="9" s="1"/>
  <c r="CA73" i="10"/>
  <c r="BZ74" i="10"/>
  <c r="BZ35" i="10" l="1"/>
  <c r="CA34" i="10"/>
  <c r="CA74" i="10"/>
  <c r="BZ75" i="10"/>
  <c r="CA75" i="7"/>
  <c r="BZ76" i="7"/>
  <c r="BZ121" i="7"/>
  <c r="CA121" i="7" s="1"/>
  <c r="CA120" i="7"/>
  <c r="CA75" i="10" l="1"/>
  <c r="BZ76" i="10"/>
  <c r="CA76" i="7"/>
  <c r="BZ77" i="7"/>
  <c r="CA35" i="10"/>
  <c r="BZ36" i="10"/>
  <c r="BZ78" i="7" l="1"/>
  <c r="CA77" i="7"/>
  <c r="CA76" i="10"/>
  <c r="BZ77" i="10"/>
  <c r="CA36" i="10"/>
  <c r="BZ37" i="10"/>
  <c r="CA77" i="10" l="1"/>
  <c r="BZ78" i="10"/>
  <c r="CA78" i="7"/>
  <c r="BZ79" i="7"/>
  <c r="CA37" i="10"/>
  <c r="BZ38" i="10"/>
  <c r="CA38" i="10" s="1"/>
  <c r="BZ80" i="7" l="1"/>
  <c r="CA80" i="7" s="1"/>
  <c r="CA79" i="7"/>
  <c r="CA78" i="10"/>
  <c r="BZ79" i="10"/>
  <c r="CA79" i="10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Sergey</author>
    <author>Тарас</author>
  </authors>
  <commentList>
    <comment ref="A1" authorId="0" shapeId="0" xr:uid="{00000000-0006-0000-0000-000001000000}">
      <text>
        <r>
          <rPr>
            <b/>
            <sz val="9"/>
            <color indexed="81"/>
            <rFont val="Tahoma"/>
            <family val="2"/>
            <charset val="204"/>
          </rPr>
          <t>Таблица ввода свойств компонент углеводородной системы: 
При нажатии на кнопку, задать свойства из библиотеки, будут заданы стандартныйе свойства компонент до С7+ и далее свойства, посчитанные по корреляциям Cavett, Edmister, Брусиловский.
Возможно в ручную изменять любые свойства в данной таблице</t>
        </r>
      </text>
    </comment>
    <comment ref="C1" authorId="0" shapeId="0" xr:uid="{00000000-0006-0000-0000-000002000000}">
      <text>
        <r>
          <rPr>
            <b/>
            <sz val="9"/>
            <color indexed="81"/>
            <rFont val="Tahoma"/>
            <family val="2"/>
            <charset val="204"/>
          </rPr>
          <t xml:space="preserve">Мольные доли компонент в составе смеси в дл. Ед. </t>
        </r>
        <r>
          <rPr>
            <b/>
            <sz val="9"/>
            <color indexed="81"/>
            <rFont val="Arial Cyr"/>
            <charset val="204"/>
          </rPr>
          <t>∑</t>
        </r>
        <r>
          <rPr>
            <b/>
            <sz val="9"/>
            <color indexed="81"/>
            <rFont val="Tahoma"/>
            <family val="2"/>
            <charset val="204"/>
          </rPr>
          <t xml:space="preserve"> должна быть равна 1</t>
        </r>
      </text>
    </comment>
    <comment ref="D1" authorId="0" shapeId="0" xr:uid="{00000000-0006-0000-0000-000003000000}">
      <text>
        <r>
          <rPr>
            <b/>
            <sz val="9"/>
            <color indexed="81"/>
            <rFont val="Tahoma"/>
            <family val="2"/>
            <charset val="204"/>
          </rPr>
          <t>Молекулярная масса компонент смеси</t>
        </r>
        <r>
          <rPr>
            <sz val="8"/>
            <color indexed="81"/>
            <rFont val="Tahoma"/>
            <family val="2"/>
            <charset val="204"/>
          </rPr>
          <t xml:space="preserve">
</t>
        </r>
      </text>
    </comment>
    <comment ref="E1" authorId="0" shapeId="0" xr:uid="{00000000-0006-0000-0000-000004000000}">
      <text>
        <r>
          <rPr>
            <b/>
            <sz val="9"/>
            <color indexed="81"/>
            <rFont val="Tahoma"/>
            <family val="2"/>
            <charset val="204"/>
          </rPr>
          <t>Ацентрический фактор компонент смеси</t>
        </r>
      </text>
    </comment>
    <comment ref="F1" authorId="0" shapeId="0" xr:uid="{00000000-0006-0000-0000-000005000000}">
      <text>
        <r>
          <rPr>
            <b/>
            <sz val="9"/>
            <color indexed="81"/>
            <rFont val="Tahoma"/>
            <family val="2"/>
            <charset val="204"/>
          </rPr>
          <t>Критическая температура компонент смеси</t>
        </r>
      </text>
    </comment>
    <comment ref="G1" authorId="0" shapeId="0" xr:uid="{00000000-0006-0000-0000-000006000000}">
      <text>
        <r>
          <rPr>
            <b/>
            <sz val="9"/>
            <color indexed="81"/>
            <rFont val="Tahoma"/>
            <family val="2"/>
            <charset val="204"/>
          </rPr>
          <t>Критическое давление компонент смеси</t>
        </r>
      </text>
    </comment>
    <comment ref="H1" authorId="0" shapeId="0" xr:uid="{00000000-0006-0000-0000-000007000000}">
      <text>
        <r>
          <rPr>
            <b/>
            <sz val="9"/>
            <color indexed="81"/>
            <rFont val="Tahoma"/>
            <family val="2"/>
            <charset val="204"/>
          </rPr>
          <t>Коэффициент парного взаимодействия между компонентами смеси и С1(метан)</t>
        </r>
      </text>
    </comment>
    <comment ref="I1" authorId="0" shapeId="0" xr:uid="{00000000-0006-0000-0000-000008000000}">
      <text>
        <r>
          <rPr>
            <b/>
            <sz val="9"/>
            <color indexed="81"/>
            <rFont val="Tahoma"/>
            <family val="2"/>
            <charset val="204"/>
          </rPr>
          <t>Поправка мольного объема компонент смеси</t>
        </r>
      </text>
    </comment>
    <comment ref="L1" authorId="0" shapeId="0" xr:uid="{00000000-0006-0000-0000-000009000000}">
      <text>
        <r>
          <rPr>
            <b/>
            <sz val="8"/>
            <color indexed="81"/>
            <rFont val="Tahoma"/>
            <family val="2"/>
            <charset val="204"/>
          </rPr>
          <t>Вводные данные для алгоритмов постоения фазовой диаграммы и нахождения критической точки:
Pres-давление в резервуаре (Максимальное давление насыщения, которое может определить алгоритм равняется 2Pres)
Tbegin- температура нчала расчета алгоритма
Tend- конечная температура рассчета алгоритма
dT- шаг Температуры от Tbegin до Tend</t>
        </r>
      </text>
    </comment>
    <comment ref="AD2" authorId="1" shapeId="0" xr:uid="{00000000-0006-0000-0000-00000A000000}">
      <text>
        <r>
          <rPr>
            <b/>
            <sz val="9"/>
            <color indexed="81"/>
            <rFont val="Tahoma"/>
            <family val="2"/>
            <charset val="204"/>
          </rPr>
          <t>Тарас:</t>
        </r>
        <r>
          <rPr>
            <sz val="9"/>
            <color indexed="81"/>
            <rFont val="Tahoma"/>
            <family val="2"/>
            <charset val="204"/>
          </rPr>
          <t xml:space="preserve">
Соответствует номеру компоненты 1ого столбца</t>
        </r>
      </text>
    </comment>
    <comment ref="J3" authorId="0" shapeId="0" xr:uid="{00000000-0006-0000-0000-00000B000000}">
      <text>
        <r>
          <rPr>
            <sz val="10"/>
            <color indexed="81"/>
            <rFont val="Tahoma"/>
            <family val="2"/>
            <charset val="204"/>
          </rPr>
          <t>Число фракций разбиения группы СN+</t>
        </r>
      </text>
    </comment>
    <comment ref="J4" authorId="0" shapeId="0" xr:uid="{00000000-0006-0000-0000-00000C000000}">
      <text>
        <r>
          <rPr>
            <sz val="10"/>
            <color indexed="81"/>
            <rFont val="Tahoma"/>
            <family val="2"/>
            <charset val="204"/>
          </rPr>
          <t>Молекулярная масса группы CN+</t>
        </r>
      </text>
    </comment>
    <comment ref="J5" authorId="0" shapeId="0" xr:uid="{00000000-0006-0000-0000-00000D000000}">
      <text>
        <r>
          <rPr>
            <sz val="10"/>
            <color indexed="81"/>
            <rFont val="Tahoma"/>
            <family val="2"/>
            <charset val="204"/>
          </rPr>
          <t>Мольная доля группы СN+</t>
        </r>
      </text>
    </comment>
    <comment ref="J6" authorId="0" shapeId="0" xr:uid="{00000000-0006-0000-0000-00000E000000}">
      <text>
        <r>
          <rPr>
            <b/>
            <sz val="8"/>
            <color indexed="81"/>
            <rFont val="Tahoma"/>
            <family val="2"/>
            <charset val="204"/>
          </rPr>
          <t>В</t>
        </r>
        <r>
          <rPr>
            <sz val="9"/>
            <color indexed="81"/>
            <rFont val="Tahoma"/>
            <family val="2"/>
            <charset val="204"/>
          </rPr>
          <t>ыбор корреляции критических параметров (давления и температуры) фракций группы CN+</t>
        </r>
      </text>
    </comment>
    <comment ref="J9" authorId="0" shapeId="0" xr:uid="{00000000-0006-0000-0000-00000F000000}">
      <text>
        <r>
          <rPr>
            <sz val="9"/>
            <color indexed="81"/>
            <rFont val="Tahoma"/>
            <family val="2"/>
            <charset val="204"/>
          </rPr>
          <t>Выбор корреляций ацентрического фактора фаркций группы СN+</t>
        </r>
        <r>
          <rPr>
            <sz val="8"/>
            <color indexed="81"/>
            <rFont val="Tahoma"/>
            <family val="2"/>
            <charset val="204"/>
          </rPr>
          <t xml:space="preserve">
</t>
        </r>
      </text>
    </comment>
    <comment ref="J12" authorId="0" shapeId="0" xr:uid="{00000000-0006-0000-0000-000010000000}">
      <text>
        <r>
          <rPr>
            <sz val="9"/>
            <color indexed="81"/>
            <rFont val="Tahoma"/>
            <family val="2"/>
            <charset val="204"/>
          </rPr>
          <t>Выбор кореляции коэффициентов парного взаимодействия для фракций группы CN+</t>
        </r>
      </text>
    </comment>
    <comment ref="J15" authorId="0" shapeId="0" xr:uid="{00000000-0006-0000-0000-000011000000}">
      <text>
        <r>
          <rPr>
            <sz val="9"/>
            <color indexed="81"/>
            <rFont val="Tahoma"/>
            <family val="2"/>
            <charset val="204"/>
          </rPr>
          <t>Выбор Компонента смеси, с которого начинается группа СN+</t>
        </r>
      </text>
    </comment>
    <comment ref="J21" authorId="0" shapeId="0" xr:uid="{00000000-0006-0000-0000-000012000000}">
      <text>
        <r>
          <rPr>
            <b/>
            <sz val="9"/>
            <color indexed="81"/>
            <rFont val="Tahoma"/>
            <family val="2"/>
            <charset val="204"/>
          </rPr>
          <t>Вводные данные для расчета давления насыщения (начала конденсации)</t>
        </r>
        <r>
          <rPr>
            <sz val="9"/>
            <color indexed="81"/>
            <rFont val="Tahoma"/>
            <family val="2"/>
            <charset val="204"/>
          </rPr>
          <t xml:space="preserve">
</t>
        </r>
        <r>
          <rPr>
            <b/>
            <sz val="9"/>
            <color indexed="81"/>
            <rFont val="Tahoma"/>
            <family val="2"/>
            <charset val="204"/>
          </rPr>
          <t>Pres</t>
        </r>
        <r>
          <rPr>
            <sz val="9"/>
            <color indexed="81"/>
            <rFont val="Tahoma"/>
            <family val="2"/>
            <charset val="204"/>
          </rPr>
          <t xml:space="preserve">-давление в пласте (должно быть выще давления насыщения)
</t>
        </r>
        <r>
          <rPr>
            <b/>
            <sz val="9"/>
            <color indexed="81"/>
            <rFont val="Tahoma"/>
            <family val="2"/>
            <charset val="204"/>
          </rPr>
          <t>Tres-</t>
        </r>
        <r>
          <rPr>
            <sz val="9"/>
            <color indexed="81"/>
            <rFont val="Tahoma"/>
            <family val="2"/>
            <charset val="204"/>
          </rPr>
          <t xml:space="preserve"> температура в пласте </t>
        </r>
      </text>
    </comment>
    <comment ref="J25" authorId="0" shapeId="0" xr:uid="{00000000-0006-0000-0000-000013000000}">
      <text>
        <r>
          <rPr>
            <b/>
            <sz val="9"/>
            <color indexed="81"/>
            <rFont val="Tahoma"/>
            <family val="2"/>
            <charset val="204"/>
          </rPr>
          <t>Давление насыщения (начала конденсации)</t>
        </r>
      </text>
    </comment>
    <comment ref="C26" authorId="0" shapeId="0" xr:uid="{00000000-0006-0000-0000-000014000000}">
      <text>
        <r>
          <rPr>
            <sz val="9"/>
            <color indexed="81"/>
            <rFont val="Tahoma"/>
            <family val="2"/>
            <charset val="204"/>
          </rPr>
          <t xml:space="preserve">Для корректной работы алгоритмов значение этого поля всегда должно равняться </t>
        </r>
        <r>
          <rPr>
            <sz val="14"/>
            <color indexed="81"/>
            <rFont val="Tahoma"/>
            <family val="2"/>
            <charset val="204"/>
          </rPr>
          <t>1</t>
        </r>
      </text>
    </comment>
    <comment ref="A27" authorId="0" shapeId="0" xr:uid="{00000000-0006-0000-0000-000015000000}">
      <text>
        <r>
          <rPr>
            <b/>
            <sz val="9"/>
            <color indexed="81"/>
            <rFont val="Tahoma"/>
            <family val="2"/>
            <charset val="204"/>
          </rPr>
          <t>Параметры эксперимента по диффиренциальному разгазированию. Необходимы для алгоритмов: 
1) Дифф.конденсация(дифф.кривая
2) дифф.конденсация (контактная кривая)
3) Автоматическая настройка</t>
        </r>
      </text>
    </comment>
    <comment ref="A30" authorId="0" shapeId="0" xr:uid="{00000000-0006-0000-0000-000016000000}">
      <text>
        <r>
          <rPr>
            <sz val="9"/>
            <color indexed="81"/>
            <rFont val="Tahoma"/>
            <family val="2"/>
            <charset val="204"/>
          </rPr>
          <t>Температура, при которой проходил тест по диффиренциальнйо конденсации</t>
        </r>
      </text>
    </comment>
    <comment ref="A31" authorId="0" shapeId="0" xr:uid="{00000000-0006-0000-0000-000017000000}">
      <text>
        <r>
          <rPr>
            <sz val="9"/>
            <color indexed="81"/>
            <rFont val="Tahoma"/>
            <family val="2"/>
            <charset val="204"/>
          </rPr>
          <t>Давление в пласте</t>
        </r>
      </text>
    </comment>
    <comment ref="A32" authorId="0" shapeId="0" xr:uid="{00000000-0006-0000-0000-000018000000}">
      <text>
        <r>
          <rPr>
            <sz val="9"/>
            <color indexed="81"/>
            <rFont val="Tahoma"/>
            <family val="2"/>
            <charset val="204"/>
          </rPr>
          <t>Давление на поверхности</t>
        </r>
      </text>
    </comment>
    <comment ref="A33" authorId="0" shapeId="0" xr:uid="{00000000-0006-0000-0000-000019000000}">
      <text>
        <r>
          <rPr>
            <sz val="9"/>
            <color indexed="81"/>
            <rFont val="Tahoma"/>
            <family val="2"/>
            <charset val="204"/>
          </rPr>
          <t xml:space="preserve">Температура на поверхности
</t>
        </r>
      </text>
    </comment>
    <comment ref="A34" authorId="0" shapeId="0" xr:uid="{00000000-0006-0000-0000-00001A000000}">
      <text>
        <r>
          <rPr>
            <sz val="9"/>
            <color indexed="81"/>
            <rFont val="Tahoma"/>
            <family val="2"/>
            <charset val="204"/>
          </rPr>
          <t>Плотность нефти на поверхности (норм.условия)</t>
        </r>
      </text>
    </comment>
    <comment ref="A35" authorId="0" shapeId="0" xr:uid="{00000000-0006-0000-0000-00001B000000}">
      <text>
        <r>
          <rPr>
            <sz val="9"/>
            <color indexed="81"/>
            <rFont val="Tahoma"/>
            <family val="2"/>
            <charset val="204"/>
          </rPr>
          <t>Давление начала конденсации, определенное в эксперименте</t>
        </r>
      </text>
    </comment>
    <comment ref="A36" authorId="0" shapeId="0" xr:uid="{00000000-0006-0000-0000-00001C000000}">
      <text>
        <r>
          <rPr>
            <sz val="9"/>
            <color indexed="81"/>
            <rFont val="Tahoma"/>
            <family val="2"/>
            <charset val="204"/>
          </rPr>
          <t>Объем контейнера, в котором проводился эксперимент по дифф.конденсации</t>
        </r>
      </text>
    </comment>
    <comment ref="J36" authorId="0" shapeId="0" xr:uid="{00000000-0006-0000-0000-00001D000000}">
      <text>
        <r>
          <rPr>
            <b/>
            <sz val="8"/>
            <color indexed="81"/>
            <rFont val="Tahoma"/>
            <family val="2"/>
            <charset val="204"/>
          </rPr>
          <t xml:space="preserve">погрешность до 5-7% дает погрешность фазовой диаграммы около 2-5%
</t>
        </r>
      </text>
    </comment>
    <comment ref="A37" authorId="0" shapeId="0" xr:uid="{00000000-0006-0000-0000-00001E000000}">
      <text>
        <r>
          <rPr>
            <sz val="9"/>
            <color indexed="81"/>
            <rFont val="Tahoma"/>
            <family val="2"/>
            <charset val="204"/>
          </rPr>
          <t>Начальный объем газа в системе при нормальных условиях</t>
        </r>
      </text>
    </comment>
    <comment ref="A38" authorId="0" shapeId="0" xr:uid="{00000000-0006-0000-0000-00001F000000}">
      <text>
        <r>
          <rPr>
            <sz val="9"/>
            <color indexed="81"/>
            <rFont val="Tahoma"/>
            <family val="2"/>
            <charset val="204"/>
          </rPr>
          <t>Допустимое отклонение давления начала конденсации модели и эксперимнта. Вычисляется, как разница между двумя последующими замерами давленяи в эксперименте.</t>
        </r>
      </text>
    </comment>
    <comment ref="A43" authorId="0" shapeId="0" xr:uid="{00000000-0006-0000-0000-000020000000}">
      <text>
        <r>
          <rPr>
            <sz val="10"/>
            <color indexed="81"/>
            <rFont val="Tahoma"/>
            <family val="2"/>
            <charset val="204"/>
          </rPr>
          <t xml:space="preserve">Для работы этого макроса необходимо:
проставить доверие к проекту VBA:
Excel 2007 – Меню-Параметры Excel-Центр управления безопасностью-Параметры макросов-поставить галочку «Доверять доступ к объектной модели проектов VBA»
Excel 2003- Сервис – Параметры-вкладка Безопасность-Параметры макросов-Доверять доступ к Visual Basic Project 
проект VBA не должен быть защищен. </t>
        </r>
        <r>
          <rPr>
            <sz val="8"/>
            <color indexed="81"/>
            <rFont val="Tahoma"/>
            <family val="2"/>
            <charset val="204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<sst xmlns="http://schemas.openxmlformats.org/spreadsheetml/2006/main" count="3220" uniqueCount="262">
  <si>
    <t>№</t>
  </si>
  <si>
    <t>Name</t>
  </si>
  <si>
    <t>MW</t>
  </si>
  <si>
    <t>ω</t>
  </si>
  <si>
    <t>C2</t>
  </si>
  <si>
    <t>C3</t>
  </si>
  <si>
    <t>iC4</t>
  </si>
  <si>
    <t>nC4</t>
  </si>
  <si>
    <t>iC5</t>
  </si>
  <si>
    <t>nC5</t>
  </si>
  <si>
    <t>C6</t>
  </si>
  <si>
    <t>Kz</t>
  </si>
  <si>
    <r>
      <t>CO</t>
    </r>
    <r>
      <rPr>
        <vertAlign val="subscript"/>
        <sz val="10"/>
        <rFont val="Arial Cyr"/>
        <charset val="204"/>
      </rPr>
      <t>2</t>
    </r>
  </si>
  <si>
    <r>
      <t>N</t>
    </r>
    <r>
      <rPr>
        <vertAlign val="subscript"/>
        <sz val="10"/>
        <rFont val="Arial Cyr"/>
        <charset val="204"/>
      </rPr>
      <t>2</t>
    </r>
  </si>
  <si>
    <r>
      <t>C</t>
    </r>
    <r>
      <rPr>
        <vertAlign val="subscript"/>
        <sz val="10"/>
        <rFont val="Arial Cyr"/>
        <charset val="204"/>
      </rPr>
      <t>1</t>
    </r>
  </si>
  <si>
    <t>g/mol</t>
  </si>
  <si>
    <t>Z-factor</t>
  </si>
  <si>
    <t>дл.ед.</t>
  </si>
  <si>
    <t>Density</t>
  </si>
  <si>
    <t>Mol</t>
  </si>
  <si>
    <t>GOR</t>
  </si>
  <si>
    <t>м3/м3</t>
  </si>
  <si>
    <t>CO2</t>
  </si>
  <si>
    <t>N2</t>
  </si>
  <si>
    <t>C1</t>
  </si>
  <si>
    <t>mix</t>
  </si>
  <si>
    <t>Sshifts</t>
  </si>
  <si>
    <t>кг/м3</t>
  </si>
  <si>
    <t>Tsuf</t>
  </si>
  <si>
    <t>K</t>
  </si>
  <si>
    <t>MPa</t>
  </si>
  <si>
    <t>P, MPa</t>
  </si>
  <si>
    <t>N</t>
  </si>
  <si>
    <t>Binary interaction parameter</t>
  </si>
  <si>
    <t>P</t>
  </si>
  <si>
    <t>С7</t>
  </si>
  <si>
    <t>С8</t>
  </si>
  <si>
    <t>С9</t>
  </si>
  <si>
    <t>С10</t>
  </si>
  <si>
    <t>С11</t>
  </si>
  <si>
    <t>С12</t>
  </si>
  <si>
    <t>С13</t>
  </si>
  <si>
    <t>С14</t>
  </si>
  <si>
    <t>С15</t>
  </si>
  <si>
    <t>С16</t>
  </si>
  <si>
    <t>С17</t>
  </si>
  <si>
    <t>Брусиловский</t>
  </si>
  <si>
    <t>Tsonopoulos</t>
  </si>
  <si>
    <t>Fender-Halsey</t>
  </si>
  <si>
    <t>Chueh-Prausnitz</t>
  </si>
  <si>
    <t>zcrit</t>
  </si>
  <si>
    <t>Vmcrit</t>
  </si>
  <si>
    <t>diff</t>
  </si>
  <si>
    <t>contact</t>
  </si>
  <si>
    <t>Vldiff</t>
  </si>
  <si>
    <t>BIP(C1-N)</t>
  </si>
  <si>
    <r>
      <t>MW</t>
    </r>
    <r>
      <rPr>
        <sz val="9"/>
        <rFont val="Arial Cyr"/>
        <charset val="204"/>
      </rPr>
      <t>,</t>
    </r>
    <r>
      <rPr>
        <b/>
        <sz val="11"/>
        <rFont val="Arial Cyr"/>
        <charset val="204"/>
      </rPr>
      <t xml:space="preserve"> </t>
    </r>
    <r>
      <rPr>
        <sz val="9"/>
        <rFont val="Arial Cyr"/>
        <charset val="204"/>
      </rPr>
      <t>кг/моль</t>
    </r>
  </si>
  <si>
    <r>
      <t>z</t>
    </r>
    <r>
      <rPr>
        <sz val="9"/>
        <rFont val="Arial Cyr"/>
        <charset val="204"/>
      </rPr>
      <t>,</t>
    </r>
    <r>
      <rPr>
        <b/>
        <sz val="11"/>
        <rFont val="Arial Cyr"/>
        <charset val="204"/>
      </rPr>
      <t xml:space="preserve"> </t>
    </r>
    <r>
      <rPr>
        <sz val="9"/>
        <rFont val="Arial Cyr"/>
        <charset val="204"/>
      </rPr>
      <t>дл.ед.</t>
    </r>
  </si>
  <si>
    <r>
      <t>Tc</t>
    </r>
    <r>
      <rPr>
        <sz val="9"/>
        <rFont val="Arial Cyr"/>
        <charset val="204"/>
      </rPr>
      <t>,</t>
    </r>
    <r>
      <rPr>
        <b/>
        <sz val="9"/>
        <rFont val="Arial Cyr"/>
        <charset val="204"/>
      </rPr>
      <t xml:space="preserve"> </t>
    </r>
    <r>
      <rPr>
        <sz val="9"/>
        <rFont val="Arial Cyr"/>
        <charset val="204"/>
      </rPr>
      <t>К</t>
    </r>
  </si>
  <si>
    <r>
      <t>pc</t>
    </r>
    <r>
      <rPr>
        <sz val="9"/>
        <rFont val="Arial Cyr"/>
        <charset val="204"/>
      </rPr>
      <t>,</t>
    </r>
    <r>
      <rPr>
        <b/>
        <sz val="11"/>
        <rFont val="Arial Cyr"/>
        <charset val="204"/>
      </rPr>
      <t xml:space="preserve"> </t>
    </r>
    <r>
      <rPr>
        <sz val="9"/>
        <rFont val="Arial Cyr"/>
        <charset val="204"/>
      </rPr>
      <t>МПа</t>
    </r>
  </si>
  <si>
    <r>
      <t>Tbegin</t>
    </r>
    <r>
      <rPr>
        <sz val="9"/>
        <rFont val="Arial Cyr"/>
        <charset val="204"/>
      </rPr>
      <t>, К</t>
    </r>
  </si>
  <si>
    <r>
      <t>P</t>
    </r>
    <r>
      <rPr>
        <sz val="10"/>
        <rFont val="Arial Cyr"/>
        <charset val="204"/>
      </rPr>
      <t>, Мпа</t>
    </r>
  </si>
  <si>
    <r>
      <t>T</t>
    </r>
    <r>
      <rPr>
        <sz val="10"/>
        <rFont val="Arial Cyr"/>
        <charset val="204"/>
      </rPr>
      <t>, К</t>
    </r>
  </si>
  <si>
    <r>
      <t>Tend</t>
    </r>
    <r>
      <rPr>
        <b/>
        <sz val="9"/>
        <rFont val="Arial Cyr"/>
        <charset val="204"/>
      </rPr>
      <t>,</t>
    </r>
    <r>
      <rPr>
        <sz val="9"/>
        <rFont val="Arial Cyr"/>
        <charset val="204"/>
      </rPr>
      <t xml:space="preserve"> К</t>
    </r>
  </si>
  <si>
    <r>
      <t>dT</t>
    </r>
    <r>
      <rPr>
        <sz val="10"/>
        <rFont val="Arial Cyr"/>
        <charset val="204"/>
      </rPr>
      <t>, К</t>
    </r>
  </si>
  <si>
    <t>McN+</t>
  </si>
  <si>
    <t>Текущее давление</t>
  </si>
  <si>
    <t>Объем выпавшего конденсата</t>
  </si>
  <si>
    <t>Пластовые потери на газ сепарации</t>
  </si>
  <si>
    <t>Объем системы</t>
  </si>
  <si>
    <t>Р, атм</t>
  </si>
  <si>
    <t>Vконд, см3</t>
  </si>
  <si>
    <t>q, см3/нм3</t>
  </si>
  <si>
    <t>V, см3</t>
  </si>
  <si>
    <t xml:space="preserve">Результаты эксперимента по </t>
  </si>
  <si>
    <t>кг/м^3</t>
  </si>
  <si>
    <t xml:space="preserve">Psat </t>
  </si>
  <si>
    <t>Погреш.</t>
  </si>
  <si>
    <t>ώ correl.</t>
  </si>
  <si>
    <t>P, atm</t>
  </si>
  <si>
    <t xml:space="preserve"> объемному расширению газоконд. Системы</t>
  </si>
  <si>
    <t>Критическая точка</t>
  </si>
  <si>
    <t>С18</t>
  </si>
  <si>
    <r>
      <t>CO</t>
    </r>
    <r>
      <rPr>
        <b/>
        <vertAlign val="subscript"/>
        <sz val="10"/>
        <rFont val="Arial Cyr"/>
        <charset val="204"/>
      </rPr>
      <t>2</t>
    </r>
  </si>
  <si>
    <r>
      <t>N</t>
    </r>
    <r>
      <rPr>
        <b/>
        <vertAlign val="subscript"/>
        <sz val="10"/>
        <rFont val="Arial Cyr"/>
        <charset val="204"/>
      </rPr>
      <t>2</t>
    </r>
  </si>
  <si>
    <r>
      <t>C</t>
    </r>
    <r>
      <rPr>
        <b/>
        <vertAlign val="subscript"/>
        <sz val="10"/>
        <rFont val="Arial Cyr"/>
        <charset val="204"/>
      </rPr>
      <t>1</t>
    </r>
  </si>
  <si>
    <r>
      <t>Pc</t>
    </r>
    <r>
      <rPr>
        <sz val="10"/>
        <rFont val="Arial Cyr"/>
        <charset val="204"/>
      </rPr>
      <t>, MPa</t>
    </r>
  </si>
  <si>
    <r>
      <t>Tc</t>
    </r>
    <r>
      <rPr>
        <sz val="10"/>
        <rFont val="Arial Cyr"/>
        <charset val="204"/>
      </rPr>
      <t>, K</t>
    </r>
  </si>
  <si>
    <r>
      <t>Pi</t>
    </r>
    <r>
      <rPr>
        <sz val="10"/>
        <color indexed="8"/>
        <rFont val="Arial Cyr"/>
        <charset val="204"/>
      </rPr>
      <t>, Mpa</t>
    </r>
  </si>
  <si>
    <r>
      <t>Ti</t>
    </r>
    <r>
      <rPr>
        <sz val="10"/>
        <color indexed="8"/>
        <rFont val="Arial Cyr"/>
        <charset val="204"/>
      </rPr>
      <t>, K</t>
    </r>
  </si>
  <si>
    <t>BIP</t>
  </si>
  <si>
    <t>C16</t>
  </si>
  <si>
    <t>C17</t>
  </si>
  <si>
    <t>C18</t>
  </si>
  <si>
    <t>C19</t>
  </si>
  <si>
    <t>C20</t>
  </si>
  <si>
    <t>Kesler-Lee</t>
  </si>
  <si>
    <t>Riahzi-Daubert</t>
  </si>
  <si>
    <t>Cavett</t>
  </si>
  <si>
    <t>Ahmed</t>
  </si>
  <si>
    <t>Pedersen</t>
  </si>
  <si>
    <t>Winn</t>
  </si>
  <si>
    <t>Twu</t>
  </si>
  <si>
    <t>Sancet</t>
  </si>
  <si>
    <t>Edmister</t>
  </si>
  <si>
    <t>Al-Sahhaf</t>
  </si>
  <si>
    <t>Brusilovskiy</t>
  </si>
  <si>
    <t>Tsonopolus</t>
  </si>
  <si>
    <t>Chue-Prausnitz</t>
  </si>
  <si>
    <t>C5+</t>
  </si>
  <si>
    <t>C6+</t>
  </si>
  <si>
    <t>C7+</t>
  </si>
  <si>
    <t>C8+</t>
  </si>
  <si>
    <t>C9+</t>
  </si>
  <si>
    <t>C10+</t>
  </si>
  <si>
    <t>C11+</t>
  </si>
  <si>
    <t>C12+</t>
  </si>
  <si>
    <t>C13+</t>
  </si>
  <si>
    <t>C14+</t>
  </si>
  <si>
    <t>C15+</t>
  </si>
  <si>
    <t>Крит.парам. Tc, pc</t>
  </si>
  <si>
    <t>Ацентр. Фактор</t>
  </si>
  <si>
    <t>Коэф. Парн. Взаим.</t>
  </si>
  <si>
    <t>Группа С+</t>
  </si>
  <si>
    <t>zcN+</t>
  </si>
  <si>
    <t>Critical. prop.</t>
  </si>
  <si>
    <t>Acentric factor</t>
  </si>
  <si>
    <t>Cn</t>
  </si>
  <si>
    <t>∑</t>
  </si>
  <si>
    <t>Пластовая температура</t>
  </si>
  <si>
    <t>ro mod</t>
  </si>
  <si>
    <t>Tres</t>
  </si>
  <si>
    <t>Pres</t>
  </si>
  <si>
    <t>Psuf</t>
  </si>
  <si>
    <t>ro exp</t>
  </si>
  <si>
    <t>Psat, Mpa</t>
  </si>
  <si>
    <t>Fender-Helsey</t>
  </si>
  <si>
    <t>Pres, MPa</t>
  </si>
  <si>
    <t>Tres, K</t>
  </si>
  <si>
    <t>Результаты настройки модели на эксперимент по дифф. Конденсации</t>
  </si>
  <si>
    <t>BIP correl.</t>
  </si>
  <si>
    <t>Psat. mod</t>
  </si>
  <si>
    <r>
      <t>Pres</t>
    </r>
    <r>
      <rPr>
        <sz val="10"/>
        <rFont val="Arial Cyr"/>
        <charset val="204"/>
      </rPr>
      <t>, МПа</t>
    </r>
  </si>
  <si>
    <t>Ndiff</t>
  </si>
  <si>
    <t>sm^3</t>
  </si>
  <si>
    <r>
      <t>V</t>
    </r>
    <r>
      <rPr>
        <sz val="10"/>
        <rFont val="Arial Cyr"/>
        <charset val="204"/>
      </rPr>
      <t>н.усл</t>
    </r>
  </si>
  <si>
    <r>
      <t>V</t>
    </r>
    <r>
      <rPr>
        <sz val="10"/>
        <rFont val="Arial Cyr"/>
        <charset val="204"/>
      </rPr>
      <t>конт.</t>
    </r>
  </si>
  <si>
    <t>Ncontact</t>
  </si>
  <si>
    <t>Vlcontac</t>
  </si>
  <si>
    <t>Диффиренц. Кривая</t>
  </si>
  <si>
    <t>Контактная кривая</t>
  </si>
  <si>
    <t>Прежде чем нажимать на кнопку выше:</t>
  </si>
  <si>
    <t>Psat-Psatmod, Mpa</t>
  </si>
  <si>
    <t>CVD line</t>
  </si>
  <si>
    <t>pc,Tc corr.</t>
  </si>
  <si>
    <t>Параметры эксперимента</t>
  </si>
  <si>
    <t>Результаты эксперимента по дифференциальнйо конденсации</t>
  </si>
  <si>
    <t>H20</t>
  </si>
  <si>
    <t>Расчет свойств для одной компоненты</t>
  </si>
  <si>
    <t>CH3OH</t>
  </si>
  <si>
    <t>1st phase</t>
  </si>
  <si>
    <t>2nd phase</t>
  </si>
  <si>
    <t>3rd phase</t>
  </si>
  <si>
    <t>C8</t>
  </si>
  <si>
    <t>H2O</t>
  </si>
  <si>
    <t xml:space="preserve"> </t>
  </si>
  <si>
    <t>(g12-g22)/R</t>
  </si>
  <si>
    <t>(g21-g11)/R</t>
  </si>
  <si>
    <r>
      <rPr>
        <b/>
        <sz val="14"/>
        <rFont val="Symbol"/>
        <family val="1"/>
        <charset val="2"/>
      </rPr>
      <t>a</t>
    </r>
    <r>
      <rPr>
        <b/>
        <sz val="11"/>
        <rFont val="Arial Cyr"/>
        <charset val="204"/>
      </rPr>
      <t>12</t>
    </r>
  </si>
  <si>
    <t>Methanol(1)</t>
  </si>
  <si>
    <t>Water(1)</t>
  </si>
  <si>
    <r>
      <t>CO</t>
    </r>
    <r>
      <rPr>
        <b/>
        <vertAlign val="subscript"/>
        <sz val="11"/>
        <rFont val="Arial Cyr"/>
        <charset val="204"/>
      </rPr>
      <t>2</t>
    </r>
  </si>
  <si>
    <r>
      <t>N</t>
    </r>
    <r>
      <rPr>
        <b/>
        <vertAlign val="subscript"/>
        <sz val="11"/>
        <rFont val="Arial Cyr"/>
        <charset val="204"/>
      </rPr>
      <t>2</t>
    </r>
  </si>
  <si>
    <r>
      <t>C</t>
    </r>
    <r>
      <rPr>
        <b/>
        <vertAlign val="subscript"/>
        <sz val="11"/>
        <rFont val="Arial Cyr"/>
        <charset val="204"/>
      </rPr>
      <t>1</t>
    </r>
  </si>
  <si>
    <t>(g'12-g'22)/R</t>
  </si>
  <si>
    <t>(g'21-g'11)/R</t>
  </si>
  <si>
    <t>(g''12-g''22)/R</t>
  </si>
  <si>
    <t>(g''21-g''11)/R</t>
  </si>
  <si>
    <t>C9</t>
  </si>
  <si>
    <t>C10</t>
  </si>
  <si>
    <t>C11</t>
  </si>
  <si>
    <t>C12</t>
  </si>
  <si>
    <t>C13</t>
  </si>
  <si>
    <t>C14</t>
  </si>
  <si>
    <t>C15</t>
  </si>
  <si>
    <t>Эксперимент</t>
  </si>
  <si>
    <t>Расчет</t>
  </si>
  <si>
    <r>
      <t>Метан+Вода (CH</t>
    </r>
    <r>
      <rPr>
        <b/>
        <vertAlign val="subscript"/>
        <sz val="12"/>
        <color indexed="8"/>
        <rFont val="Calibri"/>
        <family val="2"/>
        <charset val="204"/>
      </rPr>
      <t>4</t>
    </r>
    <r>
      <rPr>
        <b/>
        <sz val="12"/>
        <color indexed="8"/>
        <rFont val="Calibri"/>
        <family val="2"/>
        <charset val="204"/>
      </rPr>
      <t>+H</t>
    </r>
    <r>
      <rPr>
        <b/>
        <vertAlign val="subscript"/>
        <sz val="12"/>
        <color indexed="8"/>
        <rFont val="Calibri"/>
        <family val="2"/>
        <charset val="204"/>
      </rPr>
      <t>2</t>
    </r>
    <r>
      <rPr>
        <b/>
        <sz val="12"/>
        <color indexed="8"/>
        <rFont val="Calibri"/>
        <family val="2"/>
        <charset val="204"/>
      </rPr>
      <t>0)</t>
    </r>
  </si>
  <si>
    <t>Давление, Мпа</t>
  </si>
  <si>
    <t>Температура, С</t>
  </si>
  <si>
    <t>Погрешность</t>
  </si>
  <si>
    <r>
      <t>Метан+Вода (C</t>
    </r>
    <r>
      <rPr>
        <b/>
        <vertAlign val="subscript"/>
        <sz val="12"/>
        <color indexed="8"/>
        <rFont val="Calibri"/>
        <family val="2"/>
        <charset val="204"/>
      </rPr>
      <t>3</t>
    </r>
    <r>
      <rPr>
        <b/>
        <sz val="12"/>
        <color indexed="8"/>
        <rFont val="Calibri"/>
        <family val="2"/>
        <charset val="204"/>
      </rPr>
      <t>H</t>
    </r>
    <r>
      <rPr>
        <b/>
        <vertAlign val="subscript"/>
        <sz val="12"/>
        <color indexed="8"/>
        <rFont val="Calibri"/>
        <family val="2"/>
        <charset val="204"/>
      </rPr>
      <t>8</t>
    </r>
    <r>
      <rPr>
        <b/>
        <sz val="12"/>
        <color indexed="8"/>
        <rFont val="Calibri"/>
        <family val="2"/>
        <charset val="204"/>
      </rPr>
      <t>+H</t>
    </r>
    <r>
      <rPr>
        <b/>
        <vertAlign val="subscript"/>
        <sz val="12"/>
        <color indexed="8"/>
        <rFont val="Calibri"/>
        <family val="2"/>
        <charset val="204"/>
      </rPr>
      <t>2</t>
    </r>
    <r>
      <rPr>
        <b/>
        <sz val="12"/>
        <color indexed="8"/>
        <rFont val="Calibri"/>
        <family val="2"/>
        <charset val="204"/>
      </rPr>
      <t>0)</t>
    </r>
  </si>
  <si>
    <t>-</t>
  </si>
  <si>
    <t>H2S</t>
  </si>
  <si>
    <t>Содержание водяных паров в газовой фазе, находящейся в равновесии с раствором в воде, мольные доли (Намиот)</t>
  </si>
  <si>
    <t>Эксперимент (Kobayashi, Katz)</t>
  </si>
  <si>
    <r>
      <t>Метан+Вода (</t>
    </r>
    <r>
      <rPr>
        <b/>
        <sz val="12"/>
        <color indexed="8"/>
        <rFont val="Calibri"/>
        <family val="2"/>
        <charset val="204"/>
      </rPr>
      <t>H</t>
    </r>
    <r>
      <rPr>
        <b/>
        <vertAlign val="subscript"/>
        <sz val="12"/>
        <color indexed="8"/>
        <rFont val="Calibri"/>
        <family val="2"/>
        <charset val="204"/>
      </rPr>
      <t>2</t>
    </r>
    <r>
      <rPr>
        <b/>
        <sz val="12"/>
        <color indexed="8"/>
        <rFont val="Calibri"/>
        <family val="2"/>
        <charset val="204"/>
      </rPr>
      <t>0+C3H8)</t>
    </r>
  </si>
  <si>
    <r>
      <t>Этан+Вода (C</t>
    </r>
    <r>
      <rPr>
        <b/>
        <vertAlign val="subscript"/>
        <sz val="12"/>
        <color indexed="8"/>
        <rFont val="Calibri"/>
        <family val="2"/>
        <charset val="204"/>
      </rPr>
      <t>2</t>
    </r>
    <r>
      <rPr>
        <b/>
        <sz val="12"/>
        <color indexed="8"/>
        <rFont val="Calibri"/>
        <family val="2"/>
        <charset val="204"/>
      </rPr>
      <t>H</t>
    </r>
    <r>
      <rPr>
        <b/>
        <vertAlign val="subscript"/>
        <sz val="12"/>
        <color indexed="8"/>
        <rFont val="Calibri"/>
        <family val="2"/>
        <charset val="204"/>
      </rPr>
      <t>6</t>
    </r>
    <r>
      <rPr>
        <b/>
        <sz val="12"/>
        <color indexed="8"/>
        <rFont val="Calibri"/>
        <family val="2"/>
        <charset val="204"/>
      </rPr>
      <t>+H</t>
    </r>
    <r>
      <rPr>
        <b/>
        <vertAlign val="subscript"/>
        <sz val="12"/>
        <color indexed="8"/>
        <rFont val="Calibri"/>
        <family val="2"/>
        <charset val="204"/>
      </rPr>
      <t>2</t>
    </r>
    <r>
      <rPr>
        <b/>
        <sz val="12"/>
        <color indexed="8"/>
        <rFont val="Calibri"/>
        <family val="2"/>
        <charset val="204"/>
      </rPr>
      <t>0)</t>
    </r>
  </si>
  <si>
    <r>
      <t>Пропан+Вода (C</t>
    </r>
    <r>
      <rPr>
        <b/>
        <vertAlign val="subscript"/>
        <sz val="12"/>
        <color indexed="8"/>
        <rFont val="Calibri"/>
        <family val="2"/>
        <charset val="204"/>
      </rPr>
      <t>3</t>
    </r>
    <r>
      <rPr>
        <b/>
        <sz val="12"/>
        <color indexed="8"/>
        <rFont val="Calibri"/>
        <family val="2"/>
        <charset val="204"/>
      </rPr>
      <t>H</t>
    </r>
    <r>
      <rPr>
        <b/>
        <vertAlign val="subscript"/>
        <sz val="12"/>
        <color indexed="8"/>
        <rFont val="Calibri"/>
        <family val="2"/>
        <charset val="204"/>
      </rPr>
      <t>8</t>
    </r>
    <r>
      <rPr>
        <b/>
        <sz val="12"/>
        <color indexed="8"/>
        <rFont val="Calibri"/>
        <family val="2"/>
        <charset val="204"/>
      </rPr>
      <t>+H</t>
    </r>
    <r>
      <rPr>
        <b/>
        <vertAlign val="subscript"/>
        <sz val="12"/>
        <color indexed="8"/>
        <rFont val="Calibri"/>
        <family val="2"/>
        <charset val="204"/>
      </rPr>
      <t>2</t>
    </r>
    <r>
      <rPr>
        <b/>
        <sz val="12"/>
        <color indexed="8"/>
        <rFont val="Calibri"/>
        <family val="2"/>
        <charset val="204"/>
      </rPr>
      <t>0)</t>
    </r>
  </si>
  <si>
    <t>Пропан+Вода (C3H8+H20)</t>
  </si>
  <si>
    <r>
      <t>Бутан+Вода (C</t>
    </r>
    <r>
      <rPr>
        <b/>
        <vertAlign val="subscript"/>
        <sz val="12"/>
        <color indexed="8"/>
        <rFont val="Calibri"/>
        <family val="2"/>
        <charset val="204"/>
      </rPr>
      <t>4</t>
    </r>
    <r>
      <rPr>
        <b/>
        <sz val="12"/>
        <color indexed="8"/>
        <rFont val="Calibri"/>
        <family val="2"/>
        <charset val="204"/>
      </rPr>
      <t>H</t>
    </r>
    <r>
      <rPr>
        <b/>
        <vertAlign val="subscript"/>
        <sz val="12"/>
        <color indexed="8"/>
        <rFont val="Calibri"/>
        <family val="2"/>
        <charset val="204"/>
      </rPr>
      <t>10</t>
    </r>
    <r>
      <rPr>
        <b/>
        <sz val="12"/>
        <color indexed="8"/>
        <rFont val="Calibri"/>
        <family val="2"/>
        <charset val="204"/>
      </rPr>
      <t>+H</t>
    </r>
    <r>
      <rPr>
        <b/>
        <vertAlign val="subscript"/>
        <sz val="12"/>
        <color indexed="8"/>
        <rFont val="Calibri"/>
        <family val="2"/>
        <charset val="204"/>
      </rPr>
      <t>2</t>
    </r>
    <r>
      <rPr>
        <b/>
        <sz val="12"/>
        <color indexed="8"/>
        <rFont val="Calibri"/>
        <family val="2"/>
        <charset val="204"/>
      </rPr>
      <t>0)</t>
    </r>
  </si>
  <si>
    <r>
      <t>Азот+Вода (N</t>
    </r>
    <r>
      <rPr>
        <b/>
        <vertAlign val="subscript"/>
        <sz val="12"/>
        <color indexed="8"/>
        <rFont val="Calibri"/>
        <family val="2"/>
        <charset val="204"/>
      </rPr>
      <t>2</t>
    </r>
    <r>
      <rPr>
        <b/>
        <sz val="12"/>
        <color indexed="8"/>
        <rFont val="Calibri"/>
        <family val="2"/>
        <charset val="204"/>
      </rPr>
      <t>+H</t>
    </r>
    <r>
      <rPr>
        <b/>
        <vertAlign val="subscript"/>
        <sz val="12"/>
        <color indexed="8"/>
        <rFont val="Calibri"/>
        <family val="2"/>
        <charset val="204"/>
      </rPr>
      <t>2</t>
    </r>
    <r>
      <rPr>
        <b/>
        <sz val="12"/>
        <color indexed="8"/>
        <rFont val="Calibri"/>
        <family val="2"/>
        <charset val="204"/>
      </rPr>
      <t>0)</t>
    </r>
  </si>
  <si>
    <r>
      <t>Сероводород+Вода (H</t>
    </r>
    <r>
      <rPr>
        <b/>
        <vertAlign val="subscript"/>
        <sz val="12"/>
        <color indexed="8"/>
        <rFont val="Calibri"/>
        <family val="2"/>
        <charset val="204"/>
      </rPr>
      <t>2</t>
    </r>
    <r>
      <rPr>
        <b/>
        <sz val="12"/>
        <color indexed="8"/>
        <rFont val="Calibri"/>
        <family val="2"/>
        <charset val="204"/>
      </rPr>
      <t>S+H</t>
    </r>
    <r>
      <rPr>
        <b/>
        <vertAlign val="subscript"/>
        <sz val="12"/>
        <color indexed="8"/>
        <rFont val="Calibri"/>
        <family val="2"/>
        <charset val="204"/>
      </rPr>
      <t>2</t>
    </r>
    <r>
      <rPr>
        <b/>
        <sz val="12"/>
        <color indexed="8"/>
        <rFont val="Calibri"/>
        <family val="2"/>
        <charset val="204"/>
      </rPr>
      <t>0)</t>
    </r>
  </si>
  <si>
    <t>Результат эксперимента Constant Volume Depletion</t>
  </si>
  <si>
    <t>№ Ступени</t>
  </si>
  <si>
    <t>Мольная доля</t>
  </si>
  <si>
    <t>Объем</t>
  </si>
  <si>
    <t>Молекулярная масса</t>
  </si>
  <si>
    <t>Плотность</t>
  </si>
  <si>
    <t>1 ступень</t>
  </si>
  <si>
    <t>см3</t>
  </si>
  <si>
    <t>Давление на ступени</t>
  </si>
  <si>
    <t>Температура на ступени</t>
  </si>
  <si>
    <t>Mpa</t>
  </si>
  <si>
    <t>Объем системы, cv3</t>
  </si>
  <si>
    <t>2 ступень</t>
  </si>
  <si>
    <t>3 ступень</t>
  </si>
  <si>
    <t>4 ступень</t>
  </si>
  <si>
    <t>5 ступень</t>
  </si>
  <si>
    <t>6 ступень</t>
  </si>
  <si>
    <t>7 ступень</t>
  </si>
  <si>
    <t>8 ступень</t>
  </si>
  <si>
    <t>9 ступень</t>
  </si>
  <si>
    <t>10 ступень</t>
  </si>
  <si>
    <t>11 ступень</t>
  </si>
  <si>
    <t>zc5+</t>
  </si>
  <si>
    <t>П</t>
  </si>
  <si>
    <t>Мольная доля воды = 40% (объемная доля равна 10%)</t>
  </si>
  <si>
    <t>Мольная доля воды = 80% (объемная доля равна 40%)</t>
  </si>
  <si>
    <t>12 ступень</t>
  </si>
  <si>
    <t>13 ступень</t>
  </si>
  <si>
    <t>14 ступень</t>
  </si>
  <si>
    <t>15 ступень</t>
  </si>
  <si>
    <t>Влагосодержание (по Бюкачеку)</t>
  </si>
  <si>
    <t>Влагосодержание (расчет)</t>
  </si>
  <si>
    <t>Бюкачек</t>
  </si>
  <si>
    <t>С14+</t>
  </si>
  <si>
    <t>Pdew</t>
  </si>
  <si>
    <t>Мпа</t>
  </si>
  <si>
    <t>Потери</t>
  </si>
  <si>
    <t>Добыча</t>
  </si>
  <si>
    <t>КИК</t>
  </si>
  <si>
    <t>Мольная доля воды = 33% (объемная доля равна 10%)</t>
  </si>
  <si>
    <t>Мольная доля воды = 75% (объемная доля равна 40%)</t>
  </si>
  <si>
    <t>Мольная доля воды = 30% (объемная доля равна 10%)</t>
  </si>
  <si>
    <t>Мольная доля воды = 71% (объемная доля равна 40%)</t>
  </si>
  <si>
    <t>Mw</t>
  </si>
  <si>
    <t>C7</t>
  </si>
  <si>
    <t>C25+</t>
  </si>
  <si>
    <t>C17+</t>
  </si>
  <si>
    <t>C20+</t>
  </si>
  <si>
    <t>NaCl</t>
  </si>
  <si>
    <t>°</t>
  </si>
  <si>
    <r>
      <t>Диоксид углерода+Вода (CO2</t>
    </r>
    <r>
      <rPr>
        <b/>
        <sz val="12"/>
        <color indexed="8"/>
        <rFont val="Calibri"/>
        <family val="2"/>
        <charset val="204"/>
      </rPr>
      <t>+H20)</t>
    </r>
  </si>
  <si>
    <t>расчет</t>
  </si>
  <si>
    <t>Мольная доля рассола = 71% (объемная доля равна 40%)</t>
  </si>
  <si>
    <t>Мольная доля рассола = 30% (объемная доля равна 10%)</t>
  </si>
  <si>
    <t>Влагосодержание</t>
  </si>
  <si>
    <t>бюкачек</t>
  </si>
  <si>
    <t>С20+</t>
  </si>
  <si>
    <t>С10+</t>
  </si>
  <si>
    <t>З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</si>
</sst>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0.000"/>
    <numFmt numFmtId="165" formatCode="0.0"/>
    <numFmt numFmtId="166" formatCode="0.00000"/>
    <numFmt numFmtId="167" formatCode="0.0000"/>
    <numFmt numFmtId="168" formatCode="0.000000"/>
    <numFmt numFmtId="169" formatCode="0.00000000000"/>
    <numFmt numFmtId="170" formatCode="0.00000000"/>
  </numFmts>
  <fonts count="75">
    <font>
      <sz val="10"/>
      <name val="Arial Cyr"/>
      <charset val="204"/>
    </font>
    <font>
      <sz val="10"/>
      <name val="Arial Cyr"/>
      <charset val="204"/>
    </font>
    <font>
      <sz val="11"/>
      <color indexed="9"/>
      <name val="Calibri"/>
      <family val="2"/>
      <charset val="204"/>
    </font>
    <font>
      <sz val="11"/>
      <color indexed="62"/>
      <name val="Calibri"/>
      <family val="2"/>
      <charset val="204"/>
    </font>
    <font>
      <b/>
      <sz val="11"/>
      <color indexed="63"/>
      <name val="Calibri"/>
      <family val="2"/>
      <charset val="204"/>
    </font>
    <font>
      <b/>
      <sz val="11"/>
      <color indexed="52"/>
      <name val="Calibri"/>
      <family val="2"/>
      <charset val="204"/>
    </font>
    <font>
      <b/>
      <sz val="15"/>
      <color indexed="56"/>
      <name val="Calibri"/>
      <family val="2"/>
      <charset val="204"/>
    </font>
    <font>
      <b/>
      <sz val="13"/>
      <color indexed="56"/>
      <name val="Calibri"/>
      <family val="2"/>
      <charset val="204"/>
    </font>
    <font>
      <b/>
      <sz val="11"/>
      <color indexed="56"/>
      <name val="Calibri"/>
      <family val="2"/>
      <charset val="204"/>
    </font>
    <font>
      <b/>
      <sz val="11"/>
      <color indexed="8"/>
      <name val="Calibri"/>
      <family val="2"/>
      <charset val="204"/>
    </font>
    <font>
      <b/>
      <sz val="11"/>
      <color indexed="9"/>
      <name val="Calibri"/>
      <family val="2"/>
      <charset val="204"/>
    </font>
    <font>
      <b/>
      <sz val="18"/>
      <color indexed="56"/>
      <name val="Cambria"/>
      <family val="2"/>
      <charset val="204"/>
    </font>
    <font>
      <sz val="11"/>
      <color indexed="60"/>
      <name val="Calibri"/>
      <family val="2"/>
      <charset val="204"/>
    </font>
    <font>
      <sz val="11"/>
      <color indexed="20"/>
      <name val="Calibri"/>
      <family val="2"/>
      <charset val="204"/>
    </font>
    <font>
      <i/>
      <sz val="11"/>
      <color indexed="23"/>
      <name val="Calibri"/>
      <family val="2"/>
      <charset val="204"/>
    </font>
    <font>
      <sz val="11"/>
      <color indexed="52"/>
      <name val="Calibri"/>
      <family val="2"/>
      <charset val="204"/>
    </font>
    <font>
      <sz val="11"/>
      <color indexed="10"/>
      <name val="Calibri"/>
      <family val="2"/>
      <charset val="204"/>
    </font>
    <font>
      <sz val="11"/>
      <color indexed="17"/>
      <name val="Calibri"/>
      <family val="2"/>
      <charset val="204"/>
    </font>
    <font>
      <vertAlign val="subscript"/>
      <sz val="10"/>
      <name val="Arial Cyr"/>
      <charset val="204"/>
    </font>
    <font>
      <sz val="10"/>
      <color indexed="8"/>
      <name val="Arial"/>
      <family val="2"/>
      <charset val="204"/>
    </font>
    <font>
      <b/>
      <u/>
      <sz val="12"/>
      <name val="Arial Cyr"/>
      <charset val="204"/>
    </font>
    <font>
      <sz val="8"/>
      <name val="Arial Cyr"/>
      <charset val="204"/>
    </font>
    <font>
      <b/>
      <sz val="12"/>
      <name val="Arial Cyr"/>
      <charset val="204"/>
    </font>
    <font>
      <b/>
      <sz val="10"/>
      <name val="Arial Cyr"/>
      <charset val="204"/>
    </font>
    <font>
      <sz val="10"/>
      <color indexed="8"/>
      <name val="Arial Cyr"/>
      <charset val="204"/>
    </font>
    <font>
      <b/>
      <sz val="14"/>
      <name val="Arial Cyr"/>
      <charset val="204"/>
    </font>
    <font>
      <sz val="14"/>
      <name val="Arial Cyr"/>
      <charset val="204"/>
    </font>
    <font>
      <b/>
      <sz val="12"/>
      <color indexed="8"/>
      <name val="Arial Cyr"/>
      <charset val="204"/>
    </font>
    <font>
      <b/>
      <sz val="11"/>
      <name val="Arial Cyr"/>
      <charset val="204"/>
    </font>
    <font>
      <sz val="16"/>
      <name val="Arial Cyr"/>
      <charset val="204"/>
    </font>
    <font>
      <b/>
      <sz val="16"/>
      <name val="Arial "/>
      <charset val="204"/>
    </font>
    <font>
      <b/>
      <sz val="10"/>
      <name val="Arial "/>
      <charset val="204"/>
    </font>
    <font>
      <sz val="9"/>
      <name val="Arial Cyr"/>
      <charset val="204"/>
    </font>
    <font>
      <sz val="10"/>
      <color indexed="12"/>
      <name val="Arial Cyr"/>
      <charset val="204"/>
    </font>
    <font>
      <sz val="10"/>
      <color indexed="12"/>
      <name val="Arial"/>
      <family val="2"/>
      <charset val="204"/>
    </font>
    <font>
      <b/>
      <sz val="10"/>
      <color indexed="12"/>
      <name val="Arial Cyr"/>
      <charset val="204"/>
    </font>
    <font>
      <sz val="10"/>
      <color indexed="48"/>
      <name val="Arial Cyr"/>
      <charset val="204"/>
    </font>
    <font>
      <sz val="10"/>
      <color indexed="48"/>
      <name val="Arial"/>
      <family val="2"/>
      <charset val="204"/>
    </font>
    <font>
      <b/>
      <sz val="11"/>
      <name val="Calibri"/>
      <family val="2"/>
      <charset val="204"/>
    </font>
    <font>
      <b/>
      <sz val="9"/>
      <name val="Arial Cyr"/>
      <charset val="204"/>
    </font>
    <font>
      <b/>
      <sz val="10"/>
      <color indexed="8"/>
      <name val="Arial Cyr"/>
      <charset val="204"/>
    </font>
    <font>
      <b/>
      <sz val="13"/>
      <name val="Arial Cyr"/>
      <charset val="204"/>
    </font>
    <font>
      <b/>
      <sz val="10"/>
      <name val="Arial"/>
      <family val="2"/>
      <charset val="204"/>
    </font>
    <font>
      <b/>
      <sz val="12"/>
      <name val="Arial"/>
      <family val="2"/>
      <charset val="204"/>
    </font>
    <font>
      <b/>
      <vertAlign val="subscript"/>
      <sz val="10"/>
      <name val="Arial Cyr"/>
      <charset val="204"/>
    </font>
    <font>
      <b/>
      <u/>
      <sz val="14"/>
      <name val="Arial Cyr"/>
      <charset val="204"/>
    </font>
    <font>
      <b/>
      <sz val="18"/>
      <name val="Arial Cyr"/>
      <charset val="204"/>
    </font>
    <font>
      <sz val="12"/>
      <name val="Arial Cyr"/>
      <charset val="204"/>
    </font>
    <font>
      <sz val="12"/>
      <color indexed="8"/>
      <name val="Arial Cyr"/>
      <charset val="204"/>
    </font>
    <font>
      <sz val="10"/>
      <name val="Arial Cyr"/>
      <charset val="204"/>
    </font>
    <font>
      <b/>
      <sz val="12"/>
      <color indexed="10"/>
      <name val="Arial Cyr"/>
      <charset val="204"/>
    </font>
    <font>
      <b/>
      <sz val="8"/>
      <color indexed="81"/>
      <name val="Tahoma"/>
      <family val="2"/>
      <charset val="204"/>
    </font>
    <font>
      <sz val="8"/>
      <color indexed="81"/>
      <name val="Tahoma"/>
      <family val="2"/>
      <charset val="204"/>
    </font>
    <font>
      <sz val="10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b/>
      <sz val="9"/>
      <color indexed="81"/>
      <name val="Arial Cyr"/>
      <charset val="204"/>
    </font>
    <font>
      <sz val="14"/>
      <color indexed="81"/>
      <name val="Tahoma"/>
      <family val="2"/>
      <charset val="204"/>
    </font>
    <font>
      <b/>
      <i/>
      <sz val="12"/>
      <name val="Arial Cyr"/>
      <charset val="204"/>
    </font>
    <font>
      <b/>
      <sz val="14"/>
      <name val="Symbol"/>
      <family val="1"/>
      <charset val="2"/>
    </font>
    <font>
      <b/>
      <vertAlign val="subscript"/>
      <sz val="11"/>
      <name val="Arial Cyr"/>
      <charset val="204"/>
    </font>
    <font>
      <b/>
      <sz val="12"/>
      <color indexed="8"/>
      <name val="Calibri"/>
      <family val="2"/>
      <charset val="204"/>
    </font>
    <font>
      <b/>
      <vertAlign val="subscript"/>
      <sz val="12"/>
      <color indexed="8"/>
      <name val="Calibri"/>
      <family val="2"/>
      <charset val="204"/>
    </font>
    <font>
      <sz val="10"/>
      <name val="Calibri"/>
      <family val="2"/>
      <charset val="204"/>
    </font>
    <font>
      <b/>
      <sz val="11"/>
      <color theme="1"/>
      <name val="Calibri"/>
      <family val="2"/>
      <charset val="204"/>
      <scheme val="minor"/>
    </font>
    <font>
      <b/>
      <sz val="14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b/>
      <sz val="18"/>
      <color theme="1"/>
      <name val="Calibri"/>
      <family val="2"/>
      <charset val="204"/>
      <scheme val="minor"/>
    </font>
    <font>
      <sz val="18"/>
      <color theme="1"/>
      <name val="Calibri"/>
      <family val="2"/>
      <charset val="204"/>
      <scheme val="minor"/>
    </font>
    <font>
      <b/>
      <sz val="12"/>
      <color rgb="FF000000"/>
      <name val="Arial Cyr"/>
    </font>
    <font>
      <b/>
      <sz val="11"/>
      <color rgb="FF000000"/>
      <name val="Arial Cyr"/>
    </font>
    <font>
      <b/>
      <sz val="10"/>
      <color rgb="FF000000"/>
      <name val="Arial Cyr"/>
    </font>
    <font>
      <b/>
      <sz val="14"/>
      <color rgb="FF000000"/>
      <name val="Arial Cyr"/>
    </font>
    <font>
      <sz val="10"/>
      <name val="Times New Roman"/>
      <family val="1"/>
      <charset val="204"/>
    </font>
    <font>
      <sz val="11"/>
      <color rgb="FF000000"/>
      <name val="Segoe UI"/>
      <family val="2"/>
      <charset val="204"/>
    </font>
  </fonts>
  <fills count="23">
    <fill>
      <patternFill patternType="none"/>
    </fill>
    <fill>
      <patternFill patternType="gray125"/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7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59999389629810485"/>
        <bgColor indexed="64"/>
      </patternFill>
    </fill>
  </fills>
  <borders count="107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5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/>
      <bottom/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ck">
        <color indexed="64"/>
      </right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ck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</borders>
  <cellStyleXfs count="24">
    <xf numFmtId="0" fontId="0" fillId="0" borderId="0"/>
    <xf numFmtId="0" fontId="2" fillId="7" borderId="0" applyNumberFormat="0" applyBorder="0" applyAlignment="0" applyProtection="0"/>
    <xf numFmtId="0" fontId="2" fillId="8" borderId="0" applyNumberFormat="0" applyBorder="0" applyAlignment="0" applyProtection="0"/>
    <xf numFmtId="0" fontId="2" fillId="9" borderId="0" applyNumberFormat="0" applyBorder="0" applyAlignment="0" applyProtection="0"/>
    <xf numFmtId="0" fontId="2" fillId="5" borderId="0" applyNumberFormat="0" applyBorder="0" applyAlignment="0" applyProtection="0"/>
    <xf numFmtId="0" fontId="2" fillId="6" borderId="0" applyNumberFormat="0" applyBorder="0" applyAlignment="0" applyProtection="0"/>
    <xf numFmtId="0" fontId="2" fillId="10" borderId="0" applyNumberFormat="0" applyBorder="0" applyAlignment="0" applyProtection="0"/>
    <xf numFmtId="0" fontId="3" fillId="4" borderId="1" applyNumberFormat="0" applyAlignment="0" applyProtection="0"/>
    <xf numFmtId="0" fontId="4" fillId="11" borderId="2" applyNumberFormat="0" applyAlignment="0" applyProtection="0"/>
    <xf numFmtId="0" fontId="5" fillId="11" borderId="1" applyNumberFormat="0" applyAlignment="0" applyProtection="0"/>
    <xf numFmtId="0" fontId="6" fillId="0" borderId="3" applyNumberFormat="0" applyFill="0" applyAlignment="0" applyProtection="0"/>
    <xf numFmtId="0" fontId="7" fillId="0" borderId="4" applyNumberFormat="0" applyFill="0" applyAlignment="0" applyProtection="0"/>
    <xf numFmtId="0" fontId="8" fillId="0" borderId="5" applyNumberFormat="0" applyFill="0" applyAlignment="0" applyProtection="0"/>
    <xf numFmtId="0" fontId="8" fillId="0" borderId="0" applyNumberFormat="0" applyFill="0" applyBorder="0" applyAlignment="0" applyProtection="0"/>
    <xf numFmtId="0" fontId="9" fillId="0" borderId="6" applyNumberFormat="0" applyFill="0" applyAlignment="0" applyProtection="0"/>
    <xf numFmtId="0" fontId="10" fillId="12" borderId="7" applyNumberFormat="0" applyAlignment="0" applyProtection="0"/>
    <xf numFmtId="0" fontId="11" fillId="0" borderId="0" applyNumberFormat="0" applyFill="0" applyBorder="0" applyAlignment="0" applyProtection="0"/>
    <xf numFmtId="0" fontId="12" fillId="13" borderId="0" applyNumberFormat="0" applyBorder="0" applyAlignment="0" applyProtection="0"/>
    <xf numFmtId="0" fontId="13" fillId="2" borderId="0" applyNumberFormat="0" applyBorder="0" applyAlignment="0" applyProtection="0"/>
    <xf numFmtId="0" fontId="14" fillId="0" borderId="0" applyNumberFormat="0" applyFill="0" applyBorder="0" applyAlignment="0" applyProtection="0"/>
    <xf numFmtId="0" fontId="1" fillId="14" borderId="8" applyNumberFormat="0" applyFont="0" applyAlignment="0" applyProtection="0"/>
    <xf numFmtId="0" fontId="15" fillId="0" borderId="9" applyNumberFormat="0" applyFill="0" applyAlignment="0" applyProtection="0"/>
    <xf numFmtId="0" fontId="16" fillId="0" borderId="0" applyNumberFormat="0" applyFill="0" applyBorder="0" applyAlignment="0" applyProtection="0"/>
    <xf numFmtId="0" fontId="17" fillId="3" borderId="0" applyNumberFormat="0" applyBorder="0" applyAlignment="0" applyProtection="0"/>
  </cellStyleXfs>
  <cellXfs count="490">
    <xf numFmtId="0" fontId="0" fillId="0" borderId="0" xfId="0"/>
    <xf numFmtId="0" fontId="0" fillId="0" borderId="10" xfId="0" applyBorder="1"/>
    <xf numFmtId="0" fontId="0" fillId="0" borderId="11" xfId="0" applyBorder="1"/>
    <xf numFmtId="0" fontId="20" fillId="0" borderId="10" xfId="0" applyFont="1" applyBorder="1"/>
    <xf numFmtId="0" fontId="0" fillId="15" borderId="11" xfId="0" applyFill="1" applyBorder="1"/>
    <xf numFmtId="0" fontId="0" fillId="15" borderId="10" xfId="0" applyFill="1" applyBorder="1"/>
    <xf numFmtId="0" fontId="24" fillId="15" borderId="0" xfId="0" applyFont="1" applyFill="1"/>
    <xf numFmtId="0" fontId="0" fillId="15" borderId="0" xfId="0" applyFill="1"/>
    <xf numFmtId="0" fontId="24" fillId="15" borderId="10" xfId="0" applyFont="1" applyFill="1" applyBorder="1"/>
    <xf numFmtId="0" fontId="0" fillId="0" borderId="12" xfId="0" applyBorder="1"/>
    <xf numFmtId="0" fontId="0" fillId="15" borderId="0" xfId="0" applyFill="1" applyBorder="1"/>
    <xf numFmtId="0" fontId="0" fillId="0" borderId="0" xfId="0" applyBorder="1"/>
    <xf numFmtId="0" fontId="0" fillId="15" borderId="13" xfId="0" applyFill="1" applyBorder="1"/>
    <xf numFmtId="167" fontId="0" fillId="0" borderId="0" xfId="0" applyNumberFormat="1"/>
    <xf numFmtId="0" fontId="0" fillId="0" borderId="14" xfId="0" applyBorder="1"/>
    <xf numFmtId="0" fontId="0" fillId="15" borderId="14" xfId="0" applyFill="1" applyBorder="1"/>
    <xf numFmtId="0" fontId="0" fillId="15" borderId="15" xfId="0" applyFill="1" applyBorder="1"/>
    <xf numFmtId="0" fontId="0" fillId="15" borderId="16" xfId="0" applyFill="1" applyBorder="1"/>
    <xf numFmtId="0" fontId="0" fillId="15" borderId="17" xfId="0" applyFill="1" applyBorder="1"/>
    <xf numFmtId="0" fontId="0" fillId="0" borderId="18" xfId="0" applyBorder="1"/>
    <xf numFmtId="0" fontId="0" fillId="15" borderId="18" xfId="0" applyFill="1" applyBorder="1"/>
    <xf numFmtId="168" fontId="0" fillId="15" borderId="10" xfId="0" applyNumberFormat="1" applyFill="1" applyBorder="1"/>
    <xf numFmtId="0" fontId="0" fillId="0" borderId="19" xfId="0" applyBorder="1"/>
    <xf numFmtId="0" fontId="0" fillId="0" borderId="13" xfId="0" applyBorder="1"/>
    <xf numFmtId="0" fontId="0" fillId="15" borderId="20" xfId="0" applyFill="1" applyBorder="1"/>
    <xf numFmtId="0" fontId="0" fillId="15" borderId="21" xfId="0" applyFill="1" applyBorder="1"/>
    <xf numFmtId="0" fontId="0" fillId="15" borderId="22" xfId="0" applyFill="1" applyBorder="1"/>
    <xf numFmtId="0" fontId="0" fillId="15" borderId="23" xfId="0" applyFill="1" applyBorder="1"/>
    <xf numFmtId="0" fontId="0" fillId="15" borderId="24" xfId="0" applyFill="1" applyBorder="1"/>
    <xf numFmtId="0" fontId="23" fillId="15" borderId="18" xfId="0" applyFont="1" applyFill="1" applyBorder="1" applyAlignment="1">
      <alignment horizontal="right"/>
    </xf>
    <xf numFmtId="0" fontId="29" fillId="0" borderId="0" xfId="0" applyFont="1"/>
    <xf numFmtId="0" fontId="30" fillId="0" borderId="0" xfId="0" applyFont="1"/>
    <xf numFmtId="0" fontId="31" fillId="0" borderId="0" xfId="0" applyFont="1"/>
    <xf numFmtId="0" fontId="0" fillId="15" borderId="25" xfId="0" applyFill="1" applyBorder="1"/>
    <xf numFmtId="0" fontId="23" fillId="15" borderId="26" xfId="0" applyNumberFormat="1" applyFont="1" applyFill="1" applyBorder="1"/>
    <xf numFmtId="0" fontId="23" fillId="15" borderId="27" xfId="0" applyFont="1" applyFill="1" applyBorder="1" applyAlignment="1">
      <alignment horizontal="right"/>
    </xf>
    <xf numFmtId="0" fontId="22" fillId="15" borderId="17" xfId="0" applyFont="1" applyFill="1" applyBorder="1"/>
    <xf numFmtId="0" fontId="0" fillId="15" borderId="28" xfId="0" applyFill="1" applyBorder="1"/>
    <xf numFmtId="0" fontId="0" fillId="15" borderId="12" xfId="0" applyFill="1" applyBorder="1"/>
    <xf numFmtId="0" fontId="33" fillId="15" borderId="11" xfId="0" applyFont="1" applyFill="1" applyBorder="1"/>
    <xf numFmtId="0" fontId="22" fillId="0" borderId="0" xfId="0" applyFont="1"/>
    <xf numFmtId="0" fontId="25" fillId="0" borderId="14" xfId="0" applyFont="1" applyBorder="1"/>
    <xf numFmtId="0" fontId="1" fillId="0" borderId="0" xfId="0" applyFont="1"/>
    <xf numFmtId="166" fontId="0" fillId="0" borderId="29" xfId="0" applyNumberFormat="1" applyBorder="1"/>
    <xf numFmtId="166" fontId="0" fillId="0" borderId="30" xfId="0" applyNumberFormat="1" applyBorder="1"/>
    <xf numFmtId="0" fontId="0" fillId="0" borderId="30" xfId="0" applyBorder="1"/>
    <xf numFmtId="0" fontId="0" fillId="0" borderId="31" xfId="0" applyBorder="1"/>
    <xf numFmtId="2" fontId="0" fillId="0" borderId="29" xfId="0" applyNumberFormat="1" applyBorder="1"/>
    <xf numFmtId="2" fontId="0" fillId="0" borderId="30" xfId="0" applyNumberFormat="1" applyBorder="1"/>
    <xf numFmtId="2" fontId="0" fillId="0" borderId="31" xfId="0" applyNumberFormat="1" applyBorder="1"/>
    <xf numFmtId="2" fontId="0" fillId="0" borderId="19" xfId="0" applyNumberFormat="1" applyBorder="1"/>
    <xf numFmtId="2" fontId="0" fillId="0" borderId="14" xfId="0" applyNumberFormat="1" applyBorder="1"/>
    <xf numFmtId="2" fontId="0" fillId="15" borderId="10" xfId="0" applyNumberFormat="1" applyFill="1" applyBorder="1"/>
    <xf numFmtId="2" fontId="0" fillId="0" borderId="10" xfId="0" applyNumberFormat="1" applyBorder="1"/>
    <xf numFmtId="0" fontId="33" fillId="15" borderId="25" xfId="0" applyFont="1" applyFill="1" applyBorder="1"/>
    <xf numFmtId="0" fontId="0" fillId="15" borderId="32" xfId="0" applyFill="1" applyBorder="1"/>
    <xf numFmtId="0" fontId="0" fillId="15" borderId="33" xfId="0" applyFill="1" applyBorder="1"/>
    <xf numFmtId="0" fontId="22" fillId="15" borderId="10" xfId="0" applyFont="1" applyFill="1" applyBorder="1"/>
    <xf numFmtId="0" fontId="0" fillId="15" borderId="10" xfId="0" applyFill="1" applyBorder="1" applyAlignment="1"/>
    <xf numFmtId="0" fontId="22" fillId="0" borderId="10" xfId="0" applyFont="1" applyBorder="1"/>
    <xf numFmtId="0" fontId="25" fillId="0" borderId="10" xfId="0" applyFont="1" applyBorder="1"/>
    <xf numFmtId="0" fontId="1" fillId="0" borderId="10" xfId="0" applyFont="1" applyBorder="1"/>
    <xf numFmtId="2" fontId="23" fillId="15" borderId="13" xfId="0" applyNumberFormat="1" applyFont="1" applyFill="1" applyBorder="1"/>
    <xf numFmtId="0" fontId="0" fillId="15" borderId="34" xfId="0" applyFill="1" applyBorder="1"/>
    <xf numFmtId="0" fontId="28" fillId="0" borderId="35" xfId="0" applyFont="1" applyBorder="1"/>
    <xf numFmtId="0" fontId="24" fillId="15" borderId="36" xfId="0" applyFont="1" applyFill="1" applyBorder="1"/>
    <xf numFmtId="0" fontId="0" fillId="0" borderId="36" xfId="0" applyBorder="1"/>
    <xf numFmtId="0" fontId="0" fillId="15" borderId="36" xfId="0" applyFill="1" applyBorder="1"/>
    <xf numFmtId="0" fontId="28" fillId="0" borderId="37" xfId="0" applyFont="1" applyBorder="1"/>
    <xf numFmtId="0" fontId="33" fillId="15" borderId="38" xfId="0" applyFont="1" applyFill="1" applyBorder="1"/>
    <xf numFmtId="2" fontId="0" fillId="15" borderId="39" xfId="0" applyNumberFormat="1" applyFill="1" applyBorder="1" applyAlignment="1">
      <alignment horizontal="right"/>
    </xf>
    <xf numFmtId="0" fontId="28" fillId="0" borderId="40" xfId="0" applyFont="1" applyBorder="1"/>
    <xf numFmtId="0" fontId="38" fillId="0" borderId="40" xfId="0" applyFont="1" applyBorder="1"/>
    <xf numFmtId="2" fontId="0" fillId="15" borderId="41" xfId="0" applyNumberFormat="1" applyFill="1" applyBorder="1" applyAlignment="1">
      <alignment horizontal="right"/>
    </xf>
    <xf numFmtId="0" fontId="28" fillId="0" borderId="42" xfId="0" applyFont="1" applyBorder="1"/>
    <xf numFmtId="0" fontId="28" fillId="0" borderId="37" xfId="0" applyFont="1" applyFill="1" applyBorder="1"/>
    <xf numFmtId="0" fontId="22" fillId="15" borderId="43" xfId="0" applyFont="1" applyFill="1" applyBorder="1" applyAlignment="1"/>
    <xf numFmtId="0" fontId="22" fillId="15" borderId="44" xfId="0" applyFont="1" applyFill="1" applyBorder="1" applyAlignment="1"/>
    <xf numFmtId="0" fontId="40" fillId="15" borderId="45" xfId="0" applyFont="1" applyFill="1" applyBorder="1"/>
    <xf numFmtId="0" fontId="0" fillId="15" borderId="46" xfId="0" applyFill="1" applyBorder="1"/>
    <xf numFmtId="0" fontId="0" fillId="0" borderId="46" xfId="0" applyBorder="1"/>
    <xf numFmtId="0" fontId="0" fillId="0" borderId="43" xfId="0" applyBorder="1"/>
    <xf numFmtId="0" fontId="0" fillId="15" borderId="44" xfId="0" applyFill="1" applyBorder="1"/>
    <xf numFmtId="0" fontId="23" fillId="15" borderId="25" xfId="0" applyFont="1" applyFill="1" applyBorder="1"/>
    <xf numFmtId="0" fontId="23" fillId="15" borderId="11" xfId="0" applyFont="1" applyFill="1" applyBorder="1"/>
    <xf numFmtId="0" fontId="33" fillId="15" borderId="34" xfId="0" applyFont="1" applyFill="1" applyBorder="1"/>
    <xf numFmtId="0" fontId="0" fillId="15" borderId="47" xfId="0" applyFill="1" applyBorder="1"/>
    <xf numFmtId="0" fontId="33" fillId="15" borderId="47" xfId="0" applyFont="1" applyFill="1" applyBorder="1"/>
    <xf numFmtId="0" fontId="0" fillId="15" borderId="48" xfId="0" applyFill="1" applyBorder="1"/>
    <xf numFmtId="0" fontId="33" fillId="15" borderId="48" xfId="0" applyFont="1" applyFill="1" applyBorder="1"/>
    <xf numFmtId="0" fontId="0" fillId="0" borderId="38" xfId="0" applyBorder="1"/>
    <xf numFmtId="0" fontId="24" fillId="15" borderId="44" xfId="0" applyFont="1" applyFill="1" applyBorder="1"/>
    <xf numFmtId="0" fontId="24" fillId="15" borderId="28" xfId="0" applyFont="1" applyFill="1" applyBorder="1"/>
    <xf numFmtId="0" fontId="24" fillId="15" borderId="16" xfId="0" applyFont="1" applyFill="1" applyBorder="1"/>
    <xf numFmtId="0" fontId="24" fillId="15" borderId="49" xfId="0" applyFont="1" applyFill="1" applyBorder="1"/>
    <xf numFmtId="0" fontId="33" fillId="15" borderId="10" xfId="0" applyFont="1" applyFill="1" applyBorder="1"/>
    <xf numFmtId="0" fontId="41" fillId="0" borderId="10" xfId="0" applyFont="1" applyBorder="1" applyAlignment="1">
      <alignment horizontal="center"/>
    </xf>
    <xf numFmtId="2" fontId="23" fillId="0" borderId="10" xfId="0" applyNumberFormat="1" applyFont="1" applyBorder="1"/>
    <xf numFmtId="2" fontId="33" fillId="0" borderId="10" xfId="0" applyNumberFormat="1" applyFont="1" applyBorder="1"/>
    <xf numFmtId="0" fontId="1" fillId="15" borderId="11" xfId="0" applyFont="1" applyFill="1" applyBorder="1" applyAlignment="1"/>
    <xf numFmtId="0" fontId="1" fillId="15" borderId="11" xfId="0" applyFont="1" applyFill="1" applyBorder="1"/>
    <xf numFmtId="0" fontId="23" fillId="0" borderId="11" xfId="0" applyFont="1" applyBorder="1"/>
    <xf numFmtId="0" fontId="40" fillId="15" borderId="11" xfId="0" applyFont="1" applyFill="1" applyBorder="1"/>
    <xf numFmtId="0" fontId="41" fillId="0" borderId="44" xfId="0" applyFont="1" applyBorder="1" applyAlignment="1">
      <alignment horizontal="center"/>
    </xf>
    <xf numFmtId="2" fontId="33" fillId="15" borderId="46" xfId="0" applyNumberFormat="1" applyFont="1" applyFill="1" applyBorder="1"/>
    <xf numFmtId="0" fontId="23" fillId="0" borderId="18" xfId="0" applyFont="1" applyBorder="1"/>
    <xf numFmtId="0" fontId="23" fillId="15" borderId="18" xfId="0" applyFont="1" applyFill="1" applyBorder="1"/>
    <xf numFmtId="0" fontId="23" fillId="0" borderId="50" xfId="0" applyFont="1" applyBorder="1"/>
    <xf numFmtId="0" fontId="0" fillId="0" borderId="10" xfId="0" applyBorder="1" applyAlignment="1"/>
    <xf numFmtId="1" fontId="33" fillId="15" borderId="51" xfId="0" applyNumberFormat="1" applyFont="1" applyFill="1" applyBorder="1"/>
    <xf numFmtId="0" fontId="23" fillId="15" borderId="27" xfId="0" applyFont="1" applyFill="1" applyBorder="1"/>
    <xf numFmtId="0" fontId="23" fillId="15" borderId="51" xfId="0" applyFont="1" applyFill="1" applyBorder="1"/>
    <xf numFmtId="0" fontId="0" fillId="15" borderId="49" xfId="0" applyFill="1" applyBorder="1"/>
    <xf numFmtId="0" fontId="0" fillId="15" borderId="52" xfId="0" applyFill="1" applyBorder="1"/>
    <xf numFmtId="0" fontId="24" fillId="15" borderId="46" xfId="0" applyFont="1" applyFill="1" applyBorder="1"/>
    <xf numFmtId="0" fontId="23" fillId="15" borderId="53" xfId="0" applyFont="1" applyFill="1" applyBorder="1"/>
    <xf numFmtId="0" fontId="0" fillId="0" borderId="34" xfId="0" applyBorder="1"/>
    <xf numFmtId="0" fontId="0" fillId="15" borderId="54" xfId="0" applyFill="1" applyBorder="1"/>
    <xf numFmtId="0" fontId="0" fillId="0" borderId="55" xfId="0" applyBorder="1"/>
    <xf numFmtId="0" fontId="22" fillId="15" borderId="15" xfId="0" applyFont="1" applyFill="1" applyBorder="1"/>
    <xf numFmtId="0" fontId="0" fillId="0" borderId="44" xfId="0" applyBorder="1"/>
    <xf numFmtId="0" fontId="0" fillId="0" borderId="50" xfId="0" applyBorder="1"/>
    <xf numFmtId="0" fontId="24" fillId="0" borderId="10" xfId="0" applyFont="1" applyBorder="1"/>
    <xf numFmtId="0" fontId="0" fillId="15" borderId="56" xfId="0" applyFill="1" applyBorder="1"/>
    <xf numFmtId="0" fontId="0" fillId="0" borderId="56" xfId="0" applyBorder="1"/>
    <xf numFmtId="0" fontId="23" fillId="0" borderId="57" xfId="0" applyFont="1" applyBorder="1"/>
    <xf numFmtId="0" fontId="23" fillId="0" borderId="58" xfId="0" applyFont="1" applyBorder="1"/>
    <xf numFmtId="0" fontId="23" fillId="0" borderId="58" xfId="0" applyFont="1" applyFill="1" applyBorder="1"/>
    <xf numFmtId="0" fontId="23" fillId="0" borderId="59" xfId="0" applyFont="1" applyFill="1" applyBorder="1"/>
    <xf numFmtId="0" fontId="0" fillId="0" borderId="51" xfId="0" applyBorder="1"/>
    <xf numFmtId="0" fontId="0" fillId="0" borderId="60" xfId="0" applyBorder="1"/>
    <xf numFmtId="168" fontId="0" fillId="15" borderId="46" xfId="0" applyNumberFormat="1" applyFill="1" applyBorder="1"/>
    <xf numFmtId="169" fontId="0" fillId="0" borderId="46" xfId="0" applyNumberFormat="1" applyBorder="1"/>
    <xf numFmtId="2" fontId="39" fillId="15" borderId="13" xfId="0" applyNumberFormat="1" applyFont="1" applyFill="1" applyBorder="1" applyAlignment="1">
      <alignment horizontal="center" wrapText="1"/>
    </xf>
    <xf numFmtId="2" fontId="39" fillId="15" borderId="27" xfId="0" applyNumberFormat="1" applyFont="1" applyFill="1" applyBorder="1" applyAlignment="1">
      <alignment horizontal="center" wrapText="1"/>
    </xf>
    <xf numFmtId="2" fontId="39" fillId="0" borderId="50" xfId="0" applyNumberFormat="1" applyFont="1" applyBorder="1" applyAlignment="1">
      <alignment horizontal="center" wrapText="1"/>
    </xf>
    <xf numFmtId="2" fontId="39" fillId="0" borderId="51" xfId="0" applyNumberFormat="1" applyFont="1" applyBorder="1" applyAlignment="1">
      <alignment horizontal="center" wrapText="1"/>
    </xf>
    <xf numFmtId="2" fontId="23" fillId="15" borderId="18" xfId="0" applyNumberFormat="1" applyFont="1" applyFill="1" applyBorder="1"/>
    <xf numFmtId="2" fontId="23" fillId="0" borderId="34" xfId="0" applyNumberFormat="1" applyFont="1" applyBorder="1"/>
    <xf numFmtId="0" fontId="0" fillId="0" borderId="61" xfId="0" applyBorder="1"/>
    <xf numFmtId="2" fontId="0" fillId="0" borderId="34" xfId="0" applyNumberFormat="1" applyBorder="1"/>
    <xf numFmtId="2" fontId="0" fillId="0" borderId="56" xfId="0" applyNumberFormat="1" applyBorder="1"/>
    <xf numFmtId="2" fontId="0" fillId="0" borderId="55" xfId="0" applyNumberFormat="1" applyBorder="1"/>
    <xf numFmtId="164" fontId="34" fillId="15" borderId="45" xfId="0" applyNumberFormat="1" applyFont="1" applyFill="1" applyBorder="1" applyAlignment="1">
      <alignment horizontal="right"/>
    </xf>
    <xf numFmtId="164" fontId="33" fillId="15" borderId="38" xfId="0" applyNumberFormat="1" applyFont="1" applyFill="1" applyBorder="1" applyAlignment="1">
      <alignment horizontal="right"/>
    </xf>
    <xf numFmtId="164" fontId="33" fillId="15" borderId="45" xfId="0" applyNumberFormat="1" applyFont="1" applyFill="1" applyBorder="1" applyAlignment="1">
      <alignment horizontal="right"/>
    </xf>
    <xf numFmtId="164" fontId="34" fillId="0" borderId="45" xfId="0" applyNumberFormat="1" applyFont="1" applyBorder="1" applyAlignment="1"/>
    <xf numFmtId="164" fontId="33" fillId="15" borderId="62" xfId="0" applyNumberFormat="1" applyFont="1" applyFill="1" applyBorder="1" applyAlignment="1">
      <alignment horizontal="right"/>
    </xf>
    <xf numFmtId="164" fontId="19" fillId="0" borderId="45" xfId="0" applyNumberFormat="1" applyFont="1" applyBorder="1" applyAlignment="1"/>
    <xf numFmtId="0" fontId="20" fillId="0" borderId="28" xfId="0" applyFont="1" applyBorder="1"/>
    <xf numFmtId="0" fontId="23" fillId="15" borderId="26" xfId="0" applyFont="1" applyFill="1" applyBorder="1"/>
    <xf numFmtId="0" fontId="0" fillId="15" borderId="63" xfId="0" applyFill="1" applyBorder="1"/>
    <xf numFmtId="0" fontId="0" fillId="15" borderId="27" xfId="0" applyFill="1" applyBorder="1"/>
    <xf numFmtId="0" fontId="0" fillId="15" borderId="50" xfId="0" applyFill="1" applyBorder="1"/>
    <xf numFmtId="0" fontId="23" fillId="15" borderId="50" xfId="0" applyFont="1" applyFill="1" applyBorder="1"/>
    <xf numFmtId="0" fontId="23" fillId="15" borderId="10" xfId="0" applyFont="1" applyFill="1" applyBorder="1"/>
    <xf numFmtId="167" fontId="0" fillId="0" borderId="10" xfId="0" applyNumberFormat="1" applyBorder="1"/>
    <xf numFmtId="166" fontId="19" fillId="0" borderId="10" xfId="0" applyNumberFormat="1" applyFont="1" applyFill="1" applyBorder="1" applyAlignment="1"/>
    <xf numFmtId="166" fontId="0" fillId="0" borderId="10" xfId="0" applyNumberFormat="1" applyBorder="1"/>
    <xf numFmtId="0" fontId="45" fillId="0" borderId="27" xfId="0" applyFont="1" applyBorder="1"/>
    <xf numFmtId="0" fontId="40" fillId="15" borderId="27" xfId="0" applyFont="1" applyFill="1" applyBorder="1"/>
    <xf numFmtId="0" fontId="40" fillId="15" borderId="54" xfId="0" applyFont="1" applyFill="1" applyBorder="1"/>
    <xf numFmtId="0" fontId="22" fillId="0" borderId="46" xfId="0" applyFont="1" applyBorder="1"/>
    <xf numFmtId="0" fontId="1" fillId="0" borderId="46" xfId="0" applyFont="1" applyBorder="1"/>
    <xf numFmtId="0" fontId="27" fillId="15" borderId="10" xfId="0" applyFont="1" applyFill="1" applyBorder="1"/>
    <xf numFmtId="0" fontId="24" fillId="15" borderId="18" xfId="0" applyFont="1" applyFill="1" applyBorder="1"/>
    <xf numFmtId="0" fontId="23" fillId="15" borderId="13" xfId="0" applyFont="1" applyFill="1" applyBorder="1"/>
    <xf numFmtId="0" fontId="0" fillId="0" borderId="29" xfId="0" applyBorder="1"/>
    <xf numFmtId="0" fontId="35" fillId="15" borderId="18" xfId="0" applyNumberFormat="1" applyFont="1" applyFill="1" applyBorder="1"/>
    <xf numFmtId="2" fontId="0" fillId="16" borderId="12" xfId="0" applyNumberFormat="1" applyFill="1" applyBorder="1" applyAlignment="1">
      <alignment horizontal="right"/>
    </xf>
    <xf numFmtId="0" fontId="0" fillId="16" borderId="46" xfId="0" applyFill="1" applyBorder="1"/>
    <xf numFmtId="0" fontId="0" fillId="16" borderId="38" xfId="0" applyFill="1" applyBorder="1"/>
    <xf numFmtId="0" fontId="0" fillId="16" borderId="10" xfId="0" applyFill="1" applyBorder="1"/>
    <xf numFmtId="0" fontId="35" fillId="15" borderId="43" xfId="0" applyNumberFormat="1" applyFont="1" applyFill="1" applyBorder="1"/>
    <xf numFmtId="0" fontId="0" fillId="15" borderId="64" xfId="0" applyFill="1" applyBorder="1"/>
    <xf numFmtId="0" fontId="40" fillId="15" borderId="27" xfId="0" applyNumberFormat="1" applyFont="1" applyFill="1" applyBorder="1"/>
    <xf numFmtId="2" fontId="23" fillId="15" borderId="57" xfId="0" applyNumberFormat="1" applyFont="1" applyFill="1" applyBorder="1"/>
    <xf numFmtId="0" fontId="0" fillId="15" borderId="59" xfId="0" applyFill="1" applyBorder="1"/>
    <xf numFmtId="0" fontId="33" fillId="0" borderId="65" xfId="0" applyFont="1" applyBorder="1"/>
    <xf numFmtId="164" fontId="33" fillId="15" borderId="23" xfId="0" applyNumberFormat="1" applyFont="1" applyFill="1" applyBorder="1" applyAlignment="1">
      <alignment horizontal="right"/>
    </xf>
    <xf numFmtId="164" fontId="33" fillId="15" borderId="34" xfId="0" applyNumberFormat="1" applyFont="1" applyFill="1" applyBorder="1" applyAlignment="1">
      <alignment horizontal="right"/>
    </xf>
    <xf numFmtId="164" fontId="0" fillId="15" borderId="34" xfId="0" applyNumberFormat="1" applyFill="1" applyBorder="1" applyAlignment="1">
      <alignment horizontal="right"/>
    </xf>
    <xf numFmtId="2" fontId="0" fillId="15" borderId="34" xfId="0" applyNumberFormat="1" applyFill="1" applyBorder="1" applyAlignment="1"/>
    <xf numFmtId="2" fontId="23" fillId="15" borderId="34" xfId="0" applyNumberFormat="1" applyFont="1" applyFill="1" applyBorder="1"/>
    <xf numFmtId="2" fontId="0" fillId="15" borderId="34" xfId="0" applyNumberFormat="1" applyFill="1" applyBorder="1"/>
    <xf numFmtId="2" fontId="0" fillId="15" borderId="66" xfId="0" applyNumberFormat="1" applyFill="1" applyBorder="1" applyAlignment="1">
      <alignment horizontal="right"/>
    </xf>
    <xf numFmtId="2" fontId="0" fillId="15" borderId="55" xfId="0" applyNumberFormat="1" applyFill="1" applyBorder="1"/>
    <xf numFmtId="0" fontId="46" fillId="0" borderId="0" xfId="0" applyFont="1"/>
    <xf numFmtId="0" fontId="20" fillId="0" borderId="27" xfId="0" applyFont="1" applyBorder="1"/>
    <xf numFmtId="0" fontId="23" fillId="15" borderId="54" xfId="0" applyFont="1" applyFill="1" applyBorder="1"/>
    <xf numFmtId="164" fontId="19" fillId="0" borderId="10" xfId="0" applyNumberFormat="1" applyFont="1" applyBorder="1" applyAlignment="1"/>
    <xf numFmtId="164" fontId="0" fillId="0" borderId="10" xfId="0" applyNumberFormat="1" applyBorder="1"/>
    <xf numFmtId="164" fontId="19" fillId="0" borderId="10" xfId="0" applyNumberFormat="1" applyFont="1" applyFill="1" applyBorder="1" applyAlignment="1"/>
    <xf numFmtId="164" fontId="0" fillId="0" borderId="34" xfId="0" applyNumberFormat="1" applyBorder="1"/>
    <xf numFmtId="164" fontId="0" fillId="0" borderId="56" xfId="0" applyNumberFormat="1" applyBorder="1"/>
    <xf numFmtId="164" fontId="0" fillId="0" borderId="55" xfId="0" applyNumberFormat="1" applyBorder="1"/>
    <xf numFmtId="0" fontId="23" fillId="15" borderId="39" xfId="0" applyFont="1" applyFill="1" applyBorder="1"/>
    <xf numFmtId="164" fontId="24" fillId="15" borderId="10" xfId="0" applyNumberFormat="1" applyFont="1" applyFill="1" applyBorder="1"/>
    <xf numFmtId="0" fontId="23" fillId="15" borderId="67" xfId="0" applyFont="1" applyFill="1" applyBorder="1"/>
    <xf numFmtId="0" fontId="33" fillId="0" borderId="18" xfId="0" applyFont="1" applyBorder="1"/>
    <xf numFmtId="0" fontId="33" fillId="0" borderId="10" xfId="0" applyFont="1" applyBorder="1"/>
    <xf numFmtId="0" fontId="33" fillId="0" borderId="34" xfId="0" applyFont="1" applyBorder="1"/>
    <xf numFmtId="0" fontId="33" fillId="0" borderId="54" xfId="0" applyFont="1" applyBorder="1"/>
    <xf numFmtId="0" fontId="33" fillId="0" borderId="56" xfId="0" applyFont="1" applyBorder="1"/>
    <xf numFmtId="0" fontId="33" fillId="0" borderId="55" xfId="0" applyFont="1" applyBorder="1"/>
    <xf numFmtId="164" fontId="0" fillId="0" borderId="0" xfId="0" applyNumberFormat="1" applyBorder="1"/>
    <xf numFmtId="164" fontId="0" fillId="0" borderId="68" xfId="0" applyNumberFormat="1" applyBorder="1"/>
    <xf numFmtId="164" fontId="0" fillId="0" borderId="69" xfId="0" applyNumberFormat="1" applyBorder="1"/>
    <xf numFmtId="164" fontId="0" fillId="0" borderId="70" xfId="0" applyNumberFormat="1" applyBorder="1"/>
    <xf numFmtId="0" fontId="20" fillId="0" borderId="71" xfId="0" applyFont="1" applyBorder="1"/>
    <xf numFmtId="0" fontId="23" fillId="15" borderId="72" xfId="0" applyFont="1" applyFill="1" applyBorder="1"/>
    <xf numFmtId="0" fontId="23" fillId="0" borderId="72" xfId="0" applyFont="1" applyBorder="1"/>
    <xf numFmtId="0" fontId="23" fillId="15" borderId="73" xfId="0" applyFont="1" applyFill="1" applyBorder="1"/>
    <xf numFmtId="164" fontId="0" fillId="0" borderId="74" xfId="0" applyNumberFormat="1" applyBorder="1"/>
    <xf numFmtId="164" fontId="0" fillId="0" borderId="75" xfId="0" applyNumberFormat="1" applyBorder="1"/>
    <xf numFmtId="0" fontId="29" fillId="0" borderId="10" xfId="0" applyFont="1" applyBorder="1"/>
    <xf numFmtId="0" fontId="30" fillId="0" borderId="10" xfId="0" applyFont="1" applyBorder="1"/>
    <xf numFmtId="0" fontId="31" fillId="0" borderId="10" xfId="0" applyFont="1" applyBorder="1"/>
    <xf numFmtId="166" fontId="19" fillId="0" borderId="10" xfId="0" applyNumberFormat="1" applyFont="1" applyBorder="1" applyAlignment="1"/>
    <xf numFmtId="0" fontId="47" fillId="0" borderId="10" xfId="0" applyFont="1" applyBorder="1"/>
    <xf numFmtId="0" fontId="47" fillId="15" borderId="10" xfId="0" applyFont="1" applyFill="1" applyBorder="1"/>
    <xf numFmtId="0" fontId="48" fillId="15" borderId="10" xfId="0" applyFont="1" applyFill="1" applyBorder="1"/>
    <xf numFmtId="0" fontId="23" fillId="0" borderId="10" xfId="0" applyFont="1" applyBorder="1"/>
    <xf numFmtId="2" fontId="39" fillId="15" borderId="22" xfId="0" applyNumberFormat="1" applyFont="1" applyFill="1" applyBorder="1" applyAlignment="1">
      <alignment horizontal="center" wrapText="1"/>
    </xf>
    <xf numFmtId="164" fontId="33" fillId="15" borderId="11" xfId="0" applyNumberFormat="1" applyFont="1" applyFill="1" applyBorder="1"/>
    <xf numFmtId="164" fontId="33" fillId="15" borderId="11" xfId="0" applyNumberFormat="1" applyFont="1" applyFill="1" applyBorder="1" applyAlignment="1"/>
    <xf numFmtId="166" fontId="49" fillId="15" borderId="38" xfId="0" applyNumberFormat="1" applyFont="1" applyFill="1" applyBorder="1"/>
    <xf numFmtId="164" fontId="49" fillId="15" borderId="45" xfId="0" applyNumberFormat="1" applyFont="1" applyFill="1" applyBorder="1" applyAlignment="1">
      <alignment horizontal="right"/>
    </xf>
    <xf numFmtId="164" fontId="49" fillId="15" borderId="38" xfId="0" applyNumberFormat="1" applyFont="1" applyFill="1" applyBorder="1" applyAlignment="1">
      <alignment horizontal="right"/>
    </xf>
    <xf numFmtId="164" fontId="49" fillId="15" borderId="62" xfId="0" applyNumberFormat="1" applyFont="1" applyFill="1" applyBorder="1"/>
    <xf numFmtId="168" fontId="49" fillId="15" borderId="38" xfId="0" applyNumberFormat="1" applyFont="1" applyFill="1" applyBorder="1"/>
    <xf numFmtId="164" fontId="24" fillId="15" borderId="34" xfId="0" applyNumberFormat="1" applyFont="1" applyFill="1" applyBorder="1"/>
    <xf numFmtId="164" fontId="24" fillId="0" borderId="10" xfId="0" applyNumberFormat="1" applyFont="1" applyBorder="1"/>
    <xf numFmtId="164" fontId="24" fillId="0" borderId="34" xfId="0" applyNumberFormat="1" applyFont="1" applyBorder="1"/>
    <xf numFmtId="0" fontId="0" fillId="15" borderId="55" xfId="0" applyFill="1" applyBorder="1"/>
    <xf numFmtId="0" fontId="0" fillId="15" borderId="76" xfId="0" applyFill="1" applyBorder="1"/>
    <xf numFmtId="0" fontId="0" fillId="0" borderId="77" xfId="0" applyBorder="1"/>
    <xf numFmtId="0" fontId="24" fillId="15" borderId="76" xfId="0" applyFont="1" applyFill="1" applyBorder="1"/>
    <xf numFmtId="0" fontId="24" fillId="15" borderId="13" xfId="0" applyFont="1" applyFill="1" applyBorder="1"/>
    <xf numFmtId="0" fontId="24" fillId="0" borderId="13" xfId="0" applyFont="1" applyBorder="1"/>
    <xf numFmtId="0" fontId="33" fillId="15" borderId="46" xfId="0" applyFont="1" applyFill="1" applyBorder="1"/>
    <xf numFmtId="0" fontId="0" fillId="15" borderId="78" xfId="0" applyFill="1" applyBorder="1"/>
    <xf numFmtId="0" fontId="40" fillId="15" borderId="79" xfId="0" applyFont="1" applyFill="1" applyBorder="1"/>
    <xf numFmtId="0" fontId="0" fillId="15" borderId="80" xfId="0" applyFill="1" applyBorder="1"/>
    <xf numFmtId="0" fontId="22" fillId="0" borderId="13" xfId="0" applyFont="1" applyBorder="1"/>
    <xf numFmtId="0" fontId="23" fillId="15" borderId="71" xfId="0" applyFont="1" applyFill="1" applyBorder="1"/>
    <xf numFmtId="0" fontId="0" fillId="15" borderId="51" xfId="0" applyFill="1" applyBorder="1"/>
    <xf numFmtId="0" fontId="0" fillId="15" borderId="81" xfId="0" applyFill="1" applyBorder="1"/>
    <xf numFmtId="2" fontId="24" fillId="15" borderId="11" xfId="0" applyNumberFormat="1" applyFont="1" applyFill="1" applyBorder="1"/>
    <xf numFmtId="0" fontId="43" fillId="0" borderId="10" xfId="0" applyFont="1" applyBorder="1" applyAlignment="1">
      <alignment horizontal="center"/>
    </xf>
    <xf numFmtId="2" fontId="33" fillId="0" borderId="18" xfId="0" applyNumberFormat="1" applyFont="1" applyBorder="1"/>
    <xf numFmtId="0" fontId="0" fillId="15" borderId="38" xfId="0" applyFill="1" applyBorder="1"/>
    <xf numFmtId="0" fontId="24" fillId="15" borderId="50" xfId="0" applyFont="1" applyFill="1" applyBorder="1"/>
    <xf numFmtId="0" fontId="0" fillId="0" borderId="82" xfId="0" applyBorder="1"/>
    <xf numFmtId="0" fontId="0" fillId="0" borderId="54" xfId="0" applyBorder="1"/>
    <xf numFmtId="1" fontId="0" fillId="15" borderId="46" xfId="0" applyNumberFormat="1" applyFill="1" applyBorder="1"/>
    <xf numFmtId="0" fontId="40" fillId="15" borderId="10" xfId="0" applyFont="1" applyFill="1" applyBorder="1"/>
    <xf numFmtId="0" fontId="0" fillId="0" borderId="78" xfId="0" applyBorder="1"/>
    <xf numFmtId="0" fontId="0" fillId="0" borderId="83" xfId="0" applyBorder="1"/>
    <xf numFmtId="164" fontId="49" fillId="15" borderId="10" xfId="0" applyNumberFormat="1" applyFont="1" applyFill="1" applyBorder="1" applyAlignment="1">
      <alignment horizontal="right"/>
    </xf>
    <xf numFmtId="164" fontId="49" fillId="15" borderId="10" xfId="0" applyNumberFormat="1" applyFont="1" applyFill="1" applyBorder="1" applyAlignment="1"/>
    <xf numFmtId="164" fontId="49" fillId="15" borderId="10" xfId="0" applyNumberFormat="1" applyFont="1" applyFill="1" applyBorder="1"/>
    <xf numFmtId="0" fontId="23" fillId="0" borderId="54" xfId="0" applyFont="1" applyBorder="1" applyAlignment="1">
      <alignment horizontal="right"/>
    </xf>
    <xf numFmtId="0" fontId="23" fillId="0" borderId="18" xfId="0" applyFont="1" applyBorder="1" applyAlignment="1">
      <alignment horizontal="right"/>
    </xf>
    <xf numFmtId="0" fontId="42" fillId="15" borderId="18" xfId="0" applyFont="1" applyFill="1" applyBorder="1" applyAlignment="1">
      <alignment horizontal="right"/>
    </xf>
    <xf numFmtId="0" fontId="0" fillId="16" borderId="84" xfId="0" applyFill="1" applyBorder="1"/>
    <xf numFmtId="0" fontId="25" fillId="0" borderId="71" xfId="0" applyFont="1" applyBorder="1" applyAlignment="1">
      <alignment horizontal="center"/>
    </xf>
    <xf numFmtId="0" fontId="23" fillId="17" borderId="85" xfId="0" applyFont="1" applyFill="1" applyBorder="1"/>
    <xf numFmtId="0" fontId="0" fillId="17" borderId="85" xfId="0" applyFill="1" applyBorder="1"/>
    <xf numFmtId="166" fontId="24" fillId="15" borderId="38" xfId="0" applyNumberFormat="1" applyFont="1" applyFill="1" applyBorder="1"/>
    <xf numFmtId="164" fontId="24" fillId="15" borderId="45" xfId="0" applyNumberFormat="1" applyFont="1" applyFill="1" applyBorder="1" applyAlignment="1">
      <alignment horizontal="right"/>
    </xf>
    <xf numFmtId="164" fontId="24" fillId="0" borderId="38" xfId="0" applyNumberFormat="1" applyFont="1" applyBorder="1" applyAlignment="1">
      <alignment horizontal="right"/>
    </xf>
    <xf numFmtId="164" fontId="24" fillId="15" borderId="62" xfId="0" applyNumberFormat="1" applyFont="1" applyFill="1" applyBorder="1" applyAlignment="1">
      <alignment horizontal="right"/>
    </xf>
    <xf numFmtId="0" fontId="40" fillId="0" borderId="45" xfId="0" applyFont="1" applyBorder="1"/>
    <xf numFmtId="2" fontId="24" fillId="15" borderId="10" xfId="0" applyNumberFormat="1" applyFont="1" applyFill="1" applyBorder="1"/>
    <xf numFmtId="0" fontId="23" fillId="15" borderId="86" xfId="0" applyFont="1" applyFill="1" applyBorder="1"/>
    <xf numFmtId="0" fontId="0" fillId="15" borderId="82" xfId="0" applyFill="1" applyBorder="1"/>
    <xf numFmtId="164" fontId="34" fillId="15" borderId="10" xfId="0" applyNumberFormat="1" applyFont="1" applyFill="1" applyBorder="1" applyAlignment="1">
      <alignment horizontal="right"/>
    </xf>
    <xf numFmtId="164" fontId="33" fillId="15" borderId="10" xfId="0" applyNumberFormat="1" applyFont="1" applyFill="1" applyBorder="1" applyAlignment="1">
      <alignment horizontal="right"/>
    </xf>
    <xf numFmtId="164" fontId="34" fillId="0" borderId="34" xfId="0" applyNumberFormat="1" applyFont="1" applyBorder="1" applyAlignment="1"/>
    <xf numFmtId="164" fontId="0" fillId="15" borderId="10" xfId="0" applyNumberFormat="1" applyFill="1" applyBorder="1" applyAlignment="1">
      <alignment horizontal="right"/>
    </xf>
    <xf numFmtId="164" fontId="0" fillId="0" borderId="10" xfId="0" applyNumberFormat="1" applyBorder="1" applyAlignment="1">
      <alignment horizontal="right"/>
    </xf>
    <xf numFmtId="2" fontId="0" fillId="15" borderId="10" xfId="0" applyNumberFormat="1" applyFill="1" applyBorder="1" applyAlignment="1">
      <alignment horizontal="right"/>
    </xf>
    <xf numFmtId="0" fontId="23" fillId="15" borderId="87" xfId="0" applyFont="1" applyFill="1" applyBorder="1"/>
    <xf numFmtId="2" fontId="0" fillId="15" borderId="87" xfId="0" applyNumberFormat="1" applyFill="1" applyBorder="1" applyAlignment="1">
      <alignment horizontal="right"/>
    </xf>
    <xf numFmtId="2" fontId="0" fillId="15" borderId="88" xfId="0" applyNumberFormat="1" applyFill="1" applyBorder="1" applyAlignment="1">
      <alignment horizontal="right"/>
    </xf>
    <xf numFmtId="2" fontId="0" fillId="15" borderId="89" xfId="0" applyNumberFormat="1" applyFill="1" applyBorder="1" applyAlignment="1">
      <alignment horizontal="right"/>
    </xf>
    <xf numFmtId="2" fontId="0" fillId="15" borderId="90" xfId="0" applyNumberFormat="1" applyFill="1" applyBorder="1"/>
    <xf numFmtId="0" fontId="36" fillId="15" borderId="0" xfId="0" applyFont="1" applyFill="1" applyBorder="1"/>
    <xf numFmtId="0" fontId="37" fillId="15" borderId="0" xfId="0" applyFont="1" applyFill="1" applyBorder="1"/>
    <xf numFmtId="164" fontId="24" fillId="18" borderId="10" xfId="0" applyNumberFormat="1" applyFont="1" applyFill="1" applyBorder="1"/>
    <xf numFmtId="0" fontId="0" fillId="0" borderId="44" xfId="0" applyFill="1" applyBorder="1"/>
    <xf numFmtId="2" fontId="0" fillId="0" borderId="12" xfId="0" applyNumberFormat="1" applyBorder="1"/>
    <xf numFmtId="0" fontId="25" fillId="0" borderId="34" xfId="0" applyFont="1" applyBorder="1"/>
    <xf numFmtId="0" fontId="23" fillId="0" borderId="13" xfId="0" applyFont="1" applyBorder="1"/>
    <xf numFmtId="0" fontId="28" fillId="15" borderId="36" xfId="0" applyFont="1" applyFill="1" applyBorder="1"/>
    <xf numFmtId="0" fontId="28" fillId="0" borderId="36" xfId="0" applyFont="1" applyBorder="1"/>
    <xf numFmtId="0" fontId="28" fillId="15" borderId="91" xfId="0" applyFont="1" applyFill="1" applyBorder="1"/>
    <xf numFmtId="165" fontId="0" fillId="0" borderId="18" xfId="0" applyNumberFormat="1" applyBorder="1"/>
    <xf numFmtId="165" fontId="0" fillId="0" borderId="10" xfId="0" applyNumberFormat="1" applyBorder="1"/>
    <xf numFmtId="165" fontId="0" fillId="0" borderId="34" xfId="0" applyNumberFormat="1" applyBorder="1"/>
    <xf numFmtId="165" fontId="0" fillId="0" borderId="13" xfId="0" applyNumberFormat="1" applyBorder="1"/>
    <xf numFmtId="165" fontId="0" fillId="15" borderId="13" xfId="0" applyNumberFormat="1" applyFill="1" applyBorder="1"/>
    <xf numFmtId="165" fontId="0" fillId="0" borderId="54" xfId="0" applyNumberFormat="1" applyBorder="1"/>
    <xf numFmtId="165" fontId="0" fillId="0" borderId="56" xfId="0" applyNumberFormat="1" applyBorder="1"/>
    <xf numFmtId="165" fontId="0" fillId="0" borderId="55" xfId="0" applyNumberFormat="1" applyBorder="1"/>
    <xf numFmtId="165" fontId="0" fillId="0" borderId="83" xfId="0" applyNumberFormat="1" applyBorder="1"/>
    <xf numFmtId="165" fontId="0" fillId="18" borderId="18" xfId="0" applyNumberFormat="1" applyFill="1" applyBorder="1"/>
    <xf numFmtId="165" fontId="0" fillId="18" borderId="10" xfId="0" applyNumberFormat="1" applyFill="1" applyBorder="1"/>
    <xf numFmtId="165" fontId="0" fillId="18" borderId="13" xfId="0" applyNumberFormat="1" applyFill="1" applyBorder="1"/>
    <xf numFmtId="0" fontId="0" fillId="18" borderId="34" xfId="0" applyFill="1" applyBorder="1"/>
    <xf numFmtId="165" fontId="0" fillId="18" borderId="34" xfId="0" applyNumberFormat="1" applyFill="1" applyBorder="1"/>
    <xf numFmtId="2" fontId="0" fillId="18" borderId="34" xfId="0" applyNumberFormat="1" applyFill="1" applyBorder="1"/>
    <xf numFmtId="164" fontId="0" fillId="0" borderId="18" xfId="0" applyNumberFormat="1" applyBorder="1"/>
    <xf numFmtId="164" fontId="0" fillId="18" borderId="18" xfId="0" applyNumberFormat="1" applyFill="1" applyBorder="1"/>
    <xf numFmtId="164" fontId="0" fillId="18" borderId="10" xfId="0" applyNumberFormat="1" applyFill="1" applyBorder="1"/>
    <xf numFmtId="164" fontId="0" fillId="19" borderId="18" xfId="0" applyNumberFormat="1" applyFill="1" applyBorder="1"/>
    <xf numFmtId="164" fontId="0" fillId="19" borderId="10" xfId="0" applyNumberFormat="1" applyFill="1" applyBorder="1"/>
    <xf numFmtId="0" fontId="28" fillId="15" borderId="18" xfId="0" applyFont="1" applyFill="1" applyBorder="1"/>
    <xf numFmtId="0" fontId="28" fillId="0" borderId="18" xfId="0" applyFont="1" applyBorder="1"/>
    <xf numFmtId="0" fontId="64" fillId="0" borderId="10" xfId="0" applyFont="1" applyBorder="1"/>
    <xf numFmtId="165" fontId="0" fillId="0" borderId="0" xfId="0" applyNumberFormat="1"/>
    <xf numFmtId="0" fontId="64" fillId="0" borderId="10" xfId="0" applyFont="1" applyFill="1" applyBorder="1"/>
    <xf numFmtId="0" fontId="64" fillId="0" borderId="92" xfId="0" applyFont="1" applyBorder="1"/>
    <xf numFmtId="0" fontId="0" fillId="0" borderId="93" xfId="0" applyBorder="1"/>
    <xf numFmtId="0" fontId="0" fillId="15" borderId="93" xfId="0" applyFill="1" applyBorder="1"/>
    <xf numFmtId="0" fontId="64" fillId="0" borderId="94" xfId="0" applyFont="1" applyBorder="1"/>
    <xf numFmtId="0" fontId="64" fillId="0" borderId="95" xfId="0" applyFont="1" applyFill="1" applyBorder="1"/>
    <xf numFmtId="0" fontId="0" fillId="0" borderId="10" xfId="0" applyBorder="1" applyAlignment="1">
      <alignment horizontal="center"/>
    </xf>
    <xf numFmtId="0" fontId="0" fillId="0" borderId="95" xfId="0" applyFill="1" applyBorder="1"/>
    <xf numFmtId="0" fontId="40" fillId="0" borderId="96" xfId="0" applyFont="1" applyFill="1" applyBorder="1"/>
    <xf numFmtId="0" fontId="28" fillId="0" borderId="81" xfId="0" applyFont="1" applyFill="1" applyBorder="1"/>
    <xf numFmtId="165" fontId="0" fillId="0" borderId="95" xfId="0" applyNumberFormat="1" applyFill="1" applyBorder="1"/>
    <xf numFmtId="165" fontId="0" fillId="0" borderId="97" xfId="0" applyNumberFormat="1" applyFill="1" applyBorder="1"/>
    <xf numFmtId="165" fontId="0" fillId="0" borderId="98" xfId="0" applyNumberFormat="1" applyFill="1" applyBorder="1"/>
    <xf numFmtId="0" fontId="0" fillId="0" borderId="97" xfId="0" applyFill="1" applyBorder="1"/>
    <xf numFmtId="0" fontId="23" fillId="0" borderId="50" xfId="0" applyFont="1" applyBorder="1" applyAlignment="1">
      <alignment horizontal="center"/>
    </xf>
    <xf numFmtId="0" fontId="23" fillId="0" borderId="51" xfId="0" applyFont="1" applyBorder="1" applyAlignment="1">
      <alignment horizontal="center"/>
    </xf>
    <xf numFmtId="0" fontId="0" fillId="18" borderId="99" xfId="0" applyFill="1" applyBorder="1" applyAlignment="1"/>
    <xf numFmtId="0" fontId="0" fillId="18" borderId="100" xfId="0" applyFill="1" applyBorder="1" applyAlignment="1"/>
    <xf numFmtId="0" fontId="23" fillId="0" borderId="27" xfId="0" applyFont="1" applyBorder="1" applyAlignment="1">
      <alignment horizontal="center"/>
    </xf>
    <xf numFmtId="165" fontId="23" fillId="0" borderId="0" xfId="0" applyNumberFormat="1" applyFont="1"/>
    <xf numFmtId="168" fontId="0" fillId="0" borderId="10" xfId="0" applyNumberFormat="1" applyBorder="1" applyAlignment="1"/>
    <xf numFmtId="168" fontId="0" fillId="0" borderId="10" xfId="0" applyNumberFormat="1" applyBorder="1"/>
    <xf numFmtId="0" fontId="23" fillId="0" borderId="0" xfId="0" applyFont="1"/>
    <xf numFmtId="0" fontId="0" fillId="20" borderId="0" xfId="0" applyFill="1"/>
    <xf numFmtId="0" fontId="28" fillId="0" borderId="0" xfId="0" applyFont="1"/>
    <xf numFmtId="167" fontId="0" fillId="20" borderId="0" xfId="0" applyNumberFormat="1" applyFill="1"/>
    <xf numFmtId="167" fontId="0" fillId="15" borderId="46" xfId="0" applyNumberFormat="1" applyFill="1" applyBorder="1"/>
    <xf numFmtId="0" fontId="65" fillId="0" borderId="46" xfId="0" applyFont="1" applyBorder="1" applyAlignment="1">
      <alignment horizontal="center"/>
    </xf>
    <xf numFmtId="0" fontId="65" fillId="0" borderId="38" xfId="0" applyFont="1" applyBorder="1" applyAlignment="1">
      <alignment horizontal="center"/>
    </xf>
    <xf numFmtId="0" fontId="65" fillId="0" borderId="13" xfId="0" applyFont="1" applyBorder="1" applyAlignment="1">
      <alignment horizontal="center"/>
    </xf>
    <xf numFmtId="0" fontId="66" fillId="0" borderId="46" xfId="0" applyNumberFormat="1" applyFont="1" applyBorder="1" applyAlignment="1">
      <alignment horizontal="center"/>
    </xf>
    <xf numFmtId="0" fontId="0" fillId="0" borderId="38" xfId="0" applyBorder="1" applyAlignment="1">
      <alignment horizontal="center"/>
    </xf>
    <xf numFmtId="0" fontId="64" fillId="0" borderId="46" xfId="0" applyFont="1" applyBorder="1" applyAlignment="1">
      <alignment horizontal="center"/>
    </xf>
    <xf numFmtId="0" fontId="64" fillId="0" borderId="38" xfId="0" applyFont="1" applyBorder="1" applyAlignment="1">
      <alignment horizontal="center"/>
    </xf>
    <xf numFmtId="0" fontId="64" fillId="0" borderId="13" xfId="0" applyFont="1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0" xfId="0" applyFont="1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10" xfId="0" applyFill="1" applyBorder="1" applyAlignment="1">
      <alignment horizontal="center"/>
    </xf>
    <xf numFmtId="0" fontId="64" fillId="0" borderId="10" xfId="0" applyFont="1" applyBorder="1" applyAlignment="1">
      <alignment horizontal="center"/>
    </xf>
    <xf numFmtId="0" fontId="64" fillId="0" borderId="10" xfId="0" applyFont="1" applyBorder="1" applyAlignment="1">
      <alignment horizontal="center"/>
    </xf>
    <xf numFmtId="170" fontId="23" fillId="15" borderId="73" xfId="0" applyNumberFormat="1" applyFont="1" applyFill="1" applyBorder="1"/>
    <xf numFmtId="0" fontId="64" fillId="0" borderId="10" xfId="0" applyFont="1" applyBorder="1" applyAlignment="1">
      <alignment horizontal="center"/>
    </xf>
    <xf numFmtId="0" fontId="64" fillId="0" borderId="10" xfId="0" applyFont="1" applyBorder="1" applyAlignment="1">
      <alignment horizontal="center"/>
    </xf>
    <xf numFmtId="0" fontId="24" fillId="15" borderId="84" xfId="0" applyFont="1" applyFill="1" applyBorder="1"/>
    <xf numFmtId="0" fontId="24" fillId="15" borderId="95" xfId="0" applyFont="1" applyFill="1" applyBorder="1"/>
    <xf numFmtId="164" fontId="0" fillId="0" borderId="0" xfId="0" applyNumberFormat="1"/>
    <xf numFmtId="0" fontId="40" fillId="21" borderId="45" xfId="0" applyFont="1" applyFill="1" applyBorder="1"/>
    <xf numFmtId="165" fontId="0" fillId="21" borderId="10" xfId="0" applyNumberFormat="1" applyFill="1" applyBorder="1"/>
    <xf numFmtId="165" fontId="0" fillId="21" borderId="34" xfId="0" applyNumberFormat="1" applyFill="1" applyBorder="1"/>
    <xf numFmtId="165" fontId="0" fillId="21" borderId="13" xfId="0" applyNumberFormat="1" applyFill="1" applyBorder="1"/>
    <xf numFmtId="0" fontId="0" fillId="21" borderId="34" xfId="0" applyFill="1" applyBorder="1"/>
    <xf numFmtId="0" fontId="0" fillId="15" borderId="84" xfId="0" applyFill="1" applyBorder="1"/>
    <xf numFmtId="0" fontId="63" fillId="0" borderId="0" xfId="0" applyFont="1"/>
    <xf numFmtId="0" fontId="64" fillId="0" borderId="10" xfId="0" applyFont="1" applyBorder="1" applyAlignment="1">
      <alignment horizontal="center"/>
    </xf>
    <xf numFmtId="0" fontId="73" fillId="0" borderId="11" xfId="0" applyFont="1" applyBorder="1" applyAlignment="1">
      <alignment horizontal="center" vertical="center" wrapText="1"/>
    </xf>
    <xf numFmtId="0" fontId="73" fillId="0" borderId="85" xfId="0" applyFont="1" applyBorder="1" applyAlignment="1">
      <alignment horizontal="center" vertical="center" wrapText="1"/>
    </xf>
    <xf numFmtId="49" fontId="26" fillId="15" borderId="61" xfId="0" applyNumberFormat="1" applyFont="1" applyFill="1" applyBorder="1" applyAlignment="1">
      <alignment textRotation="90"/>
    </xf>
    <xf numFmtId="49" fontId="26" fillId="15" borderId="0" xfId="0" applyNumberFormat="1" applyFont="1" applyFill="1" applyBorder="1" applyAlignment="1">
      <alignment textRotation="90"/>
    </xf>
    <xf numFmtId="49" fontId="26" fillId="15" borderId="88" xfId="0" applyNumberFormat="1" applyFont="1" applyFill="1" applyBorder="1" applyAlignment="1">
      <alignment textRotation="90"/>
    </xf>
    <xf numFmtId="2" fontId="50" fillId="16" borderId="35" xfId="0" applyNumberFormat="1" applyFont="1" applyFill="1" applyBorder="1" applyAlignment="1">
      <alignment horizontal="right"/>
    </xf>
    <xf numFmtId="0" fontId="50" fillId="0" borderId="40" xfId="0" applyFont="1" applyBorder="1" applyAlignment="1">
      <alignment horizontal="right"/>
    </xf>
    <xf numFmtId="0" fontId="0" fillId="0" borderId="78" xfId="0" applyBorder="1" applyAlignment="1">
      <alignment horizontal="right"/>
    </xf>
    <xf numFmtId="0" fontId="23" fillId="16" borderId="35" xfId="0" applyFont="1" applyFill="1" applyBorder="1" applyAlignment="1"/>
    <xf numFmtId="0" fontId="0" fillId="16" borderId="40" xfId="0" applyFill="1" applyBorder="1" applyAlignment="1"/>
    <xf numFmtId="0" fontId="23" fillId="16" borderId="36" xfId="0" applyFont="1" applyFill="1" applyBorder="1" applyAlignment="1">
      <alignment horizontal="center"/>
    </xf>
    <xf numFmtId="0" fontId="23" fillId="16" borderId="38" xfId="0" applyFont="1" applyFill="1" applyBorder="1" applyAlignment="1">
      <alignment horizontal="center"/>
    </xf>
    <xf numFmtId="0" fontId="22" fillId="15" borderId="105" xfId="0" applyFont="1" applyFill="1" applyBorder="1" applyAlignment="1"/>
    <xf numFmtId="0" fontId="22" fillId="0" borderId="53" xfId="0" applyFont="1" applyBorder="1" applyAlignment="1"/>
    <xf numFmtId="0" fontId="23" fillId="16" borderId="62" xfId="0" applyFont="1" applyFill="1" applyBorder="1" applyAlignment="1">
      <alignment horizontal="center"/>
    </xf>
    <xf numFmtId="0" fontId="0" fillId="16" borderId="62" xfId="0" applyFill="1" applyBorder="1" applyAlignment="1">
      <alignment horizontal="center"/>
    </xf>
    <xf numFmtId="0" fontId="58" fillId="15" borderId="46" xfId="0" applyFont="1" applyFill="1" applyBorder="1" applyAlignment="1"/>
    <xf numFmtId="0" fontId="58" fillId="15" borderId="38" xfId="0" applyFont="1" applyFill="1" applyBorder="1" applyAlignment="1"/>
    <xf numFmtId="0" fontId="58" fillId="15" borderId="13" xfId="0" applyFont="1" applyFill="1" applyBorder="1" applyAlignment="1"/>
    <xf numFmtId="0" fontId="22" fillId="0" borderId="82" xfId="0" applyFont="1" applyBorder="1" applyAlignment="1">
      <alignment horizontal="center"/>
    </xf>
    <xf numFmtId="0" fontId="22" fillId="0" borderId="41" xfId="0" applyFont="1" applyBorder="1" applyAlignment="1">
      <alignment horizontal="center"/>
    </xf>
    <xf numFmtId="0" fontId="22" fillId="0" borderId="83" xfId="0" applyFont="1" applyBorder="1" applyAlignment="1">
      <alignment horizontal="center"/>
    </xf>
    <xf numFmtId="2" fontId="0" fillId="0" borderId="46" xfId="0" applyNumberFormat="1" applyBorder="1" applyAlignment="1"/>
    <xf numFmtId="2" fontId="0" fillId="0" borderId="62" xfId="0" applyNumberFormat="1" applyBorder="1" applyAlignment="1"/>
    <xf numFmtId="2" fontId="22" fillId="15" borderId="60" xfId="0" applyNumberFormat="1" applyFont="1" applyFill="1" applyBorder="1" applyAlignment="1">
      <alignment horizontal="center"/>
    </xf>
    <xf numFmtId="0" fontId="22" fillId="0" borderId="88" xfId="0" applyFont="1" applyBorder="1" applyAlignment="1">
      <alignment horizontal="center"/>
    </xf>
    <xf numFmtId="0" fontId="22" fillId="0" borderId="80" xfId="0" applyFont="1" applyBorder="1" applyAlignment="1">
      <alignment horizontal="center"/>
    </xf>
    <xf numFmtId="2" fontId="22" fillId="15" borderId="64" xfId="0" applyNumberFormat="1" applyFont="1" applyFill="1" applyBorder="1" applyAlignment="1">
      <alignment horizontal="center"/>
    </xf>
    <xf numFmtId="2" fontId="22" fillId="15" borderId="61" xfId="0" applyNumberFormat="1" applyFont="1" applyFill="1" applyBorder="1" applyAlignment="1">
      <alignment horizontal="center"/>
    </xf>
    <xf numFmtId="2" fontId="22" fillId="15" borderId="43" xfId="0" applyNumberFormat="1" applyFont="1" applyFill="1" applyBorder="1" applyAlignment="1">
      <alignment horizontal="center"/>
    </xf>
    <xf numFmtId="0" fontId="0" fillId="0" borderId="10" xfId="0" applyBorder="1" applyAlignment="1"/>
    <xf numFmtId="2" fontId="0" fillId="15" borderId="10" xfId="0" applyNumberFormat="1" applyFill="1" applyBorder="1" applyAlignment="1"/>
    <xf numFmtId="2" fontId="0" fillId="0" borderId="10" xfId="0" applyNumberFormat="1" applyBorder="1" applyAlignment="1"/>
    <xf numFmtId="0" fontId="22" fillId="0" borderId="64" xfId="0" applyFont="1" applyBorder="1" applyAlignment="1">
      <alignment horizontal="center" wrapText="1"/>
    </xf>
    <xf numFmtId="0" fontId="22" fillId="0" borderId="61" xfId="0" applyFont="1" applyBorder="1" applyAlignment="1">
      <alignment horizontal="center" wrapText="1"/>
    </xf>
    <xf numFmtId="0" fontId="22" fillId="0" borderId="84" xfId="0" applyFont="1" applyBorder="1" applyAlignment="1">
      <alignment horizontal="center" wrapText="1"/>
    </xf>
    <xf numFmtId="0" fontId="22" fillId="0" borderId="0" xfId="0" applyFont="1" applyBorder="1" applyAlignment="1">
      <alignment horizontal="center" wrapText="1"/>
    </xf>
    <xf numFmtId="0" fontId="0" fillId="0" borderId="60" xfId="0" applyBorder="1" applyAlignment="1">
      <alignment wrapText="1"/>
    </xf>
    <xf numFmtId="0" fontId="0" fillId="0" borderId="88" xfId="0" applyBorder="1" applyAlignment="1">
      <alignment wrapText="1"/>
    </xf>
    <xf numFmtId="0" fontId="23" fillId="0" borderId="99" xfId="0" applyFont="1" applyBorder="1" applyAlignment="1">
      <alignment horizontal="center" wrapText="1"/>
    </xf>
    <xf numFmtId="0" fontId="23" fillId="0" borderId="74" xfId="0" applyFont="1" applyBorder="1" applyAlignment="1">
      <alignment horizontal="center" wrapText="1"/>
    </xf>
    <xf numFmtId="0" fontId="23" fillId="0" borderId="75" xfId="0" applyFont="1" applyBorder="1" applyAlignment="1">
      <alignment horizontal="center" wrapText="1"/>
    </xf>
    <xf numFmtId="0" fontId="0" fillId="0" borderId="65" xfId="0" applyBorder="1" applyAlignment="1">
      <alignment horizontal="center" wrapText="1"/>
    </xf>
    <xf numFmtId="0" fontId="0" fillId="0" borderId="69" xfId="0" applyBorder="1" applyAlignment="1">
      <alignment horizontal="center" wrapText="1"/>
    </xf>
    <xf numFmtId="0" fontId="0" fillId="0" borderId="70" xfId="0" applyBorder="1" applyAlignment="1">
      <alignment horizontal="center" wrapText="1"/>
    </xf>
    <xf numFmtId="0" fontId="23" fillId="0" borderId="27" xfId="0" applyFont="1" applyBorder="1" applyAlignment="1">
      <alignment horizontal="center"/>
    </xf>
    <xf numFmtId="0" fontId="23" fillId="0" borderId="50" xfId="0" applyFont="1" applyBorder="1" applyAlignment="1">
      <alignment horizontal="center"/>
    </xf>
    <xf numFmtId="0" fontId="23" fillId="0" borderId="51" xfId="0" applyFont="1" applyBorder="1" applyAlignment="1">
      <alignment horizontal="center"/>
    </xf>
    <xf numFmtId="2" fontId="22" fillId="15" borderId="101" xfId="0" applyNumberFormat="1" applyFont="1" applyFill="1" applyBorder="1" applyAlignment="1">
      <alignment horizontal="center" wrapText="1"/>
    </xf>
    <xf numFmtId="0" fontId="22" fillId="0" borderId="43" xfId="0" applyFont="1" applyBorder="1" applyAlignment="1">
      <alignment horizontal="center" wrapText="1"/>
    </xf>
    <xf numFmtId="0" fontId="0" fillId="0" borderId="102" xfId="0" applyBorder="1" applyAlignment="1">
      <alignment horizontal="center" wrapText="1"/>
    </xf>
    <xf numFmtId="0" fontId="0" fillId="0" borderId="0" xfId="0" applyAlignment="1">
      <alignment horizontal="center" wrapText="1"/>
    </xf>
    <xf numFmtId="0" fontId="0" fillId="0" borderId="98" xfId="0" applyBorder="1" applyAlignment="1">
      <alignment horizontal="center" wrapText="1"/>
    </xf>
    <xf numFmtId="0" fontId="23" fillId="0" borderId="103" xfId="0" applyFont="1" applyBorder="1" applyAlignment="1">
      <alignment wrapText="1"/>
    </xf>
    <xf numFmtId="0" fontId="23" fillId="0" borderId="104" xfId="0" applyFont="1" applyBorder="1" applyAlignment="1">
      <alignment wrapText="1"/>
    </xf>
    <xf numFmtId="0" fontId="23" fillId="0" borderId="60" xfId="0" applyFont="1" applyBorder="1" applyAlignment="1">
      <alignment wrapText="1"/>
    </xf>
    <xf numFmtId="0" fontId="23" fillId="0" borderId="80" xfId="0" applyFont="1" applyBorder="1" applyAlignment="1">
      <alignment wrapText="1"/>
    </xf>
    <xf numFmtId="2" fontId="0" fillId="15" borderId="103" xfId="0" applyNumberFormat="1" applyFill="1" applyBorder="1" applyAlignment="1"/>
    <xf numFmtId="2" fontId="0" fillId="0" borderId="60" xfId="0" applyNumberFormat="1" applyBorder="1" applyAlignment="1"/>
    <xf numFmtId="0" fontId="0" fillId="0" borderId="56" xfId="0" applyBorder="1" applyAlignment="1"/>
    <xf numFmtId="0" fontId="0" fillId="0" borderId="55" xfId="0" applyBorder="1" applyAlignment="1"/>
    <xf numFmtId="0" fontId="24" fillId="15" borderId="10" xfId="0" applyFont="1" applyFill="1" applyBorder="1" applyAlignment="1">
      <alignment horizontal="right"/>
    </xf>
    <xf numFmtId="0" fontId="0" fillId="0" borderId="34" xfId="0" applyBorder="1" applyAlignment="1">
      <alignment horizontal="right"/>
    </xf>
    <xf numFmtId="0" fontId="0" fillId="15" borderId="10" xfId="0" applyFill="1" applyBorder="1" applyAlignment="1">
      <alignment horizontal="right"/>
    </xf>
    <xf numFmtId="2" fontId="0" fillId="0" borderId="34" xfId="0" applyNumberFormat="1" applyBorder="1" applyAlignment="1"/>
    <xf numFmtId="0" fontId="22" fillId="15" borderId="105" xfId="0" applyFont="1" applyFill="1" applyBorder="1" applyAlignment="1">
      <alignment horizontal="center" wrapText="1"/>
    </xf>
    <xf numFmtId="0" fontId="22" fillId="0" borderId="106" xfId="0" applyFont="1" applyBorder="1" applyAlignment="1">
      <alignment horizontal="center" wrapText="1"/>
    </xf>
    <xf numFmtId="0" fontId="22" fillId="0" borderId="53" xfId="0" applyFont="1" applyBorder="1" applyAlignment="1">
      <alignment horizontal="center" wrapText="1"/>
    </xf>
    <xf numFmtId="0" fontId="0" fillId="15" borderId="50" xfId="0" applyFill="1" applyBorder="1" applyAlignment="1"/>
    <xf numFmtId="0" fontId="0" fillId="15" borderId="51" xfId="0" applyFill="1" applyBorder="1" applyAlignment="1"/>
    <xf numFmtId="0" fontId="0" fillId="0" borderId="34" xfId="0" applyBorder="1" applyAlignment="1"/>
    <xf numFmtId="0" fontId="0" fillId="18" borderId="27" xfId="0" applyFill="1" applyBorder="1" applyAlignment="1"/>
    <xf numFmtId="0" fontId="0" fillId="18" borderId="18" xfId="0" applyFill="1" applyBorder="1" applyAlignment="1"/>
    <xf numFmtId="0" fontId="23" fillId="0" borderId="78" xfId="0" applyFont="1" applyBorder="1" applyAlignment="1">
      <alignment horizontal="center"/>
    </xf>
    <xf numFmtId="0" fontId="0" fillId="18" borderId="99" xfId="0" applyFill="1" applyBorder="1" applyAlignment="1"/>
    <xf numFmtId="0" fontId="0" fillId="18" borderId="100" xfId="0" applyFill="1" applyBorder="1" applyAlignment="1"/>
    <xf numFmtId="0" fontId="64" fillId="0" borderId="44" xfId="0" applyFont="1" applyBorder="1" applyAlignment="1">
      <alignment horizontal="center" wrapText="1"/>
    </xf>
    <xf numFmtId="0" fontId="0" fillId="0" borderId="12" xfId="0" applyBorder="1" applyAlignment="1"/>
    <xf numFmtId="0" fontId="64" fillId="0" borderId="46" xfId="0" applyFont="1" applyBorder="1" applyAlignment="1">
      <alignment horizontal="center"/>
    </xf>
    <xf numFmtId="0" fontId="64" fillId="0" borderId="38" xfId="0" applyFont="1" applyBorder="1" applyAlignment="1">
      <alignment horizontal="center"/>
    </xf>
    <xf numFmtId="0" fontId="64" fillId="0" borderId="13" xfId="0" applyFont="1" applyBorder="1" applyAlignment="1">
      <alignment horizontal="center"/>
    </xf>
    <xf numFmtId="0" fontId="66" fillId="0" borderId="46" xfId="0" applyFont="1" applyBorder="1" applyAlignment="1">
      <alignment horizontal="center"/>
    </xf>
    <xf numFmtId="0" fontId="66" fillId="0" borderId="38" xfId="0" applyFont="1" applyBorder="1" applyAlignment="1">
      <alignment horizontal="center"/>
    </xf>
    <xf numFmtId="0" fontId="66" fillId="0" borderId="13" xfId="0" applyFont="1" applyBorder="1" applyAlignment="1">
      <alignment horizontal="center"/>
    </xf>
    <xf numFmtId="0" fontId="64" fillId="0" borderId="10" xfId="0" applyFont="1" applyBorder="1" applyAlignment="1">
      <alignment horizontal="center" wrapText="1"/>
    </xf>
    <xf numFmtId="0" fontId="64" fillId="0" borderId="10" xfId="0" applyFont="1" applyBorder="1" applyAlignment="1"/>
    <xf numFmtId="0" fontId="64" fillId="0" borderId="10" xfId="0" applyFont="1" applyBorder="1" applyAlignment="1">
      <alignment horizontal="center"/>
    </xf>
    <xf numFmtId="0" fontId="25" fillId="0" borderId="0" xfId="0" applyFont="1" applyAlignment="1">
      <alignment horizontal="center"/>
    </xf>
    <xf numFmtId="0" fontId="65" fillId="0" borderId="46" xfId="0" applyFont="1" applyBorder="1" applyAlignment="1">
      <alignment horizontal="center"/>
    </xf>
    <xf numFmtId="0" fontId="65" fillId="0" borderId="38" xfId="0" applyFont="1" applyBorder="1" applyAlignment="1">
      <alignment horizontal="center"/>
    </xf>
    <xf numFmtId="0" fontId="65" fillId="0" borderId="13" xfId="0" applyFont="1" applyBorder="1" applyAlignment="1">
      <alignment horizontal="center"/>
    </xf>
    <xf numFmtId="0" fontId="0" fillId="0" borderId="38" xfId="0" applyBorder="1" applyAlignment="1">
      <alignment horizontal="center"/>
    </xf>
    <xf numFmtId="0" fontId="0" fillId="0" borderId="13" xfId="0" applyBorder="1" applyAlignment="1">
      <alignment horizontal="center"/>
    </xf>
    <xf numFmtId="0" fontId="65" fillId="0" borderId="10" xfId="0" applyFont="1" applyBorder="1" applyAlignment="1">
      <alignment horizontal="center"/>
    </xf>
    <xf numFmtId="0" fontId="66" fillId="0" borderId="10" xfId="0" applyFont="1" applyBorder="1" applyAlignment="1">
      <alignment horizontal="center"/>
    </xf>
    <xf numFmtId="0" fontId="67" fillId="0" borderId="0" xfId="0" applyFont="1" applyAlignment="1">
      <alignment horizontal="center" vertical="center" wrapText="1"/>
    </xf>
    <xf numFmtId="0" fontId="68" fillId="0" borderId="0" xfId="0" applyFont="1" applyAlignment="1">
      <alignment vertical="center"/>
    </xf>
    <xf numFmtId="0" fontId="66" fillId="0" borderId="46" xfId="0" applyNumberFormat="1" applyFont="1" applyBorder="1" applyAlignment="1">
      <alignment horizontal="center"/>
    </xf>
    <xf numFmtId="0" fontId="0" fillId="0" borderId="0" xfId="0" applyAlignment="1"/>
    <xf numFmtId="0" fontId="28" fillId="0" borderId="0" xfId="0" applyFont="1" applyAlignment="1">
      <alignment horizontal="center"/>
    </xf>
    <xf numFmtId="0" fontId="0" fillId="0" borderId="0" xfId="0" applyAlignment="1">
      <alignment horizontal="center"/>
    </xf>
    <xf numFmtId="2" fontId="28" fillId="0" borderId="0" xfId="0" applyNumberFormat="1" applyFont="1" applyAlignment="1">
      <alignment horizontal="center"/>
    </xf>
    <xf numFmtId="0" fontId="46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2" borderId="36" xfId="0" applyFill="1" applyBorder="1"/>
    <xf numFmtId="0" fontId="40" fillId="22" borderId="45" xfId="0" applyFont="1" applyFill="1" applyBorder="1"/>
    <xf numFmtId="0" fontId="0" fillId="22" borderId="46" xfId="0" applyFill="1" applyBorder="1"/>
    <xf numFmtId="164" fontId="34" fillId="22" borderId="45" xfId="0" applyNumberFormat="1" applyFont="1" applyFill="1" applyBorder="1" applyAlignment="1">
      <alignment horizontal="right"/>
    </xf>
    <xf numFmtId="164" fontId="33" fillId="22" borderId="38" xfId="0" applyNumberFormat="1" applyFont="1" applyFill="1" applyBorder="1" applyAlignment="1">
      <alignment horizontal="right"/>
    </xf>
    <xf numFmtId="164" fontId="33" fillId="22" borderId="45" xfId="0" applyNumberFormat="1" applyFont="1" applyFill="1" applyBorder="1" applyAlignment="1">
      <alignment horizontal="right"/>
    </xf>
    <xf numFmtId="164" fontId="34" fillId="22" borderId="45" xfId="0" applyNumberFormat="1" applyFont="1" applyFill="1" applyBorder="1" applyAlignment="1"/>
    <xf numFmtId="164" fontId="33" fillId="22" borderId="62" xfId="0" applyNumberFormat="1" applyFont="1" applyFill="1" applyBorder="1" applyAlignment="1">
      <alignment horizontal="right"/>
    </xf>
    <xf numFmtId="0" fontId="74" fillId="22" borderId="0" xfId="0" applyFont="1" applyFill="1"/>
  </cellXfs>
  <cellStyles count="24">
    <cellStyle name="Акцент1" xfId="1" builtinId="29" customBuiltin="1"/>
    <cellStyle name="Акцент2" xfId="2" builtinId="33" customBuiltin="1"/>
    <cellStyle name="Акцент3" xfId="3" builtinId="37" customBuiltin="1"/>
    <cellStyle name="Акцент4" xfId="4" builtinId="41" customBuiltin="1"/>
    <cellStyle name="Акцент5" xfId="5" builtinId="45" customBuiltin="1"/>
    <cellStyle name="Акцент6" xfId="6" builtinId="49" customBuiltin="1"/>
    <cellStyle name="Ввод " xfId="7" builtinId="20" customBuiltin="1"/>
    <cellStyle name="Вывод" xfId="8" builtinId="21" customBuiltin="1"/>
    <cellStyle name="Вычисление" xfId="9" builtinId="22" customBuiltin="1"/>
    <cellStyle name="Заголовок 1" xfId="10" builtinId="16" customBuiltin="1"/>
    <cellStyle name="Заголовок 2" xfId="11" builtinId="17" customBuiltin="1"/>
    <cellStyle name="Заголовок 3" xfId="12" builtinId="18" customBuiltin="1"/>
    <cellStyle name="Заголовок 4" xfId="13" builtinId="19" customBuiltin="1"/>
    <cellStyle name="Итог" xfId="14" builtinId="25" customBuiltin="1"/>
    <cellStyle name="Контрольная ячейка" xfId="15" builtinId="23" customBuiltin="1"/>
    <cellStyle name="Название" xfId="16" builtinId="15" customBuiltin="1"/>
    <cellStyle name="Нейтральный" xfId="17" builtinId="28" customBuiltin="1"/>
    <cellStyle name="Обычный" xfId="0" builtinId="0"/>
    <cellStyle name="Плохой" xfId="18" builtinId="27" customBuiltin="1"/>
    <cellStyle name="Пояснение" xfId="19" builtinId="53" customBuiltin="1"/>
    <cellStyle name="Примечание" xfId="20" builtinId="10" customBuiltin="1"/>
    <cellStyle name="Связанная ячейка" xfId="21" builtinId="24" customBuiltin="1"/>
    <cellStyle name="Текст предупреждения" xfId="22" builtinId="11" customBuiltin="1"/>
    <cellStyle name="Хороший" xfId="23" builtinId="26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r>
              <a:rPr lang="ru-RU"/>
              <a:t>Фазовая диаграмма</a:t>
            </a:r>
          </a:p>
        </c:rich>
      </c:tx>
      <c:layout>
        <c:manualLayout>
          <c:xMode val="edge"/>
          <c:yMode val="edge"/>
          <c:x val="0.38340537220081533"/>
          <c:y val="3.118043998443412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3650267765888422E-2"/>
          <c:y val="0.135678391959799"/>
          <c:w val="0.84981067480345729"/>
          <c:h val="0.7613065326633166"/>
        </c:manualLayout>
      </c:layout>
      <c:scatterChart>
        <c:scatterStyle val="smoothMarker"/>
        <c:varyColors val="0"/>
        <c:ser>
          <c:idx val="0"/>
          <c:order val="0"/>
          <c:tx>
            <c:v>bubble line</c:v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PVT_Mod!$V$2:$V$540</c:f>
              <c:numCache>
                <c:formatCode>General</c:formatCode>
                <c:ptCount val="539"/>
                <c:pt idx="0">
                  <c:v>150</c:v>
                </c:pt>
                <c:pt idx="1">
                  <c:v>151</c:v>
                </c:pt>
                <c:pt idx="2">
                  <c:v>152</c:v>
                </c:pt>
                <c:pt idx="3">
                  <c:v>153</c:v>
                </c:pt>
                <c:pt idx="4">
                  <c:v>154</c:v>
                </c:pt>
                <c:pt idx="5">
                  <c:v>155</c:v>
                </c:pt>
                <c:pt idx="6">
                  <c:v>156</c:v>
                </c:pt>
                <c:pt idx="7">
                  <c:v>157</c:v>
                </c:pt>
                <c:pt idx="8">
                  <c:v>158</c:v>
                </c:pt>
                <c:pt idx="9">
                  <c:v>159</c:v>
                </c:pt>
                <c:pt idx="10">
                  <c:v>160</c:v>
                </c:pt>
                <c:pt idx="11">
                  <c:v>161</c:v>
                </c:pt>
                <c:pt idx="12">
                  <c:v>162</c:v>
                </c:pt>
                <c:pt idx="13">
                  <c:v>163</c:v>
                </c:pt>
                <c:pt idx="14">
                  <c:v>164</c:v>
                </c:pt>
                <c:pt idx="15">
                  <c:v>165</c:v>
                </c:pt>
                <c:pt idx="16">
                  <c:v>166</c:v>
                </c:pt>
                <c:pt idx="17">
                  <c:v>167</c:v>
                </c:pt>
                <c:pt idx="18">
                  <c:v>168</c:v>
                </c:pt>
                <c:pt idx="19">
                  <c:v>169</c:v>
                </c:pt>
                <c:pt idx="20">
                  <c:v>170</c:v>
                </c:pt>
                <c:pt idx="21">
                  <c:v>171</c:v>
                </c:pt>
                <c:pt idx="22">
                  <c:v>172</c:v>
                </c:pt>
                <c:pt idx="23">
                  <c:v>173</c:v>
                </c:pt>
                <c:pt idx="24">
                  <c:v>174</c:v>
                </c:pt>
                <c:pt idx="25">
                  <c:v>175</c:v>
                </c:pt>
                <c:pt idx="26">
                  <c:v>176</c:v>
                </c:pt>
                <c:pt idx="27">
                  <c:v>177</c:v>
                </c:pt>
                <c:pt idx="28">
                  <c:v>178</c:v>
                </c:pt>
                <c:pt idx="29">
                  <c:v>179</c:v>
                </c:pt>
                <c:pt idx="30">
                  <c:v>180</c:v>
                </c:pt>
                <c:pt idx="31">
                  <c:v>181</c:v>
                </c:pt>
                <c:pt idx="32">
                  <c:v>182</c:v>
                </c:pt>
                <c:pt idx="33">
                  <c:v>183</c:v>
                </c:pt>
                <c:pt idx="34">
                  <c:v>184</c:v>
                </c:pt>
                <c:pt idx="35">
                  <c:v>185</c:v>
                </c:pt>
                <c:pt idx="36">
                  <c:v>186</c:v>
                </c:pt>
                <c:pt idx="37">
                  <c:v>187</c:v>
                </c:pt>
                <c:pt idx="38">
                  <c:v>188</c:v>
                </c:pt>
                <c:pt idx="39">
                  <c:v>189</c:v>
                </c:pt>
                <c:pt idx="40">
                  <c:v>190</c:v>
                </c:pt>
                <c:pt idx="41">
                  <c:v>191</c:v>
                </c:pt>
                <c:pt idx="42">
                  <c:v>192</c:v>
                </c:pt>
                <c:pt idx="43">
                  <c:v>193</c:v>
                </c:pt>
                <c:pt idx="44">
                  <c:v>194</c:v>
                </c:pt>
                <c:pt idx="45">
                  <c:v>195</c:v>
                </c:pt>
                <c:pt idx="46">
                  <c:v>196</c:v>
                </c:pt>
                <c:pt idx="47">
                  <c:v>197</c:v>
                </c:pt>
                <c:pt idx="48">
                  <c:v>198</c:v>
                </c:pt>
                <c:pt idx="49">
                  <c:v>199</c:v>
                </c:pt>
                <c:pt idx="50">
                  <c:v>200</c:v>
                </c:pt>
                <c:pt idx="51">
                  <c:v>201</c:v>
                </c:pt>
                <c:pt idx="52">
                  <c:v>202</c:v>
                </c:pt>
                <c:pt idx="53">
                  <c:v>203</c:v>
                </c:pt>
                <c:pt idx="54">
                  <c:v>204</c:v>
                </c:pt>
                <c:pt idx="55">
                  <c:v>205</c:v>
                </c:pt>
                <c:pt idx="56">
                  <c:v>206</c:v>
                </c:pt>
                <c:pt idx="57">
                  <c:v>207</c:v>
                </c:pt>
                <c:pt idx="58">
                  <c:v>208</c:v>
                </c:pt>
                <c:pt idx="59">
                  <c:v>209</c:v>
                </c:pt>
                <c:pt idx="60">
                  <c:v>210</c:v>
                </c:pt>
                <c:pt idx="61">
                  <c:v>211</c:v>
                </c:pt>
                <c:pt idx="62">
                  <c:v>212</c:v>
                </c:pt>
                <c:pt idx="63">
                  <c:v>213</c:v>
                </c:pt>
                <c:pt idx="64">
                  <c:v>214</c:v>
                </c:pt>
                <c:pt idx="65">
                  <c:v>215</c:v>
                </c:pt>
                <c:pt idx="66">
                  <c:v>216</c:v>
                </c:pt>
                <c:pt idx="67">
                  <c:v>217</c:v>
                </c:pt>
                <c:pt idx="68">
                  <c:v>218</c:v>
                </c:pt>
                <c:pt idx="69">
                  <c:v>219</c:v>
                </c:pt>
                <c:pt idx="70">
                  <c:v>220</c:v>
                </c:pt>
                <c:pt idx="71">
                  <c:v>221</c:v>
                </c:pt>
                <c:pt idx="72">
                  <c:v>222</c:v>
                </c:pt>
                <c:pt idx="73">
                  <c:v>223</c:v>
                </c:pt>
                <c:pt idx="74">
                  <c:v>224</c:v>
                </c:pt>
                <c:pt idx="75">
                  <c:v>225</c:v>
                </c:pt>
                <c:pt idx="76">
                  <c:v>226</c:v>
                </c:pt>
                <c:pt idx="77">
                  <c:v>227</c:v>
                </c:pt>
                <c:pt idx="78">
                  <c:v>228</c:v>
                </c:pt>
                <c:pt idx="79">
                  <c:v>229</c:v>
                </c:pt>
                <c:pt idx="80">
                  <c:v>230</c:v>
                </c:pt>
                <c:pt idx="81">
                  <c:v>231</c:v>
                </c:pt>
                <c:pt idx="82">
                  <c:v>232</c:v>
                </c:pt>
                <c:pt idx="83">
                  <c:v>233</c:v>
                </c:pt>
                <c:pt idx="84">
                  <c:v>234</c:v>
                </c:pt>
                <c:pt idx="85">
                  <c:v>235</c:v>
                </c:pt>
                <c:pt idx="86">
                  <c:v>236</c:v>
                </c:pt>
                <c:pt idx="87">
                  <c:v>237</c:v>
                </c:pt>
                <c:pt idx="88">
                  <c:v>238</c:v>
                </c:pt>
                <c:pt idx="89">
                  <c:v>239</c:v>
                </c:pt>
                <c:pt idx="90">
                  <c:v>240</c:v>
                </c:pt>
                <c:pt idx="91">
                  <c:v>241</c:v>
                </c:pt>
                <c:pt idx="92">
                  <c:v>242</c:v>
                </c:pt>
                <c:pt idx="93">
                  <c:v>243</c:v>
                </c:pt>
                <c:pt idx="94">
                  <c:v>244</c:v>
                </c:pt>
                <c:pt idx="95">
                  <c:v>245</c:v>
                </c:pt>
                <c:pt idx="96">
                  <c:v>246</c:v>
                </c:pt>
                <c:pt idx="97">
                  <c:v>247</c:v>
                </c:pt>
                <c:pt idx="98">
                  <c:v>248</c:v>
                </c:pt>
                <c:pt idx="99">
                  <c:v>249</c:v>
                </c:pt>
                <c:pt idx="100">
                  <c:v>250</c:v>
                </c:pt>
                <c:pt idx="101">
                  <c:v>251</c:v>
                </c:pt>
                <c:pt idx="102">
                  <c:v>252</c:v>
                </c:pt>
                <c:pt idx="103">
                  <c:v>253</c:v>
                </c:pt>
                <c:pt idx="104">
                  <c:v>254</c:v>
                </c:pt>
                <c:pt idx="105">
                  <c:v>255</c:v>
                </c:pt>
                <c:pt idx="106">
                  <c:v>256</c:v>
                </c:pt>
                <c:pt idx="107">
                  <c:v>257</c:v>
                </c:pt>
                <c:pt idx="108">
                  <c:v>258</c:v>
                </c:pt>
                <c:pt idx="109">
                  <c:v>259</c:v>
                </c:pt>
                <c:pt idx="110">
                  <c:v>260</c:v>
                </c:pt>
                <c:pt idx="111">
                  <c:v>261</c:v>
                </c:pt>
                <c:pt idx="112">
                  <c:v>262</c:v>
                </c:pt>
                <c:pt idx="113">
                  <c:v>263</c:v>
                </c:pt>
                <c:pt idx="114">
                  <c:v>264</c:v>
                </c:pt>
                <c:pt idx="115">
                  <c:v>265</c:v>
                </c:pt>
                <c:pt idx="116">
                  <c:v>266</c:v>
                </c:pt>
                <c:pt idx="117">
                  <c:v>267</c:v>
                </c:pt>
                <c:pt idx="118">
                  <c:v>268</c:v>
                </c:pt>
                <c:pt idx="119">
                  <c:v>269</c:v>
                </c:pt>
                <c:pt idx="120">
                  <c:v>270</c:v>
                </c:pt>
                <c:pt idx="121">
                  <c:v>271</c:v>
                </c:pt>
                <c:pt idx="122">
                  <c:v>272</c:v>
                </c:pt>
                <c:pt idx="123">
                  <c:v>273</c:v>
                </c:pt>
                <c:pt idx="124">
                  <c:v>274</c:v>
                </c:pt>
                <c:pt idx="125">
                  <c:v>275</c:v>
                </c:pt>
                <c:pt idx="126">
                  <c:v>276</c:v>
                </c:pt>
                <c:pt idx="127">
                  <c:v>277</c:v>
                </c:pt>
                <c:pt idx="128">
                  <c:v>278</c:v>
                </c:pt>
                <c:pt idx="129">
                  <c:v>279</c:v>
                </c:pt>
                <c:pt idx="130">
                  <c:v>280</c:v>
                </c:pt>
                <c:pt idx="131">
                  <c:v>281</c:v>
                </c:pt>
                <c:pt idx="132">
                  <c:v>282</c:v>
                </c:pt>
                <c:pt idx="133">
                  <c:v>283</c:v>
                </c:pt>
                <c:pt idx="134">
                  <c:v>284</c:v>
                </c:pt>
                <c:pt idx="135">
                  <c:v>285</c:v>
                </c:pt>
                <c:pt idx="136">
                  <c:v>286</c:v>
                </c:pt>
                <c:pt idx="137">
                  <c:v>287</c:v>
                </c:pt>
                <c:pt idx="138">
                  <c:v>288</c:v>
                </c:pt>
                <c:pt idx="139">
                  <c:v>289</c:v>
                </c:pt>
                <c:pt idx="140">
                  <c:v>290</c:v>
                </c:pt>
                <c:pt idx="141">
                  <c:v>291</c:v>
                </c:pt>
                <c:pt idx="142">
                  <c:v>292</c:v>
                </c:pt>
                <c:pt idx="143">
                  <c:v>293</c:v>
                </c:pt>
                <c:pt idx="144">
                  <c:v>294</c:v>
                </c:pt>
                <c:pt idx="145">
                  <c:v>295</c:v>
                </c:pt>
                <c:pt idx="146">
                  <c:v>296</c:v>
                </c:pt>
                <c:pt idx="147">
                  <c:v>297</c:v>
                </c:pt>
                <c:pt idx="148">
                  <c:v>298</c:v>
                </c:pt>
                <c:pt idx="149">
                  <c:v>299</c:v>
                </c:pt>
                <c:pt idx="150">
                  <c:v>300</c:v>
                </c:pt>
                <c:pt idx="151">
                  <c:v>301</c:v>
                </c:pt>
                <c:pt idx="152">
                  <c:v>302</c:v>
                </c:pt>
                <c:pt idx="153">
                  <c:v>303</c:v>
                </c:pt>
                <c:pt idx="154">
                  <c:v>304</c:v>
                </c:pt>
                <c:pt idx="155">
                  <c:v>305</c:v>
                </c:pt>
                <c:pt idx="156">
                  <c:v>306</c:v>
                </c:pt>
                <c:pt idx="157">
                  <c:v>307</c:v>
                </c:pt>
                <c:pt idx="158">
                  <c:v>308</c:v>
                </c:pt>
                <c:pt idx="159">
                  <c:v>309</c:v>
                </c:pt>
                <c:pt idx="160">
                  <c:v>310</c:v>
                </c:pt>
                <c:pt idx="161">
                  <c:v>311</c:v>
                </c:pt>
                <c:pt idx="162">
                  <c:v>312</c:v>
                </c:pt>
                <c:pt idx="163">
                  <c:v>313</c:v>
                </c:pt>
                <c:pt idx="164">
                  <c:v>314</c:v>
                </c:pt>
                <c:pt idx="165">
                  <c:v>315</c:v>
                </c:pt>
                <c:pt idx="166">
                  <c:v>316</c:v>
                </c:pt>
                <c:pt idx="167">
                  <c:v>317</c:v>
                </c:pt>
                <c:pt idx="168">
                  <c:v>318</c:v>
                </c:pt>
                <c:pt idx="169">
                  <c:v>319</c:v>
                </c:pt>
                <c:pt idx="170">
                  <c:v>320</c:v>
                </c:pt>
                <c:pt idx="171">
                  <c:v>321</c:v>
                </c:pt>
                <c:pt idx="172">
                  <c:v>322</c:v>
                </c:pt>
                <c:pt idx="173">
                  <c:v>323</c:v>
                </c:pt>
                <c:pt idx="174">
                  <c:v>324</c:v>
                </c:pt>
                <c:pt idx="175">
                  <c:v>325</c:v>
                </c:pt>
                <c:pt idx="176">
                  <c:v>326</c:v>
                </c:pt>
                <c:pt idx="177">
                  <c:v>327</c:v>
                </c:pt>
                <c:pt idx="178">
                  <c:v>328</c:v>
                </c:pt>
                <c:pt idx="179">
                  <c:v>329</c:v>
                </c:pt>
                <c:pt idx="180">
                  <c:v>330</c:v>
                </c:pt>
                <c:pt idx="181">
                  <c:v>331</c:v>
                </c:pt>
                <c:pt idx="182">
                  <c:v>332</c:v>
                </c:pt>
                <c:pt idx="183">
                  <c:v>333</c:v>
                </c:pt>
                <c:pt idx="184">
                  <c:v>334</c:v>
                </c:pt>
                <c:pt idx="185">
                  <c:v>335</c:v>
                </c:pt>
                <c:pt idx="186">
                  <c:v>336</c:v>
                </c:pt>
                <c:pt idx="187">
                  <c:v>337</c:v>
                </c:pt>
                <c:pt idx="188">
                  <c:v>338</c:v>
                </c:pt>
                <c:pt idx="189">
                  <c:v>339</c:v>
                </c:pt>
                <c:pt idx="190">
                  <c:v>340</c:v>
                </c:pt>
                <c:pt idx="191">
                  <c:v>341</c:v>
                </c:pt>
                <c:pt idx="192">
                  <c:v>342</c:v>
                </c:pt>
                <c:pt idx="193">
                  <c:v>343</c:v>
                </c:pt>
                <c:pt idx="194">
                  <c:v>344</c:v>
                </c:pt>
                <c:pt idx="195">
                  <c:v>345</c:v>
                </c:pt>
                <c:pt idx="196">
                  <c:v>346</c:v>
                </c:pt>
                <c:pt idx="197">
                  <c:v>347</c:v>
                </c:pt>
                <c:pt idx="198">
                  <c:v>348</c:v>
                </c:pt>
                <c:pt idx="199">
                  <c:v>348</c:v>
                </c:pt>
                <c:pt idx="200">
                  <c:v>347</c:v>
                </c:pt>
                <c:pt idx="201">
                  <c:v>346</c:v>
                </c:pt>
                <c:pt idx="202">
                  <c:v>345</c:v>
                </c:pt>
                <c:pt idx="203">
                  <c:v>344</c:v>
                </c:pt>
                <c:pt idx="204">
                  <c:v>343</c:v>
                </c:pt>
                <c:pt idx="205">
                  <c:v>342</c:v>
                </c:pt>
                <c:pt idx="206">
                  <c:v>341</c:v>
                </c:pt>
                <c:pt idx="207">
                  <c:v>340</c:v>
                </c:pt>
                <c:pt idx="208">
                  <c:v>339</c:v>
                </c:pt>
                <c:pt idx="209">
                  <c:v>338</c:v>
                </c:pt>
                <c:pt idx="210">
                  <c:v>337</c:v>
                </c:pt>
                <c:pt idx="211">
                  <c:v>336</c:v>
                </c:pt>
                <c:pt idx="212">
                  <c:v>335</c:v>
                </c:pt>
                <c:pt idx="213">
                  <c:v>334</c:v>
                </c:pt>
                <c:pt idx="214">
                  <c:v>333</c:v>
                </c:pt>
                <c:pt idx="215">
                  <c:v>332</c:v>
                </c:pt>
                <c:pt idx="216">
                  <c:v>331</c:v>
                </c:pt>
                <c:pt idx="217">
                  <c:v>330</c:v>
                </c:pt>
                <c:pt idx="218">
                  <c:v>329</c:v>
                </c:pt>
                <c:pt idx="219">
                  <c:v>328</c:v>
                </c:pt>
                <c:pt idx="220">
                  <c:v>327</c:v>
                </c:pt>
                <c:pt idx="221">
                  <c:v>326</c:v>
                </c:pt>
                <c:pt idx="222">
                  <c:v>325</c:v>
                </c:pt>
                <c:pt idx="223">
                  <c:v>324</c:v>
                </c:pt>
                <c:pt idx="224">
                  <c:v>323</c:v>
                </c:pt>
                <c:pt idx="225">
                  <c:v>322</c:v>
                </c:pt>
                <c:pt idx="226">
                  <c:v>321</c:v>
                </c:pt>
                <c:pt idx="227">
                  <c:v>320</c:v>
                </c:pt>
                <c:pt idx="228">
                  <c:v>319</c:v>
                </c:pt>
                <c:pt idx="229">
                  <c:v>318</c:v>
                </c:pt>
                <c:pt idx="230">
                  <c:v>317</c:v>
                </c:pt>
                <c:pt idx="231">
                  <c:v>316</c:v>
                </c:pt>
                <c:pt idx="232">
                  <c:v>315</c:v>
                </c:pt>
                <c:pt idx="233">
                  <c:v>314</c:v>
                </c:pt>
                <c:pt idx="234">
                  <c:v>313</c:v>
                </c:pt>
                <c:pt idx="235">
                  <c:v>312</c:v>
                </c:pt>
                <c:pt idx="236">
                  <c:v>311</c:v>
                </c:pt>
                <c:pt idx="237">
                  <c:v>310</c:v>
                </c:pt>
                <c:pt idx="238">
                  <c:v>309</c:v>
                </c:pt>
                <c:pt idx="239">
                  <c:v>308</c:v>
                </c:pt>
                <c:pt idx="240">
                  <c:v>307</c:v>
                </c:pt>
                <c:pt idx="241">
                  <c:v>306</c:v>
                </c:pt>
                <c:pt idx="242">
                  <c:v>305</c:v>
                </c:pt>
                <c:pt idx="243">
                  <c:v>304</c:v>
                </c:pt>
                <c:pt idx="244">
                  <c:v>303</c:v>
                </c:pt>
                <c:pt idx="245">
                  <c:v>302</c:v>
                </c:pt>
                <c:pt idx="246">
                  <c:v>301</c:v>
                </c:pt>
                <c:pt idx="247">
                  <c:v>300</c:v>
                </c:pt>
                <c:pt idx="248">
                  <c:v>299</c:v>
                </c:pt>
                <c:pt idx="249">
                  <c:v>298</c:v>
                </c:pt>
                <c:pt idx="250">
                  <c:v>297</c:v>
                </c:pt>
                <c:pt idx="251">
                  <c:v>296</c:v>
                </c:pt>
                <c:pt idx="252">
                  <c:v>295</c:v>
                </c:pt>
                <c:pt idx="253">
                  <c:v>294</c:v>
                </c:pt>
                <c:pt idx="254">
                  <c:v>293</c:v>
                </c:pt>
                <c:pt idx="255">
                  <c:v>292</c:v>
                </c:pt>
                <c:pt idx="256">
                  <c:v>291</c:v>
                </c:pt>
                <c:pt idx="257">
                  <c:v>290</c:v>
                </c:pt>
                <c:pt idx="258">
                  <c:v>289</c:v>
                </c:pt>
                <c:pt idx="259">
                  <c:v>288</c:v>
                </c:pt>
                <c:pt idx="260">
                  <c:v>287</c:v>
                </c:pt>
                <c:pt idx="261">
                  <c:v>286</c:v>
                </c:pt>
                <c:pt idx="262">
                  <c:v>285</c:v>
                </c:pt>
                <c:pt idx="263">
                  <c:v>284</c:v>
                </c:pt>
                <c:pt idx="264">
                  <c:v>283</c:v>
                </c:pt>
                <c:pt idx="265">
                  <c:v>282</c:v>
                </c:pt>
                <c:pt idx="266">
                  <c:v>281</c:v>
                </c:pt>
                <c:pt idx="267">
                  <c:v>280</c:v>
                </c:pt>
                <c:pt idx="268">
                  <c:v>279</c:v>
                </c:pt>
                <c:pt idx="269">
                  <c:v>278</c:v>
                </c:pt>
                <c:pt idx="270">
                  <c:v>277</c:v>
                </c:pt>
                <c:pt idx="271">
                  <c:v>276</c:v>
                </c:pt>
                <c:pt idx="272">
                  <c:v>275</c:v>
                </c:pt>
                <c:pt idx="273">
                  <c:v>274</c:v>
                </c:pt>
                <c:pt idx="274">
                  <c:v>273</c:v>
                </c:pt>
                <c:pt idx="275">
                  <c:v>272</c:v>
                </c:pt>
                <c:pt idx="276">
                  <c:v>271</c:v>
                </c:pt>
                <c:pt idx="277">
                  <c:v>270</c:v>
                </c:pt>
                <c:pt idx="278">
                  <c:v>269</c:v>
                </c:pt>
                <c:pt idx="279">
                  <c:v>268</c:v>
                </c:pt>
                <c:pt idx="280">
                  <c:v>267</c:v>
                </c:pt>
                <c:pt idx="281">
                  <c:v>266</c:v>
                </c:pt>
                <c:pt idx="282">
                  <c:v>265</c:v>
                </c:pt>
                <c:pt idx="283">
                  <c:v>264</c:v>
                </c:pt>
                <c:pt idx="284">
                  <c:v>263</c:v>
                </c:pt>
                <c:pt idx="285">
                  <c:v>262</c:v>
                </c:pt>
                <c:pt idx="286">
                  <c:v>261</c:v>
                </c:pt>
                <c:pt idx="287">
                  <c:v>260</c:v>
                </c:pt>
                <c:pt idx="288">
                  <c:v>259</c:v>
                </c:pt>
                <c:pt idx="289">
                  <c:v>258</c:v>
                </c:pt>
                <c:pt idx="290">
                  <c:v>257</c:v>
                </c:pt>
                <c:pt idx="291">
                  <c:v>256</c:v>
                </c:pt>
                <c:pt idx="292">
                  <c:v>255</c:v>
                </c:pt>
                <c:pt idx="293">
                  <c:v>254</c:v>
                </c:pt>
                <c:pt idx="294">
                  <c:v>253</c:v>
                </c:pt>
                <c:pt idx="295">
                  <c:v>252</c:v>
                </c:pt>
                <c:pt idx="296">
                  <c:v>251</c:v>
                </c:pt>
                <c:pt idx="297">
                  <c:v>250</c:v>
                </c:pt>
                <c:pt idx="298">
                  <c:v>249</c:v>
                </c:pt>
                <c:pt idx="299">
                  <c:v>248</c:v>
                </c:pt>
                <c:pt idx="300">
                  <c:v>247</c:v>
                </c:pt>
                <c:pt idx="301">
                  <c:v>246</c:v>
                </c:pt>
                <c:pt idx="302">
                  <c:v>245</c:v>
                </c:pt>
                <c:pt idx="303">
                  <c:v>244</c:v>
                </c:pt>
                <c:pt idx="304">
                  <c:v>243</c:v>
                </c:pt>
                <c:pt idx="305">
                  <c:v>242</c:v>
                </c:pt>
                <c:pt idx="306">
                  <c:v>241</c:v>
                </c:pt>
                <c:pt idx="307">
                  <c:v>240</c:v>
                </c:pt>
                <c:pt idx="308">
                  <c:v>239</c:v>
                </c:pt>
                <c:pt idx="309">
                  <c:v>238</c:v>
                </c:pt>
                <c:pt idx="310">
                  <c:v>237</c:v>
                </c:pt>
                <c:pt idx="311">
                  <c:v>236</c:v>
                </c:pt>
                <c:pt idx="312">
                  <c:v>235</c:v>
                </c:pt>
                <c:pt idx="313">
                  <c:v>234</c:v>
                </c:pt>
                <c:pt idx="314">
                  <c:v>233</c:v>
                </c:pt>
                <c:pt idx="315">
                  <c:v>232</c:v>
                </c:pt>
                <c:pt idx="316">
                  <c:v>231</c:v>
                </c:pt>
                <c:pt idx="317">
                  <c:v>230</c:v>
                </c:pt>
                <c:pt idx="318">
                  <c:v>229</c:v>
                </c:pt>
                <c:pt idx="319">
                  <c:v>228</c:v>
                </c:pt>
                <c:pt idx="320">
                  <c:v>227</c:v>
                </c:pt>
                <c:pt idx="321">
                  <c:v>226</c:v>
                </c:pt>
                <c:pt idx="322">
                  <c:v>225</c:v>
                </c:pt>
                <c:pt idx="323">
                  <c:v>224</c:v>
                </c:pt>
                <c:pt idx="324">
                  <c:v>223</c:v>
                </c:pt>
                <c:pt idx="325">
                  <c:v>222</c:v>
                </c:pt>
                <c:pt idx="326">
                  <c:v>221</c:v>
                </c:pt>
                <c:pt idx="327">
                  <c:v>220</c:v>
                </c:pt>
                <c:pt idx="328">
                  <c:v>219</c:v>
                </c:pt>
                <c:pt idx="329">
                  <c:v>218</c:v>
                </c:pt>
                <c:pt idx="330">
                  <c:v>217</c:v>
                </c:pt>
                <c:pt idx="331">
                  <c:v>216</c:v>
                </c:pt>
                <c:pt idx="332">
                  <c:v>215</c:v>
                </c:pt>
                <c:pt idx="333">
                  <c:v>214</c:v>
                </c:pt>
                <c:pt idx="334">
                  <c:v>213</c:v>
                </c:pt>
                <c:pt idx="335">
                  <c:v>212</c:v>
                </c:pt>
                <c:pt idx="336">
                  <c:v>211</c:v>
                </c:pt>
                <c:pt idx="337">
                  <c:v>210</c:v>
                </c:pt>
                <c:pt idx="338">
                  <c:v>209</c:v>
                </c:pt>
                <c:pt idx="339">
                  <c:v>208</c:v>
                </c:pt>
                <c:pt idx="340">
                  <c:v>207</c:v>
                </c:pt>
                <c:pt idx="341">
                  <c:v>206</c:v>
                </c:pt>
                <c:pt idx="342">
                  <c:v>205</c:v>
                </c:pt>
                <c:pt idx="343">
                  <c:v>204</c:v>
                </c:pt>
                <c:pt idx="344">
                  <c:v>203</c:v>
                </c:pt>
                <c:pt idx="345">
                  <c:v>202</c:v>
                </c:pt>
                <c:pt idx="346">
                  <c:v>201</c:v>
                </c:pt>
                <c:pt idx="347">
                  <c:v>200</c:v>
                </c:pt>
                <c:pt idx="348">
                  <c:v>199</c:v>
                </c:pt>
                <c:pt idx="349">
                  <c:v>198</c:v>
                </c:pt>
                <c:pt idx="350">
                  <c:v>197</c:v>
                </c:pt>
                <c:pt idx="351">
                  <c:v>196</c:v>
                </c:pt>
                <c:pt idx="352">
                  <c:v>195</c:v>
                </c:pt>
                <c:pt idx="353">
                  <c:v>194</c:v>
                </c:pt>
                <c:pt idx="354">
                  <c:v>193</c:v>
                </c:pt>
                <c:pt idx="355">
                  <c:v>192</c:v>
                </c:pt>
                <c:pt idx="356">
                  <c:v>191</c:v>
                </c:pt>
                <c:pt idx="357">
                  <c:v>190</c:v>
                </c:pt>
                <c:pt idx="358">
                  <c:v>189</c:v>
                </c:pt>
                <c:pt idx="359">
                  <c:v>188</c:v>
                </c:pt>
                <c:pt idx="360">
                  <c:v>187</c:v>
                </c:pt>
                <c:pt idx="361">
                  <c:v>186</c:v>
                </c:pt>
                <c:pt idx="362">
                  <c:v>185</c:v>
                </c:pt>
                <c:pt idx="363">
                  <c:v>184</c:v>
                </c:pt>
                <c:pt idx="364">
                  <c:v>183</c:v>
                </c:pt>
                <c:pt idx="365">
                  <c:v>182</c:v>
                </c:pt>
                <c:pt idx="366">
                  <c:v>181</c:v>
                </c:pt>
                <c:pt idx="367">
                  <c:v>180</c:v>
                </c:pt>
                <c:pt idx="368">
                  <c:v>179</c:v>
                </c:pt>
                <c:pt idx="369">
                  <c:v>178</c:v>
                </c:pt>
                <c:pt idx="370">
                  <c:v>177</c:v>
                </c:pt>
                <c:pt idx="371">
                  <c:v>176</c:v>
                </c:pt>
                <c:pt idx="372">
                  <c:v>175</c:v>
                </c:pt>
                <c:pt idx="373">
                  <c:v>174</c:v>
                </c:pt>
                <c:pt idx="374">
                  <c:v>173</c:v>
                </c:pt>
                <c:pt idx="375">
                  <c:v>172</c:v>
                </c:pt>
                <c:pt idx="376">
                  <c:v>171</c:v>
                </c:pt>
                <c:pt idx="377">
                  <c:v>170</c:v>
                </c:pt>
                <c:pt idx="378">
                  <c:v>169</c:v>
                </c:pt>
                <c:pt idx="379">
                  <c:v>168</c:v>
                </c:pt>
                <c:pt idx="380">
                  <c:v>167</c:v>
                </c:pt>
                <c:pt idx="381">
                  <c:v>166</c:v>
                </c:pt>
                <c:pt idx="382">
                  <c:v>165</c:v>
                </c:pt>
                <c:pt idx="383">
                  <c:v>164</c:v>
                </c:pt>
                <c:pt idx="384">
                  <c:v>163</c:v>
                </c:pt>
                <c:pt idx="385">
                  <c:v>162</c:v>
                </c:pt>
                <c:pt idx="386">
                  <c:v>161</c:v>
                </c:pt>
                <c:pt idx="387">
                  <c:v>160</c:v>
                </c:pt>
                <c:pt idx="388">
                  <c:v>159</c:v>
                </c:pt>
                <c:pt idx="389">
                  <c:v>158</c:v>
                </c:pt>
                <c:pt idx="390">
                  <c:v>157</c:v>
                </c:pt>
                <c:pt idx="391">
                  <c:v>156</c:v>
                </c:pt>
                <c:pt idx="392">
                  <c:v>155</c:v>
                </c:pt>
                <c:pt idx="393">
                  <c:v>154</c:v>
                </c:pt>
                <c:pt idx="394">
                  <c:v>153</c:v>
                </c:pt>
                <c:pt idx="395">
                  <c:v>152</c:v>
                </c:pt>
                <c:pt idx="396">
                  <c:v>151</c:v>
                </c:pt>
                <c:pt idx="397">
                  <c:v>150</c:v>
                </c:pt>
              </c:numCache>
            </c:numRef>
          </c:xVal>
          <c:yVal>
            <c:numRef>
              <c:f>PVT_Mod!$U$2:$U$540</c:f>
              <c:numCache>
                <c:formatCode>General</c:formatCode>
                <c:ptCount val="539"/>
                <c:pt idx="0">
                  <c:v>0.33576660156249999</c:v>
                </c:pt>
                <c:pt idx="1">
                  <c:v>0.34986617565155026</c:v>
                </c:pt>
                <c:pt idx="2">
                  <c:v>0.36421615551225839</c:v>
                </c:pt>
                <c:pt idx="3">
                  <c:v>0.37915470876569085</c:v>
                </c:pt>
                <c:pt idx="4">
                  <c:v>0.39433570784712968</c:v>
                </c:pt>
                <c:pt idx="5">
                  <c:v>0.40973944643490823</c:v>
                </c:pt>
                <c:pt idx="6">
                  <c:v>0.42574489356127188</c:v>
                </c:pt>
                <c:pt idx="7">
                  <c:v>0.44195978696839056</c:v>
                </c:pt>
                <c:pt idx="8">
                  <c:v>0.45879223979238193</c:v>
                </c:pt>
                <c:pt idx="9">
                  <c:v>0.47581773306592734</c:v>
                </c:pt>
                <c:pt idx="10">
                  <c:v>0.49301036599897363</c:v>
                </c:pt>
                <c:pt idx="11">
                  <c:v>0.51130567254971671</c:v>
                </c:pt>
                <c:pt idx="12">
                  <c:v>0.52928126260029273</c:v>
                </c:pt>
                <c:pt idx="13">
                  <c:v>0.54788880698858433</c:v>
                </c:pt>
                <c:pt idx="14">
                  <c:v>0.56715052285927681</c:v>
                </c:pt>
                <c:pt idx="15">
                  <c:v>0.58598169256358879</c:v>
                </c:pt>
                <c:pt idx="16">
                  <c:v>0.60601036369613337</c:v>
                </c:pt>
                <c:pt idx="17">
                  <c:v>0.62613180155323156</c:v>
                </c:pt>
                <c:pt idx="18">
                  <c:v>0.64692133402667862</c:v>
                </c:pt>
                <c:pt idx="19">
                  <c:v>0.66776938483027282</c:v>
                </c:pt>
                <c:pt idx="20">
                  <c:v>0.68928929664609218</c:v>
                </c:pt>
                <c:pt idx="21">
                  <c:v>0.71082958716628253</c:v>
                </c:pt>
                <c:pt idx="22">
                  <c:v>0.7330430117652289</c:v>
                </c:pt>
                <c:pt idx="23">
                  <c:v>0.75523474356671527</c:v>
                </c:pt>
                <c:pt idx="24">
                  <c:v>0.77809829537391084</c:v>
                </c:pt>
                <c:pt idx="25">
                  <c:v>0.80165400548776944</c:v>
                </c:pt>
                <c:pt idx="26">
                  <c:v>0.82513996267979395</c:v>
                </c:pt>
                <c:pt idx="27">
                  <c:v>0.84931398502392863</c:v>
                </c:pt>
                <c:pt idx="28">
                  <c:v>0.87336682249042663</c:v>
                </c:pt>
                <c:pt idx="29">
                  <c:v>0.89895374111807591</c:v>
                </c:pt>
                <c:pt idx="30">
                  <c:v>0.92353450747677335</c:v>
                </c:pt>
                <c:pt idx="31">
                  <c:v>0.94878740416559137</c:v>
                </c:pt>
                <c:pt idx="32">
                  <c:v>0.97473080974824422</c:v>
                </c:pt>
                <c:pt idx="33">
                  <c:v>1.0013836053272978</c:v>
                </c:pt>
                <c:pt idx="34">
                  <c:v>1.0277872746083889</c:v>
                </c:pt>
                <c:pt idx="35">
                  <c:v>1.0548871343881023</c:v>
                </c:pt>
                <c:pt idx="36">
                  <c:v>1.082701541251851</c:v>
                </c:pt>
                <c:pt idx="37">
                  <c:v>1.1101920100726987</c:v>
                </c:pt>
                <c:pt idx="38">
                  <c:v>1.1383804790784509</c:v>
                </c:pt>
                <c:pt idx="39">
                  <c:v>1.1672846709300519</c:v>
                </c:pt>
                <c:pt idx="40">
                  <c:v>1.1957828318414301</c:v>
                </c:pt>
                <c:pt idx="41">
                  <c:v>1.2249767486344338</c:v>
                </c:pt>
                <c:pt idx="42">
                  <c:v>1.2536871411805532</c:v>
                </c:pt>
                <c:pt idx="43">
                  <c:v>1.2842947374007816</c:v>
                </c:pt>
                <c:pt idx="44">
                  <c:v>1.3143953953086123</c:v>
                </c:pt>
                <c:pt idx="45">
                  <c:v>1.3452015373861577</c:v>
                </c:pt>
                <c:pt idx="46">
                  <c:v>1.375416025042292</c:v>
                </c:pt>
                <c:pt idx="47">
                  <c:v>1.4076523381292207</c:v>
                </c:pt>
                <c:pt idx="48">
                  <c:v>1.4378948688312159</c:v>
                </c:pt>
                <c:pt idx="49">
                  <c:v>1.4701913356116045</c:v>
                </c:pt>
                <c:pt idx="50">
                  <c:v>1.5032132113138181</c:v>
                </c:pt>
                <c:pt idx="51">
                  <c:v>1.5355088076506385</c:v>
                </c:pt>
                <c:pt idx="52">
                  <c:v>1.5684982546900077</c:v>
                </c:pt>
                <c:pt idx="53">
                  <c:v>1.6021964593806133</c:v>
                </c:pt>
                <c:pt idx="54">
                  <c:v>1.6350540039577548</c:v>
                </c:pt>
                <c:pt idx="55">
                  <c:v>1.6685853848982946</c:v>
                </c:pt>
                <c:pt idx="56">
                  <c:v>1.702804421112029</c:v>
                </c:pt>
                <c:pt idx="57">
                  <c:v>1.7360623199618732</c:v>
                </c:pt>
                <c:pt idx="58">
                  <c:v>1.7716651605079663</c:v>
                </c:pt>
                <c:pt idx="59">
                  <c:v>1.8062679956741374</c:v>
                </c:pt>
                <c:pt idx="60">
                  <c:v>1.8415466674646477</c:v>
                </c:pt>
                <c:pt idx="61">
                  <c:v>1.8775143758135666</c:v>
                </c:pt>
                <c:pt idx="62">
                  <c:v>1.9141845784661755</c:v>
                </c:pt>
                <c:pt idx="63">
                  <c:v>1.9497016751369345</c:v>
                </c:pt>
                <c:pt idx="64">
                  <c:v>1.9858777804373267</c:v>
                </c:pt>
                <c:pt idx="65">
                  <c:v>2.022725122066535</c:v>
                </c:pt>
                <c:pt idx="66">
                  <c:v>2.0582808371028607</c:v>
                </c:pt>
                <c:pt idx="67">
                  <c:v>2.0964715948225425</c:v>
                </c:pt>
                <c:pt idx="68">
                  <c:v>2.1333236345752828</c:v>
                </c:pt>
                <c:pt idx="69">
                  <c:v>2.1708234640893016</c:v>
                </c:pt>
                <c:pt idx="70">
                  <c:v>2.2089824702939964</c:v>
                </c:pt>
                <c:pt idx="71">
                  <c:v>2.2478122402796332</c:v>
                </c:pt>
                <c:pt idx="72">
                  <c:v>2.2873245648157985</c:v>
                </c:pt>
                <c:pt idx="73">
                  <c:v>2.3252977265363732</c:v>
                </c:pt>
                <c:pt idx="74">
                  <c:v>2.3639013020745745</c:v>
                </c:pt>
                <c:pt idx="75">
                  <c:v>2.403145757284797</c:v>
                </c:pt>
                <c:pt idx="76">
                  <c:v>2.4406949097423718</c:v>
                </c:pt>
                <c:pt idx="77">
                  <c:v>2.4812142588298918</c:v>
                </c:pt>
                <c:pt idx="78">
                  <c:v>2.5199832316241091</c:v>
                </c:pt>
                <c:pt idx="79">
                  <c:v>2.5618188907428685</c:v>
                </c:pt>
                <c:pt idx="80">
                  <c:v>2.6018473109107259</c:v>
                </c:pt>
                <c:pt idx="81">
                  <c:v>2.642501175143706</c:v>
                </c:pt>
                <c:pt idx="82">
                  <c:v>2.6837902560053264</c:v>
                </c:pt>
                <c:pt idx="83">
                  <c:v>2.7231035898335296</c:v>
                </c:pt>
                <c:pt idx="84">
                  <c:v>2.7656520834246785</c:v>
                </c:pt>
                <c:pt idx="85">
                  <c:v>2.8061645651154694</c:v>
                </c:pt>
                <c:pt idx="86">
                  <c:v>2.8472704913622784</c:v>
                </c:pt>
                <c:pt idx="87">
                  <c:v>2.8889785552005929</c:v>
                </c:pt>
                <c:pt idx="88">
                  <c:v>2.9284763088849761</c:v>
                </c:pt>
                <c:pt idx="89">
                  <c:v>2.9713739110659083</c:v>
                </c:pt>
                <c:pt idx="90">
                  <c:v>3.0148998960912881</c:v>
                </c:pt>
                <c:pt idx="91">
                  <c:v>3.0561192306081608</c:v>
                </c:pt>
                <c:pt idx="92">
                  <c:v>3.0979021107141316</c:v>
                </c:pt>
                <c:pt idx="93">
                  <c:v>3.1402562411340513</c:v>
                </c:pt>
                <c:pt idx="94">
                  <c:v>3.1831894319308063</c:v>
                </c:pt>
                <c:pt idx="95">
                  <c:v>3.2267095999454849</c:v>
                </c:pt>
                <c:pt idx="96">
                  <c:v>3.2708247702572395</c:v>
                </c:pt>
                <c:pt idx="97">
                  <c:v>3.3155430776630999</c:v>
                </c:pt>
                <c:pt idx="98">
                  <c:v>3.3543970981044646</c:v>
                </c:pt>
                <c:pt idx="99">
                  <c:v>3.4002579959301116</c:v>
                </c:pt>
                <c:pt idx="100">
                  <c:v>3.4434253337690683</c:v>
                </c:pt>
                <c:pt idx="101">
                  <c:v>3.4871406944516834</c:v>
                </c:pt>
                <c:pt idx="102">
                  <c:v>3.531411035299215</c:v>
                </c:pt>
                <c:pt idx="103">
                  <c:v>3.5727947583691275</c:v>
                </c:pt>
                <c:pt idx="104">
                  <c:v>3.6216415617062054</c:v>
                </c:pt>
                <c:pt idx="105">
                  <c:v>3.6640826737574503</c:v>
                </c:pt>
                <c:pt idx="106">
                  <c:v>3.7070211425905453</c:v>
                </c:pt>
                <c:pt idx="107">
                  <c:v>3.7504627966052784</c:v>
                </c:pt>
                <c:pt idx="108">
                  <c:v>3.7944135325029968</c:v>
                </c:pt>
                <c:pt idx="109">
                  <c:v>3.8388793160870165</c:v>
                </c:pt>
                <c:pt idx="110">
                  <c:v>3.8838661830724108</c:v>
                </c:pt>
                <c:pt idx="111">
                  <c:v>3.9293802399052904</c:v>
                </c:pt>
                <c:pt idx="112">
                  <c:v>3.9754276645916806</c:v>
                </c:pt>
                <c:pt idx="113">
                  <c:v>4.0220147075361146</c:v>
                </c:pt>
                <c:pt idx="114">
                  <c:v>4.0652199436522256</c:v>
                </c:pt>
                <c:pt idx="115">
                  <c:v>4.1128592398668999</c:v>
                </c:pt>
                <c:pt idx="116">
                  <c:v>4.153023880881225</c:v>
                </c:pt>
                <c:pt idx="117">
                  <c:v>4.201692129485302</c:v>
                </c:pt>
                <c:pt idx="118">
                  <c:v>4.242724279187307</c:v>
                </c:pt>
                <c:pt idx="119">
                  <c:v>4.2924437043340333</c:v>
                </c:pt>
                <c:pt idx="120">
                  <c:v>4.3343620998841708</c:v>
                </c:pt>
                <c:pt idx="121">
                  <c:v>4.3809226302540196</c:v>
                </c:pt>
                <c:pt idx="122">
                  <c:v>4.4237050778150939</c:v>
                </c:pt>
                <c:pt idx="123">
                  <c:v>4.4755453716957394</c:v>
                </c:pt>
                <c:pt idx="124">
                  <c:v>4.5192518694662054</c:v>
                </c:pt>
                <c:pt idx="125">
                  <c:v>4.563385188503962</c:v>
                </c:pt>
                <c:pt idx="126">
                  <c:v>4.6079494969854462</c:v>
                </c:pt>
                <c:pt idx="127">
                  <c:v>4.6529490037919441</c:v>
                </c:pt>
                <c:pt idx="128">
                  <c:v>4.6983879589070998</c:v>
                </c:pt>
                <c:pt idx="129">
                  <c:v>4.7442706538183028</c:v>
                </c:pt>
                <c:pt idx="130">
                  <c:v>4.7906014219219974</c:v>
                </c:pt>
                <c:pt idx="131">
                  <c:v>4.8373846389329538</c:v>
                </c:pt>
                <c:pt idx="132">
                  <c:v>4.8846247232975344</c:v>
                </c:pt>
                <c:pt idx="133">
                  <c:v>4.9227858539482963</c:v>
                </c:pt>
                <c:pt idx="134">
                  <c:v>4.9708599345532605</c:v>
                </c:pt>
                <c:pt idx="135">
                  <c:v>5.0194034886016325</c:v>
                </c:pt>
                <c:pt idx="136">
                  <c:v>5.0586175783563325</c:v>
                </c:pt>
                <c:pt idx="137">
                  <c:v>5.108018140644969</c:v>
                </c:pt>
                <c:pt idx="138">
                  <c:v>5.1479245323687577</c:v>
                </c:pt>
                <c:pt idx="139">
                  <c:v>5.1981972328801724</c:v>
                </c:pt>
                <c:pt idx="140">
                  <c:v>5.2388081487620486</c:v>
                </c:pt>
                <c:pt idx="141">
                  <c:v>5.2899683845898027</c:v>
                </c:pt>
                <c:pt idx="142">
                  <c:v>5.3312962625944103</c:v>
                </c:pt>
                <c:pt idx="143">
                  <c:v>5.3729470146459288</c:v>
                </c:pt>
                <c:pt idx="144">
                  <c:v>5.4149231631978498</c:v>
                </c:pt>
                <c:pt idx="145">
                  <c:v>5.4678032722134535</c:v>
                </c:pt>
                <c:pt idx="146">
                  <c:v>5.5105204852776213</c:v>
                </c:pt>
                <c:pt idx="147">
                  <c:v>5.5535714265688529</c:v>
                </c:pt>
                <c:pt idx="148">
                  <c:v>5.5969587033389221</c:v>
                </c:pt>
                <c:pt idx="149">
                  <c:v>5.6406849432087576</c:v>
                </c:pt>
                <c:pt idx="150">
                  <c:v>5.6847527943275757</c:v>
                </c:pt>
                <c:pt idx="151">
                  <c:v>5.7291649255332597</c:v>
                </c:pt>
                <c:pt idx="152">
                  <c:v>5.7739240265139884</c:v>
                </c:pt>
                <c:pt idx="153">
                  <c:v>5.8077556126068437</c:v>
                </c:pt>
                <c:pt idx="154">
                  <c:v>5.8531287033303343</c:v>
                </c:pt>
                <c:pt idx="155">
                  <c:v>5.8988562713251023</c:v>
                </c:pt>
                <c:pt idx="156">
                  <c:v>5.94494108594483</c:v>
                </c:pt>
                <c:pt idx="157">
                  <c:v>5.9797747251202882</c:v>
                </c:pt>
                <c:pt idx="158">
                  <c:v>6.0264917151602901</c:v>
                </c:pt>
                <c:pt idx="159">
                  <c:v>6.0618031900538076</c:v>
                </c:pt>
                <c:pt idx="160">
                  <c:v>6.1091610274761035</c:v>
                </c:pt>
                <c:pt idx="161">
                  <c:v>6.1449568928714715</c:v>
                </c:pt>
                <c:pt idx="162">
                  <c:v>6.1809624996656405</c:v>
                </c:pt>
                <c:pt idx="163">
                  <c:v>6.229251269194279</c:v>
                </c:pt>
                <c:pt idx="164">
                  <c:v>6.2535842819645691</c:v>
                </c:pt>
                <c:pt idx="165">
                  <c:v>6.3024404091674171</c:v>
                </c:pt>
                <c:pt idx="166">
                  <c:v>6.3393687709398829</c:v>
                </c:pt>
                <c:pt idx="167">
                  <c:v>6.3765135098321091</c:v>
                </c:pt>
                <c:pt idx="168">
                  <c:v>6.4138758936787816</c:v>
                </c:pt>
                <c:pt idx="169">
                  <c:v>6.4389300963884644</c:v>
                </c:pt>
                <c:pt idx="170">
                  <c:v>6.4892342377664995</c:v>
                </c:pt>
                <c:pt idx="171">
                  <c:v>6.5145828090077753</c:v>
                </c:pt>
                <c:pt idx="172">
                  <c:v>6.565477987203149</c:v>
                </c:pt>
                <c:pt idx="173">
                  <c:v>6.5911243855906614</c:v>
                </c:pt>
                <c:pt idx="174">
                  <c:v>6.6168709652218745</c:v>
                </c:pt>
                <c:pt idx="175">
                  <c:v>6.6427181174297729</c:v>
                </c:pt>
                <c:pt idx="176">
                  <c:v>6.6946143527221933</c:v>
                </c:pt>
                <c:pt idx="177">
                  <c:v>6.7207651900375147</c:v>
                </c:pt>
                <c:pt idx="178">
                  <c:v>6.747018179061099</c:v>
                </c:pt>
                <c:pt idx="179">
                  <c:v>6.7733737188230565</c:v>
                </c:pt>
                <c:pt idx="180">
                  <c:v>6.7998322099122088</c:v>
                </c:pt>
                <c:pt idx="181">
                  <c:v>6.8263940544821784</c:v>
                </c:pt>
                <c:pt idx="182">
                  <c:v>6.8530596562574999</c:v>
                </c:pt>
                <c:pt idx="183">
                  <c:v>6.8530596562574999</c:v>
                </c:pt>
                <c:pt idx="184">
                  <c:v>6.9065991848220118</c:v>
                </c:pt>
                <c:pt idx="185">
                  <c:v>6.9065991848220118</c:v>
                </c:pt>
                <c:pt idx="186">
                  <c:v>6.9065991848220118</c:v>
                </c:pt>
                <c:pt idx="187">
                  <c:v>6.9605569909534335</c:v>
                </c:pt>
                <c:pt idx="188">
                  <c:v>6.9605569909534335</c:v>
                </c:pt>
                <c:pt idx="189">
                  <c:v>6.9605569909534335</c:v>
                </c:pt>
                <c:pt idx="190">
                  <c:v>6.9605569909534335</c:v>
                </c:pt>
                <c:pt idx="191">
                  <c:v>6.9605569909534335</c:v>
                </c:pt>
                <c:pt idx="192">
                  <c:v>6.9605569909534335</c:v>
                </c:pt>
                <c:pt idx="193">
                  <c:v>6.9605569909534335</c:v>
                </c:pt>
                <c:pt idx="194">
                  <c:v>6.9605569909534335</c:v>
                </c:pt>
                <c:pt idx="195">
                  <c:v>6.9605569909534335</c:v>
                </c:pt>
                <c:pt idx="196">
                  <c:v>6.9605569909534335</c:v>
                </c:pt>
                <c:pt idx="197">
                  <c:v>6.9605569909534335</c:v>
                </c:pt>
                <c:pt idx="198">
                  <c:v>6.9605569909534335</c:v>
                </c:pt>
                <c:pt idx="199">
                  <c:v>4.2959687678540721</c:v>
                </c:pt>
                <c:pt idx="200">
                  <c:v>4.1617197438586322</c:v>
                </c:pt>
                <c:pt idx="201">
                  <c:v>4.0316660018630497</c:v>
                </c:pt>
                <c:pt idx="202">
                  <c:v>3.9214251346246072</c:v>
                </c:pt>
                <c:pt idx="203">
                  <c:v>3.798880599167588</c:v>
                </c:pt>
                <c:pt idx="204">
                  <c:v>3.6950049577840991</c:v>
                </c:pt>
                <c:pt idx="205">
                  <c:v>3.59396966596969</c:v>
                </c:pt>
                <c:pt idx="206">
                  <c:v>3.4886775859119847</c:v>
                </c:pt>
                <c:pt idx="207">
                  <c:v>3.3932840581722035</c:v>
                </c:pt>
                <c:pt idx="208">
                  <c:v>3.3004989472065578</c:v>
                </c:pt>
                <c:pt idx="209">
                  <c:v>3.2102509291188781</c:v>
                </c:pt>
                <c:pt idx="210">
                  <c:v>3.1224706302757839</c:v>
                </c:pt>
                <c:pt idx="211">
                  <c:v>3.0370905739791807</c:v>
                </c:pt>
                <c:pt idx="212">
                  <c:v>2.9540451285969374</c:v>
                </c:pt>
                <c:pt idx="213">
                  <c:v>2.873270457111865</c:v>
                </c:pt>
                <c:pt idx="214">
                  <c:v>2.7947044680502122</c:v>
                </c:pt>
                <c:pt idx="215">
                  <c:v>2.7182867677519642</c:v>
                </c:pt>
                <c:pt idx="216">
                  <c:v>2.6439586139462463</c:v>
                </c:pt>
                <c:pt idx="217">
                  <c:v>2.5768268522640172</c:v>
                </c:pt>
                <c:pt idx="218">
                  <c:v>2.506366743022423</c:v>
                </c:pt>
                <c:pt idx="219">
                  <c:v>2.4378332773929037</c:v>
                </c:pt>
                <c:pt idx="220">
                  <c:v>2.3759351668340991</c:v>
                </c:pt>
                <c:pt idx="221">
                  <c:v>2.3109681896159788</c:v>
                </c:pt>
                <c:pt idx="222">
                  <c:v>2.2477776531811671</c:v>
                </c:pt>
                <c:pt idx="223">
                  <c:v>2.1863149829769943</c:v>
                </c:pt>
                <c:pt idx="224">
                  <c:v>2.1308030791123445</c:v>
                </c:pt>
                <c:pt idx="225">
                  <c:v>2.0725389324178662</c:v>
                </c:pt>
                <c:pt idx="226">
                  <c:v>2.015867945984565</c:v>
                </c:pt>
                <c:pt idx="227">
                  <c:v>1.9607465568365494</c:v>
                </c:pt>
                <c:pt idx="228">
                  <c:v>1.9071323931730499</c:v>
                </c:pt>
                <c:pt idx="229">
                  <c:v>1.8549842417972244</c:v>
                </c:pt>
                <c:pt idx="230">
                  <c:v>1.8060735244842117</c:v>
                </c:pt>
                <c:pt idx="231">
                  <c:v>1.7566887015490966</c:v>
                </c:pt>
                <c:pt idx="232">
                  <c:v>1.7086542448661135</c:v>
                </c:pt>
                <c:pt idx="233">
                  <c:v>1.6619332303580556</c:v>
                </c:pt>
                <c:pt idx="234">
                  <c:v>1.6164897435904524</c:v>
                </c:pt>
                <c:pt idx="235">
                  <c:v>1.570710248898926</c:v>
                </c:pt>
                <c:pt idx="236">
                  <c:v>1.527761140530596</c:v>
                </c:pt>
                <c:pt idx="237">
                  <c:v>1.484494467605413</c:v>
                </c:pt>
                <c:pt idx="238">
                  <c:v>1.4439028220068275</c:v>
                </c:pt>
                <c:pt idx="239">
                  <c:v>1.4030110428679623</c:v>
                </c:pt>
                <c:pt idx="240">
                  <c:v>1.3632773316929909</c:v>
                </c:pt>
                <c:pt idx="241">
                  <c:v>1.3246688916352793</c:v>
                </c:pt>
                <c:pt idx="242">
                  <c:v>1.2871538546651395</c:v>
                </c:pt>
                <c:pt idx="243">
                  <c:v>1.2494442690792469</c:v>
                </c:pt>
                <c:pt idx="244">
                  <c:v>1.2140596169275886</c:v>
                </c:pt>
                <c:pt idx="245">
                  <c:v>1.1784914640879129</c:v>
                </c:pt>
                <c:pt idx="246">
                  <c:v>1.1451162175463607</c:v>
                </c:pt>
                <c:pt idx="247">
                  <c:v>1.1115678908604323</c:v>
                </c:pt>
                <c:pt idx="248">
                  <c:v>1.0790024253078805</c:v>
                </c:pt>
                <c:pt idx="249">
                  <c:v>1.0473910261289388</c:v>
                </c:pt>
                <c:pt idx="250">
                  <c:v>1.0167057421603176</c:v>
                </c:pt>
                <c:pt idx="251">
                  <c:v>0.98691944112046448</c:v>
                </c:pt>
                <c:pt idx="252">
                  <c:v>0.9570419971021692</c:v>
                </c:pt>
                <c:pt idx="253">
                  <c:v>0.92806904601802143</c:v>
                </c:pt>
                <c:pt idx="254">
                  <c:v>0.89997320575771034</c:v>
                </c:pt>
                <c:pt idx="255">
                  <c:v>0.8727279231615297</c:v>
                </c:pt>
                <c:pt idx="256">
                  <c:v>0.84630744892519427</c:v>
                </c:pt>
                <c:pt idx="257">
                  <c:v>0.81986034114628192</c:v>
                </c:pt>
                <c:pt idx="258">
                  <c:v>0.79423970548546063</c:v>
                </c:pt>
                <c:pt idx="259">
                  <c:v>0.77019533940142815</c:v>
                </c:pt>
                <c:pt idx="260">
                  <c:v>0.74612673504513349</c:v>
                </c:pt>
                <c:pt idx="261">
                  <c:v>0.72281027457497304</c:v>
                </c:pt>
                <c:pt idx="262">
                  <c:v>0.69951658408574058</c:v>
                </c:pt>
                <c:pt idx="263">
                  <c:v>0.67765669083306124</c:v>
                </c:pt>
                <c:pt idx="264">
                  <c:v>0.65581814513238645</c:v>
                </c:pt>
                <c:pt idx="265">
                  <c:v>0.63468338068964347</c:v>
                </c:pt>
                <c:pt idx="266">
                  <c:v>0.61360990906518265</c:v>
                </c:pt>
                <c:pt idx="267">
                  <c:v>0.59383537098007433</c:v>
                </c:pt>
                <c:pt idx="268">
                  <c:v>0.5741181809280016</c:v>
                </c:pt>
                <c:pt idx="269">
                  <c:v>0.55505566320187649</c:v>
                </c:pt>
                <c:pt idx="270">
                  <c:v>0.53662608063462658</c:v>
                </c:pt>
                <c:pt idx="271">
                  <c:v>0.51880841780105502</c:v>
                </c:pt>
                <c:pt idx="272">
                  <c:v>0.50107570820824554</c:v>
                </c:pt>
                <c:pt idx="273">
                  <c:v>0.48443842883414368</c:v>
                </c:pt>
                <c:pt idx="274">
                  <c:v>0.46740739032044332</c:v>
                </c:pt>
                <c:pt idx="275">
                  <c:v>0.4514315517841001</c:v>
                </c:pt>
                <c:pt idx="276">
                  <c:v>0.43556091129169033</c:v>
                </c:pt>
                <c:pt idx="277">
                  <c:v>0.42067357545652517</c:v>
                </c:pt>
                <c:pt idx="278">
                  <c:v>0.40588427006938166</c:v>
                </c:pt>
                <c:pt idx="279">
                  <c:v>0.39121852984226535</c:v>
                </c:pt>
                <c:pt idx="280">
                  <c:v>0.37746475340249819</c:v>
                </c:pt>
                <c:pt idx="281">
                  <c:v>0.36382589024244694</c:v>
                </c:pt>
                <c:pt idx="282">
                  <c:v>0.35067983756767107</c:v>
                </c:pt>
                <c:pt idx="283">
                  <c:v>0.33766632797043328</c:v>
                </c:pt>
                <c:pt idx="284">
                  <c:v>0.32513574158090547</c:v>
                </c:pt>
                <c:pt idx="285">
                  <c:v>0.31307015742067651</c:v>
                </c:pt>
                <c:pt idx="286">
                  <c:v>0.30145231954764362</c:v>
                </c:pt>
                <c:pt idx="287">
                  <c:v>0.29026561237693027</c:v>
                </c:pt>
                <c:pt idx="288">
                  <c:v>0.27921057440554325</c:v>
                </c:pt>
                <c:pt idx="289">
                  <c:v>0.2685765779193946</c:v>
                </c:pt>
                <c:pt idx="290">
                  <c:v>0.25808530534441826</c:v>
                </c:pt>
                <c:pt idx="291">
                  <c:v>0.24800384810440193</c:v>
                </c:pt>
                <c:pt idx="292">
                  <c:v>0.2383161977878237</c:v>
                </c:pt>
                <c:pt idx="293">
                  <c:v>0.22900697131173686</c:v>
                </c:pt>
                <c:pt idx="294">
                  <c:v>0.21983774687445051</c:v>
                </c:pt>
                <c:pt idx="295">
                  <c:v>0.21103564958748522</c:v>
                </c:pt>
                <c:pt idx="296">
                  <c:v>0.20237989052237351</c:v>
                </c:pt>
                <c:pt idx="297">
                  <c:v>0.1940791528251668</c:v>
                </c:pt>
                <c:pt idx="298">
                  <c:v>0.18611887507257208</c:v>
                </c:pt>
                <c:pt idx="299">
                  <c:v>0.17848509308717364</c:v>
                </c:pt>
                <c:pt idx="300">
                  <c:v>0.17099011359230207</c:v>
                </c:pt>
                <c:pt idx="301">
                  <c:v>0.16380986468168782</c:v>
                </c:pt>
                <c:pt idx="302">
                  <c:v>0.15677115955864654</c:v>
                </c:pt>
                <c:pt idx="303">
                  <c:v>0.15003489879636095</c:v>
                </c:pt>
                <c:pt idx="304">
                  <c:v>0.14358808673870482</c:v>
                </c:pt>
                <c:pt idx="305">
                  <c:v>0.13727806339569532</c:v>
                </c:pt>
                <c:pt idx="306">
                  <c:v>0.13124533600037669</c:v>
                </c:pt>
                <c:pt idx="307">
                  <c:v>0.12534954942223475</c:v>
                </c:pt>
                <c:pt idx="308">
                  <c:v>0.11971861263178279</c:v>
                </c:pt>
                <c:pt idx="309">
                  <c:v>0.11434062807996442</c:v>
                </c:pt>
                <c:pt idx="310">
                  <c:v>0.10909257190832544</c:v>
                </c:pt>
                <c:pt idx="311">
                  <c:v>0.1040853933148769</c:v>
                </c:pt>
                <c:pt idx="312">
                  <c:v>9.9206390503242037E-2</c:v>
                </c:pt>
                <c:pt idx="313">
                  <c:v>9.455609094840256E-2</c:v>
                </c:pt>
                <c:pt idx="314">
                  <c:v>9.0031434252629383E-2</c:v>
                </c:pt>
                <c:pt idx="315">
                  <c:v>8.5723289449525036E-2</c:v>
                </c:pt>
                <c:pt idx="316">
                  <c:v>8.1621296106725499E-2</c:v>
                </c:pt>
                <c:pt idx="317">
                  <c:v>7.7635881257764286E-2</c:v>
                </c:pt>
                <c:pt idx="318">
                  <c:v>7.376925045293424E-2</c:v>
                </c:pt>
                <c:pt idx="319">
                  <c:v>7.009519598701662E-2</c:v>
                </c:pt>
                <c:pt idx="320">
                  <c:v>6.6604126655632007E-2</c:v>
                </c:pt>
                <c:pt idx="321">
                  <c:v>6.3221885848900705E-2</c:v>
                </c:pt>
                <c:pt idx="322">
                  <c:v>6.0011399458136216E-2</c:v>
                </c:pt>
                <c:pt idx="323">
                  <c:v>5.6905340697119403E-2</c:v>
                </c:pt>
                <c:pt idx="324">
                  <c:v>5.3904473121294746E-2</c:v>
                </c:pt>
                <c:pt idx="325">
                  <c:v>5.1061854421538967E-2</c:v>
                </c:pt>
                <c:pt idx="326">
                  <c:v>4.8369139442278122E-2</c:v>
                </c:pt>
                <c:pt idx="327">
                  <c:v>4.5771187616765144E-2</c:v>
                </c:pt>
                <c:pt idx="328">
                  <c:v>4.3268075793973307E-2</c:v>
                </c:pt>
                <c:pt idx="329">
                  <c:v>4.0901852898990398E-2</c:v>
                </c:pt>
                <c:pt idx="330">
                  <c:v>3.8625089602855191E-2</c:v>
                </c:pt>
                <c:pt idx="331">
                  <c:v>3.6475060201133759E-2</c:v>
                </c:pt>
                <c:pt idx="332">
                  <c:v>3.4409089994428918E-2</c:v>
                </c:pt>
                <c:pt idx="333">
                  <c:v>3.2460137631463215E-2</c:v>
                </c:pt>
                <c:pt idx="334">
                  <c:v>3.0558176442119667E-2</c:v>
                </c:pt>
                <c:pt idx="335">
                  <c:v>2.8797500260395972E-2</c:v>
                </c:pt>
                <c:pt idx="336">
                  <c:v>2.7082024170665353E-2</c:v>
                </c:pt>
                <c:pt idx="337">
                  <c:v>2.5468739527686263E-2</c:v>
                </c:pt>
                <c:pt idx="338">
                  <c:v>2.3951558755040889E-2</c:v>
                </c:pt>
                <c:pt idx="339">
                  <c:v>2.2477976526947552E-2</c:v>
                </c:pt>
                <c:pt idx="340">
                  <c:v>2.1095054142965426E-2</c:v>
                </c:pt>
                <c:pt idx="341">
                  <c:v>1.9797213897841576E-2</c:v>
                </c:pt>
                <c:pt idx="342">
                  <c:v>1.8550221420877921E-2</c:v>
                </c:pt>
                <c:pt idx="343">
                  <c:v>1.7372717131466726E-2</c:v>
                </c:pt>
                <c:pt idx="344">
                  <c:v>1.625299122260266E-2</c:v>
                </c:pt>
                <c:pt idx="345">
                  <c:v>1.5205435147708349E-2</c:v>
                </c:pt>
                <c:pt idx="346">
                  <c:v>1.4210548277692275E-2</c:v>
                </c:pt>
                <c:pt idx="347">
                  <c:v>1.3266879056126772E-2</c:v>
                </c:pt>
                <c:pt idx="348">
                  <c:v>1.2372919432227604E-2</c:v>
                </c:pt>
                <c:pt idx="349">
                  <c:v>1.1527114392915171E-2</c:v>
                </c:pt>
                <c:pt idx="350">
                  <c:v>1.0739128057461985E-2</c:v>
                </c:pt>
                <c:pt idx="351">
                  <c:v>9.9945205456653044E-3</c:v>
                </c:pt>
                <c:pt idx="352">
                  <c:v>9.2917808197982132E-3</c:v>
                </c:pt>
                <c:pt idx="353">
                  <c:v>8.6384524809061496E-3</c:v>
                </c:pt>
                <c:pt idx="354">
                  <c:v>8.0141893133406656E-3</c:v>
                </c:pt>
                <c:pt idx="355">
                  <c:v>7.4350389137437817E-3</c:v>
                </c:pt>
                <c:pt idx="356">
                  <c:v>6.886850009458963E-3</c:v>
                </c:pt>
                <c:pt idx="357">
                  <c:v>6.3757166103194304E-3</c:v>
                </c:pt>
                <c:pt idx="358">
                  <c:v>5.8962926073950189E-3</c:v>
                </c:pt>
                <c:pt idx="359">
                  <c:v>5.4471609439411019E-3</c:v>
                </c:pt>
                <c:pt idx="360">
                  <c:v>5.0269209883050218E-3</c:v>
                </c:pt>
                <c:pt idx="361">
                  <c:v>4.6366473373575133E-3</c:v>
                </c:pt>
                <c:pt idx="362">
                  <c:v>4.2698812882110693E-3</c:v>
                </c:pt>
                <c:pt idx="363">
                  <c:v>3.9321270066240612E-3</c:v>
                </c:pt>
                <c:pt idx="364">
                  <c:v>3.6134096808918374E-3</c:v>
                </c:pt>
                <c:pt idx="365">
                  <c:v>3.3169971680061788E-3</c:v>
                </c:pt>
                <c:pt idx="366">
                  <c:v>3.0448997440681719E-3</c:v>
                </c:pt>
                <c:pt idx="367">
                  <c:v>2.7891757421249462E-3</c:v>
                </c:pt>
                <c:pt idx="368">
                  <c:v>2.5522047562217525E-3</c:v>
                </c:pt>
                <c:pt idx="369">
                  <c:v>2.3341208537125697E-3</c:v>
                </c:pt>
                <c:pt idx="370">
                  <c:v>2.1312529279504419E-3</c:v>
                </c:pt>
                <c:pt idx="371">
                  <c:v>1.9439357760797976E-3</c:v>
                </c:pt>
                <c:pt idx="372">
                  <c:v>1.7711836709789562E-3</c:v>
                </c:pt>
                <c:pt idx="373">
                  <c:v>1.6120538880394406E-3</c:v>
                </c:pt>
                <c:pt idx="374">
                  <c:v>1.4640723787858201E-3</c:v>
                </c:pt>
                <c:pt idx="375">
                  <c:v>1.3296751096394653E-3</c:v>
                </c:pt>
                <c:pt idx="376">
                  <c:v>1.2050180681107653E-3</c:v>
                </c:pt>
                <c:pt idx="377">
                  <c:v>1.0908708487682417E-3</c:v>
                </c:pt>
                <c:pt idx="378">
                  <c:v>9.8593844778809329E-4</c:v>
                </c:pt>
                <c:pt idx="379">
                  <c:v>8.901368115039963E-4</c:v>
                </c:pt>
                <c:pt idx="380">
                  <c:v>8.0234011427557481E-4</c:v>
                </c:pt>
                <c:pt idx="381">
                  <c:v>7.2241951695515639E-4</c:v>
                </c:pt>
                <c:pt idx="382">
                  <c:v>6.4940152866916159E-4</c:v>
                </c:pt>
                <c:pt idx="383">
                  <c:v>5.8281250473335888E-4</c:v>
                </c:pt>
                <c:pt idx="384">
                  <c:v>5.2248230404806982E-4</c:v>
                </c:pt>
                <c:pt idx="385">
                  <c:v>4.6737674854299992E-4</c:v>
                </c:pt>
                <c:pt idx="386">
                  <c:v>4.1762668448910639E-4</c:v>
                </c:pt>
                <c:pt idx="387">
                  <c:v>3.7276444299125315E-4</c:v>
                </c:pt>
                <c:pt idx="388">
                  <c:v>3.3199333203908486E-4</c:v>
                </c:pt>
                <c:pt idx="389">
                  <c:v>2.9503313687067115E-4</c:v>
                </c:pt>
                <c:pt idx="390">
                  <c:v>2.6189953263226572E-4</c:v>
                </c:pt>
                <c:pt idx="391">
                  <c:v>2.3223122620126687E-4</c:v>
                </c:pt>
                <c:pt idx="392">
                  <c:v>2.0524341768764307E-4</c:v>
                </c:pt>
                <c:pt idx="393">
                  <c:v>1.8139188770245797E-4</c:v>
                </c:pt>
                <c:pt idx="394">
                  <c:v>1.5978074483165731E-4</c:v>
                </c:pt>
                <c:pt idx="395">
                  <c:v>1.4058833114582347E-4</c:v>
                </c:pt>
                <c:pt idx="396">
                  <c:v>1.2342666962899932E-4</c:v>
                </c:pt>
                <c:pt idx="397">
                  <c:v>1.0823940363949354E-4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6B4-42BD-9368-89D3CDBC7E19}"/>
            </c:ext>
          </c:extLst>
        </c:ser>
        <c:ser>
          <c:idx val="1"/>
          <c:order val="1"/>
          <c:tx>
            <c:v>Critical point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PVT_Mod!$X$3</c:f>
              <c:numCache>
                <c:formatCode>General</c:formatCode>
                <c:ptCount val="1"/>
                <c:pt idx="0">
                  <c:v>300</c:v>
                </c:pt>
              </c:numCache>
            </c:numRef>
          </c:xVal>
          <c:yVal>
            <c:numRef>
              <c:f>PVT_Mod!$W$3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6B4-42BD-9368-89D3CDBC7E19}"/>
            </c:ext>
          </c:extLst>
        </c:ser>
        <c:ser>
          <c:idx val="2"/>
          <c:order val="2"/>
          <c:tx>
            <c:v>Pressure saturation(of crit point)</c:v>
          </c:tx>
          <c:spPr>
            <a:ln w="28575">
              <a:noFill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PVT_Mod!$U$21:$U$314</c:f>
              <c:numCache>
                <c:formatCode>General</c:formatCode>
                <c:ptCount val="294"/>
                <c:pt idx="0">
                  <c:v>0.66776938483027282</c:v>
                </c:pt>
                <c:pt idx="1">
                  <c:v>0.68928929664609218</c:v>
                </c:pt>
                <c:pt idx="2">
                  <c:v>0.71082958716628253</c:v>
                </c:pt>
                <c:pt idx="3">
                  <c:v>0.7330430117652289</c:v>
                </c:pt>
                <c:pt idx="4">
                  <c:v>0.75523474356671527</c:v>
                </c:pt>
                <c:pt idx="5">
                  <c:v>0.77809829537391084</c:v>
                </c:pt>
                <c:pt idx="6">
                  <c:v>0.80165400548776944</c:v>
                </c:pt>
                <c:pt idx="7">
                  <c:v>0.82513996267979395</c:v>
                </c:pt>
                <c:pt idx="8">
                  <c:v>0.84931398502392863</c:v>
                </c:pt>
                <c:pt idx="9">
                  <c:v>0.87336682249042663</c:v>
                </c:pt>
                <c:pt idx="10">
                  <c:v>0.89895374111807591</c:v>
                </c:pt>
                <c:pt idx="11">
                  <c:v>0.92353450747677335</c:v>
                </c:pt>
                <c:pt idx="12">
                  <c:v>0.94878740416559137</c:v>
                </c:pt>
                <c:pt idx="13">
                  <c:v>0.97473080974824422</c:v>
                </c:pt>
                <c:pt idx="14">
                  <c:v>1.0013836053272978</c:v>
                </c:pt>
                <c:pt idx="15">
                  <c:v>1.0277872746083889</c:v>
                </c:pt>
                <c:pt idx="16">
                  <c:v>1.0548871343881023</c:v>
                </c:pt>
                <c:pt idx="17">
                  <c:v>1.082701541251851</c:v>
                </c:pt>
                <c:pt idx="18">
                  <c:v>1.1101920100726987</c:v>
                </c:pt>
                <c:pt idx="19">
                  <c:v>1.1383804790784509</c:v>
                </c:pt>
                <c:pt idx="20">
                  <c:v>1.1672846709300519</c:v>
                </c:pt>
                <c:pt idx="21">
                  <c:v>1.1957828318414301</c:v>
                </c:pt>
                <c:pt idx="22">
                  <c:v>1.2249767486344338</c:v>
                </c:pt>
                <c:pt idx="23">
                  <c:v>1.2536871411805532</c:v>
                </c:pt>
                <c:pt idx="24">
                  <c:v>1.2842947374007816</c:v>
                </c:pt>
                <c:pt idx="25">
                  <c:v>1.3143953953086123</c:v>
                </c:pt>
                <c:pt idx="26">
                  <c:v>1.3452015373861577</c:v>
                </c:pt>
                <c:pt idx="27">
                  <c:v>1.375416025042292</c:v>
                </c:pt>
                <c:pt idx="28">
                  <c:v>1.4076523381292207</c:v>
                </c:pt>
                <c:pt idx="29">
                  <c:v>1.4378948688312159</c:v>
                </c:pt>
                <c:pt idx="30">
                  <c:v>1.4701913356116045</c:v>
                </c:pt>
                <c:pt idx="31">
                  <c:v>1.5032132113138181</c:v>
                </c:pt>
                <c:pt idx="32">
                  <c:v>1.5355088076506385</c:v>
                </c:pt>
                <c:pt idx="33">
                  <c:v>1.5684982546900077</c:v>
                </c:pt>
                <c:pt idx="34">
                  <c:v>1.6021964593806133</c:v>
                </c:pt>
                <c:pt idx="35">
                  <c:v>1.6350540039577548</c:v>
                </c:pt>
                <c:pt idx="36">
                  <c:v>1.6685853848982946</c:v>
                </c:pt>
                <c:pt idx="37">
                  <c:v>1.702804421112029</c:v>
                </c:pt>
                <c:pt idx="38">
                  <c:v>1.7360623199618732</c:v>
                </c:pt>
                <c:pt idx="39">
                  <c:v>1.7716651605079663</c:v>
                </c:pt>
                <c:pt idx="40">
                  <c:v>1.8062679956741374</c:v>
                </c:pt>
                <c:pt idx="41">
                  <c:v>1.8415466674646477</c:v>
                </c:pt>
                <c:pt idx="42">
                  <c:v>1.8775143758135666</c:v>
                </c:pt>
                <c:pt idx="43">
                  <c:v>1.9141845784661755</c:v>
                </c:pt>
                <c:pt idx="44">
                  <c:v>1.9497016751369345</c:v>
                </c:pt>
                <c:pt idx="45">
                  <c:v>1.9858777804373267</c:v>
                </c:pt>
                <c:pt idx="46">
                  <c:v>2.022725122066535</c:v>
                </c:pt>
                <c:pt idx="47">
                  <c:v>2.0582808371028607</c:v>
                </c:pt>
                <c:pt idx="48">
                  <c:v>2.0964715948225425</c:v>
                </c:pt>
                <c:pt idx="49">
                  <c:v>2.1333236345752828</c:v>
                </c:pt>
                <c:pt idx="50">
                  <c:v>2.1708234640893016</c:v>
                </c:pt>
                <c:pt idx="51">
                  <c:v>2.2089824702939964</c:v>
                </c:pt>
                <c:pt idx="52">
                  <c:v>2.2478122402796332</c:v>
                </c:pt>
                <c:pt idx="53">
                  <c:v>2.2873245648157985</c:v>
                </c:pt>
                <c:pt idx="54">
                  <c:v>2.3252977265363732</c:v>
                </c:pt>
                <c:pt idx="55">
                  <c:v>2.3639013020745745</c:v>
                </c:pt>
                <c:pt idx="56">
                  <c:v>2.403145757284797</c:v>
                </c:pt>
                <c:pt idx="57">
                  <c:v>2.4406949097423718</c:v>
                </c:pt>
                <c:pt idx="58">
                  <c:v>2.4812142588298918</c:v>
                </c:pt>
                <c:pt idx="59">
                  <c:v>2.5199832316241091</c:v>
                </c:pt>
                <c:pt idx="60">
                  <c:v>2.5618188907428685</c:v>
                </c:pt>
                <c:pt idx="61">
                  <c:v>2.6018473109107259</c:v>
                </c:pt>
                <c:pt idx="62">
                  <c:v>2.642501175143706</c:v>
                </c:pt>
                <c:pt idx="63">
                  <c:v>2.6837902560053264</c:v>
                </c:pt>
                <c:pt idx="64">
                  <c:v>2.7231035898335296</c:v>
                </c:pt>
                <c:pt idx="65">
                  <c:v>2.7656520834246785</c:v>
                </c:pt>
                <c:pt idx="66">
                  <c:v>2.8061645651154694</c:v>
                </c:pt>
                <c:pt idx="67">
                  <c:v>2.8472704913622784</c:v>
                </c:pt>
                <c:pt idx="68">
                  <c:v>2.8889785552005929</c:v>
                </c:pt>
                <c:pt idx="69">
                  <c:v>2.9284763088849761</c:v>
                </c:pt>
                <c:pt idx="70">
                  <c:v>2.9713739110659083</c:v>
                </c:pt>
                <c:pt idx="71">
                  <c:v>3.0148998960912881</c:v>
                </c:pt>
                <c:pt idx="72">
                  <c:v>3.0561192306081608</c:v>
                </c:pt>
                <c:pt idx="73">
                  <c:v>3.0979021107141316</c:v>
                </c:pt>
                <c:pt idx="74">
                  <c:v>3.1402562411340513</c:v>
                </c:pt>
                <c:pt idx="75">
                  <c:v>3.1831894319308063</c:v>
                </c:pt>
                <c:pt idx="76">
                  <c:v>3.2267095999454849</c:v>
                </c:pt>
                <c:pt idx="77">
                  <c:v>3.2708247702572395</c:v>
                </c:pt>
                <c:pt idx="78">
                  <c:v>3.3155430776630999</c:v>
                </c:pt>
                <c:pt idx="79">
                  <c:v>3.3543970981044646</c:v>
                </c:pt>
                <c:pt idx="80">
                  <c:v>3.4002579959301116</c:v>
                </c:pt>
                <c:pt idx="81">
                  <c:v>3.4434253337690683</c:v>
                </c:pt>
                <c:pt idx="82">
                  <c:v>3.4871406944516834</c:v>
                </c:pt>
                <c:pt idx="83">
                  <c:v>3.531411035299215</c:v>
                </c:pt>
                <c:pt idx="84">
                  <c:v>3.5727947583691275</c:v>
                </c:pt>
                <c:pt idx="85">
                  <c:v>3.6216415617062054</c:v>
                </c:pt>
                <c:pt idx="86">
                  <c:v>3.6640826737574503</c:v>
                </c:pt>
                <c:pt idx="87">
                  <c:v>3.7070211425905453</c:v>
                </c:pt>
                <c:pt idx="88">
                  <c:v>3.7504627966052784</c:v>
                </c:pt>
                <c:pt idx="89">
                  <c:v>3.7944135325029968</c:v>
                </c:pt>
                <c:pt idx="90">
                  <c:v>3.8388793160870165</c:v>
                </c:pt>
                <c:pt idx="91">
                  <c:v>3.8838661830724108</c:v>
                </c:pt>
                <c:pt idx="92">
                  <c:v>3.9293802399052904</c:v>
                </c:pt>
                <c:pt idx="93">
                  <c:v>3.9754276645916806</c:v>
                </c:pt>
                <c:pt idx="94">
                  <c:v>4.0220147075361146</c:v>
                </c:pt>
                <c:pt idx="95">
                  <c:v>4.0652199436522256</c:v>
                </c:pt>
                <c:pt idx="96">
                  <c:v>4.1128592398668999</c:v>
                </c:pt>
                <c:pt idx="97">
                  <c:v>4.153023880881225</c:v>
                </c:pt>
                <c:pt idx="98">
                  <c:v>4.201692129485302</c:v>
                </c:pt>
                <c:pt idx="99">
                  <c:v>4.242724279187307</c:v>
                </c:pt>
                <c:pt idx="100">
                  <c:v>4.2924437043340333</c:v>
                </c:pt>
                <c:pt idx="101">
                  <c:v>4.3343620998841708</c:v>
                </c:pt>
                <c:pt idx="102">
                  <c:v>4.3809226302540196</c:v>
                </c:pt>
                <c:pt idx="103">
                  <c:v>4.4237050778150939</c:v>
                </c:pt>
                <c:pt idx="104">
                  <c:v>4.4755453716957394</c:v>
                </c:pt>
                <c:pt idx="105">
                  <c:v>4.5192518694662054</c:v>
                </c:pt>
                <c:pt idx="106">
                  <c:v>4.563385188503962</c:v>
                </c:pt>
                <c:pt idx="107">
                  <c:v>4.6079494969854462</c:v>
                </c:pt>
                <c:pt idx="108">
                  <c:v>4.6529490037919441</c:v>
                </c:pt>
                <c:pt idx="109">
                  <c:v>4.6983879589070998</c:v>
                </c:pt>
                <c:pt idx="110">
                  <c:v>4.7442706538183028</c:v>
                </c:pt>
                <c:pt idx="111">
                  <c:v>4.7906014219219974</c:v>
                </c:pt>
                <c:pt idx="112">
                  <c:v>4.8373846389329538</c:v>
                </c:pt>
                <c:pt idx="113">
                  <c:v>4.8846247232975344</c:v>
                </c:pt>
                <c:pt idx="114">
                  <c:v>4.9227858539482963</c:v>
                </c:pt>
                <c:pt idx="115">
                  <c:v>4.9708599345532605</c:v>
                </c:pt>
                <c:pt idx="116">
                  <c:v>5.0194034886016325</c:v>
                </c:pt>
                <c:pt idx="117">
                  <c:v>5.0586175783563325</c:v>
                </c:pt>
                <c:pt idx="118">
                  <c:v>5.108018140644969</c:v>
                </c:pt>
                <c:pt idx="119">
                  <c:v>5.1479245323687577</c:v>
                </c:pt>
                <c:pt idx="120">
                  <c:v>5.1981972328801724</c:v>
                </c:pt>
                <c:pt idx="121">
                  <c:v>5.2388081487620486</c:v>
                </c:pt>
                <c:pt idx="122">
                  <c:v>5.2899683845898027</c:v>
                </c:pt>
                <c:pt idx="123">
                  <c:v>5.3312962625944103</c:v>
                </c:pt>
                <c:pt idx="124">
                  <c:v>5.3729470146459288</c:v>
                </c:pt>
                <c:pt idx="125">
                  <c:v>5.4149231631978498</c:v>
                </c:pt>
                <c:pt idx="126">
                  <c:v>5.4678032722134535</c:v>
                </c:pt>
                <c:pt idx="127">
                  <c:v>5.5105204852776213</c:v>
                </c:pt>
                <c:pt idx="128">
                  <c:v>5.5535714265688529</c:v>
                </c:pt>
                <c:pt idx="129">
                  <c:v>5.5969587033389221</c:v>
                </c:pt>
                <c:pt idx="130">
                  <c:v>5.6406849432087576</c:v>
                </c:pt>
                <c:pt idx="131">
                  <c:v>5.6847527943275757</c:v>
                </c:pt>
                <c:pt idx="132">
                  <c:v>5.7291649255332597</c:v>
                </c:pt>
                <c:pt idx="133">
                  <c:v>5.7739240265139884</c:v>
                </c:pt>
                <c:pt idx="134">
                  <c:v>5.8077556126068437</c:v>
                </c:pt>
                <c:pt idx="135">
                  <c:v>5.8531287033303343</c:v>
                </c:pt>
                <c:pt idx="136">
                  <c:v>5.8988562713251023</c:v>
                </c:pt>
                <c:pt idx="137">
                  <c:v>5.94494108594483</c:v>
                </c:pt>
                <c:pt idx="138">
                  <c:v>5.9797747251202882</c:v>
                </c:pt>
                <c:pt idx="139">
                  <c:v>6.0264917151602901</c:v>
                </c:pt>
                <c:pt idx="140">
                  <c:v>6.0618031900538076</c:v>
                </c:pt>
                <c:pt idx="141">
                  <c:v>6.1091610274761035</c:v>
                </c:pt>
                <c:pt idx="142">
                  <c:v>6.1449568928714715</c:v>
                </c:pt>
                <c:pt idx="143">
                  <c:v>6.1809624996656405</c:v>
                </c:pt>
                <c:pt idx="144">
                  <c:v>6.229251269194279</c:v>
                </c:pt>
                <c:pt idx="145">
                  <c:v>6.2535842819645691</c:v>
                </c:pt>
                <c:pt idx="146">
                  <c:v>6.3024404091674171</c:v>
                </c:pt>
                <c:pt idx="147">
                  <c:v>6.3393687709398829</c:v>
                </c:pt>
                <c:pt idx="148">
                  <c:v>6.3765135098321091</c:v>
                </c:pt>
                <c:pt idx="149">
                  <c:v>6.4138758936787816</c:v>
                </c:pt>
                <c:pt idx="150">
                  <c:v>6.4389300963884644</c:v>
                </c:pt>
                <c:pt idx="151">
                  <c:v>6.4892342377664995</c:v>
                </c:pt>
                <c:pt idx="152">
                  <c:v>6.5145828090077753</c:v>
                </c:pt>
                <c:pt idx="153">
                  <c:v>6.565477987203149</c:v>
                </c:pt>
                <c:pt idx="154">
                  <c:v>6.5911243855906614</c:v>
                </c:pt>
                <c:pt idx="155">
                  <c:v>6.6168709652218745</c:v>
                </c:pt>
                <c:pt idx="156">
                  <c:v>6.6427181174297729</c:v>
                </c:pt>
                <c:pt idx="157">
                  <c:v>6.6946143527221933</c:v>
                </c:pt>
                <c:pt idx="158">
                  <c:v>6.7207651900375147</c:v>
                </c:pt>
                <c:pt idx="159">
                  <c:v>6.747018179061099</c:v>
                </c:pt>
                <c:pt idx="160">
                  <c:v>6.7733737188230565</c:v>
                </c:pt>
                <c:pt idx="161">
                  <c:v>6.7998322099122088</c:v>
                </c:pt>
                <c:pt idx="162">
                  <c:v>6.8263940544821784</c:v>
                </c:pt>
                <c:pt idx="163">
                  <c:v>6.8530596562574999</c:v>
                </c:pt>
                <c:pt idx="164">
                  <c:v>6.8530596562574999</c:v>
                </c:pt>
                <c:pt idx="165">
                  <c:v>6.9065991848220118</c:v>
                </c:pt>
                <c:pt idx="166">
                  <c:v>6.9065991848220118</c:v>
                </c:pt>
                <c:pt idx="167">
                  <c:v>6.9065991848220118</c:v>
                </c:pt>
                <c:pt idx="168">
                  <c:v>6.9605569909534335</c:v>
                </c:pt>
                <c:pt idx="169">
                  <c:v>6.9605569909534335</c:v>
                </c:pt>
                <c:pt idx="170">
                  <c:v>6.9605569909534335</c:v>
                </c:pt>
                <c:pt idx="171">
                  <c:v>6.9605569909534335</c:v>
                </c:pt>
                <c:pt idx="172">
                  <c:v>6.9605569909534335</c:v>
                </c:pt>
                <c:pt idx="173">
                  <c:v>6.9605569909534335</c:v>
                </c:pt>
                <c:pt idx="174">
                  <c:v>6.9605569909534335</c:v>
                </c:pt>
                <c:pt idx="175">
                  <c:v>6.9605569909534335</c:v>
                </c:pt>
                <c:pt idx="176">
                  <c:v>6.9605569909534335</c:v>
                </c:pt>
                <c:pt idx="177">
                  <c:v>6.9605569909534335</c:v>
                </c:pt>
                <c:pt idx="178">
                  <c:v>6.9605569909534335</c:v>
                </c:pt>
                <c:pt idx="179">
                  <c:v>6.9605569909534335</c:v>
                </c:pt>
                <c:pt idx="180">
                  <c:v>4.2959687678540721</c:v>
                </c:pt>
                <c:pt idx="181">
                  <c:v>4.1617197438586322</c:v>
                </c:pt>
                <c:pt idx="182">
                  <c:v>4.0316660018630497</c:v>
                </c:pt>
                <c:pt idx="183">
                  <c:v>3.9214251346246072</c:v>
                </c:pt>
                <c:pt idx="184">
                  <c:v>3.798880599167588</c:v>
                </c:pt>
                <c:pt idx="185">
                  <c:v>3.6950049577840991</c:v>
                </c:pt>
                <c:pt idx="186">
                  <c:v>3.59396966596969</c:v>
                </c:pt>
                <c:pt idx="187">
                  <c:v>3.4886775859119847</c:v>
                </c:pt>
                <c:pt idx="188">
                  <c:v>3.3932840581722035</c:v>
                </c:pt>
                <c:pt idx="189">
                  <c:v>3.3004989472065578</c:v>
                </c:pt>
                <c:pt idx="190">
                  <c:v>3.2102509291188781</c:v>
                </c:pt>
                <c:pt idx="191">
                  <c:v>3.1224706302757839</c:v>
                </c:pt>
                <c:pt idx="192">
                  <c:v>3.0370905739791807</c:v>
                </c:pt>
                <c:pt idx="193">
                  <c:v>2.9540451285969374</c:v>
                </c:pt>
                <c:pt idx="194">
                  <c:v>2.873270457111865</c:v>
                </c:pt>
                <c:pt idx="195">
                  <c:v>2.7947044680502122</c:v>
                </c:pt>
                <c:pt idx="196">
                  <c:v>2.7182867677519642</c:v>
                </c:pt>
                <c:pt idx="197">
                  <c:v>2.6439586139462463</c:v>
                </c:pt>
                <c:pt idx="198">
                  <c:v>2.5768268522640172</c:v>
                </c:pt>
                <c:pt idx="199">
                  <c:v>2.506366743022423</c:v>
                </c:pt>
                <c:pt idx="200">
                  <c:v>2.4378332773929037</c:v>
                </c:pt>
                <c:pt idx="201">
                  <c:v>2.3759351668340991</c:v>
                </c:pt>
                <c:pt idx="202">
                  <c:v>2.3109681896159788</c:v>
                </c:pt>
                <c:pt idx="203">
                  <c:v>2.2477776531811671</c:v>
                </c:pt>
                <c:pt idx="204">
                  <c:v>2.1863149829769943</c:v>
                </c:pt>
                <c:pt idx="205">
                  <c:v>2.1308030791123445</c:v>
                </c:pt>
                <c:pt idx="206">
                  <c:v>2.0725389324178662</c:v>
                </c:pt>
                <c:pt idx="207">
                  <c:v>2.015867945984565</c:v>
                </c:pt>
                <c:pt idx="208">
                  <c:v>1.9607465568365494</c:v>
                </c:pt>
                <c:pt idx="209">
                  <c:v>1.9071323931730499</c:v>
                </c:pt>
                <c:pt idx="210">
                  <c:v>1.8549842417972244</c:v>
                </c:pt>
                <c:pt idx="211">
                  <c:v>1.8060735244842117</c:v>
                </c:pt>
                <c:pt idx="212">
                  <c:v>1.7566887015490966</c:v>
                </c:pt>
                <c:pt idx="213">
                  <c:v>1.7086542448661135</c:v>
                </c:pt>
                <c:pt idx="214">
                  <c:v>1.6619332303580556</c:v>
                </c:pt>
                <c:pt idx="215">
                  <c:v>1.6164897435904524</c:v>
                </c:pt>
                <c:pt idx="216">
                  <c:v>1.570710248898926</c:v>
                </c:pt>
                <c:pt idx="217">
                  <c:v>1.527761140530596</c:v>
                </c:pt>
                <c:pt idx="218">
                  <c:v>1.484494467605413</c:v>
                </c:pt>
                <c:pt idx="219">
                  <c:v>1.4439028220068275</c:v>
                </c:pt>
                <c:pt idx="220">
                  <c:v>1.4030110428679623</c:v>
                </c:pt>
                <c:pt idx="221">
                  <c:v>1.3632773316929909</c:v>
                </c:pt>
                <c:pt idx="222">
                  <c:v>1.3246688916352793</c:v>
                </c:pt>
                <c:pt idx="223">
                  <c:v>1.2871538546651395</c:v>
                </c:pt>
                <c:pt idx="224">
                  <c:v>1.2494442690792469</c:v>
                </c:pt>
                <c:pt idx="225">
                  <c:v>1.2140596169275886</c:v>
                </c:pt>
                <c:pt idx="226">
                  <c:v>1.1784914640879129</c:v>
                </c:pt>
                <c:pt idx="227">
                  <c:v>1.1451162175463607</c:v>
                </c:pt>
                <c:pt idx="228">
                  <c:v>1.1115678908604323</c:v>
                </c:pt>
                <c:pt idx="229">
                  <c:v>1.0790024253078805</c:v>
                </c:pt>
                <c:pt idx="230">
                  <c:v>1.0473910261289388</c:v>
                </c:pt>
                <c:pt idx="231">
                  <c:v>1.0167057421603176</c:v>
                </c:pt>
                <c:pt idx="232">
                  <c:v>0.98691944112046448</c:v>
                </c:pt>
                <c:pt idx="233">
                  <c:v>0.9570419971021692</c:v>
                </c:pt>
                <c:pt idx="234">
                  <c:v>0.92806904601802143</c:v>
                </c:pt>
                <c:pt idx="235">
                  <c:v>0.89997320575771034</c:v>
                </c:pt>
                <c:pt idx="236">
                  <c:v>0.8727279231615297</c:v>
                </c:pt>
                <c:pt idx="237">
                  <c:v>0.84630744892519427</c:v>
                </c:pt>
                <c:pt idx="238">
                  <c:v>0.81986034114628192</c:v>
                </c:pt>
                <c:pt idx="239">
                  <c:v>0.79423970548546063</c:v>
                </c:pt>
                <c:pt idx="240">
                  <c:v>0.77019533940142815</c:v>
                </c:pt>
                <c:pt idx="241">
                  <c:v>0.74612673504513349</c:v>
                </c:pt>
                <c:pt idx="242">
                  <c:v>0.72281027457497304</c:v>
                </c:pt>
                <c:pt idx="243">
                  <c:v>0.69951658408574058</c:v>
                </c:pt>
                <c:pt idx="244">
                  <c:v>0.67765669083306124</c:v>
                </c:pt>
                <c:pt idx="245">
                  <c:v>0.65581814513238645</c:v>
                </c:pt>
                <c:pt idx="246">
                  <c:v>0.63468338068964347</c:v>
                </c:pt>
                <c:pt idx="247">
                  <c:v>0.61360990906518265</c:v>
                </c:pt>
                <c:pt idx="248">
                  <c:v>0.59383537098007433</c:v>
                </c:pt>
                <c:pt idx="249">
                  <c:v>0.5741181809280016</c:v>
                </c:pt>
                <c:pt idx="250">
                  <c:v>0.55505566320187649</c:v>
                </c:pt>
                <c:pt idx="251">
                  <c:v>0.53662608063462658</c:v>
                </c:pt>
                <c:pt idx="252">
                  <c:v>0.51880841780105502</c:v>
                </c:pt>
                <c:pt idx="253">
                  <c:v>0.50107570820824554</c:v>
                </c:pt>
                <c:pt idx="254">
                  <c:v>0.48443842883414368</c:v>
                </c:pt>
                <c:pt idx="255">
                  <c:v>0.46740739032044332</c:v>
                </c:pt>
                <c:pt idx="256">
                  <c:v>0.4514315517841001</c:v>
                </c:pt>
                <c:pt idx="257">
                  <c:v>0.43556091129169033</c:v>
                </c:pt>
                <c:pt idx="258">
                  <c:v>0.42067357545652517</c:v>
                </c:pt>
                <c:pt idx="259">
                  <c:v>0.40588427006938166</c:v>
                </c:pt>
                <c:pt idx="260">
                  <c:v>0.39121852984226535</c:v>
                </c:pt>
                <c:pt idx="261">
                  <c:v>0.37746475340249819</c:v>
                </c:pt>
                <c:pt idx="262">
                  <c:v>0.36382589024244694</c:v>
                </c:pt>
                <c:pt idx="263">
                  <c:v>0.35067983756767107</c:v>
                </c:pt>
                <c:pt idx="264">
                  <c:v>0.33766632797043328</c:v>
                </c:pt>
                <c:pt idx="265">
                  <c:v>0.32513574158090547</c:v>
                </c:pt>
                <c:pt idx="266">
                  <c:v>0.31307015742067651</c:v>
                </c:pt>
                <c:pt idx="267">
                  <c:v>0.30145231954764362</c:v>
                </c:pt>
                <c:pt idx="268">
                  <c:v>0.29026561237693027</c:v>
                </c:pt>
                <c:pt idx="269">
                  <c:v>0.27921057440554325</c:v>
                </c:pt>
                <c:pt idx="270">
                  <c:v>0.2685765779193946</c:v>
                </c:pt>
                <c:pt idx="271">
                  <c:v>0.25808530534441826</c:v>
                </c:pt>
                <c:pt idx="272">
                  <c:v>0.24800384810440193</c:v>
                </c:pt>
                <c:pt idx="273">
                  <c:v>0.2383161977878237</c:v>
                </c:pt>
                <c:pt idx="274">
                  <c:v>0.22900697131173686</c:v>
                </c:pt>
                <c:pt idx="275">
                  <c:v>0.21983774687445051</c:v>
                </c:pt>
                <c:pt idx="276">
                  <c:v>0.21103564958748522</c:v>
                </c:pt>
                <c:pt idx="277">
                  <c:v>0.20237989052237351</c:v>
                </c:pt>
                <c:pt idx="278">
                  <c:v>0.1940791528251668</c:v>
                </c:pt>
                <c:pt idx="279">
                  <c:v>0.18611887507257208</c:v>
                </c:pt>
                <c:pt idx="280">
                  <c:v>0.17848509308717364</c:v>
                </c:pt>
                <c:pt idx="281">
                  <c:v>0.17099011359230207</c:v>
                </c:pt>
                <c:pt idx="282">
                  <c:v>0.16380986468168782</c:v>
                </c:pt>
                <c:pt idx="283">
                  <c:v>0.15677115955864654</c:v>
                </c:pt>
                <c:pt idx="284">
                  <c:v>0.15003489879636095</c:v>
                </c:pt>
                <c:pt idx="285">
                  <c:v>0.14358808673870482</c:v>
                </c:pt>
                <c:pt idx="286">
                  <c:v>0.13727806339569532</c:v>
                </c:pt>
                <c:pt idx="287">
                  <c:v>0.13124533600037669</c:v>
                </c:pt>
                <c:pt idx="288">
                  <c:v>0.12534954942223475</c:v>
                </c:pt>
                <c:pt idx="289">
                  <c:v>0.11971861263178279</c:v>
                </c:pt>
                <c:pt idx="290">
                  <c:v>0.11434062807996442</c:v>
                </c:pt>
                <c:pt idx="291">
                  <c:v>0.10909257190832544</c:v>
                </c:pt>
                <c:pt idx="292">
                  <c:v>0.1040853933148769</c:v>
                </c:pt>
                <c:pt idx="293">
                  <c:v>9.9206390503242037E-2</c:v>
                </c:pt>
              </c:numCache>
            </c:numRef>
          </c:xVal>
          <c:yVal>
            <c:numRef>
              <c:f>PVT_Mod!$T$19:$T$140</c:f>
              <c:numCache>
                <c:formatCode>General</c:formatCode>
                <c:ptCount val="122"/>
                <c:pt idx="81" formatCode="0.000000">
                  <c:v>-2.4564527957528464</c:v>
                </c:pt>
                <c:pt idx="82" formatCode="0.000000">
                  <c:v>-5.1321409882887314</c:v>
                </c:pt>
                <c:pt idx="83" formatCode="0.000000">
                  <c:v>-6.9246782666302362</c:v>
                </c:pt>
                <c:pt idx="84" formatCode="0.000000">
                  <c:v>-8.0989676868553442</c:v>
                </c:pt>
                <c:pt idx="85" formatCode="0.000000">
                  <c:v>-5.5783134463729613</c:v>
                </c:pt>
                <c:pt idx="86" formatCode="0.000000">
                  <c:v>-6.4379301017487727</c:v>
                </c:pt>
                <c:pt idx="87" formatCode="0.000000">
                  <c:v>-6.9205499365879302</c:v>
                </c:pt>
                <c:pt idx="88" formatCode="0.000000">
                  <c:v>-7.8949693526737397</c:v>
                </c:pt>
                <c:pt idx="89" formatCode="0.000000">
                  <c:v>-8.2181975358809272</c:v>
                </c:pt>
                <c:pt idx="90" formatCode="0.000000">
                  <c:v>-9.4572022249699206</c:v>
                </c:pt>
                <c:pt idx="91" formatCode="0.000000">
                  <c:v>-10.653208887087606</c:v>
                </c:pt>
                <c:pt idx="92" formatCode="0.000000">
                  <c:v>-11.89868433285095</c:v>
                </c:pt>
                <c:pt idx="93" formatCode="0.000000">
                  <c:v>-14.488384175101926</c:v>
                </c:pt>
                <c:pt idx="94" formatCode="0.000000">
                  <c:v>-19.585062434950846</c:v>
                </c:pt>
                <c:pt idx="95" formatCode="0.000000">
                  <c:v>-25.40353506073599</c:v>
                </c:pt>
                <c:pt idx="96" formatCode="0.000000">
                  <c:v>-0.14076309333229187</c:v>
                </c:pt>
                <c:pt idx="97" formatCode="0.000000">
                  <c:v>2.3877626652201496</c:v>
                </c:pt>
                <c:pt idx="98" formatCode="0.000000">
                  <c:v>-2.1004594190559636</c:v>
                </c:pt>
                <c:pt idx="99" formatCode="0.000000">
                  <c:v>-1.2302951541985987</c:v>
                </c:pt>
                <c:pt idx="100" formatCode="0.000000">
                  <c:v>-3.424243962757787</c:v>
                </c:pt>
                <c:pt idx="101" formatCode="0.000000">
                  <c:v>-3.9209245948256228</c:v>
                </c:pt>
                <c:pt idx="102" formatCode="0.000000">
                  <c:v>-5.2426772065203906</c:v>
                </c:pt>
                <c:pt idx="103" formatCode="0.000000">
                  <c:v>-4.8495354732760063</c:v>
                </c:pt>
                <c:pt idx="104" formatCode="0.000000">
                  <c:v>-5.7047619355158652</c:v>
                </c:pt>
                <c:pt idx="105" formatCode="0.000000">
                  <c:v>-5.7473066060967586</c:v>
                </c:pt>
                <c:pt idx="106" formatCode="0.000000">
                  <c:v>-5.4299963739804298</c:v>
                </c:pt>
                <c:pt idx="107" formatCode="0.000000">
                  <c:v>-5.0944888691631363</c:v>
                </c:pt>
                <c:pt idx="108" formatCode="0.000000">
                  <c:v>-4.6568407800103824</c:v>
                </c:pt>
                <c:pt idx="109" formatCode="0.000000">
                  <c:v>-6.0946040493657989</c:v>
                </c:pt>
                <c:pt idx="110">
                  <c:v>-9.3171334818353149</c:v>
                </c:pt>
                <c:pt idx="111">
                  <c:v>-13.953738535708608</c:v>
                </c:pt>
                <c:pt idx="112">
                  <c:v>-13.753065630532401</c:v>
                </c:pt>
                <c:pt idx="113">
                  <c:v>-13.340138787456622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6B4-42BD-9368-89D3CDBC7E19}"/>
            </c:ext>
          </c:extLst>
        </c:ser>
        <c:ser>
          <c:idx val="3"/>
          <c:order val="3"/>
          <c:tx>
            <c:v>CVD Line</c:v>
          </c:tx>
          <c:spPr>
            <a:ln w="38100">
              <a:solidFill>
                <a:srgbClr val="00FFFF"/>
              </a:solidFill>
              <a:prstDash val="solid"/>
            </a:ln>
          </c:spPr>
          <c:marker>
            <c:symbol val="none"/>
          </c:marker>
          <c:xVal>
            <c:numRef>
              <c:f>Вспом.лист!$B$17:$B$19</c:f>
              <c:numCache>
                <c:formatCode>General</c:formatCode>
                <c:ptCount val="3"/>
                <c:pt idx="0">
                  <c:v>381.04999999999995</c:v>
                </c:pt>
                <c:pt idx="1">
                  <c:v>381.04999999999995</c:v>
                </c:pt>
                <c:pt idx="2">
                  <c:v>381.04999999999995</c:v>
                </c:pt>
              </c:numCache>
            </c:numRef>
          </c:xVal>
          <c:yVal>
            <c:numRef>
              <c:f>Вспом.лист!$C$17:$C$19</c:f>
              <c:numCache>
                <c:formatCode>General</c:formatCode>
                <c:ptCount val="3"/>
                <c:pt idx="0">
                  <c:v>0</c:v>
                </c:pt>
                <c:pt idx="1">
                  <c:v>36.72</c:v>
                </c:pt>
                <c:pt idx="2">
                  <c:v>41.72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6B4-42BD-9368-89D3CDBC7E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9399448"/>
        <c:axId val="1"/>
      </c:scatterChart>
      <c:valAx>
        <c:axId val="479399448"/>
        <c:scaling>
          <c:orientation val="minMax"/>
          <c:min val="15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 Cyr"/>
                    <a:ea typeface="Arial Cyr"/>
                    <a:cs typeface="Arial Cyr"/>
                  </a:defRPr>
                </a:pPr>
                <a:r>
                  <a:rPr lang="en-US"/>
                  <a:t>T, K</a:t>
                </a:r>
              </a:p>
            </c:rich>
          </c:tx>
          <c:layout>
            <c:manualLayout>
              <c:xMode val="edge"/>
              <c:yMode val="edge"/>
              <c:x val="0.47148340499990693"/>
              <c:y val="0.9221103355771380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endParaRPr lang="ru-RU"/>
          </a:p>
        </c:txPr>
        <c:crossAx val="1"/>
        <c:crosses val="autoZero"/>
        <c:crossBetween val="midCat"/>
      </c:valAx>
      <c:valAx>
        <c:axId val="1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 Cyr"/>
                    <a:ea typeface="Arial Cyr"/>
                    <a:cs typeface="Arial Cyr"/>
                  </a:defRPr>
                </a:pPr>
                <a:r>
                  <a:rPr lang="en-US"/>
                  <a:t>P, MPa</a:t>
                </a:r>
              </a:p>
            </c:rich>
          </c:tx>
          <c:layout>
            <c:manualLayout>
              <c:xMode val="edge"/>
              <c:yMode val="edge"/>
              <c:x val="3.0043124042118848E-2"/>
              <c:y val="0.4766149184033384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endParaRPr lang="ru-RU"/>
          </a:p>
        </c:txPr>
        <c:crossAx val="479399448"/>
        <c:crosses val="autoZero"/>
        <c:crossBetween val="midCat"/>
      </c:valAx>
      <c:spPr>
        <a:solidFill>
          <a:schemeClr val="bg1"/>
        </a:solidFill>
        <a:ln w="12700">
          <a:solidFill>
            <a:schemeClr val="bg1"/>
          </a:solidFill>
          <a:prstDash val="solid"/>
        </a:ln>
      </c:spPr>
    </c:plotArea>
    <c:legend>
      <c:legendPos val="r"/>
      <c:legendEntry>
        <c:idx val="2"/>
        <c:delete val="1"/>
      </c:legendEntry>
      <c:layout>
        <c:manualLayout>
          <c:xMode val="edge"/>
          <c:yMode val="edge"/>
          <c:x val="0.76045717689544123"/>
          <c:y val="1.2562656797237885E-2"/>
          <c:w val="0.21863132356682358"/>
          <c:h val="0.1708543845268552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  <a:effectLst>
          <a:outerShdw dist="35921" dir="2700000" algn="br">
            <a:srgbClr val="000000"/>
          </a:outerShdw>
        </a:effectLst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 Cyr"/>
              <a:ea typeface="Arial Cyr"/>
              <a:cs typeface="Arial Cyr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75" b="0" i="0" u="none" strike="noStrike" baseline="0">
          <a:solidFill>
            <a:srgbClr val="000000"/>
          </a:solidFill>
          <a:latin typeface="Arial Cyr"/>
          <a:ea typeface="Arial Cyr"/>
          <a:cs typeface="Arial Cyr"/>
        </a:defRPr>
      </a:pPr>
      <a:endParaRPr lang="ru-RU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53567137651298"/>
          <c:y val="8.9285957061122759E-2"/>
          <c:w val="0.81973434535104361"/>
          <c:h val="0.7440497815806989"/>
        </c:manualLayout>
      </c:layout>
      <c:scatterChart>
        <c:scatterStyle val="smoothMarker"/>
        <c:varyColors val="0"/>
        <c:ser>
          <c:idx val="0"/>
          <c:order val="0"/>
          <c:tx>
            <c:v>diff</c:v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993300"/>
              </a:solidFill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PVT_Mod!$L$42:$L$56</c:f>
              <c:numCache>
                <c:formatCode>General</c:formatCode>
                <c:ptCount val="15"/>
                <c:pt idx="0">
                  <c:v>654</c:v>
                </c:pt>
                <c:pt idx="1">
                  <c:v>506.4</c:v>
                </c:pt>
                <c:pt idx="2">
                  <c:v>470.6</c:v>
                </c:pt>
                <c:pt idx="3">
                  <c:v>434.8</c:v>
                </c:pt>
                <c:pt idx="4">
                  <c:v>399</c:v>
                </c:pt>
                <c:pt idx="5">
                  <c:v>363.2</c:v>
                </c:pt>
                <c:pt idx="6">
                  <c:v>327.39999999999998</c:v>
                </c:pt>
                <c:pt idx="7">
                  <c:v>291.60000000000002</c:v>
                </c:pt>
                <c:pt idx="8">
                  <c:v>255.8</c:v>
                </c:pt>
                <c:pt idx="9">
                  <c:v>220</c:v>
                </c:pt>
                <c:pt idx="10">
                  <c:v>184.2</c:v>
                </c:pt>
                <c:pt idx="11">
                  <c:v>112.6</c:v>
                </c:pt>
                <c:pt idx="12">
                  <c:v>76.8</c:v>
                </c:pt>
                <c:pt idx="13">
                  <c:v>41</c:v>
                </c:pt>
                <c:pt idx="14">
                  <c:v>5.2</c:v>
                </c:pt>
              </c:numCache>
            </c:numRef>
          </c:xVal>
          <c:yVal>
            <c:numRef>
              <c:f>PVT_Mod!$O$42:$O$56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1.7176405530654689E-2</c:v>
                </c:pt>
                <c:pt idx="3">
                  <c:v>3.4410146875227733E-2</c:v>
                </c:pt>
                <c:pt idx="4">
                  <c:v>4.6921682350010083E-2</c:v>
                </c:pt>
                <c:pt idx="5">
                  <c:v>5.6745297291216079E-2</c:v>
                </c:pt>
                <c:pt idx="6">
                  <c:v>6.4538343444704355E-2</c:v>
                </c:pt>
                <c:pt idx="7">
                  <c:v>7.052312775193624E-2</c:v>
                </c:pt>
                <c:pt idx="8">
                  <c:v>7.484709423037865E-2</c:v>
                </c:pt>
                <c:pt idx="9">
                  <c:v>7.7435349463454553E-2</c:v>
                </c:pt>
                <c:pt idx="10">
                  <c:v>7.8202813278075489E-2</c:v>
                </c:pt>
                <c:pt idx="11">
                  <c:v>7.5053730296565258E-2</c:v>
                </c:pt>
                <c:pt idx="12">
                  <c:v>7.1170045795161188E-2</c:v>
                </c:pt>
                <c:pt idx="13">
                  <c:v>6.5910478122167743E-2</c:v>
                </c:pt>
                <c:pt idx="14">
                  <c:v>5.3607716411824297E-2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F42-4664-A92F-6DBE3024E9FE}"/>
            </c:ext>
          </c:extLst>
        </c:ser>
        <c:ser>
          <c:idx val="2"/>
          <c:order val="1"/>
          <c:tx>
            <c:v>contact</c:v>
          </c:tx>
          <c:spPr>
            <a:ln w="28575">
              <a:noFill/>
            </a:ln>
          </c:spPr>
          <c:marker>
            <c:symbol val="triangle"/>
            <c:size val="5"/>
            <c:spPr>
              <a:solidFill>
                <a:srgbClr val="00FF00"/>
              </a:solidFill>
              <a:ln>
                <a:solidFill>
                  <a:srgbClr val="00FF00"/>
                </a:solidFill>
                <a:prstDash val="solid"/>
              </a:ln>
            </c:spPr>
          </c:marker>
          <c:xVal>
            <c:numRef>
              <c:f>PVT_Mod!$P$42:$P$55</c:f>
              <c:numCache>
                <c:formatCode>General</c:formatCode>
                <c:ptCount val="14"/>
                <c:pt idx="0">
                  <c:v>612</c:v>
                </c:pt>
                <c:pt idx="1">
                  <c:v>550.79999999999995</c:v>
                </c:pt>
                <c:pt idx="2">
                  <c:v>489.6</c:v>
                </c:pt>
                <c:pt idx="3">
                  <c:v>428.4</c:v>
                </c:pt>
                <c:pt idx="4">
                  <c:v>367.2</c:v>
                </c:pt>
                <c:pt idx="5">
                  <c:v>306</c:v>
                </c:pt>
                <c:pt idx="6">
                  <c:v>244.8</c:v>
                </c:pt>
                <c:pt idx="7">
                  <c:v>183.6</c:v>
                </c:pt>
                <c:pt idx="8">
                  <c:v>122.4</c:v>
                </c:pt>
                <c:pt idx="9">
                  <c:v>61.2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xVal>
          <c:yVal>
            <c:numRef>
              <c:f>PVT_Mod!$S$42:$S$55</c:f>
              <c:numCache>
                <c:formatCode>General</c:formatCode>
                <c:ptCount val="1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F42-4664-A92F-6DBE3024E9FE}"/>
            </c:ext>
          </c:extLst>
        </c:ser>
        <c:ser>
          <c:idx val="0"/>
          <c:order val="2"/>
          <c:tx>
            <c:v>дифференциальная, диаметр штуцера 14.0 мм</c:v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PVT_Mod!$D$30:$D$44</c:f>
              <c:numCache>
                <c:formatCode>General</c:formatCode>
                <c:ptCount val="15"/>
                <c:pt idx="0">
                  <c:v>654</c:v>
                </c:pt>
                <c:pt idx="1">
                  <c:v>506.4</c:v>
                </c:pt>
                <c:pt idx="2">
                  <c:v>470.6</c:v>
                </c:pt>
                <c:pt idx="3">
                  <c:v>434.8</c:v>
                </c:pt>
                <c:pt idx="4">
                  <c:v>399</c:v>
                </c:pt>
                <c:pt idx="5">
                  <c:v>363.2</c:v>
                </c:pt>
                <c:pt idx="6">
                  <c:v>327.39999999999998</c:v>
                </c:pt>
                <c:pt idx="7">
                  <c:v>291.60000000000002</c:v>
                </c:pt>
                <c:pt idx="8">
                  <c:v>255.8</c:v>
                </c:pt>
                <c:pt idx="9">
                  <c:v>220</c:v>
                </c:pt>
                <c:pt idx="10">
                  <c:v>184.2</c:v>
                </c:pt>
                <c:pt idx="11">
                  <c:v>112.6</c:v>
                </c:pt>
                <c:pt idx="12">
                  <c:v>76.8</c:v>
                </c:pt>
                <c:pt idx="13">
                  <c:v>41</c:v>
                </c:pt>
                <c:pt idx="14">
                  <c:v>5.2</c:v>
                </c:pt>
              </c:numCache>
            </c:numRef>
          </c:xVal>
          <c:yVal>
            <c:numRef>
              <c:f>PVT_Mod!$E$30:$E$44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1.8152226346619778E-2</c:v>
                </c:pt>
                <c:pt idx="3">
                  <c:v>5.1300939225693135E-2</c:v>
                </c:pt>
                <c:pt idx="4">
                  <c:v>7.5192976216373816E-2</c:v>
                </c:pt>
                <c:pt idx="5">
                  <c:v>9.3261859545560932E-2</c:v>
                </c:pt>
                <c:pt idx="6">
                  <c:v>0.10725955748331101</c:v>
                </c:pt>
                <c:pt idx="7">
                  <c:v>0.11798281619065047</c:v>
                </c:pt>
                <c:pt idx="8">
                  <c:v>0.12564995321888925</c:v>
                </c:pt>
                <c:pt idx="9">
                  <c:v>0.1302048464146929</c:v>
                </c:pt>
                <c:pt idx="10">
                  <c:v>0.13158901360209813</c:v>
                </c:pt>
                <c:pt idx="11">
                  <c:v>0.12626977332561071</c:v>
                </c:pt>
                <c:pt idx="12">
                  <c:v>0.11965742083646604</c:v>
                </c:pt>
                <c:pt idx="13">
                  <c:v>0.11079859809925452</c:v>
                </c:pt>
                <c:pt idx="14">
                  <c:v>9.2215932159957922E-2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F42-4664-A92F-6DBE3024E9FE}"/>
            </c:ext>
          </c:extLst>
        </c:ser>
        <c:ser>
          <c:idx val="1"/>
          <c:order val="3"/>
          <c:tx>
            <c:v>контактная, диаметр штуцера 14.0 мм</c:v>
          </c:tx>
          <c:spPr>
            <a:ln w="25400">
              <a:solidFill>
                <a:srgbClr val="00008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PVT_Mod!$D$49:$D$58</c:f>
              <c:numCache>
                <c:formatCode>General</c:formatCode>
                <c:ptCount val="10"/>
              </c:numCache>
            </c:numRef>
          </c:xVal>
          <c:yVal>
            <c:numRef>
              <c:f>PVT_Mod!$E$49:$E$58</c:f>
              <c:numCache>
                <c:formatCode>General</c:formatCode>
                <c:ptCount val="1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F42-4664-A92F-6DBE3024E9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9392888"/>
        <c:axId val="1"/>
      </c:scatterChart>
      <c:valAx>
        <c:axId val="479392888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 algn="l">
                  <a:defRPr sz="950" b="1" i="0" u="none" strike="noStrike" baseline="0">
                    <a:solidFill>
                      <a:srgbClr val="000000"/>
                    </a:solidFill>
                    <a:latin typeface="Arial Cyr"/>
                    <a:ea typeface="Arial Cyr"/>
                    <a:cs typeface="Arial Cyr"/>
                  </a:defRPr>
                </a:pPr>
                <a:r>
                  <a:rPr lang="ru-RU"/>
                  <a:t>Давление, ата</a:t>
                </a:r>
              </a:p>
            </c:rich>
          </c:tx>
          <c:layout>
            <c:manualLayout>
              <c:xMode val="edge"/>
              <c:yMode val="edge"/>
              <c:x val="0.44781795718158185"/>
              <c:y val="0.9196455706194620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endParaRPr lang="ru-RU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ru-RU" sz="950" b="1" i="0" u="none" strike="noStrike" baseline="0">
                    <a:solidFill>
                      <a:srgbClr val="000000"/>
                    </a:solidFill>
                    <a:latin typeface="Arial Cyr"/>
                    <a:cs typeface="Arial Cyr"/>
                  </a:rPr>
                  <a:t>Потери насыщенного конденсата, см</a:t>
                </a:r>
                <a:r>
                  <a:rPr lang="ru-RU" sz="950" b="1" i="0" u="none" strike="noStrike" baseline="30000">
                    <a:solidFill>
                      <a:srgbClr val="000000"/>
                    </a:solidFill>
                    <a:latin typeface="Arial Cyr"/>
                    <a:cs typeface="Arial Cyr"/>
                  </a:rPr>
                  <a:t>3</a:t>
                </a:r>
                <a:r>
                  <a:rPr lang="ru-RU" sz="950" b="1" i="0" u="none" strike="noStrike" baseline="0">
                    <a:solidFill>
                      <a:srgbClr val="000000"/>
                    </a:solidFill>
                    <a:latin typeface="Arial Cyr"/>
                    <a:cs typeface="Arial Cyr"/>
                  </a:rPr>
                  <a:t>/нм</a:t>
                </a:r>
                <a:r>
                  <a:rPr lang="ru-RU" sz="950" b="1" i="0" u="none" strike="noStrike" baseline="30000">
                    <a:solidFill>
                      <a:srgbClr val="000000"/>
                    </a:solidFill>
                    <a:latin typeface="Arial Cyr"/>
                    <a:cs typeface="Arial Cyr"/>
                  </a:rPr>
                  <a:t>3</a:t>
                </a:r>
              </a:p>
            </c:rich>
          </c:tx>
          <c:layout>
            <c:manualLayout>
              <c:xMode val="edge"/>
              <c:yMode val="edge"/>
              <c:x val="9.4876665007038053E-3"/>
              <c:y val="0.12797663449963492"/>
            </c:manualLayout>
          </c:layout>
          <c:overlay val="0"/>
          <c:spPr>
            <a:noFill/>
            <a:ln w="25400">
              <a:noFill/>
            </a:ln>
          </c:spPr>
        </c:title>
        <c:numFmt formatCode="0,0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endParaRPr lang="ru-RU"/>
          </a:p>
        </c:txPr>
        <c:crossAx val="479392888"/>
        <c:crosses val="autoZero"/>
        <c:crossBetween val="midCat"/>
      </c:valAx>
      <c:spPr>
        <a:solidFill>
          <a:srgbClr val="FFFFCC"/>
        </a:solidFill>
        <a:ln w="25400">
          <a:noFill/>
        </a:ln>
      </c:spPr>
    </c:plotArea>
    <c:legend>
      <c:legendPos val="r"/>
      <c:layout>
        <c:manualLayout>
          <c:xMode val="edge"/>
          <c:yMode val="edge"/>
          <c:x val="0.40857499369955802"/>
          <c:y val="1.2184003315375053E-3"/>
          <c:w val="0.56166970931912208"/>
          <c:h val="0.1369052552641446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 Cyr"/>
              <a:ea typeface="Arial Cyr"/>
              <a:cs typeface="Arial Cyr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rgbClr val="CC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FF"/>
          </a:solidFill>
          <a:latin typeface="Arial Cyr"/>
          <a:ea typeface="Arial Cyr"/>
          <a:cs typeface="Arial Cyr"/>
        </a:defRPr>
      </a:pPr>
      <a:endParaRPr lang="ru-RU"/>
    </a:p>
  </c:txPr>
  <c:printSettings>
    <c:headerFooter alignWithMargins="0"/>
    <c:pageMargins b="1" l="0.75" r="0.75" t="1" header="0.5" footer="0.5"/>
    <c:pageSetup paperSize="9" orientation="landscape" horizontalDpi="200" verticalDpi="200"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 sz="1400"/>
              <a:t>Содержание</a:t>
            </a:r>
            <a:r>
              <a:rPr lang="ru-RU" sz="1400" baseline="0"/>
              <a:t> водяных паров в газовой фазе, находящейся в равновесии с раствором метана (</a:t>
            </a:r>
            <a:r>
              <a:rPr lang="en-US" sz="1400" baseline="0"/>
              <a:t>CH</a:t>
            </a:r>
            <a:r>
              <a:rPr lang="en-US" sz="1400" baseline="-25000"/>
              <a:t>4</a:t>
            </a:r>
            <a:r>
              <a:rPr lang="ru-RU" sz="1400" baseline="0"/>
              <a:t>) в воде</a:t>
            </a:r>
            <a:endParaRPr lang="ru-RU" sz="1400" baseline="-25000"/>
          </a:p>
        </c:rich>
      </c:tx>
      <c:layout>
        <c:manualLayout>
          <c:xMode val="edge"/>
          <c:yMode val="edge"/>
          <c:x val="0.12840225160534177"/>
          <c:y val="4.6801666875922972E-4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1069128365815337"/>
          <c:y val="0.12426903801432795"/>
          <c:w val="0.83828056558882869"/>
          <c:h val="0.76103868586116485"/>
        </c:manualLayout>
      </c:layout>
      <c:scatterChart>
        <c:scatterStyle val="lineMarker"/>
        <c:varyColors val="0"/>
        <c:ser>
          <c:idx val="0"/>
          <c:order val="0"/>
          <c:tx>
            <c:v>Эксперимент_37.8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Water_Binary!$B$7:$B$17</c:f>
              <c:numCache>
                <c:formatCode>General</c:formatCode>
                <c:ptCount val="11"/>
                <c:pt idx="0">
                  <c:v>2.5299999999999998</c:v>
                </c:pt>
                <c:pt idx="1">
                  <c:v>5.07</c:v>
                </c:pt>
                <c:pt idx="2">
                  <c:v>10.130000000000001</c:v>
                </c:pt>
                <c:pt idx="3">
                  <c:v>15.2</c:v>
                </c:pt>
                <c:pt idx="4">
                  <c:v>20.27</c:v>
                </c:pt>
                <c:pt idx="5">
                  <c:v>25.33</c:v>
                </c:pt>
                <c:pt idx="6">
                  <c:v>30.4</c:v>
                </c:pt>
                <c:pt idx="7">
                  <c:v>40.53</c:v>
                </c:pt>
                <c:pt idx="8">
                  <c:v>50.66</c:v>
                </c:pt>
                <c:pt idx="9">
                  <c:v>60.8</c:v>
                </c:pt>
                <c:pt idx="10">
                  <c:v>70.930000000000007</c:v>
                </c:pt>
              </c:numCache>
            </c:numRef>
          </c:xVal>
          <c:yVal>
            <c:numRef>
              <c:f>Water_Binary!$C$7:$C$17</c:f>
              <c:numCache>
                <c:formatCode>0.000</c:formatCode>
                <c:ptCount val="11"/>
                <c:pt idx="0">
                  <c:v>2.9499999999999999E-3</c:v>
                </c:pt>
                <c:pt idx="1">
                  <c:v>1.66E-3</c:v>
                </c:pt>
                <c:pt idx="2">
                  <c:v>9.7000000000000005E-4</c:v>
                </c:pt>
                <c:pt idx="3">
                  <c:v>7.5000000000000002E-4</c:v>
                </c:pt>
                <c:pt idx="4">
                  <c:v>6.2E-4</c:v>
                </c:pt>
                <c:pt idx="5">
                  <c:v>5.6999999999999998E-4</c:v>
                </c:pt>
                <c:pt idx="6">
                  <c:v>5.5000000000000003E-4</c:v>
                </c:pt>
                <c:pt idx="7">
                  <c:v>5.0000000000000001E-4</c:v>
                </c:pt>
                <c:pt idx="8">
                  <c:v>4.6000000000000001E-4</c:v>
                </c:pt>
                <c:pt idx="9">
                  <c:v>4.4000000000000002E-4</c:v>
                </c:pt>
                <c:pt idx="10">
                  <c:v>4.0000000000000002E-4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816-4492-8D6D-096B314E69F9}"/>
            </c:ext>
          </c:extLst>
        </c:ser>
        <c:ser>
          <c:idx val="1"/>
          <c:order val="1"/>
          <c:tx>
            <c:v>Расчет_37.8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Water_Binary!$I$7:$I$17</c:f>
              <c:numCache>
                <c:formatCode>General</c:formatCode>
                <c:ptCount val="11"/>
                <c:pt idx="0">
                  <c:v>2.5299999999999998</c:v>
                </c:pt>
                <c:pt idx="1">
                  <c:v>5.07</c:v>
                </c:pt>
                <c:pt idx="2">
                  <c:v>10.130000000000001</c:v>
                </c:pt>
                <c:pt idx="3">
                  <c:v>15.2</c:v>
                </c:pt>
                <c:pt idx="4">
                  <c:v>20.27</c:v>
                </c:pt>
                <c:pt idx="5">
                  <c:v>25.33</c:v>
                </c:pt>
                <c:pt idx="6">
                  <c:v>30.4</c:v>
                </c:pt>
                <c:pt idx="7">
                  <c:v>40.53</c:v>
                </c:pt>
                <c:pt idx="8">
                  <c:v>50.66</c:v>
                </c:pt>
                <c:pt idx="9">
                  <c:v>60.8</c:v>
                </c:pt>
                <c:pt idx="10">
                  <c:v>70.930000000000007</c:v>
                </c:pt>
              </c:numCache>
            </c:numRef>
          </c:xVal>
          <c:yVal>
            <c:numRef>
              <c:f>Water_Binary!$J$7:$J$17</c:f>
              <c:numCache>
                <c:formatCode>General</c:formatCode>
                <c:ptCount val="11"/>
                <c:pt idx="0">
                  <c:v>2.4982297613025395E-3</c:v>
                </c:pt>
                <c:pt idx="1">
                  <c:v>1.3767139208778064E-3</c:v>
                </c:pt>
                <c:pt idx="2">
                  <c:v>8.3905668504103879E-4</c:v>
                </c:pt>
                <c:pt idx="3">
                  <c:v>6.7342460581948425E-4</c:v>
                </c:pt>
                <c:pt idx="4">
                  <c:v>5.959992263574297E-4</c:v>
                </c:pt>
                <c:pt idx="5">
                  <c:v>5.5028226192128612E-4</c:v>
                </c:pt>
                <c:pt idx="6">
                  <c:v>5.1860950673464617E-4</c:v>
                </c:pt>
                <c:pt idx="7">
                  <c:v>4.7479492442986735E-4</c:v>
                </c:pt>
                <c:pt idx="8">
                  <c:v>4.4368671767927836E-4</c:v>
                </c:pt>
                <c:pt idx="9">
                  <c:v>4.1929696362809284E-4</c:v>
                </c:pt>
                <c:pt idx="10">
                  <c:v>3.9920714248151032E-4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816-4492-8D6D-096B314E69F9}"/>
            </c:ext>
          </c:extLst>
        </c:ser>
        <c:ser>
          <c:idx val="2"/>
          <c:order val="2"/>
          <c:tx>
            <c:v>Эксперимент_71.1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Water_Binary!$B$7:$B$17</c:f>
              <c:numCache>
                <c:formatCode>General</c:formatCode>
                <c:ptCount val="11"/>
                <c:pt idx="0">
                  <c:v>2.5299999999999998</c:v>
                </c:pt>
                <c:pt idx="1">
                  <c:v>5.07</c:v>
                </c:pt>
                <c:pt idx="2">
                  <c:v>10.130000000000001</c:v>
                </c:pt>
                <c:pt idx="3">
                  <c:v>15.2</c:v>
                </c:pt>
                <c:pt idx="4">
                  <c:v>20.27</c:v>
                </c:pt>
                <c:pt idx="5">
                  <c:v>25.33</c:v>
                </c:pt>
                <c:pt idx="6">
                  <c:v>30.4</c:v>
                </c:pt>
                <c:pt idx="7">
                  <c:v>40.53</c:v>
                </c:pt>
                <c:pt idx="8">
                  <c:v>50.66</c:v>
                </c:pt>
                <c:pt idx="9">
                  <c:v>60.8</c:v>
                </c:pt>
                <c:pt idx="10">
                  <c:v>70.930000000000007</c:v>
                </c:pt>
              </c:numCache>
            </c:numRef>
          </c:xVal>
          <c:yVal>
            <c:numRef>
              <c:f>Water_Binary!$D$7:$D$17</c:f>
              <c:numCache>
                <c:formatCode>0.000</c:formatCode>
                <c:ptCount val="11"/>
                <c:pt idx="0">
                  <c:v>1.3899999999999999E-2</c:v>
                </c:pt>
                <c:pt idx="1">
                  <c:v>7.4999999999999997E-3</c:v>
                </c:pt>
                <c:pt idx="2">
                  <c:v>4.4000000000000003E-3</c:v>
                </c:pt>
                <c:pt idx="3">
                  <c:v>3.3E-3</c:v>
                </c:pt>
                <c:pt idx="4">
                  <c:v>2.7000000000000001E-3</c:v>
                </c:pt>
                <c:pt idx="5">
                  <c:v>2.3999999999999998E-3</c:v>
                </c:pt>
                <c:pt idx="6">
                  <c:v>2.2000000000000001E-3</c:v>
                </c:pt>
                <c:pt idx="7">
                  <c:v>1.9E-3</c:v>
                </c:pt>
                <c:pt idx="8">
                  <c:v>1.8E-3</c:v>
                </c:pt>
                <c:pt idx="9">
                  <c:v>1.6999999999999999E-3</c:v>
                </c:pt>
                <c:pt idx="10">
                  <c:v>1.6000000000000001E-3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816-4492-8D6D-096B314E69F9}"/>
            </c:ext>
          </c:extLst>
        </c:ser>
        <c:ser>
          <c:idx val="3"/>
          <c:order val="3"/>
          <c:tx>
            <c:v>Расчет_71.1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Water_Binary!$I$7:$I$17</c:f>
              <c:numCache>
                <c:formatCode>General</c:formatCode>
                <c:ptCount val="11"/>
                <c:pt idx="0">
                  <c:v>2.5299999999999998</c:v>
                </c:pt>
                <c:pt idx="1">
                  <c:v>5.07</c:v>
                </c:pt>
                <c:pt idx="2">
                  <c:v>10.130000000000001</c:v>
                </c:pt>
                <c:pt idx="3">
                  <c:v>15.2</c:v>
                </c:pt>
                <c:pt idx="4">
                  <c:v>20.27</c:v>
                </c:pt>
                <c:pt idx="5">
                  <c:v>25.33</c:v>
                </c:pt>
                <c:pt idx="6">
                  <c:v>30.4</c:v>
                </c:pt>
                <c:pt idx="7">
                  <c:v>40.53</c:v>
                </c:pt>
                <c:pt idx="8">
                  <c:v>50.66</c:v>
                </c:pt>
                <c:pt idx="9">
                  <c:v>60.8</c:v>
                </c:pt>
                <c:pt idx="10">
                  <c:v>70.930000000000007</c:v>
                </c:pt>
              </c:numCache>
            </c:numRef>
          </c:xVal>
          <c:yVal>
            <c:numRef>
              <c:f>Water_Binary!$K$7:$K$17</c:f>
              <c:numCache>
                <c:formatCode>General</c:formatCode>
                <c:ptCount val="11"/>
                <c:pt idx="0">
                  <c:v>1.3063768576446861E-2</c:v>
                </c:pt>
                <c:pt idx="1">
                  <c:v>6.9874845703197068E-3</c:v>
                </c:pt>
                <c:pt idx="2">
                  <c:v>4.0350567171201441E-3</c:v>
                </c:pt>
                <c:pt idx="3">
                  <c:v>3.0816766701885576E-3</c:v>
                </c:pt>
                <c:pt idx="4">
                  <c:v>2.6169382353802093E-3</c:v>
                </c:pt>
                <c:pt idx="5">
                  <c:v>2.3398472173011072E-3</c:v>
                </c:pt>
                <c:pt idx="6">
                  <c:v>2.1514748232202459E-3</c:v>
                </c:pt>
                <c:pt idx="7">
                  <c:v>1.9032956369560822E-3</c:v>
                </c:pt>
                <c:pt idx="8">
                  <c:v>1.7388282976414523E-3</c:v>
                </c:pt>
                <c:pt idx="9">
                  <c:v>1.6168971802508565E-3</c:v>
                </c:pt>
                <c:pt idx="10">
                  <c:v>1.5207299951066778E-3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816-4492-8D6D-096B314E69F9}"/>
            </c:ext>
          </c:extLst>
        </c:ser>
        <c:ser>
          <c:idx val="4"/>
          <c:order val="4"/>
          <c:tx>
            <c:v>Эксперимент_104.4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Water_Binary!$B$7:$B$17</c:f>
              <c:numCache>
                <c:formatCode>General</c:formatCode>
                <c:ptCount val="11"/>
                <c:pt idx="0">
                  <c:v>2.5299999999999998</c:v>
                </c:pt>
                <c:pt idx="1">
                  <c:v>5.07</c:v>
                </c:pt>
                <c:pt idx="2">
                  <c:v>10.130000000000001</c:v>
                </c:pt>
                <c:pt idx="3">
                  <c:v>15.2</c:v>
                </c:pt>
                <c:pt idx="4">
                  <c:v>20.27</c:v>
                </c:pt>
                <c:pt idx="5">
                  <c:v>25.33</c:v>
                </c:pt>
                <c:pt idx="6">
                  <c:v>30.4</c:v>
                </c:pt>
                <c:pt idx="7">
                  <c:v>40.53</c:v>
                </c:pt>
                <c:pt idx="8">
                  <c:v>50.66</c:v>
                </c:pt>
                <c:pt idx="9">
                  <c:v>60.8</c:v>
                </c:pt>
                <c:pt idx="10">
                  <c:v>70.930000000000007</c:v>
                </c:pt>
              </c:numCache>
            </c:numRef>
          </c:xVal>
          <c:yVal>
            <c:numRef>
              <c:f>Water_Binary!$E$7:$E$17</c:f>
              <c:numCache>
                <c:formatCode>0.000</c:formatCode>
                <c:ptCount val="11"/>
                <c:pt idx="0">
                  <c:v>4.9099999999999998E-2</c:v>
                </c:pt>
                <c:pt idx="1">
                  <c:v>2.6200000000000001E-2</c:v>
                </c:pt>
                <c:pt idx="2">
                  <c:v>1.4800000000000001E-2</c:v>
                </c:pt>
                <c:pt idx="3">
                  <c:v>1.0800000000000001E-2</c:v>
                </c:pt>
                <c:pt idx="4">
                  <c:v>8.8000000000000005E-3</c:v>
                </c:pt>
                <c:pt idx="5">
                  <c:v>7.7000000000000002E-3</c:v>
                </c:pt>
                <c:pt idx="6">
                  <c:v>6.8999999999999999E-3</c:v>
                </c:pt>
                <c:pt idx="7">
                  <c:v>5.8999999999999999E-3</c:v>
                </c:pt>
                <c:pt idx="8">
                  <c:v>5.3E-3</c:v>
                </c:pt>
                <c:pt idx="9">
                  <c:v>5.1000000000000004E-3</c:v>
                </c:pt>
                <c:pt idx="10">
                  <c:v>4.8999999999999998E-3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816-4492-8D6D-096B314E69F9}"/>
            </c:ext>
          </c:extLst>
        </c:ser>
        <c:ser>
          <c:idx val="5"/>
          <c:order val="5"/>
          <c:tx>
            <c:v>Расчет_104.4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Water_Binary!$I$7:$I$17</c:f>
              <c:numCache>
                <c:formatCode>General</c:formatCode>
                <c:ptCount val="11"/>
                <c:pt idx="0">
                  <c:v>2.5299999999999998</c:v>
                </c:pt>
                <c:pt idx="1">
                  <c:v>5.07</c:v>
                </c:pt>
                <c:pt idx="2">
                  <c:v>10.130000000000001</c:v>
                </c:pt>
                <c:pt idx="3">
                  <c:v>15.2</c:v>
                </c:pt>
                <c:pt idx="4">
                  <c:v>20.27</c:v>
                </c:pt>
                <c:pt idx="5">
                  <c:v>25.33</c:v>
                </c:pt>
                <c:pt idx="6">
                  <c:v>30.4</c:v>
                </c:pt>
                <c:pt idx="7">
                  <c:v>40.53</c:v>
                </c:pt>
                <c:pt idx="8">
                  <c:v>50.66</c:v>
                </c:pt>
                <c:pt idx="9">
                  <c:v>60.8</c:v>
                </c:pt>
                <c:pt idx="10">
                  <c:v>70.930000000000007</c:v>
                </c:pt>
              </c:numCache>
            </c:numRef>
          </c:xVal>
          <c:yVal>
            <c:numRef>
              <c:f>Water_Binary!$L$7:$L$17</c:f>
              <c:numCache>
                <c:formatCode>General</c:formatCode>
                <c:ptCount val="11"/>
                <c:pt idx="0">
                  <c:v>5.0623487211639145E-2</c:v>
                </c:pt>
                <c:pt idx="1">
                  <c:v>2.6224824675656153E-2</c:v>
                </c:pt>
                <c:pt idx="2">
                  <c:v>1.4563413475635461E-2</c:v>
                </c:pt>
                <c:pt idx="3">
                  <c:v>1.0771090079349113E-2</c:v>
                </c:pt>
                <c:pt idx="4">
                  <c:v>8.9011866343979597E-3</c:v>
                </c:pt>
                <c:pt idx="5">
                  <c:v>7.7822493960921684E-3</c:v>
                </c:pt>
                <c:pt idx="6">
                  <c:v>7.0260825761024213E-3</c:v>
                </c:pt>
                <c:pt idx="7">
                  <c:v>6.049228490615826E-3</c:v>
                </c:pt>
                <c:pt idx="8">
                  <c:v>5.4232562155604076E-3</c:v>
                </c:pt>
                <c:pt idx="9">
                  <c:v>4.9736453208826178E-3</c:v>
                </c:pt>
                <c:pt idx="10">
                  <c:v>4.6284868046778151E-3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2816-4492-8D6D-096B314E69F9}"/>
            </c:ext>
          </c:extLst>
        </c:ser>
        <c:ser>
          <c:idx val="6"/>
          <c:order val="6"/>
          <c:tx>
            <c:v>Эксперимент_137.8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Water_Binary!$B$7:$B$17</c:f>
              <c:numCache>
                <c:formatCode>General</c:formatCode>
                <c:ptCount val="11"/>
                <c:pt idx="0">
                  <c:v>2.5299999999999998</c:v>
                </c:pt>
                <c:pt idx="1">
                  <c:v>5.07</c:v>
                </c:pt>
                <c:pt idx="2">
                  <c:v>10.130000000000001</c:v>
                </c:pt>
                <c:pt idx="3">
                  <c:v>15.2</c:v>
                </c:pt>
                <c:pt idx="4">
                  <c:v>20.27</c:v>
                </c:pt>
                <c:pt idx="5">
                  <c:v>25.33</c:v>
                </c:pt>
                <c:pt idx="6">
                  <c:v>30.4</c:v>
                </c:pt>
                <c:pt idx="7">
                  <c:v>40.53</c:v>
                </c:pt>
                <c:pt idx="8">
                  <c:v>50.66</c:v>
                </c:pt>
                <c:pt idx="9">
                  <c:v>60.8</c:v>
                </c:pt>
                <c:pt idx="10">
                  <c:v>70.930000000000007</c:v>
                </c:pt>
              </c:numCache>
            </c:numRef>
          </c:xVal>
          <c:yVal>
            <c:numRef>
              <c:f>Water_Binary!$F$7:$F$17</c:f>
              <c:numCache>
                <c:formatCode>0.000</c:formatCode>
                <c:ptCount val="11"/>
                <c:pt idx="0">
                  <c:v>0.1399</c:v>
                </c:pt>
                <c:pt idx="1">
                  <c:v>7.5200000000000003E-2</c:v>
                </c:pt>
                <c:pt idx="2">
                  <c:v>4.0599999999999997E-2</c:v>
                </c:pt>
                <c:pt idx="3">
                  <c:v>2.92E-2</c:v>
                </c:pt>
                <c:pt idx="4">
                  <c:v>2.35E-2</c:v>
                </c:pt>
                <c:pt idx="5">
                  <c:v>2.0299999999999999E-2</c:v>
                </c:pt>
                <c:pt idx="6">
                  <c:v>1.8200000000000001E-2</c:v>
                </c:pt>
                <c:pt idx="7">
                  <c:v>1.5599999999999999E-2</c:v>
                </c:pt>
                <c:pt idx="8">
                  <c:v>1.3899999999999999E-2</c:v>
                </c:pt>
                <c:pt idx="9">
                  <c:v>1.2800000000000001E-2</c:v>
                </c:pt>
                <c:pt idx="10">
                  <c:v>1.18E-2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2816-4492-8D6D-096B314E69F9}"/>
            </c:ext>
          </c:extLst>
        </c:ser>
        <c:ser>
          <c:idx val="7"/>
          <c:order val="7"/>
          <c:tx>
            <c:v>Расчет_137.8</c:v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Water_Binary!$I$7:$I$17</c:f>
              <c:numCache>
                <c:formatCode>General</c:formatCode>
                <c:ptCount val="11"/>
                <c:pt idx="0">
                  <c:v>2.5299999999999998</c:v>
                </c:pt>
                <c:pt idx="1">
                  <c:v>5.07</c:v>
                </c:pt>
                <c:pt idx="2">
                  <c:v>10.130000000000001</c:v>
                </c:pt>
                <c:pt idx="3">
                  <c:v>15.2</c:v>
                </c:pt>
                <c:pt idx="4">
                  <c:v>20.27</c:v>
                </c:pt>
                <c:pt idx="5">
                  <c:v>25.33</c:v>
                </c:pt>
                <c:pt idx="6">
                  <c:v>30.4</c:v>
                </c:pt>
                <c:pt idx="7">
                  <c:v>40.53</c:v>
                </c:pt>
                <c:pt idx="8">
                  <c:v>50.66</c:v>
                </c:pt>
                <c:pt idx="9">
                  <c:v>60.8</c:v>
                </c:pt>
                <c:pt idx="10">
                  <c:v>70.930000000000007</c:v>
                </c:pt>
              </c:numCache>
            </c:numRef>
          </c:xVal>
          <c:yVal>
            <c:numRef>
              <c:f>Water_Binary!$M$7:$M$17</c:f>
              <c:numCache>
                <c:formatCode>General</c:formatCode>
                <c:ptCount val="11"/>
                <c:pt idx="0">
                  <c:v>0.16460690716939402</c:v>
                </c:pt>
                <c:pt idx="1">
                  <c:v>8.0541355799188488E-2</c:v>
                </c:pt>
                <c:pt idx="2">
                  <c:v>4.2919381520445318E-2</c:v>
                </c:pt>
                <c:pt idx="3">
                  <c:v>3.0941362642357636E-2</c:v>
                </c:pt>
                <c:pt idx="4">
                  <c:v>2.505842371244095E-2</c:v>
                </c:pt>
                <c:pt idx="5">
                  <c:v>2.1547680339516477E-2</c:v>
                </c:pt>
                <c:pt idx="6">
                  <c:v>1.9186948628102496E-2</c:v>
                </c:pt>
                <c:pt idx="7">
                  <c:v>1.6171603115623479E-2</c:v>
                </c:pt>
                <c:pt idx="8">
                  <c:v>1.4276464436314024E-2</c:v>
                </c:pt>
                <c:pt idx="9">
                  <c:v>1.294154557022179E-2</c:v>
                </c:pt>
                <c:pt idx="10">
                  <c:v>1.1934687431494218E-2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2816-4492-8D6D-096B314E69F9}"/>
            </c:ext>
          </c:extLst>
        </c:ser>
        <c:ser>
          <c:idx val="8"/>
          <c:order val="8"/>
          <c:tx>
            <c:v>Эксперимент_150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Water_Binary!$B$20:$B$30</c:f>
              <c:numCache>
                <c:formatCode>General</c:formatCode>
                <c:ptCount val="11"/>
                <c:pt idx="0">
                  <c:v>4.9000000000000004</c:v>
                </c:pt>
                <c:pt idx="1">
                  <c:v>9.8000000000000007</c:v>
                </c:pt>
                <c:pt idx="2">
                  <c:v>14.7</c:v>
                </c:pt>
                <c:pt idx="3">
                  <c:v>19.600000000000001</c:v>
                </c:pt>
                <c:pt idx="4">
                  <c:v>24.5</c:v>
                </c:pt>
                <c:pt idx="5">
                  <c:v>29.4</c:v>
                </c:pt>
                <c:pt idx="6">
                  <c:v>39.200000000000003</c:v>
                </c:pt>
                <c:pt idx="7">
                  <c:v>49</c:v>
                </c:pt>
                <c:pt idx="8">
                  <c:v>58.8</c:v>
                </c:pt>
                <c:pt idx="9">
                  <c:v>78.400000000000006</c:v>
                </c:pt>
                <c:pt idx="10">
                  <c:v>98</c:v>
                </c:pt>
              </c:numCache>
            </c:numRef>
          </c:xVal>
          <c:yVal>
            <c:numRef>
              <c:f>Water_Binary!$C$20:$C$30</c:f>
              <c:numCache>
                <c:formatCode>General</c:formatCode>
                <c:ptCount val="11"/>
                <c:pt idx="0">
                  <c:v>0.105</c:v>
                </c:pt>
                <c:pt idx="1">
                  <c:v>0.06</c:v>
                </c:pt>
                <c:pt idx="2">
                  <c:v>4.4999999999999998E-2</c:v>
                </c:pt>
                <c:pt idx="3">
                  <c:v>3.6999999999999998E-2</c:v>
                </c:pt>
                <c:pt idx="4">
                  <c:v>3.1E-2</c:v>
                </c:pt>
                <c:pt idx="5">
                  <c:v>2.75E-2</c:v>
                </c:pt>
                <c:pt idx="6">
                  <c:v>2.1999999999999999E-2</c:v>
                </c:pt>
                <c:pt idx="7">
                  <c:v>1.8499999999999999E-2</c:v>
                </c:pt>
                <c:pt idx="8">
                  <c:v>1.7000000000000001E-2</c:v>
                </c:pt>
                <c:pt idx="9">
                  <c:v>1.6500000000000001E-2</c:v>
                </c:pt>
                <c:pt idx="10">
                  <c:v>1.4999999999999999E-2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2816-4492-8D6D-096B314E69F9}"/>
            </c:ext>
          </c:extLst>
        </c:ser>
        <c:ser>
          <c:idx val="9"/>
          <c:order val="9"/>
          <c:tx>
            <c:v>Расчет_150</c:v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Water_Binary!$I$20:$I$30</c:f>
              <c:numCache>
                <c:formatCode>General</c:formatCode>
                <c:ptCount val="11"/>
                <c:pt idx="0">
                  <c:v>4.9000000000000004</c:v>
                </c:pt>
                <c:pt idx="1">
                  <c:v>9.8000000000000007</c:v>
                </c:pt>
                <c:pt idx="2">
                  <c:v>14.7</c:v>
                </c:pt>
                <c:pt idx="3">
                  <c:v>19.600000000000001</c:v>
                </c:pt>
                <c:pt idx="4">
                  <c:v>24.5</c:v>
                </c:pt>
                <c:pt idx="5">
                  <c:v>29.4</c:v>
                </c:pt>
                <c:pt idx="6">
                  <c:v>39.200000000000003</c:v>
                </c:pt>
                <c:pt idx="7">
                  <c:v>49</c:v>
                </c:pt>
                <c:pt idx="8">
                  <c:v>58.8</c:v>
                </c:pt>
                <c:pt idx="9">
                  <c:v>78.400000000000006</c:v>
                </c:pt>
                <c:pt idx="10">
                  <c:v>98</c:v>
                </c:pt>
              </c:numCache>
            </c:numRef>
          </c:xVal>
          <c:yVal>
            <c:numRef>
              <c:f>Water_Binary!$J$20:$J$30</c:f>
              <c:numCache>
                <c:formatCode>General</c:formatCode>
                <c:ptCount val="11"/>
                <c:pt idx="0">
                  <c:v>0.1213739530139431</c:v>
                </c:pt>
                <c:pt idx="1">
                  <c:v>6.3097668068513593E-2</c:v>
                </c:pt>
                <c:pt idx="2">
                  <c:v>4.4949502268175498E-2</c:v>
                </c:pt>
                <c:pt idx="3">
                  <c:v>3.6089210542303671E-2</c:v>
                </c:pt>
                <c:pt idx="4">
                  <c:v>3.0814053537672428E-2</c:v>
                </c:pt>
                <c:pt idx="5">
                  <c:v>2.7288499648822309E-2</c:v>
                </c:pt>
                <c:pt idx="6">
                  <c:v>2.2807805766181924E-2</c:v>
                </c:pt>
                <c:pt idx="7">
                  <c:v>2.001609057068052E-2</c:v>
                </c:pt>
                <c:pt idx="8">
                  <c:v>1.8066734922056755E-2</c:v>
                </c:pt>
                <c:pt idx="9">
                  <c:v>1.5454296885691341E-2</c:v>
                </c:pt>
                <c:pt idx="10">
                  <c:v>1.3734668801519492E-2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2816-4492-8D6D-096B314E69F9}"/>
            </c:ext>
          </c:extLst>
        </c:ser>
        <c:ser>
          <c:idx val="10"/>
          <c:order val="10"/>
          <c:tx>
            <c:v>Эксперимент_200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Water_Binary!$B$20:$B$30</c:f>
              <c:numCache>
                <c:formatCode>General</c:formatCode>
                <c:ptCount val="11"/>
                <c:pt idx="0">
                  <c:v>4.9000000000000004</c:v>
                </c:pt>
                <c:pt idx="1">
                  <c:v>9.8000000000000007</c:v>
                </c:pt>
                <c:pt idx="2">
                  <c:v>14.7</c:v>
                </c:pt>
                <c:pt idx="3">
                  <c:v>19.600000000000001</c:v>
                </c:pt>
                <c:pt idx="4">
                  <c:v>24.5</c:v>
                </c:pt>
                <c:pt idx="5">
                  <c:v>29.4</c:v>
                </c:pt>
                <c:pt idx="6">
                  <c:v>39.200000000000003</c:v>
                </c:pt>
                <c:pt idx="7">
                  <c:v>49</c:v>
                </c:pt>
                <c:pt idx="8">
                  <c:v>58.8</c:v>
                </c:pt>
                <c:pt idx="9">
                  <c:v>78.400000000000006</c:v>
                </c:pt>
                <c:pt idx="10">
                  <c:v>98</c:v>
                </c:pt>
              </c:numCache>
            </c:numRef>
          </c:xVal>
          <c:yVal>
            <c:numRef>
              <c:f>Water_Binary!$D$20:$D$30</c:f>
              <c:numCache>
                <c:formatCode>General</c:formatCode>
                <c:ptCount val="11"/>
                <c:pt idx="0">
                  <c:v>0.35499999999999998</c:v>
                </c:pt>
                <c:pt idx="1">
                  <c:v>0.19</c:v>
                </c:pt>
                <c:pt idx="2">
                  <c:v>0.13700000000000001</c:v>
                </c:pt>
                <c:pt idx="3">
                  <c:v>0.1085</c:v>
                </c:pt>
                <c:pt idx="4">
                  <c:v>0.09</c:v>
                </c:pt>
                <c:pt idx="5">
                  <c:v>7.85E-2</c:v>
                </c:pt>
                <c:pt idx="6">
                  <c:v>6.5000000000000002E-2</c:v>
                </c:pt>
                <c:pt idx="7">
                  <c:v>5.6000000000000001E-2</c:v>
                </c:pt>
                <c:pt idx="8">
                  <c:v>5.1999999999999998E-2</c:v>
                </c:pt>
                <c:pt idx="9">
                  <c:v>4.5499999999999999E-2</c:v>
                </c:pt>
                <c:pt idx="10">
                  <c:v>3.6999999999999998E-2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2816-4492-8D6D-096B314E69F9}"/>
            </c:ext>
          </c:extLst>
        </c:ser>
        <c:ser>
          <c:idx val="11"/>
          <c:order val="11"/>
          <c:tx>
            <c:v>Расчет_200</c:v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Water_Binary!$I$20:$I$30</c:f>
              <c:numCache>
                <c:formatCode>General</c:formatCode>
                <c:ptCount val="11"/>
                <c:pt idx="0">
                  <c:v>4.9000000000000004</c:v>
                </c:pt>
                <c:pt idx="1">
                  <c:v>9.8000000000000007</c:v>
                </c:pt>
                <c:pt idx="2">
                  <c:v>14.7</c:v>
                </c:pt>
                <c:pt idx="3">
                  <c:v>19.600000000000001</c:v>
                </c:pt>
                <c:pt idx="4">
                  <c:v>24.5</c:v>
                </c:pt>
                <c:pt idx="5">
                  <c:v>29.4</c:v>
                </c:pt>
                <c:pt idx="6">
                  <c:v>39.200000000000003</c:v>
                </c:pt>
                <c:pt idx="7">
                  <c:v>49</c:v>
                </c:pt>
                <c:pt idx="8">
                  <c:v>58.8</c:v>
                </c:pt>
                <c:pt idx="9">
                  <c:v>78.400000000000006</c:v>
                </c:pt>
                <c:pt idx="10">
                  <c:v>98</c:v>
                </c:pt>
              </c:numCache>
            </c:numRef>
          </c:xVal>
          <c:yVal>
            <c:numRef>
              <c:f>Water_Binary!$K$20:$K$30</c:f>
              <c:numCache>
                <c:formatCode>General</c:formatCode>
                <c:ptCount val="11"/>
                <c:pt idx="0">
                  <c:v>0.53869230189632655</c:v>
                </c:pt>
                <c:pt idx="1">
                  <c:v>0.23822579938802937</c:v>
                </c:pt>
                <c:pt idx="2">
                  <c:v>0.16080049164465571</c:v>
                </c:pt>
                <c:pt idx="3">
                  <c:v>0.12512638471738446</c:v>
                </c:pt>
                <c:pt idx="4">
                  <c:v>0.10449497850266039</c:v>
                </c:pt>
                <c:pt idx="5">
                  <c:v>9.0964442538735882E-2</c:v>
                </c:pt>
                <c:pt idx="6">
                  <c:v>7.4109636253997566E-2</c:v>
                </c:pt>
                <c:pt idx="7">
                  <c:v>6.3849011468515598E-2</c:v>
                </c:pt>
                <c:pt idx="8">
                  <c:v>5.6824546583646288E-2</c:v>
                </c:pt>
                <c:pt idx="9">
                  <c:v>4.7632924418033303E-2</c:v>
                </c:pt>
                <c:pt idx="10">
                  <c:v>4.1745377510029234E-2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2816-4492-8D6D-096B314E69F9}"/>
            </c:ext>
          </c:extLst>
        </c:ser>
        <c:ser>
          <c:idx val="12"/>
          <c:order val="12"/>
          <c:tx>
            <c:v>Эксперимент_171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Water_Binary!$B$7:$B$17</c:f>
              <c:numCache>
                <c:formatCode>General</c:formatCode>
                <c:ptCount val="11"/>
                <c:pt idx="0">
                  <c:v>2.5299999999999998</c:v>
                </c:pt>
                <c:pt idx="1">
                  <c:v>5.07</c:v>
                </c:pt>
                <c:pt idx="2">
                  <c:v>10.130000000000001</c:v>
                </c:pt>
                <c:pt idx="3">
                  <c:v>15.2</c:v>
                </c:pt>
                <c:pt idx="4">
                  <c:v>20.27</c:v>
                </c:pt>
                <c:pt idx="5">
                  <c:v>25.33</c:v>
                </c:pt>
                <c:pt idx="6">
                  <c:v>30.4</c:v>
                </c:pt>
                <c:pt idx="7">
                  <c:v>40.53</c:v>
                </c:pt>
                <c:pt idx="8">
                  <c:v>50.66</c:v>
                </c:pt>
                <c:pt idx="9">
                  <c:v>60.8</c:v>
                </c:pt>
                <c:pt idx="10">
                  <c:v>70.930000000000007</c:v>
                </c:pt>
              </c:numCache>
            </c:numRef>
          </c:xVal>
          <c:yVal>
            <c:numRef>
              <c:f>Water_Binary!$G$7:$G$17</c:f>
              <c:numCache>
                <c:formatCode>0.000</c:formatCode>
                <c:ptCount val="11"/>
                <c:pt idx="0">
                  <c:v>0.33229999999999998</c:v>
                </c:pt>
                <c:pt idx="1">
                  <c:v>0.17150000000000001</c:v>
                </c:pt>
                <c:pt idx="2">
                  <c:v>9.5000000000000001E-2</c:v>
                </c:pt>
                <c:pt idx="3">
                  <c:v>6.8000000000000005E-2</c:v>
                </c:pt>
                <c:pt idx="4">
                  <c:v>5.45E-2</c:v>
                </c:pt>
                <c:pt idx="5">
                  <c:v>4.6699999999999998E-2</c:v>
                </c:pt>
                <c:pt idx="6">
                  <c:v>4.1500000000000002E-2</c:v>
                </c:pt>
                <c:pt idx="7">
                  <c:v>3.5000000000000003E-2</c:v>
                </c:pt>
                <c:pt idx="8">
                  <c:v>3.1E-2</c:v>
                </c:pt>
                <c:pt idx="9">
                  <c:v>2.8000000000000001E-2</c:v>
                </c:pt>
                <c:pt idx="10">
                  <c:v>2.5999999999999999E-2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2816-4492-8D6D-096B314E69F9}"/>
            </c:ext>
          </c:extLst>
        </c:ser>
        <c:ser>
          <c:idx val="13"/>
          <c:order val="13"/>
          <c:tx>
            <c:v>Расчет_171</c:v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Water_Binary!$I$7:$I$17</c:f>
              <c:numCache>
                <c:formatCode>General</c:formatCode>
                <c:ptCount val="11"/>
                <c:pt idx="0">
                  <c:v>2.5299999999999998</c:v>
                </c:pt>
                <c:pt idx="1">
                  <c:v>5.07</c:v>
                </c:pt>
                <c:pt idx="2">
                  <c:v>10.130000000000001</c:v>
                </c:pt>
                <c:pt idx="3">
                  <c:v>15.2</c:v>
                </c:pt>
                <c:pt idx="4">
                  <c:v>20.27</c:v>
                </c:pt>
                <c:pt idx="5">
                  <c:v>25.33</c:v>
                </c:pt>
                <c:pt idx="6">
                  <c:v>30.4</c:v>
                </c:pt>
                <c:pt idx="7">
                  <c:v>40.53</c:v>
                </c:pt>
                <c:pt idx="8">
                  <c:v>50.66</c:v>
                </c:pt>
                <c:pt idx="9">
                  <c:v>60.8</c:v>
                </c:pt>
                <c:pt idx="10">
                  <c:v>70.930000000000007</c:v>
                </c:pt>
              </c:numCache>
            </c:numRef>
          </c:xVal>
          <c:yVal>
            <c:numRef>
              <c:f>Water_Binary!$N$7:$N$17</c:f>
              <c:numCache>
                <c:formatCode>General</c:formatCode>
                <c:ptCount val="11"/>
                <c:pt idx="0">
                  <c:v>0.51413689616783986</c:v>
                </c:pt>
                <c:pt idx="1">
                  <c:v>0.21918774035018918</c:v>
                </c:pt>
                <c:pt idx="2">
                  <c:v>0.10950431135290067</c:v>
                </c:pt>
                <c:pt idx="3">
                  <c:v>7.6788016952944849E-2</c:v>
                </c:pt>
                <c:pt idx="4">
                  <c:v>6.1047335179047715E-2</c:v>
                </c:pt>
                <c:pt idx="5">
                  <c:v>5.1755116204703959E-2</c:v>
                </c:pt>
                <c:pt idx="6">
                  <c:v>4.5557686663127053E-2</c:v>
                </c:pt>
                <c:pt idx="7">
                  <c:v>3.7726832776305723E-2</c:v>
                </c:pt>
                <c:pt idx="8">
                  <c:v>3.2877948609270312E-2</c:v>
                </c:pt>
                <c:pt idx="9">
                  <c:v>2.9510104081121036E-2</c:v>
                </c:pt>
                <c:pt idx="10">
                  <c:v>2.7002074030804842E-2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2816-4492-8D6D-096B314E69F9}"/>
            </c:ext>
          </c:extLst>
        </c:ser>
        <c:ser>
          <c:idx val="14"/>
          <c:order val="14"/>
          <c:tx>
            <c:v>Эксперимент_250</c:v>
          </c:tx>
          <c:spPr>
            <a:ln w="28575">
              <a:noFill/>
            </a:ln>
          </c:spPr>
          <c:xVal>
            <c:numRef>
              <c:f>Water_Binary!$B$20:$B$30</c:f>
              <c:numCache>
                <c:formatCode>General</c:formatCode>
                <c:ptCount val="11"/>
                <c:pt idx="0">
                  <c:v>4.9000000000000004</c:v>
                </c:pt>
                <c:pt idx="1">
                  <c:v>9.8000000000000007</c:v>
                </c:pt>
                <c:pt idx="2">
                  <c:v>14.7</c:v>
                </c:pt>
                <c:pt idx="3">
                  <c:v>19.600000000000001</c:v>
                </c:pt>
                <c:pt idx="4">
                  <c:v>24.5</c:v>
                </c:pt>
                <c:pt idx="5">
                  <c:v>29.4</c:v>
                </c:pt>
                <c:pt idx="6">
                  <c:v>39.200000000000003</c:v>
                </c:pt>
                <c:pt idx="7">
                  <c:v>49</c:v>
                </c:pt>
                <c:pt idx="8">
                  <c:v>58.8</c:v>
                </c:pt>
                <c:pt idx="9">
                  <c:v>78.400000000000006</c:v>
                </c:pt>
                <c:pt idx="10">
                  <c:v>98</c:v>
                </c:pt>
              </c:numCache>
            </c:numRef>
          </c:xVal>
          <c:yVal>
            <c:numRef>
              <c:f>Water_Binary!$E$20:$E$30</c:f>
              <c:numCache>
                <c:formatCode>General</c:formatCode>
                <c:ptCount val="11"/>
                <c:pt idx="0">
                  <c:v>0.8</c:v>
                </c:pt>
                <c:pt idx="1">
                  <c:v>0.47</c:v>
                </c:pt>
                <c:pt idx="2">
                  <c:v>0.33800000000000002</c:v>
                </c:pt>
                <c:pt idx="3">
                  <c:v>0.26700000000000002</c:v>
                </c:pt>
                <c:pt idx="4">
                  <c:v>0.22600000000000001</c:v>
                </c:pt>
                <c:pt idx="5">
                  <c:v>0.2</c:v>
                </c:pt>
                <c:pt idx="6">
                  <c:v>0.16800000000000001</c:v>
                </c:pt>
                <c:pt idx="7">
                  <c:v>0.14499999999999999</c:v>
                </c:pt>
                <c:pt idx="8">
                  <c:v>0.128</c:v>
                </c:pt>
                <c:pt idx="9">
                  <c:v>0.10199999999999999</c:v>
                </c:pt>
                <c:pt idx="10">
                  <c:v>0.09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2816-4492-8D6D-096B314E69F9}"/>
            </c:ext>
          </c:extLst>
        </c:ser>
        <c:ser>
          <c:idx val="15"/>
          <c:order val="15"/>
          <c:tx>
            <c:v>Расчет_250</c:v>
          </c:tx>
          <c:marker>
            <c:symbol val="none"/>
          </c:marker>
          <c:xVal>
            <c:numRef>
              <c:f>Water_Binary!$I$21:$I$30</c:f>
              <c:numCache>
                <c:formatCode>General</c:formatCode>
                <c:ptCount val="10"/>
                <c:pt idx="0">
                  <c:v>9.8000000000000007</c:v>
                </c:pt>
                <c:pt idx="1">
                  <c:v>14.7</c:v>
                </c:pt>
                <c:pt idx="2">
                  <c:v>19.600000000000001</c:v>
                </c:pt>
                <c:pt idx="3">
                  <c:v>24.5</c:v>
                </c:pt>
                <c:pt idx="4">
                  <c:v>29.4</c:v>
                </c:pt>
                <c:pt idx="5">
                  <c:v>39.200000000000003</c:v>
                </c:pt>
                <c:pt idx="6">
                  <c:v>49</c:v>
                </c:pt>
                <c:pt idx="7">
                  <c:v>58.8</c:v>
                </c:pt>
                <c:pt idx="8">
                  <c:v>78.400000000000006</c:v>
                </c:pt>
                <c:pt idx="9">
                  <c:v>98</c:v>
                </c:pt>
              </c:numCache>
            </c:numRef>
          </c:xVal>
          <c:yVal>
            <c:numRef>
              <c:f>Water_Binary!$L$21:$L$30</c:f>
              <c:numCache>
                <c:formatCode>General</c:formatCode>
                <c:ptCount val="10"/>
                <c:pt idx="0">
                  <c:v>0.86825685284828902</c:v>
                </c:pt>
                <c:pt idx="1">
                  <c:v>0.50717374753711986</c:v>
                </c:pt>
                <c:pt idx="2">
                  <c:v>0.37109318864146579</c:v>
                </c:pt>
                <c:pt idx="3">
                  <c:v>0.29912098342130305</c:v>
                </c:pt>
                <c:pt idx="4">
                  <c:v>0.25429558255703305</c:v>
                </c:pt>
                <c:pt idx="5">
                  <c:v>0.20091915689556175</c:v>
                </c:pt>
                <c:pt idx="6">
                  <c:v>0.16972933196298023</c:v>
                </c:pt>
                <c:pt idx="7">
                  <c:v>0.14895060422316933</c:v>
                </c:pt>
                <c:pt idx="8">
                  <c:v>0.12248886899786564</c:v>
                </c:pt>
                <c:pt idx="9">
                  <c:v>0.10599186725689333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2816-4492-8D6D-096B314E69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9398792"/>
        <c:axId val="1"/>
      </c:scatterChart>
      <c:valAx>
        <c:axId val="479398792"/>
        <c:scaling>
          <c:orientation val="minMax"/>
          <c:max val="1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ru-RU" sz="120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Давление, МПа </a:t>
                </a:r>
              </a:p>
            </c:rich>
          </c:tx>
          <c:layout>
            <c:manualLayout>
              <c:xMode val="edge"/>
              <c:yMode val="edge"/>
              <c:x val="0.4100222849502303"/>
              <c:y val="0.93613975929546389"/>
            </c:manualLayout>
          </c:layout>
          <c:overlay val="0"/>
        </c:title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ru-RU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"/>
          <c:min val="1E-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ru-RU" sz="120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Мольная</a:t>
                </a:r>
                <a:r>
                  <a:rPr lang="ru-RU" sz="1200" baseline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доля воды (</a:t>
                </a:r>
                <a:r>
                  <a:rPr lang="en-US" sz="1200" baseline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H</a:t>
                </a:r>
                <a:r>
                  <a:rPr lang="en-US" sz="1200" baseline="-2500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2</a:t>
                </a:r>
                <a:r>
                  <a:rPr lang="en-US" sz="1200" baseline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0</a:t>
                </a:r>
                <a:r>
                  <a:rPr lang="ru-RU" sz="1200" baseline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) в паровой фазе</a:t>
                </a:r>
                <a:r>
                  <a:rPr lang="en-US" sz="1200" baseline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</a:t>
                </a:r>
                <a:endParaRPr lang="ru-RU" sz="1200"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layout>
            <c:manualLayout>
              <c:xMode val="edge"/>
              <c:yMode val="edge"/>
              <c:x val="7.6189768731738721E-3"/>
              <c:y val="0.14674726023711729"/>
            </c:manualLayout>
          </c:layout>
          <c:overlay val="0"/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79398792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 sz="1400" b="1" i="0" baseline="0">
                <a:effectLst/>
                <a:latin typeface="Times New Roman" panose="02020603050405020304" pitchFamily="18" charset="0"/>
                <a:cs typeface="Times New Roman" panose="02020603050405020304" pitchFamily="18" charset="0"/>
              </a:rPr>
              <a:t>Содержание водяных паров в газовой фазе, находящейся в равновесии с раствором этана (</a:t>
            </a:r>
            <a:r>
              <a:rPr lang="en-US" sz="1400" b="1" i="0" baseline="0">
                <a:effectLst/>
                <a:latin typeface="Times New Roman" panose="02020603050405020304" pitchFamily="18" charset="0"/>
                <a:cs typeface="Times New Roman" panose="02020603050405020304" pitchFamily="18" charset="0"/>
              </a:rPr>
              <a:t>C</a:t>
            </a:r>
            <a:r>
              <a:rPr lang="ru-RU" sz="1400" b="1" i="0" baseline="-25000">
                <a:effectLst/>
                <a:latin typeface="Times New Roman" panose="02020603050405020304" pitchFamily="18" charset="0"/>
                <a:cs typeface="Times New Roman" panose="02020603050405020304" pitchFamily="18" charset="0"/>
              </a:rPr>
              <a:t>2</a:t>
            </a:r>
            <a:r>
              <a:rPr lang="en-US" sz="1400" b="1" i="0" baseline="0">
                <a:effectLst/>
                <a:latin typeface="Times New Roman" panose="02020603050405020304" pitchFamily="18" charset="0"/>
                <a:cs typeface="Times New Roman" panose="02020603050405020304" pitchFamily="18" charset="0"/>
              </a:rPr>
              <a:t>H</a:t>
            </a:r>
            <a:r>
              <a:rPr lang="ru-RU" sz="1400" b="1" i="0" baseline="-25000">
                <a:effectLst/>
                <a:latin typeface="Times New Roman" panose="02020603050405020304" pitchFamily="18" charset="0"/>
                <a:cs typeface="Times New Roman" panose="02020603050405020304" pitchFamily="18" charset="0"/>
              </a:rPr>
              <a:t>6</a:t>
            </a:r>
            <a:r>
              <a:rPr lang="ru-RU" sz="1400" b="1" i="0" baseline="0">
                <a:effectLst/>
                <a:latin typeface="Times New Roman" panose="02020603050405020304" pitchFamily="18" charset="0"/>
                <a:cs typeface="Times New Roman" panose="02020603050405020304" pitchFamily="18" charset="0"/>
              </a:rPr>
              <a:t>) в воде</a:t>
            </a:r>
            <a:endParaRPr lang="ru-RU" sz="1400">
              <a:effectLst/>
              <a:latin typeface="Times New Roman" panose="02020603050405020304" pitchFamily="18" charset="0"/>
              <a:cs typeface="Times New Roman" panose="02020603050405020304" pitchFamily="18" charset="0"/>
            </a:endParaRPr>
          </a:p>
        </c:rich>
      </c:tx>
      <c:layout>
        <c:manualLayout>
          <c:xMode val="edge"/>
          <c:yMode val="edge"/>
          <c:x val="0.14227976205168713"/>
          <c:y val="1.2593564693302224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084042494688164"/>
          <c:y val="0.1594819987124251"/>
          <c:w val="0.84628781402324704"/>
          <c:h val="0.73475139899965336"/>
        </c:manualLayout>
      </c:layout>
      <c:scatterChart>
        <c:scatterStyle val="lineMarker"/>
        <c:varyColors val="0"/>
        <c:ser>
          <c:idx val="0"/>
          <c:order val="0"/>
          <c:tx>
            <c:v>Эксперимент_37.8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Water_Binary!$B$36:$B$45</c:f>
              <c:numCache>
                <c:formatCode>General</c:formatCode>
                <c:ptCount val="10"/>
                <c:pt idx="0">
                  <c:v>2.5299999999999998</c:v>
                </c:pt>
                <c:pt idx="1">
                  <c:v>5.07</c:v>
                </c:pt>
                <c:pt idx="2">
                  <c:v>10.130000000000001</c:v>
                </c:pt>
                <c:pt idx="3">
                  <c:v>15.2</c:v>
                </c:pt>
                <c:pt idx="4">
                  <c:v>20.27</c:v>
                </c:pt>
                <c:pt idx="5">
                  <c:v>30.4</c:v>
                </c:pt>
                <c:pt idx="6">
                  <c:v>40.53</c:v>
                </c:pt>
                <c:pt idx="7">
                  <c:v>50.66</c:v>
                </c:pt>
                <c:pt idx="8">
                  <c:v>60.8</c:v>
                </c:pt>
                <c:pt idx="9">
                  <c:v>70.930000000000007</c:v>
                </c:pt>
              </c:numCache>
            </c:numRef>
          </c:xVal>
          <c:yVal>
            <c:numRef>
              <c:f>Water_Binary!$C$36:$C$45</c:f>
              <c:numCache>
                <c:formatCode>General</c:formatCode>
                <c:ptCount val="10"/>
                <c:pt idx="0">
                  <c:v>2.8410000000000002E-3</c:v>
                </c:pt>
                <c:pt idx="1">
                  <c:v>1.6000000000000001E-3</c:v>
                </c:pt>
                <c:pt idx="2">
                  <c:v>9.6000000000000002E-4</c:v>
                </c:pt>
                <c:pt idx="3">
                  <c:v>6.8999999999999997E-4</c:v>
                </c:pt>
                <c:pt idx="4">
                  <c:v>6.4999999999999997E-4</c:v>
                </c:pt>
                <c:pt idx="5">
                  <c:v>6.2E-4</c:v>
                </c:pt>
                <c:pt idx="6">
                  <c:v>6.3000000000000003E-4</c:v>
                </c:pt>
                <c:pt idx="7">
                  <c:v>6.3000000000000003E-4</c:v>
                </c:pt>
                <c:pt idx="8">
                  <c:v>6.3000000000000003E-4</c:v>
                </c:pt>
                <c:pt idx="9">
                  <c:v>6.3000000000000003E-4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980-4E23-892C-BE1BDF9BDBDA}"/>
            </c:ext>
          </c:extLst>
        </c:ser>
        <c:ser>
          <c:idx val="1"/>
          <c:order val="1"/>
          <c:tx>
            <c:v>Расчет_37.8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Water_Binary!$I$36:$I$45</c:f>
              <c:numCache>
                <c:formatCode>General</c:formatCode>
                <c:ptCount val="10"/>
                <c:pt idx="0">
                  <c:v>2.5299999999999998</c:v>
                </c:pt>
                <c:pt idx="1">
                  <c:v>5.07</c:v>
                </c:pt>
                <c:pt idx="2">
                  <c:v>10.130000000000001</c:v>
                </c:pt>
                <c:pt idx="3">
                  <c:v>15.2</c:v>
                </c:pt>
                <c:pt idx="4">
                  <c:v>20.27</c:v>
                </c:pt>
                <c:pt idx="5">
                  <c:v>30.4</c:v>
                </c:pt>
                <c:pt idx="6">
                  <c:v>40.53</c:v>
                </c:pt>
                <c:pt idx="7">
                  <c:v>50.66</c:v>
                </c:pt>
                <c:pt idx="8">
                  <c:v>60.8</c:v>
                </c:pt>
                <c:pt idx="9">
                  <c:v>70.930000000000007</c:v>
                </c:pt>
              </c:numCache>
            </c:numRef>
          </c:xVal>
          <c:yVal>
            <c:numRef>
              <c:f>Water_Binary!$J$36:$J$45</c:f>
              <c:numCache>
                <c:formatCode>General</c:formatCode>
                <c:ptCount val="10"/>
                <c:pt idx="0">
                  <c:v>2.435319659430273E-3</c:v>
                </c:pt>
                <c:pt idx="1">
                  <c:v>1.2255468025910634E-3</c:v>
                </c:pt>
                <c:pt idx="2">
                  <c:v>8.6125567413917331E-4</c:v>
                </c:pt>
                <c:pt idx="3">
                  <c:v>7.9723261320934326E-4</c:v>
                </c:pt>
                <c:pt idx="4">
                  <c:v>7.533215651453713E-4</c:v>
                </c:pt>
                <c:pt idx="5">
                  <c:v>6.9051919175144535E-4</c:v>
                </c:pt>
                <c:pt idx="6">
                  <c:v>6.446716179096092E-4</c:v>
                </c:pt>
                <c:pt idx="7">
                  <c:v>6.0838406081089951E-4</c:v>
                </c:pt>
                <c:pt idx="8">
                  <c:v>5.7834946929243513E-4</c:v>
                </c:pt>
                <c:pt idx="9">
                  <c:v>5.5283224300088727E-4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980-4E23-892C-BE1BDF9BDBDA}"/>
            </c:ext>
          </c:extLst>
        </c:ser>
        <c:ser>
          <c:idx val="2"/>
          <c:order val="2"/>
          <c:tx>
            <c:v>Эксперимент_71.1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Water_Binary!$B$36:$B$45</c:f>
              <c:numCache>
                <c:formatCode>General</c:formatCode>
                <c:ptCount val="10"/>
                <c:pt idx="0">
                  <c:v>2.5299999999999998</c:v>
                </c:pt>
                <c:pt idx="1">
                  <c:v>5.07</c:v>
                </c:pt>
                <c:pt idx="2">
                  <c:v>10.130000000000001</c:v>
                </c:pt>
                <c:pt idx="3">
                  <c:v>15.2</c:v>
                </c:pt>
                <c:pt idx="4">
                  <c:v>20.27</c:v>
                </c:pt>
                <c:pt idx="5">
                  <c:v>30.4</c:v>
                </c:pt>
                <c:pt idx="6">
                  <c:v>40.53</c:v>
                </c:pt>
                <c:pt idx="7">
                  <c:v>50.66</c:v>
                </c:pt>
                <c:pt idx="8">
                  <c:v>60.8</c:v>
                </c:pt>
                <c:pt idx="9">
                  <c:v>70.930000000000007</c:v>
                </c:pt>
              </c:numCache>
            </c:numRef>
          </c:xVal>
          <c:yVal>
            <c:numRef>
              <c:f>Water_Binary!$D$36:$D$45</c:f>
              <c:numCache>
                <c:formatCode>General</c:formatCode>
                <c:ptCount val="10"/>
                <c:pt idx="0">
                  <c:v>1.1368E-2</c:v>
                </c:pt>
                <c:pt idx="1">
                  <c:v>7.5399999999999998E-3</c:v>
                </c:pt>
                <c:pt idx="2">
                  <c:v>4.2199999999999998E-3</c:v>
                </c:pt>
                <c:pt idx="3">
                  <c:v>3.2000000000000002E-3</c:v>
                </c:pt>
                <c:pt idx="4">
                  <c:v>2.7200000000000002E-3</c:v>
                </c:pt>
                <c:pt idx="5">
                  <c:v>2.31E-3</c:v>
                </c:pt>
                <c:pt idx="6">
                  <c:v>2.14E-3</c:v>
                </c:pt>
                <c:pt idx="7">
                  <c:v>2.0600000000000002E-3</c:v>
                </c:pt>
                <c:pt idx="8">
                  <c:v>2E-3</c:v>
                </c:pt>
                <c:pt idx="9">
                  <c:v>1.9400000000000001E-3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980-4E23-892C-BE1BDF9BDBDA}"/>
            </c:ext>
          </c:extLst>
        </c:ser>
        <c:ser>
          <c:idx val="3"/>
          <c:order val="3"/>
          <c:tx>
            <c:v>Расчет_71.1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Water_Binary!$I$36:$I$45</c:f>
              <c:numCache>
                <c:formatCode>General</c:formatCode>
                <c:ptCount val="10"/>
                <c:pt idx="0">
                  <c:v>2.5299999999999998</c:v>
                </c:pt>
                <c:pt idx="1">
                  <c:v>5.07</c:v>
                </c:pt>
                <c:pt idx="2">
                  <c:v>10.130000000000001</c:v>
                </c:pt>
                <c:pt idx="3">
                  <c:v>15.2</c:v>
                </c:pt>
                <c:pt idx="4">
                  <c:v>20.27</c:v>
                </c:pt>
                <c:pt idx="5">
                  <c:v>30.4</c:v>
                </c:pt>
                <c:pt idx="6">
                  <c:v>40.53</c:v>
                </c:pt>
                <c:pt idx="7">
                  <c:v>50.66</c:v>
                </c:pt>
                <c:pt idx="8">
                  <c:v>60.8</c:v>
                </c:pt>
                <c:pt idx="9">
                  <c:v>70.930000000000007</c:v>
                </c:pt>
              </c:numCache>
            </c:numRef>
          </c:xVal>
          <c:yVal>
            <c:numRef>
              <c:f>Water_Binary!$K$36:$K$45</c:f>
              <c:numCache>
                <c:formatCode>General</c:formatCode>
                <c:ptCount val="10"/>
                <c:pt idx="0">
                  <c:v>1.2809057161286363E-2</c:v>
                </c:pt>
                <c:pt idx="1">
                  <c:v>6.6517570055704377E-3</c:v>
                </c:pt>
                <c:pt idx="2">
                  <c:v>3.7106372781775237E-3</c:v>
                </c:pt>
                <c:pt idx="3">
                  <c:v>3.1025744671683781E-3</c:v>
                </c:pt>
                <c:pt idx="4">
                  <c:v>2.8131456423303616E-3</c:v>
                </c:pt>
                <c:pt idx="5">
                  <c:v>2.4715040524895546E-3</c:v>
                </c:pt>
                <c:pt idx="6">
                  <c:v>2.2524756154031372E-3</c:v>
                </c:pt>
                <c:pt idx="7">
                  <c:v>2.0910935429142635E-3</c:v>
                </c:pt>
                <c:pt idx="8">
                  <c:v>1.9637369898375884E-3</c:v>
                </c:pt>
                <c:pt idx="9">
                  <c:v>1.8592476443519304E-3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980-4E23-892C-BE1BDF9BDBDA}"/>
            </c:ext>
          </c:extLst>
        </c:ser>
        <c:ser>
          <c:idx val="4"/>
          <c:order val="4"/>
          <c:tx>
            <c:v>Эксперимент_104.4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Water_Binary!$B$36:$B$45</c:f>
              <c:numCache>
                <c:formatCode>General</c:formatCode>
                <c:ptCount val="10"/>
                <c:pt idx="0">
                  <c:v>2.5299999999999998</c:v>
                </c:pt>
                <c:pt idx="1">
                  <c:v>5.07</c:v>
                </c:pt>
                <c:pt idx="2">
                  <c:v>10.130000000000001</c:v>
                </c:pt>
                <c:pt idx="3">
                  <c:v>15.2</c:v>
                </c:pt>
                <c:pt idx="4">
                  <c:v>20.27</c:v>
                </c:pt>
                <c:pt idx="5">
                  <c:v>30.4</c:v>
                </c:pt>
                <c:pt idx="6">
                  <c:v>40.53</c:v>
                </c:pt>
                <c:pt idx="7">
                  <c:v>50.66</c:v>
                </c:pt>
                <c:pt idx="8">
                  <c:v>60.8</c:v>
                </c:pt>
                <c:pt idx="9">
                  <c:v>70.930000000000007</c:v>
                </c:pt>
              </c:numCache>
            </c:numRef>
          </c:xVal>
          <c:yVal>
            <c:numRef>
              <c:f>Water_Binary!$E$36:$E$45</c:f>
              <c:numCache>
                <c:formatCode>General</c:formatCode>
                <c:ptCount val="10"/>
                <c:pt idx="0">
                  <c:v>4.8869999999999997E-2</c:v>
                </c:pt>
                <c:pt idx="1">
                  <c:v>2.6200000000000001E-2</c:v>
                </c:pt>
                <c:pt idx="2">
                  <c:v>1.43E-2</c:v>
                </c:pt>
                <c:pt idx="3">
                  <c:v>1.04E-2</c:v>
                </c:pt>
                <c:pt idx="4">
                  <c:v>8.6E-3</c:v>
                </c:pt>
                <c:pt idx="5">
                  <c:v>6.9499999999999996E-3</c:v>
                </c:pt>
                <c:pt idx="6">
                  <c:v>6.1999999999999998E-3</c:v>
                </c:pt>
                <c:pt idx="7">
                  <c:v>5.7999999999999996E-3</c:v>
                </c:pt>
                <c:pt idx="8">
                  <c:v>5.4999999999999997E-3</c:v>
                </c:pt>
                <c:pt idx="9">
                  <c:v>5.3E-3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980-4E23-892C-BE1BDF9BDBDA}"/>
            </c:ext>
          </c:extLst>
        </c:ser>
        <c:ser>
          <c:idx val="5"/>
          <c:order val="5"/>
          <c:tx>
            <c:v>Расчет_104.4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Water_Binary!$I$36:$I$45</c:f>
              <c:numCache>
                <c:formatCode>General</c:formatCode>
                <c:ptCount val="10"/>
                <c:pt idx="0">
                  <c:v>2.5299999999999998</c:v>
                </c:pt>
                <c:pt idx="1">
                  <c:v>5.07</c:v>
                </c:pt>
                <c:pt idx="2">
                  <c:v>10.130000000000001</c:v>
                </c:pt>
                <c:pt idx="3">
                  <c:v>15.2</c:v>
                </c:pt>
                <c:pt idx="4">
                  <c:v>20.27</c:v>
                </c:pt>
                <c:pt idx="5">
                  <c:v>30.4</c:v>
                </c:pt>
                <c:pt idx="6">
                  <c:v>40.53</c:v>
                </c:pt>
                <c:pt idx="7">
                  <c:v>50.66</c:v>
                </c:pt>
                <c:pt idx="8">
                  <c:v>60.8</c:v>
                </c:pt>
                <c:pt idx="9">
                  <c:v>70.930000000000007</c:v>
                </c:pt>
              </c:numCache>
            </c:numRef>
          </c:xVal>
          <c:yVal>
            <c:numRef>
              <c:f>Water_Binary!$L$36:$L$45</c:f>
              <c:numCache>
                <c:formatCode>General</c:formatCode>
                <c:ptCount val="10"/>
                <c:pt idx="0">
                  <c:v>5.0077459975247006E-2</c:v>
                </c:pt>
                <c:pt idx="1">
                  <c:v>2.5438260729379811E-2</c:v>
                </c:pt>
                <c:pt idx="2">
                  <c:v>1.3693764237752225E-2</c:v>
                </c:pt>
                <c:pt idx="3">
                  <c:v>1.0316585231354309E-2</c:v>
                </c:pt>
                <c:pt idx="4">
                  <c:v>8.8511642872463464E-3</c:v>
                </c:pt>
                <c:pt idx="5">
                  <c:v>7.3678693019707496E-3</c:v>
                </c:pt>
                <c:pt idx="6">
                  <c:v>6.5253051120093258E-3</c:v>
                </c:pt>
                <c:pt idx="7">
                  <c:v>5.9452261019703884E-3</c:v>
                </c:pt>
                <c:pt idx="8">
                  <c:v>5.5076807859165784E-3</c:v>
                </c:pt>
                <c:pt idx="9">
                  <c:v>5.1603818731627317E-3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980-4E23-892C-BE1BDF9BDBDA}"/>
            </c:ext>
          </c:extLst>
        </c:ser>
        <c:ser>
          <c:idx val="6"/>
          <c:order val="6"/>
          <c:tx>
            <c:v>Эксперимент_137.8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Water_Binary!$B$36:$B$45</c:f>
              <c:numCache>
                <c:formatCode>General</c:formatCode>
                <c:ptCount val="10"/>
                <c:pt idx="0">
                  <c:v>2.5299999999999998</c:v>
                </c:pt>
                <c:pt idx="1">
                  <c:v>5.07</c:v>
                </c:pt>
                <c:pt idx="2">
                  <c:v>10.130000000000001</c:v>
                </c:pt>
                <c:pt idx="3">
                  <c:v>15.2</c:v>
                </c:pt>
                <c:pt idx="4">
                  <c:v>20.27</c:v>
                </c:pt>
                <c:pt idx="5">
                  <c:v>30.4</c:v>
                </c:pt>
                <c:pt idx="6">
                  <c:v>40.53</c:v>
                </c:pt>
                <c:pt idx="7">
                  <c:v>50.66</c:v>
                </c:pt>
                <c:pt idx="8">
                  <c:v>60.8</c:v>
                </c:pt>
                <c:pt idx="9">
                  <c:v>70.930000000000007</c:v>
                </c:pt>
              </c:numCache>
            </c:numRef>
          </c:xVal>
          <c:yVal>
            <c:numRef>
              <c:f>Water_Binary!$F$36:$F$45</c:f>
              <c:numCache>
                <c:formatCode>General</c:formatCode>
                <c:ptCount val="10"/>
                <c:pt idx="0">
                  <c:v>0.13789999999999999</c:v>
                </c:pt>
                <c:pt idx="1">
                  <c:v>7.3400000000000007E-2</c:v>
                </c:pt>
                <c:pt idx="2">
                  <c:v>3.9E-2</c:v>
                </c:pt>
                <c:pt idx="3">
                  <c:v>2.8299999999999999E-2</c:v>
                </c:pt>
                <c:pt idx="4">
                  <c:v>2.3E-2</c:v>
                </c:pt>
                <c:pt idx="5">
                  <c:v>1.8100000000000002E-2</c:v>
                </c:pt>
                <c:pt idx="6">
                  <c:v>1.5800000000000002E-2</c:v>
                </c:pt>
                <c:pt idx="7">
                  <c:v>1.44E-2</c:v>
                </c:pt>
                <c:pt idx="8">
                  <c:v>1.34E-2</c:v>
                </c:pt>
                <c:pt idx="9">
                  <c:v>1.26E-2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C980-4E23-892C-BE1BDF9BDBDA}"/>
            </c:ext>
          </c:extLst>
        </c:ser>
        <c:ser>
          <c:idx val="7"/>
          <c:order val="7"/>
          <c:tx>
            <c:v>Расчет_137.8</c:v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Water_Binary!$I$36:$I$45</c:f>
              <c:numCache>
                <c:formatCode>General</c:formatCode>
                <c:ptCount val="10"/>
                <c:pt idx="0">
                  <c:v>2.5299999999999998</c:v>
                </c:pt>
                <c:pt idx="1">
                  <c:v>5.07</c:v>
                </c:pt>
                <c:pt idx="2">
                  <c:v>10.130000000000001</c:v>
                </c:pt>
                <c:pt idx="3">
                  <c:v>15.2</c:v>
                </c:pt>
                <c:pt idx="4">
                  <c:v>20.27</c:v>
                </c:pt>
                <c:pt idx="5">
                  <c:v>30.4</c:v>
                </c:pt>
                <c:pt idx="6">
                  <c:v>40.53</c:v>
                </c:pt>
                <c:pt idx="7">
                  <c:v>50.66</c:v>
                </c:pt>
                <c:pt idx="8">
                  <c:v>60.8</c:v>
                </c:pt>
                <c:pt idx="9">
                  <c:v>70.930000000000007</c:v>
                </c:pt>
              </c:numCache>
            </c:numRef>
          </c:xVal>
          <c:yVal>
            <c:numRef>
              <c:f>Water_Binary!$M$36:$M$45</c:f>
              <c:numCache>
                <c:formatCode>General</c:formatCode>
                <c:ptCount val="10"/>
                <c:pt idx="0">
                  <c:v>0.16580429567820554</c:v>
                </c:pt>
                <c:pt idx="1">
                  <c:v>7.9948634615191569E-2</c:v>
                </c:pt>
                <c:pt idx="2">
                  <c:v>4.164204606276041E-2</c:v>
                </c:pt>
                <c:pt idx="3">
                  <c:v>2.9905705939950507E-2</c:v>
                </c:pt>
                <c:pt idx="4">
                  <c:v>2.450401611156704E-2</c:v>
                </c:pt>
                <c:pt idx="5">
                  <c:v>1.9290332329255037E-2</c:v>
                </c:pt>
                <c:pt idx="6">
                  <c:v>1.6555547089000013E-2</c:v>
                </c:pt>
                <c:pt idx="7">
                  <c:v>1.4774336015738958E-2</c:v>
                </c:pt>
                <c:pt idx="8">
                  <c:v>1.3483043980490206E-2</c:v>
                </c:pt>
                <c:pt idx="9">
                  <c:v>1.2488468195496011E-2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C980-4E23-892C-BE1BDF9BDBDA}"/>
            </c:ext>
          </c:extLst>
        </c:ser>
        <c:ser>
          <c:idx val="10"/>
          <c:order val="8"/>
          <c:tx>
            <c:v>Эксперимент_200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Water_Binary!$B$48:$B$53</c:f>
              <c:numCache>
                <c:formatCode>General</c:formatCode>
                <c:ptCount val="6"/>
                <c:pt idx="0">
                  <c:v>19.23</c:v>
                </c:pt>
                <c:pt idx="1">
                  <c:v>48.1</c:v>
                </c:pt>
                <c:pt idx="2">
                  <c:v>96.2</c:v>
                </c:pt>
                <c:pt idx="3">
                  <c:v>144.30000000000001</c:v>
                </c:pt>
                <c:pt idx="4">
                  <c:v>192.3</c:v>
                </c:pt>
                <c:pt idx="5">
                  <c:v>240.4</c:v>
                </c:pt>
              </c:numCache>
            </c:numRef>
          </c:xVal>
          <c:yVal>
            <c:numRef>
              <c:f>Water_Binary!$C$48:$C$53</c:f>
              <c:numCache>
                <c:formatCode>General</c:formatCode>
                <c:ptCount val="6"/>
                <c:pt idx="0">
                  <c:v>0.12</c:v>
                </c:pt>
                <c:pt idx="1">
                  <c:v>7.0000000000000007E-2</c:v>
                </c:pt>
                <c:pt idx="2">
                  <c:v>7.0000000000000007E-2</c:v>
                </c:pt>
                <c:pt idx="3">
                  <c:v>7.0000000000000007E-2</c:v>
                </c:pt>
                <c:pt idx="4">
                  <c:v>7.0000000000000007E-2</c:v>
                </c:pt>
                <c:pt idx="5">
                  <c:v>7.0000000000000007E-2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C980-4E23-892C-BE1BDF9BDBDA}"/>
            </c:ext>
          </c:extLst>
        </c:ser>
        <c:ser>
          <c:idx val="11"/>
          <c:order val="9"/>
          <c:tx>
            <c:v>Расчет_200</c:v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Water_Binary!$I$48:$I$53</c:f>
              <c:numCache>
                <c:formatCode>General</c:formatCode>
                <c:ptCount val="6"/>
                <c:pt idx="0">
                  <c:v>19.23</c:v>
                </c:pt>
                <c:pt idx="1">
                  <c:v>48.1</c:v>
                </c:pt>
                <c:pt idx="2">
                  <c:v>96.2</c:v>
                </c:pt>
                <c:pt idx="3">
                  <c:v>144.30000000000001</c:v>
                </c:pt>
                <c:pt idx="4">
                  <c:v>192.3</c:v>
                </c:pt>
                <c:pt idx="5">
                  <c:v>240.4</c:v>
                </c:pt>
              </c:numCache>
            </c:numRef>
          </c:xVal>
          <c:yVal>
            <c:numRef>
              <c:f>Water_Binary!$J$48:$J$53</c:f>
              <c:numCache>
                <c:formatCode>General</c:formatCode>
                <c:ptCount val="6"/>
                <c:pt idx="0">
                  <c:v>0.13475113463675559</c:v>
                </c:pt>
                <c:pt idx="1">
                  <c:v>6.6324663708824089E-2</c:v>
                </c:pt>
                <c:pt idx="2">
                  <c:v>4.187123491937373E-2</c:v>
                </c:pt>
                <c:pt idx="3">
                  <c:v>3.2659176256072502E-2</c:v>
                </c:pt>
                <c:pt idx="4">
                  <c:v>2.7628378757221208E-2</c:v>
                </c:pt>
                <c:pt idx="5">
                  <c:v>2.4387420016275359E-2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C980-4E23-892C-BE1BDF9BDBDA}"/>
            </c:ext>
          </c:extLst>
        </c:ser>
        <c:ser>
          <c:idx val="12"/>
          <c:order val="10"/>
          <c:tx>
            <c:v>Эксперимент_171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Water_Binary!$B$36:$B$45</c:f>
              <c:numCache>
                <c:formatCode>General</c:formatCode>
                <c:ptCount val="10"/>
                <c:pt idx="0">
                  <c:v>2.5299999999999998</c:v>
                </c:pt>
                <c:pt idx="1">
                  <c:v>5.07</c:v>
                </c:pt>
                <c:pt idx="2">
                  <c:v>10.130000000000001</c:v>
                </c:pt>
                <c:pt idx="3">
                  <c:v>15.2</c:v>
                </c:pt>
                <c:pt idx="4">
                  <c:v>20.27</c:v>
                </c:pt>
                <c:pt idx="5">
                  <c:v>30.4</c:v>
                </c:pt>
                <c:pt idx="6">
                  <c:v>40.53</c:v>
                </c:pt>
                <c:pt idx="7">
                  <c:v>50.66</c:v>
                </c:pt>
                <c:pt idx="8">
                  <c:v>60.8</c:v>
                </c:pt>
                <c:pt idx="9">
                  <c:v>70.930000000000007</c:v>
                </c:pt>
              </c:numCache>
            </c:numRef>
          </c:xVal>
          <c:yVal>
            <c:numRef>
              <c:f>Water_Binary!$G$36:$G$45</c:f>
              <c:numCache>
                <c:formatCode>General</c:formatCode>
                <c:ptCount val="10"/>
                <c:pt idx="0">
                  <c:v>0.32750000000000001</c:v>
                </c:pt>
                <c:pt idx="1">
                  <c:v>0.17299999999999999</c:v>
                </c:pt>
                <c:pt idx="2">
                  <c:v>9.1499999999999998E-2</c:v>
                </c:pt>
                <c:pt idx="3">
                  <c:v>6.5000000000000002E-2</c:v>
                </c:pt>
                <c:pt idx="4">
                  <c:v>5.3499999999999999E-2</c:v>
                </c:pt>
                <c:pt idx="5">
                  <c:v>4.1700000000000001E-2</c:v>
                </c:pt>
                <c:pt idx="6">
                  <c:v>3.5999999999999997E-2</c:v>
                </c:pt>
                <c:pt idx="7">
                  <c:v>3.2500000000000001E-2</c:v>
                </c:pt>
                <c:pt idx="8">
                  <c:v>0.03</c:v>
                </c:pt>
                <c:pt idx="9">
                  <c:v>2.75E-2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C980-4E23-892C-BE1BDF9BDBDA}"/>
            </c:ext>
          </c:extLst>
        </c:ser>
        <c:ser>
          <c:idx val="13"/>
          <c:order val="11"/>
          <c:tx>
            <c:v>Расчет_171</c:v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Water_Binary!$I$36:$I$45</c:f>
              <c:numCache>
                <c:formatCode>General</c:formatCode>
                <c:ptCount val="10"/>
                <c:pt idx="0">
                  <c:v>2.5299999999999998</c:v>
                </c:pt>
                <c:pt idx="1">
                  <c:v>5.07</c:v>
                </c:pt>
                <c:pt idx="2">
                  <c:v>10.130000000000001</c:v>
                </c:pt>
                <c:pt idx="3">
                  <c:v>15.2</c:v>
                </c:pt>
                <c:pt idx="4">
                  <c:v>20.27</c:v>
                </c:pt>
                <c:pt idx="5">
                  <c:v>30.4</c:v>
                </c:pt>
                <c:pt idx="6">
                  <c:v>40.53</c:v>
                </c:pt>
                <c:pt idx="7">
                  <c:v>50.66</c:v>
                </c:pt>
                <c:pt idx="8">
                  <c:v>60.8</c:v>
                </c:pt>
                <c:pt idx="9">
                  <c:v>70.930000000000007</c:v>
                </c:pt>
              </c:numCache>
            </c:numRef>
          </c:xVal>
          <c:yVal>
            <c:numRef>
              <c:f>Water_Binary!$N$36:$N$45</c:f>
              <c:numCache>
                <c:formatCode>General</c:formatCode>
                <c:ptCount val="10"/>
                <c:pt idx="0">
                  <c:v>0.53333322385173498</c:v>
                </c:pt>
                <c:pt idx="1">
                  <c:v>0.22570809831263652</c:v>
                </c:pt>
                <c:pt idx="2">
                  <c:v>0.11100904142371637</c:v>
                </c:pt>
                <c:pt idx="3">
                  <c:v>7.7165805012544372E-2</c:v>
                </c:pt>
                <c:pt idx="4">
                  <c:v>6.123592567390701E-2</c:v>
                </c:pt>
                <c:pt idx="5">
                  <c:v>4.5872585089847005E-2</c:v>
                </c:pt>
                <c:pt idx="6">
                  <c:v>3.8112712610302746E-2</c:v>
                </c:pt>
                <c:pt idx="7">
                  <c:v>3.3254583636511167E-2</c:v>
                </c:pt>
                <c:pt idx="8">
                  <c:v>2.9846288123541623E-2</c:v>
                </c:pt>
                <c:pt idx="9">
                  <c:v>2.7290590345305732E-2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C980-4E23-892C-BE1BDF9BDBDA}"/>
            </c:ext>
          </c:extLst>
        </c:ser>
        <c:ser>
          <c:idx val="14"/>
          <c:order val="12"/>
          <c:tx>
            <c:v>Эксперимент_250</c:v>
          </c:tx>
          <c:spPr>
            <a:ln w="28575">
              <a:noFill/>
            </a:ln>
          </c:spPr>
          <c:xVal>
            <c:numRef>
              <c:f>Water_Binary!$B$48:$B$53</c:f>
              <c:numCache>
                <c:formatCode>General</c:formatCode>
                <c:ptCount val="6"/>
                <c:pt idx="0">
                  <c:v>19.23</c:v>
                </c:pt>
                <c:pt idx="1">
                  <c:v>48.1</c:v>
                </c:pt>
                <c:pt idx="2">
                  <c:v>96.2</c:v>
                </c:pt>
                <c:pt idx="3">
                  <c:v>144.30000000000001</c:v>
                </c:pt>
                <c:pt idx="4">
                  <c:v>192.3</c:v>
                </c:pt>
                <c:pt idx="5">
                  <c:v>240.4</c:v>
                </c:pt>
              </c:numCache>
            </c:numRef>
          </c:xVal>
          <c:yVal>
            <c:numRef>
              <c:f>Water_Binary!$D$48:$D$53</c:f>
              <c:numCache>
                <c:formatCode>General</c:formatCode>
                <c:ptCount val="6"/>
                <c:pt idx="0">
                  <c:v>0.31</c:v>
                </c:pt>
                <c:pt idx="1">
                  <c:v>0.219</c:v>
                </c:pt>
                <c:pt idx="2">
                  <c:v>0.15</c:v>
                </c:pt>
                <c:pt idx="3">
                  <c:v>0.115</c:v>
                </c:pt>
                <c:pt idx="4">
                  <c:v>9.8000000000000004E-2</c:v>
                </c:pt>
                <c:pt idx="5">
                  <c:v>9.8000000000000004E-2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C980-4E23-892C-BE1BDF9BDBDA}"/>
            </c:ext>
          </c:extLst>
        </c:ser>
        <c:ser>
          <c:idx val="15"/>
          <c:order val="13"/>
          <c:tx>
            <c:v>Расчет_250</c:v>
          </c:tx>
          <c:marker>
            <c:symbol val="none"/>
          </c:marker>
          <c:xVal>
            <c:numRef>
              <c:f>Water_Binary!$I$48:$I$53</c:f>
              <c:numCache>
                <c:formatCode>General</c:formatCode>
                <c:ptCount val="6"/>
                <c:pt idx="0">
                  <c:v>19.23</c:v>
                </c:pt>
                <c:pt idx="1">
                  <c:v>48.1</c:v>
                </c:pt>
                <c:pt idx="2">
                  <c:v>96.2</c:v>
                </c:pt>
                <c:pt idx="3">
                  <c:v>144.30000000000001</c:v>
                </c:pt>
                <c:pt idx="4">
                  <c:v>192.3</c:v>
                </c:pt>
                <c:pt idx="5">
                  <c:v>240.4</c:v>
                </c:pt>
              </c:numCache>
            </c:numRef>
          </c:xVal>
          <c:yVal>
            <c:numRef>
              <c:f>Water_Binary!$K$48:$K$53</c:f>
              <c:numCache>
                <c:formatCode>General</c:formatCode>
                <c:ptCount val="6"/>
                <c:pt idx="0">
                  <c:v>0.47654094671292679</c:v>
                </c:pt>
                <c:pt idx="1">
                  <c:v>0.20153700156414506</c:v>
                </c:pt>
                <c:pt idx="2">
                  <c:v>0.11081277401368535</c:v>
                </c:pt>
                <c:pt idx="3">
                  <c:v>8.1401779448146749E-2</c:v>
                </c:pt>
                <c:pt idx="4">
                  <c:v>6.67222387312809E-2</c:v>
                </c:pt>
                <c:pt idx="5">
                  <c:v>5.778050362530944E-2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C980-4E23-892C-BE1BDF9BDB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9393872"/>
        <c:axId val="1"/>
      </c:scatterChart>
      <c:valAx>
        <c:axId val="479393872"/>
        <c:scaling>
          <c:orientation val="minMax"/>
          <c:max val="1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 sz="1200">
                    <a:latin typeface="Times New Roman" panose="02020603050405020304" pitchFamily="18" charset="0"/>
                    <a:cs typeface="Times New Roman" panose="02020603050405020304" pitchFamily="18" charset="0"/>
                  </a:defRPr>
                </a:pPr>
                <a:r>
                  <a:rPr lang="ru-RU" sz="120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Давление, МПа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ru-RU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"/>
          <c:min val="1E-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 sz="1200">
                    <a:latin typeface="Times New Roman" panose="02020603050405020304" pitchFamily="18" charset="0"/>
                    <a:cs typeface="Times New Roman" panose="02020603050405020304" pitchFamily="18" charset="0"/>
                  </a:defRPr>
                </a:pPr>
                <a:r>
                  <a:rPr lang="ru-RU" sz="1200" b="1" i="0" u="none" strike="noStrike" baseline="0">
                    <a:effectLst/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Мольная доля воды (</a:t>
                </a:r>
                <a:r>
                  <a:rPr lang="en-US" sz="1200" b="1" i="0" u="none" strike="noStrike" baseline="0">
                    <a:effectLst/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H</a:t>
                </a:r>
                <a:r>
                  <a:rPr lang="en-US" sz="1200" b="1" i="0" u="none" strike="noStrike" baseline="-25000">
                    <a:effectLst/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2</a:t>
                </a:r>
                <a:r>
                  <a:rPr lang="en-US" sz="1200" b="1" i="0" u="none" strike="noStrike" baseline="0">
                    <a:effectLst/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0</a:t>
                </a:r>
                <a:r>
                  <a:rPr lang="ru-RU" sz="1200" b="1" i="0" u="none" strike="noStrike" baseline="0">
                    <a:effectLst/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) в паровой фазе</a:t>
                </a:r>
                <a:endParaRPr lang="ru-RU" sz="1200"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layout>
            <c:manualLayout>
              <c:xMode val="edge"/>
              <c:yMode val="edge"/>
              <c:x val="8.3594566353187051E-3"/>
              <c:y val="0.15614221833381939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79393872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>
                <a:latin typeface="Times New Roman" panose="02020603050405020304" pitchFamily="18" charset="0"/>
                <a:cs typeface="Times New Roman" panose="02020603050405020304" pitchFamily="18" charset="0"/>
              </a:defRPr>
            </a:pPr>
            <a:r>
              <a:rPr lang="ru-RU" sz="1400" b="1" i="0" baseline="0">
                <a:effectLst/>
                <a:latin typeface="Times New Roman" panose="02020603050405020304" pitchFamily="18" charset="0"/>
                <a:cs typeface="Times New Roman" panose="02020603050405020304" pitchFamily="18" charset="0"/>
              </a:rPr>
              <a:t>Содержание водяных паров в газовой фазе, находящейся в равновесии с раствором пропана (</a:t>
            </a:r>
            <a:r>
              <a:rPr lang="en-US" sz="1400" b="1" i="0" baseline="0">
                <a:effectLst/>
                <a:latin typeface="Times New Roman" panose="02020603050405020304" pitchFamily="18" charset="0"/>
                <a:cs typeface="Times New Roman" panose="02020603050405020304" pitchFamily="18" charset="0"/>
              </a:rPr>
              <a:t>C</a:t>
            </a:r>
            <a:r>
              <a:rPr lang="ru-RU" sz="1400" b="1" i="0" baseline="-25000">
                <a:effectLst/>
                <a:latin typeface="Times New Roman" panose="02020603050405020304" pitchFamily="18" charset="0"/>
                <a:cs typeface="Times New Roman" panose="02020603050405020304" pitchFamily="18" charset="0"/>
              </a:rPr>
              <a:t>3</a:t>
            </a:r>
            <a:r>
              <a:rPr lang="en-US" sz="1400" b="1" i="0" baseline="0">
                <a:effectLst/>
                <a:latin typeface="Times New Roman" panose="02020603050405020304" pitchFamily="18" charset="0"/>
                <a:cs typeface="Times New Roman" panose="02020603050405020304" pitchFamily="18" charset="0"/>
              </a:rPr>
              <a:t>H</a:t>
            </a:r>
            <a:r>
              <a:rPr lang="ru-RU" sz="1400" b="1" i="0" baseline="-25000">
                <a:effectLst/>
                <a:latin typeface="Times New Roman" panose="02020603050405020304" pitchFamily="18" charset="0"/>
                <a:cs typeface="Times New Roman" panose="02020603050405020304" pitchFamily="18" charset="0"/>
              </a:rPr>
              <a:t>8</a:t>
            </a:r>
            <a:r>
              <a:rPr lang="ru-RU" sz="1400" b="1" i="0" baseline="0">
                <a:effectLst/>
                <a:latin typeface="Times New Roman" panose="02020603050405020304" pitchFamily="18" charset="0"/>
                <a:cs typeface="Times New Roman" panose="02020603050405020304" pitchFamily="18" charset="0"/>
              </a:rPr>
              <a:t>) в воде</a:t>
            </a:r>
            <a:endParaRPr lang="ru-RU" sz="1400">
              <a:effectLst/>
              <a:latin typeface="Times New Roman" panose="02020603050405020304" pitchFamily="18" charset="0"/>
              <a:cs typeface="Times New Roman" panose="02020603050405020304" pitchFamily="18" charset="0"/>
            </a:endParaRPr>
          </a:p>
        </c:rich>
      </c:tx>
      <c:layout>
        <c:manualLayout>
          <c:xMode val="edge"/>
          <c:yMode val="edge"/>
          <c:x val="0.13804622384584372"/>
          <c:y val="2.3181718538004419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1676365335182068"/>
          <c:y val="0.15923985567642904"/>
          <c:w val="0.84628788351263651"/>
          <c:h val="0.74455612300605256"/>
        </c:manualLayout>
      </c:layout>
      <c:scatterChart>
        <c:scatterStyle val="lineMarker"/>
        <c:varyColors val="0"/>
        <c:ser>
          <c:idx val="0"/>
          <c:order val="0"/>
          <c:tx>
            <c:v>Эксперимент_37.8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Water_Binary!$B$61:$B$65</c:f>
              <c:numCache>
                <c:formatCode>General</c:formatCode>
                <c:ptCount val="5"/>
                <c:pt idx="0">
                  <c:v>5.07</c:v>
                </c:pt>
                <c:pt idx="1">
                  <c:v>7.6</c:v>
                </c:pt>
                <c:pt idx="2">
                  <c:v>10.130000000000001</c:v>
                </c:pt>
                <c:pt idx="3">
                  <c:v>15.2</c:v>
                </c:pt>
                <c:pt idx="4">
                  <c:v>20.27</c:v>
                </c:pt>
              </c:numCache>
            </c:numRef>
          </c:xVal>
          <c:yVal>
            <c:numRef>
              <c:f>Water_Binary!$C$61:$C$65</c:f>
              <c:numCache>
                <c:formatCode>General</c:formatCode>
                <c:ptCount val="5"/>
                <c:pt idx="0">
                  <c:v>6.0300000000000002E-4</c:v>
                </c:pt>
                <c:pt idx="1">
                  <c:v>5.9900000000000003E-4</c:v>
                </c:pt>
                <c:pt idx="2">
                  <c:v>5.9699999999999998E-4</c:v>
                </c:pt>
                <c:pt idx="3">
                  <c:v>5.9599999999999996E-4</c:v>
                </c:pt>
                <c:pt idx="4">
                  <c:v>5.9400000000000002E-4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223-486E-89D5-ABFE2C294EB9}"/>
            </c:ext>
          </c:extLst>
        </c:ser>
        <c:ser>
          <c:idx val="1"/>
          <c:order val="1"/>
          <c:tx>
            <c:v>Расчет_37.8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Water_Binary!$I$61:$I$65</c:f>
              <c:numCache>
                <c:formatCode>General</c:formatCode>
                <c:ptCount val="5"/>
                <c:pt idx="0">
                  <c:v>5.07</c:v>
                </c:pt>
                <c:pt idx="1">
                  <c:v>7.6</c:v>
                </c:pt>
                <c:pt idx="2">
                  <c:v>10.130000000000001</c:v>
                </c:pt>
                <c:pt idx="3">
                  <c:v>15.2</c:v>
                </c:pt>
                <c:pt idx="4">
                  <c:v>20.27</c:v>
                </c:pt>
              </c:numCache>
            </c:numRef>
          </c:xVal>
          <c:yVal>
            <c:numRef>
              <c:f>Water_Binary!$J$61:$J$65</c:f>
              <c:numCache>
                <c:formatCode>General</c:formatCode>
                <c:ptCount val="5"/>
                <c:pt idx="0">
                  <c:v>8.0938469491424021E-4</c:v>
                </c:pt>
                <c:pt idx="1">
                  <c:v>7.8247280965523835E-4</c:v>
                </c:pt>
                <c:pt idx="2">
                  <c:v>7.5918665858629565E-4</c:v>
                </c:pt>
                <c:pt idx="3">
                  <c:v>7.2004922023977027E-4</c:v>
                </c:pt>
                <c:pt idx="4">
                  <c:v>6.8783475918117074E-4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223-486E-89D5-ABFE2C294EB9}"/>
            </c:ext>
          </c:extLst>
        </c:ser>
        <c:ser>
          <c:idx val="2"/>
          <c:order val="2"/>
          <c:tx>
            <c:v>Эксперимент_54.4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Water_Binary!$B$61:$B$65</c:f>
              <c:numCache>
                <c:formatCode>General</c:formatCode>
                <c:ptCount val="5"/>
                <c:pt idx="0">
                  <c:v>5.07</c:v>
                </c:pt>
                <c:pt idx="1">
                  <c:v>7.6</c:v>
                </c:pt>
                <c:pt idx="2">
                  <c:v>10.130000000000001</c:v>
                </c:pt>
                <c:pt idx="3">
                  <c:v>15.2</c:v>
                </c:pt>
                <c:pt idx="4">
                  <c:v>20.27</c:v>
                </c:pt>
              </c:numCache>
            </c:numRef>
          </c:xVal>
          <c:yVal>
            <c:numRef>
              <c:f>Water_Binary!$D$61:$D$65</c:f>
              <c:numCache>
                <c:formatCode>General</c:formatCode>
                <c:ptCount val="5"/>
                <c:pt idx="0">
                  <c:v>1.3569999999999999E-3</c:v>
                </c:pt>
                <c:pt idx="1">
                  <c:v>1.3450000000000001E-3</c:v>
                </c:pt>
                <c:pt idx="2">
                  <c:v>1.3270000000000001E-3</c:v>
                </c:pt>
                <c:pt idx="3">
                  <c:v>1.3209999999999999E-3</c:v>
                </c:pt>
                <c:pt idx="4">
                  <c:v>1.315E-3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223-486E-89D5-ABFE2C294EB9}"/>
            </c:ext>
          </c:extLst>
        </c:ser>
        <c:ser>
          <c:idx val="3"/>
          <c:order val="3"/>
          <c:tx>
            <c:v>Расчет_54.5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Water_Binary!$I$61:$I$65</c:f>
              <c:numCache>
                <c:formatCode>General</c:formatCode>
                <c:ptCount val="5"/>
                <c:pt idx="0">
                  <c:v>5.07</c:v>
                </c:pt>
                <c:pt idx="1">
                  <c:v>7.6</c:v>
                </c:pt>
                <c:pt idx="2">
                  <c:v>10.130000000000001</c:v>
                </c:pt>
                <c:pt idx="3">
                  <c:v>15.2</c:v>
                </c:pt>
                <c:pt idx="4">
                  <c:v>20.27</c:v>
                </c:pt>
              </c:numCache>
            </c:numRef>
          </c:xVal>
          <c:yVal>
            <c:numRef>
              <c:f>Water_Binary!$K$61:$K$65</c:f>
              <c:numCache>
                <c:formatCode>General</c:formatCode>
                <c:ptCount val="5"/>
                <c:pt idx="0">
                  <c:v>1.6268388283980546E-3</c:v>
                </c:pt>
                <c:pt idx="1">
                  <c:v>1.5538972544152526E-3</c:v>
                </c:pt>
                <c:pt idx="2">
                  <c:v>1.4944230174007663E-3</c:v>
                </c:pt>
                <c:pt idx="3">
                  <c:v>1.3997652293108519E-3</c:v>
                </c:pt>
                <c:pt idx="4">
                  <c:v>1.3254955871540898E-3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223-486E-89D5-ABFE2C294EB9}"/>
            </c:ext>
          </c:extLst>
        </c:ser>
        <c:ser>
          <c:idx val="4"/>
          <c:order val="4"/>
          <c:tx>
            <c:v>Эксперимент_71.1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Water_Binary!$B$61:$B$65</c:f>
              <c:numCache>
                <c:formatCode>General</c:formatCode>
                <c:ptCount val="5"/>
                <c:pt idx="0">
                  <c:v>5.07</c:v>
                </c:pt>
                <c:pt idx="1">
                  <c:v>7.6</c:v>
                </c:pt>
                <c:pt idx="2">
                  <c:v>10.130000000000001</c:v>
                </c:pt>
                <c:pt idx="3">
                  <c:v>15.2</c:v>
                </c:pt>
                <c:pt idx="4">
                  <c:v>20.27</c:v>
                </c:pt>
              </c:numCache>
            </c:numRef>
          </c:xVal>
          <c:yVal>
            <c:numRef>
              <c:f>Water_Binary!$E$61:$E$65</c:f>
              <c:numCache>
                <c:formatCode>General</c:formatCode>
                <c:ptCount val="5"/>
                <c:pt idx="0">
                  <c:v>2.8119999999999998E-3</c:v>
                </c:pt>
                <c:pt idx="1">
                  <c:v>2.7439999999999999E-3</c:v>
                </c:pt>
                <c:pt idx="2">
                  <c:v>2.7079999999999999E-3</c:v>
                </c:pt>
                <c:pt idx="3">
                  <c:v>2.6410000000000001E-3</c:v>
                </c:pt>
                <c:pt idx="4">
                  <c:v>2.6069999999999999E-3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223-486E-89D5-ABFE2C294EB9}"/>
            </c:ext>
          </c:extLst>
        </c:ser>
        <c:ser>
          <c:idx val="5"/>
          <c:order val="5"/>
          <c:tx>
            <c:v>Расчет_71.1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Water_Binary!$I$61:$I$65</c:f>
              <c:numCache>
                <c:formatCode>General</c:formatCode>
                <c:ptCount val="5"/>
                <c:pt idx="0">
                  <c:v>5.07</c:v>
                </c:pt>
                <c:pt idx="1">
                  <c:v>7.6</c:v>
                </c:pt>
                <c:pt idx="2">
                  <c:v>10.130000000000001</c:v>
                </c:pt>
                <c:pt idx="3">
                  <c:v>15.2</c:v>
                </c:pt>
                <c:pt idx="4">
                  <c:v>20.27</c:v>
                </c:pt>
              </c:numCache>
            </c:numRef>
          </c:xVal>
          <c:yVal>
            <c:numRef>
              <c:f>Water_Binary!$L$61:$L$65</c:f>
              <c:numCache>
                <c:formatCode>General</c:formatCode>
                <c:ptCount val="5"/>
                <c:pt idx="0">
                  <c:v>3.1881342512242363E-3</c:v>
                </c:pt>
                <c:pt idx="1">
                  <c:v>2.9807320816523024E-3</c:v>
                </c:pt>
                <c:pt idx="2">
                  <c:v>2.8284276169071318E-3</c:v>
                </c:pt>
                <c:pt idx="3">
                  <c:v>2.6045696936200331E-3</c:v>
                </c:pt>
                <c:pt idx="4">
                  <c:v>2.4395964653175051E-3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0223-486E-89D5-ABFE2C294EB9}"/>
            </c:ext>
          </c:extLst>
        </c:ser>
        <c:ser>
          <c:idx val="6"/>
          <c:order val="6"/>
          <c:tx>
            <c:v>Эксперимент_87.8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Water_Binary!$B$61:$B$65</c:f>
              <c:numCache>
                <c:formatCode>General</c:formatCode>
                <c:ptCount val="5"/>
                <c:pt idx="0">
                  <c:v>5.07</c:v>
                </c:pt>
                <c:pt idx="1">
                  <c:v>7.6</c:v>
                </c:pt>
                <c:pt idx="2">
                  <c:v>10.130000000000001</c:v>
                </c:pt>
                <c:pt idx="3">
                  <c:v>15.2</c:v>
                </c:pt>
                <c:pt idx="4">
                  <c:v>20.27</c:v>
                </c:pt>
              </c:numCache>
            </c:numRef>
          </c:xVal>
          <c:yVal>
            <c:numRef>
              <c:f>Water_Binary!$F$61:$F$65</c:f>
              <c:numCache>
                <c:formatCode>General</c:formatCode>
                <c:ptCount val="5"/>
                <c:pt idx="0">
                  <c:v>5.4000000000000003E-3</c:v>
                </c:pt>
                <c:pt idx="1">
                  <c:v>5.1500000000000001E-3</c:v>
                </c:pt>
                <c:pt idx="2">
                  <c:v>5.0179999999999999E-3</c:v>
                </c:pt>
                <c:pt idx="3">
                  <c:v>4.7619999999999997E-3</c:v>
                </c:pt>
                <c:pt idx="4">
                  <c:v>4.5710000000000004E-3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0223-486E-89D5-ABFE2C294EB9}"/>
            </c:ext>
          </c:extLst>
        </c:ser>
        <c:ser>
          <c:idx val="7"/>
          <c:order val="7"/>
          <c:tx>
            <c:v>Расчет_87.8</c:v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Water_Binary!$I$61:$I$65</c:f>
              <c:numCache>
                <c:formatCode>General</c:formatCode>
                <c:ptCount val="5"/>
                <c:pt idx="0">
                  <c:v>5.07</c:v>
                </c:pt>
                <c:pt idx="1">
                  <c:v>7.6</c:v>
                </c:pt>
                <c:pt idx="2">
                  <c:v>10.130000000000001</c:v>
                </c:pt>
                <c:pt idx="3">
                  <c:v>15.2</c:v>
                </c:pt>
                <c:pt idx="4">
                  <c:v>20.27</c:v>
                </c:pt>
              </c:numCache>
            </c:numRef>
          </c:xVal>
          <c:yVal>
            <c:numRef>
              <c:f>Water_Binary!$M$61:$M$65</c:f>
              <c:numCache>
                <c:formatCode>General</c:formatCode>
                <c:ptCount val="5"/>
                <c:pt idx="0">
                  <c:v>6.2641895854518518E-3</c:v>
                </c:pt>
                <c:pt idx="1">
                  <c:v>5.5824634270431389E-3</c:v>
                </c:pt>
                <c:pt idx="2">
                  <c:v>5.1814025540487477E-3</c:v>
                </c:pt>
                <c:pt idx="3">
                  <c:v>4.6592334853612126E-3</c:v>
                </c:pt>
                <c:pt idx="4">
                  <c:v>4.3048507590374334E-3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0223-486E-89D5-ABFE2C294EB9}"/>
            </c:ext>
          </c:extLst>
        </c:ser>
        <c:ser>
          <c:idx val="10"/>
          <c:order val="8"/>
          <c:tx>
            <c:v>Эксперимент_96.4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Water_Binary!$B$61:$B$65</c:f>
              <c:numCache>
                <c:formatCode>General</c:formatCode>
                <c:ptCount val="5"/>
                <c:pt idx="0">
                  <c:v>5.07</c:v>
                </c:pt>
                <c:pt idx="1">
                  <c:v>7.6</c:v>
                </c:pt>
                <c:pt idx="2">
                  <c:v>10.130000000000001</c:v>
                </c:pt>
                <c:pt idx="3">
                  <c:v>15.2</c:v>
                </c:pt>
                <c:pt idx="4">
                  <c:v>20.27</c:v>
                </c:pt>
              </c:numCache>
            </c:numRef>
          </c:xVal>
          <c:yVal>
            <c:numRef>
              <c:f>Water_Binary!$G$61:$G$65</c:f>
              <c:numCache>
                <c:formatCode>General</c:formatCode>
                <c:ptCount val="5"/>
                <c:pt idx="0">
                  <c:v>8.0400000000000003E-3</c:v>
                </c:pt>
                <c:pt idx="1">
                  <c:v>7.2899999999999996E-3</c:v>
                </c:pt>
                <c:pt idx="2">
                  <c:v>7.0299999999999998E-3</c:v>
                </c:pt>
                <c:pt idx="3">
                  <c:v>6.5599999999999999E-3</c:v>
                </c:pt>
                <c:pt idx="4">
                  <c:v>6.1900000000000002E-3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0223-486E-89D5-ABFE2C294EB9}"/>
            </c:ext>
          </c:extLst>
        </c:ser>
        <c:ser>
          <c:idx val="11"/>
          <c:order val="9"/>
          <c:tx>
            <c:v>Расчет_96.4</c:v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Water_Binary!$I$61:$I$65</c:f>
              <c:numCache>
                <c:formatCode>General</c:formatCode>
                <c:ptCount val="5"/>
                <c:pt idx="0">
                  <c:v>5.07</c:v>
                </c:pt>
                <c:pt idx="1">
                  <c:v>7.6</c:v>
                </c:pt>
                <c:pt idx="2">
                  <c:v>10.130000000000001</c:v>
                </c:pt>
                <c:pt idx="3">
                  <c:v>15.2</c:v>
                </c:pt>
                <c:pt idx="4">
                  <c:v>20.27</c:v>
                </c:pt>
              </c:numCache>
            </c:numRef>
          </c:xVal>
          <c:yVal>
            <c:numRef>
              <c:f>Water_Binary!$N$61:$N$65</c:f>
              <c:numCache>
                <c:formatCode>General</c:formatCode>
                <c:ptCount val="5"/>
                <c:pt idx="0">
                  <c:v>9.1653482263806627E-3</c:v>
                </c:pt>
                <c:pt idx="1">
                  <c:v>7.6895852526578309E-3</c:v>
                </c:pt>
                <c:pt idx="2">
                  <c:v>7.0130295163526209E-3</c:v>
                </c:pt>
                <c:pt idx="3">
                  <c:v>6.206185425613288E-3</c:v>
                </c:pt>
                <c:pt idx="4">
                  <c:v>5.6863864853855996E-3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0223-486E-89D5-ABFE2C294EB9}"/>
            </c:ext>
          </c:extLst>
        </c:ser>
        <c:ser>
          <c:idx val="12"/>
          <c:order val="10"/>
          <c:tx>
            <c:v>Эксперимент_104.4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Water_Binary!$B$68:$B$72</c:f>
              <c:numCache>
                <c:formatCode>General</c:formatCode>
                <c:ptCount val="5"/>
                <c:pt idx="0">
                  <c:v>5.07</c:v>
                </c:pt>
                <c:pt idx="1">
                  <c:v>7.6</c:v>
                </c:pt>
                <c:pt idx="2">
                  <c:v>10.130000000000001</c:v>
                </c:pt>
                <c:pt idx="3">
                  <c:v>15.2</c:v>
                </c:pt>
                <c:pt idx="4">
                  <c:v>20.27</c:v>
                </c:pt>
              </c:numCache>
            </c:numRef>
          </c:xVal>
          <c:yVal>
            <c:numRef>
              <c:f>Water_Binary!$C$68:$C$72</c:f>
              <c:numCache>
                <c:formatCode>General</c:formatCode>
                <c:ptCount val="5"/>
                <c:pt idx="0">
                  <c:v>1.34E-2</c:v>
                </c:pt>
                <c:pt idx="1">
                  <c:v>9.4900000000000002E-3</c:v>
                </c:pt>
                <c:pt idx="2">
                  <c:v>8.9949999999999995E-3</c:v>
                </c:pt>
                <c:pt idx="3">
                  <c:v>8.3339999999999994E-3</c:v>
                </c:pt>
                <c:pt idx="4">
                  <c:v>7.9050000000000006E-3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0223-486E-89D5-ABFE2C294EB9}"/>
            </c:ext>
          </c:extLst>
        </c:ser>
        <c:ser>
          <c:idx val="13"/>
          <c:order val="11"/>
          <c:tx>
            <c:v>Расчет_104.4</c:v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Water_Binary!$I$68:$I$72</c:f>
              <c:numCache>
                <c:formatCode>General</c:formatCode>
                <c:ptCount val="5"/>
                <c:pt idx="0">
                  <c:v>5.07</c:v>
                </c:pt>
                <c:pt idx="1">
                  <c:v>7.6</c:v>
                </c:pt>
                <c:pt idx="2">
                  <c:v>10.130000000000001</c:v>
                </c:pt>
                <c:pt idx="3">
                  <c:v>15.2</c:v>
                </c:pt>
                <c:pt idx="4">
                  <c:v>20.27</c:v>
                </c:pt>
              </c:numCache>
            </c:numRef>
          </c:xVal>
          <c:yVal>
            <c:numRef>
              <c:f>Water_Binary!$J$68:$J$72</c:f>
              <c:numCache>
                <c:formatCode>General</c:formatCode>
                <c:ptCount val="5"/>
                <c:pt idx="0">
                  <c:v>1.4697026887945271E-2</c:v>
                </c:pt>
                <c:pt idx="1">
                  <c:v>1.0385455622035106E-2</c:v>
                </c:pt>
                <c:pt idx="2">
                  <c:v>9.2599869851173969E-3</c:v>
                </c:pt>
                <c:pt idx="3">
                  <c:v>8.0492389776228041E-3</c:v>
                </c:pt>
                <c:pt idx="4">
                  <c:v>7.3110814613697589E-3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0223-486E-89D5-ABFE2C294EB9}"/>
            </c:ext>
          </c:extLst>
        </c:ser>
        <c:ser>
          <c:idx val="14"/>
          <c:order val="12"/>
          <c:tx>
            <c:v>Эксперимент_121.1</c:v>
          </c:tx>
          <c:spPr>
            <a:ln w="28575">
              <a:noFill/>
            </a:ln>
          </c:spPr>
          <c:xVal>
            <c:numRef>
              <c:f>Water_Binary!$B$68:$B$72</c:f>
              <c:numCache>
                <c:formatCode>General</c:formatCode>
                <c:ptCount val="5"/>
                <c:pt idx="0">
                  <c:v>5.07</c:v>
                </c:pt>
                <c:pt idx="1">
                  <c:v>7.6</c:v>
                </c:pt>
                <c:pt idx="2">
                  <c:v>10.130000000000001</c:v>
                </c:pt>
                <c:pt idx="3">
                  <c:v>15.2</c:v>
                </c:pt>
                <c:pt idx="4">
                  <c:v>20.27</c:v>
                </c:pt>
              </c:numCache>
            </c:numRef>
          </c:xVal>
          <c:yVal>
            <c:numRef>
              <c:f>Water_Binary!$D$68:$D$72</c:f>
              <c:numCache>
                <c:formatCode>General</c:formatCode>
                <c:ptCount val="5"/>
                <c:pt idx="0">
                  <c:v>3.2399999999999998E-2</c:v>
                </c:pt>
                <c:pt idx="1">
                  <c:v>1.7600000000000001E-2</c:v>
                </c:pt>
                <c:pt idx="2">
                  <c:v>1.4E-2</c:v>
                </c:pt>
                <c:pt idx="3">
                  <c:v>1.32E-2</c:v>
                </c:pt>
                <c:pt idx="4">
                  <c:v>1.24E-2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0223-486E-89D5-ABFE2C294EB9}"/>
            </c:ext>
          </c:extLst>
        </c:ser>
        <c:ser>
          <c:idx val="15"/>
          <c:order val="13"/>
          <c:tx>
            <c:v>Расчет_121.1</c:v>
          </c:tx>
          <c:marker>
            <c:symbol val="none"/>
          </c:marker>
          <c:xVal>
            <c:numRef>
              <c:f>Water_Binary!$I$68:$I$72</c:f>
              <c:numCache>
                <c:formatCode>General</c:formatCode>
                <c:ptCount val="5"/>
                <c:pt idx="0">
                  <c:v>5.07</c:v>
                </c:pt>
                <c:pt idx="1">
                  <c:v>7.6</c:v>
                </c:pt>
                <c:pt idx="2">
                  <c:v>10.130000000000001</c:v>
                </c:pt>
                <c:pt idx="3">
                  <c:v>15.2</c:v>
                </c:pt>
                <c:pt idx="4">
                  <c:v>20.27</c:v>
                </c:pt>
              </c:numCache>
            </c:numRef>
          </c:xVal>
          <c:yVal>
            <c:numRef>
              <c:f>Water_Binary!$K$68:$K$72</c:f>
              <c:numCache>
                <c:formatCode>General</c:formatCode>
                <c:ptCount val="5"/>
                <c:pt idx="0">
                  <c:v>3.6222673585541071E-2</c:v>
                </c:pt>
                <c:pt idx="1">
                  <c:v>1.9958069961672903E-2</c:v>
                </c:pt>
                <c:pt idx="2">
                  <c:v>1.6451127724582015E-2</c:v>
                </c:pt>
                <c:pt idx="3">
                  <c:v>1.3612736215593123E-2</c:v>
                </c:pt>
                <c:pt idx="4">
                  <c:v>1.2101628018050399E-2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0223-486E-89D5-ABFE2C294EB9}"/>
            </c:ext>
          </c:extLst>
        </c:ser>
        <c:ser>
          <c:idx val="8"/>
          <c:order val="14"/>
          <c:tx>
            <c:v>Эксперимент_137.8</c:v>
          </c:tx>
          <c:spPr>
            <a:ln w="28575">
              <a:noFill/>
            </a:ln>
          </c:spPr>
          <c:xVal>
            <c:numRef>
              <c:f>Water_Binary!$B$68:$B$72</c:f>
              <c:numCache>
                <c:formatCode>General</c:formatCode>
                <c:ptCount val="5"/>
                <c:pt idx="0">
                  <c:v>5.07</c:v>
                </c:pt>
                <c:pt idx="1">
                  <c:v>7.6</c:v>
                </c:pt>
                <c:pt idx="2">
                  <c:v>10.130000000000001</c:v>
                </c:pt>
                <c:pt idx="3">
                  <c:v>15.2</c:v>
                </c:pt>
                <c:pt idx="4">
                  <c:v>20.27</c:v>
                </c:pt>
              </c:numCache>
            </c:numRef>
          </c:xVal>
          <c:yVal>
            <c:numRef>
              <c:f>Water_Binary!$E$68:$E$72</c:f>
              <c:numCache>
                <c:formatCode>General</c:formatCode>
                <c:ptCount val="5"/>
                <c:pt idx="0">
                  <c:v>5.8999999999999997E-2</c:v>
                </c:pt>
                <c:pt idx="1">
                  <c:v>3.5000000000000003E-2</c:v>
                </c:pt>
                <c:pt idx="2">
                  <c:v>2.64E-2</c:v>
                </c:pt>
                <c:pt idx="3">
                  <c:v>2.2200000000000001E-2</c:v>
                </c:pt>
                <c:pt idx="4">
                  <c:v>0.02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0223-486E-89D5-ABFE2C294EB9}"/>
            </c:ext>
          </c:extLst>
        </c:ser>
        <c:ser>
          <c:idx val="9"/>
          <c:order val="15"/>
          <c:tx>
            <c:v>Расчет_137.8</c:v>
          </c:tx>
          <c:marker>
            <c:symbol val="none"/>
          </c:marker>
          <c:xVal>
            <c:numRef>
              <c:f>Water_Binary!$I$68:$I$72</c:f>
              <c:numCache>
                <c:formatCode>General</c:formatCode>
                <c:ptCount val="5"/>
                <c:pt idx="0">
                  <c:v>5.07</c:v>
                </c:pt>
                <c:pt idx="1">
                  <c:v>7.6</c:v>
                </c:pt>
                <c:pt idx="2">
                  <c:v>10.130000000000001</c:v>
                </c:pt>
                <c:pt idx="3">
                  <c:v>15.2</c:v>
                </c:pt>
                <c:pt idx="4">
                  <c:v>20.27</c:v>
                </c:pt>
              </c:numCache>
            </c:numRef>
          </c:xVal>
          <c:yVal>
            <c:numRef>
              <c:f>Water_Binary!$L$68:$L$72</c:f>
              <c:numCache>
                <c:formatCode>General</c:formatCode>
                <c:ptCount val="5"/>
                <c:pt idx="0">
                  <c:v>6.7948180630438157E-2</c:v>
                </c:pt>
                <c:pt idx="1">
                  <c:v>3.9165211054293762E-2</c:v>
                </c:pt>
                <c:pt idx="2">
                  <c:v>2.9197932593231272E-2</c:v>
                </c:pt>
                <c:pt idx="3">
                  <c:v>2.259906380287002E-2</c:v>
                </c:pt>
                <c:pt idx="4">
                  <c:v>1.9568099751025896E-2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0223-486E-89D5-ABFE2C294EB9}"/>
            </c:ext>
          </c:extLst>
        </c:ser>
        <c:ser>
          <c:idx val="16"/>
          <c:order val="16"/>
          <c:tx>
            <c:v>Эксперимент_154.4</c:v>
          </c:tx>
          <c:spPr>
            <a:ln w="28575">
              <a:noFill/>
            </a:ln>
          </c:spPr>
          <c:xVal>
            <c:numRef>
              <c:f>Water_Binary!$B$68:$B$72</c:f>
              <c:numCache>
                <c:formatCode>General</c:formatCode>
                <c:ptCount val="5"/>
                <c:pt idx="0">
                  <c:v>5.07</c:v>
                </c:pt>
                <c:pt idx="1">
                  <c:v>7.6</c:v>
                </c:pt>
                <c:pt idx="2">
                  <c:v>10.130000000000001</c:v>
                </c:pt>
                <c:pt idx="3">
                  <c:v>15.2</c:v>
                </c:pt>
                <c:pt idx="4">
                  <c:v>20.27</c:v>
                </c:pt>
              </c:numCache>
            </c:numRef>
          </c:xVal>
          <c:yVal>
            <c:numRef>
              <c:f>Water_Binary!$F$68:$F$72</c:f>
              <c:numCache>
                <c:formatCode>General</c:formatCode>
                <c:ptCount val="5"/>
                <c:pt idx="0">
                  <c:v>9.7600000000000006E-2</c:v>
                </c:pt>
                <c:pt idx="1">
                  <c:v>6.0999999999999999E-2</c:v>
                </c:pt>
                <c:pt idx="2">
                  <c:v>4.4999999999999998E-2</c:v>
                </c:pt>
                <c:pt idx="3">
                  <c:v>3.4599999999999999E-2</c:v>
                </c:pt>
                <c:pt idx="4">
                  <c:v>3.1E-2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0223-486E-89D5-ABFE2C294EB9}"/>
            </c:ext>
          </c:extLst>
        </c:ser>
        <c:ser>
          <c:idx val="17"/>
          <c:order val="17"/>
          <c:tx>
            <c:v>Расчет_154.4</c:v>
          </c:tx>
          <c:marker>
            <c:symbol val="none"/>
          </c:marker>
          <c:xVal>
            <c:numRef>
              <c:f>Water_Binary!$I$68:$I$72</c:f>
              <c:numCache>
                <c:formatCode>General</c:formatCode>
                <c:ptCount val="5"/>
                <c:pt idx="0">
                  <c:v>5.07</c:v>
                </c:pt>
                <c:pt idx="1">
                  <c:v>7.6</c:v>
                </c:pt>
                <c:pt idx="2">
                  <c:v>10.130000000000001</c:v>
                </c:pt>
                <c:pt idx="3">
                  <c:v>15.2</c:v>
                </c:pt>
                <c:pt idx="4">
                  <c:v>20.27</c:v>
                </c:pt>
              </c:numCache>
            </c:numRef>
          </c:xVal>
          <c:yVal>
            <c:numRef>
              <c:f>Water_Binary!$M$68:$M$72</c:f>
              <c:numCache>
                <c:formatCode>General</c:formatCode>
                <c:ptCount val="5"/>
                <c:pt idx="0">
                  <c:v>0.11973411676459257</c:v>
                </c:pt>
                <c:pt idx="1">
                  <c:v>7.1849754668220175E-2</c:v>
                </c:pt>
                <c:pt idx="2">
                  <c:v>5.1301311688153113E-2</c:v>
                </c:pt>
                <c:pt idx="3">
                  <c:v>3.6902790194004664E-2</c:v>
                </c:pt>
                <c:pt idx="4">
                  <c:v>3.0983929603706186E-2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0223-486E-89D5-ABFE2C294EB9}"/>
            </c:ext>
          </c:extLst>
        </c:ser>
        <c:ser>
          <c:idx val="18"/>
          <c:order val="18"/>
          <c:tx>
            <c:v>Эксперимент_96.15</c:v>
          </c:tx>
          <c:spPr>
            <a:ln w="28575">
              <a:noFill/>
            </a:ln>
          </c:spPr>
          <c:xVal>
            <c:numRef>
              <c:f>Water_Binary!$W$61:$W$67</c:f>
              <c:numCache>
                <c:formatCode>General</c:formatCode>
                <c:ptCount val="7"/>
                <c:pt idx="0">
                  <c:v>0.69</c:v>
                </c:pt>
                <c:pt idx="1">
                  <c:v>2.76</c:v>
                </c:pt>
                <c:pt idx="2">
                  <c:v>4.82</c:v>
                </c:pt>
                <c:pt idx="3">
                  <c:v>6.89</c:v>
                </c:pt>
                <c:pt idx="4">
                  <c:v>10.35</c:v>
                </c:pt>
                <c:pt idx="5">
                  <c:v>13.79</c:v>
                </c:pt>
                <c:pt idx="6">
                  <c:v>20.69</c:v>
                </c:pt>
              </c:numCache>
            </c:numRef>
          </c:xVal>
          <c:yVal>
            <c:numRef>
              <c:f>Water_Binary!$X$61:$X$67</c:f>
              <c:numCache>
                <c:formatCode>General</c:formatCode>
                <c:ptCount val="7"/>
                <c:pt idx="0">
                  <c:v>0.13300000000000001</c:v>
                </c:pt>
                <c:pt idx="1">
                  <c:v>3.0339999999999999E-2</c:v>
                </c:pt>
                <c:pt idx="2">
                  <c:v>8.1499999999999993E-3</c:v>
                </c:pt>
                <c:pt idx="3">
                  <c:v>7.5199999999999998E-3</c:v>
                </c:pt>
                <c:pt idx="4">
                  <c:v>7.0299999999999998E-3</c:v>
                </c:pt>
                <c:pt idx="5">
                  <c:v>6.6499999999999997E-3</c:v>
                </c:pt>
                <c:pt idx="6">
                  <c:v>6.1900000000000002E-3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0223-486E-89D5-ABFE2C294EB9}"/>
            </c:ext>
          </c:extLst>
        </c:ser>
        <c:ser>
          <c:idx val="19"/>
          <c:order val="19"/>
          <c:tx>
            <c:v>Расчет_96.15</c:v>
          </c:tx>
          <c:marker>
            <c:symbol val="none"/>
          </c:marker>
          <c:xVal>
            <c:numRef>
              <c:f>Water_Binary!$W$61:$W$67</c:f>
              <c:numCache>
                <c:formatCode>General</c:formatCode>
                <c:ptCount val="7"/>
                <c:pt idx="0">
                  <c:v>0.69</c:v>
                </c:pt>
                <c:pt idx="1">
                  <c:v>2.76</c:v>
                </c:pt>
                <c:pt idx="2">
                  <c:v>4.82</c:v>
                </c:pt>
                <c:pt idx="3">
                  <c:v>6.89</c:v>
                </c:pt>
                <c:pt idx="4">
                  <c:v>10.35</c:v>
                </c:pt>
                <c:pt idx="5">
                  <c:v>13.79</c:v>
                </c:pt>
                <c:pt idx="6">
                  <c:v>20.69</c:v>
                </c:pt>
              </c:numCache>
            </c:numRef>
          </c:xVal>
          <c:yVal>
            <c:numRef>
              <c:f>Water_Binary!$AE$61:$AE$67</c:f>
              <c:numCache>
                <c:formatCode>General</c:formatCode>
                <c:ptCount val="7"/>
                <c:pt idx="0">
                  <c:v>0.12248471316249553</c:v>
                </c:pt>
                <c:pt idx="1">
                  <c:v>2.8970015286123425E-2</c:v>
                </c:pt>
                <c:pt idx="2">
                  <c:v>9.2984445208583281E-3</c:v>
                </c:pt>
                <c:pt idx="3">
                  <c:v>7.8241558222304653E-3</c:v>
                </c:pt>
                <c:pt idx="4">
                  <c:v>6.8611265770800768E-3</c:v>
                </c:pt>
                <c:pt idx="5">
                  <c:v>6.2988469409347523E-3</c:v>
                </c:pt>
                <c:pt idx="6">
                  <c:v>5.5760782196021194E-3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0223-486E-89D5-ABFE2C294EB9}"/>
            </c:ext>
          </c:extLst>
        </c:ser>
        <c:ser>
          <c:idx val="20"/>
          <c:order val="20"/>
          <c:tx>
            <c:v>Эксперимент_121.15</c:v>
          </c:tx>
          <c:spPr>
            <a:ln w="28575">
              <a:noFill/>
            </a:ln>
          </c:spPr>
          <c:xVal>
            <c:numRef>
              <c:f>Water_Binary!$W$61:$W$67</c:f>
              <c:numCache>
                <c:formatCode>General</c:formatCode>
                <c:ptCount val="7"/>
                <c:pt idx="0">
                  <c:v>0.69</c:v>
                </c:pt>
                <c:pt idx="1">
                  <c:v>2.76</c:v>
                </c:pt>
                <c:pt idx="2">
                  <c:v>4.82</c:v>
                </c:pt>
                <c:pt idx="3">
                  <c:v>6.89</c:v>
                </c:pt>
                <c:pt idx="4">
                  <c:v>10.35</c:v>
                </c:pt>
                <c:pt idx="5">
                  <c:v>13.79</c:v>
                </c:pt>
                <c:pt idx="6">
                  <c:v>20.69</c:v>
                </c:pt>
              </c:numCache>
            </c:numRef>
          </c:xVal>
          <c:yVal>
            <c:numRef>
              <c:f>Water_Binary!$Y$61:$Y$67</c:f>
              <c:numCache>
                <c:formatCode>General</c:formatCode>
                <c:ptCount val="7"/>
                <c:pt idx="0">
                  <c:v>0.2999</c:v>
                </c:pt>
                <c:pt idx="1">
                  <c:v>7.2599999999999998E-2</c:v>
                </c:pt>
                <c:pt idx="2">
                  <c:v>3.6220000000000002E-2</c:v>
                </c:pt>
                <c:pt idx="3">
                  <c:v>1.8970000000000001E-2</c:v>
                </c:pt>
                <c:pt idx="4">
                  <c:v>1.455E-2</c:v>
                </c:pt>
                <c:pt idx="5">
                  <c:v>1.37E-2</c:v>
                </c:pt>
                <c:pt idx="6">
                  <c:v>1.265E-2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0223-486E-89D5-ABFE2C294EB9}"/>
            </c:ext>
          </c:extLst>
        </c:ser>
        <c:ser>
          <c:idx val="21"/>
          <c:order val="21"/>
          <c:tx>
            <c:v>Расчет_121.15</c:v>
          </c:tx>
          <c:marker>
            <c:symbol val="none"/>
          </c:marker>
          <c:xVal>
            <c:numRef>
              <c:f>Water_Binary!$AD$61:$AD$67</c:f>
              <c:numCache>
                <c:formatCode>General</c:formatCode>
                <c:ptCount val="7"/>
                <c:pt idx="0">
                  <c:v>0.69</c:v>
                </c:pt>
                <c:pt idx="1">
                  <c:v>2.76</c:v>
                </c:pt>
                <c:pt idx="2">
                  <c:v>4.82</c:v>
                </c:pt>
                <c:pt idx="3">
                  <c:v>6.89</c:v>
                </c:pt>
                <c:pt idx="4">
                  <c:v>10.35</c:v>
                </c:pt>
                <c:pt idx="5">
                  <c:v>13.79</c:v>
                </c:pt>
                <c:pt idx="6">
                  <c:v>20.69</c:v>
                </c:pt>
              </c:numCache>
            </c:numRef>
          </c:xVal>
          <c:yVal>
            <c:numRef>
              <c:f>Water_Binary!$AF$61:$AF$67</c:f>
              <c:numCache>
                <c:formatCode>General</c:formatCode>
                <c:ptCount val="7"/>
                <c:pt idx="0">
                  <c:v>0.29551817567498501</c:v>
                </c:pt>
                <c:pt idx="1">
                  <c:v>7.2375118565060459E-2</c:v>
                </c:pt>
                <c:pt idx="2">
                  <c:v>3.7653620707857827E-2</c:v>
                </c:pt>
                <c:pt idx="3">
                  <c:v>2.1674144357100536E-2</c:v>
                </c:pt>
                <c:pt idx="4">
                  <c:v>1.6035809735453443E-2</c:v>
                </c:pt>
                <c:pt idx="5">
                  <c:v>1.4021650855341482E-2</c:v>
                </c:pt>
                <c:pt idx="6">
                  <c:v>1.1882352371917473E-2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0223-486E-89D5-ABFE2C294E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3314888"/>
        <c:axId val="1"/>
      </c:scatterChart>
      <c:valAx>
        <c:axId val="403314888"/>
        <c:scaling>
          <c:orientation val="minMax"/>
          <c:max val="25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 sz="1200">
                    <a:latin typeface="Times New Roman" panose="02020603050405020304" pitchFamily="18" charset="0"/>
                    <a:cs typeface="Times New Roman" panose="02020603050405020304" pitchFamily="18" charset="0"/>
                  </a:defRPr>
                </a:pPr>
                <a:r>
                  <a:rPr lang="ru-RU" sz="120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Давление, бар</a:t>
                </a:r>
              </a:p>
            </c:rich>
          </c:tx>
          <c:layout>
            <c:manualLayout>
              <c:xMode val="edge"/>
              <c:yMode val="edge"/>
              <c:x val="0.44329326389060297"/>
              <c:y val="0.93788236966993122"/>
            </c:manualLayout>
          </c:layout>
          <c:overlay val="0"/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ru-RU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0.35000000000000003"/>
          <c:min val="3.500000000000001E-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 sz="1200">
                    <a:latin typeface="Times New Roman" panose="02020603050405020304" pitchFamily="18" charset="0"/>
                    <a:cs typeface="Times New Roman" panose="02020603050405020304" pitchFamily="18" charset="0"/>
                  </a:defRPr>
                </a:pPr>
                <a:r>
                  <a:rPr lang="ru-RU" sz="120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Мольная доля воды (</a:t>
                </a:r>
                <a:r>
                  <a:rPr lang="en-US" sz="120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H20) </a:t>
                </a:r>
                <a:r>
                  <a:rPr lang="ru-RU" sz="120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в паровой фазе</a:t>
                </a:r>
              </a:p>
            </c:rich>
          </c:tx>
          <c:layout>
            <c:manualLayout>
              <c:xMode val="edge"/>
              <c:yMode val="edge"/>
              <c:x val="1.0449320794148381E-2"/>
              <c:y val="0.15959498290704632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3314888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>
                <a:latin typeface="Times New Roman" panose="02020603050405020304" pitchFamily="18" charset="0"/>
                <a:cs typeface="Times New Roman" panose="02020603050405020304" pitchFamily="18" charset="0"/>
              </a:defRPr>
            </a:pPr>
            <a:r>
              <a:rPr lang="ru-RU" sz="1400" b="1" i="0" baseline="0">
                <a:effectLst/>
                <a:latin typeface="Times New Roman" panose="02020603050405020304" pitchFamily="18" charset="0"/>
                <a:cs typeface="Times New Roman" panose="02020603050405020304" pitchFamily="18" charset="0"/>
              </a:rPr>
              <a:t>Содержание водяных паров в газовой фазе, находящейся в равновесии с раствором н-бутана (</a:t>
            </a:r>
            <a:r>
              <a:rPr lang="en-US" sz="1400" b="1" i="0" baseline="0">
                <a:effectLst/>
                <a:latin typeface="Times New Roman" panose="02020603050405020304" pitchFamily="18" charset="0"/>
                <a:cs typeface="Times New Roman" panose="02020603050405020304" pitchFamily="18" charset="0"/>
              </a:rPr>
              <a:t>n-C</a:t>
            </a:r>
            <a:r>
              <a:rPr lang="ru-RU" sz="1400" b="1" i="0" baseline="-25000">
                <a:effectLst/>
                <a:latin typeface="Times New Roman" panose="02020603050405020304" pitchFamily="18" charset="0"/>
                <a:cs typeface="Times New Roman" panose="02020603050405020304" pitchFamily="18" charset="0"/>
              </a:rPr>
              <a:t>4</a:t>
            </a:r>
            <a:r>
              <a:rPr lang="en-US" sz="1400" b="1" i="0" baseline="0">
                <a:effectLst/>
                <a:latin typeface="Times New Roman" panose="02020603050405020304" pitchFamily="18" charset="0"/>
                <a:cs typeface="Times New Roman" panose="02020603050405020304" pitchFamily="18" charset="0"/>
              </a:rPr>
              <a:t>H</a:t>
            </a:r>
            <a:r>
              <a:rPr lang="ru-RU" sz="1400" b="1" i="0" baseline="-25000">
                <a:effectLst/>
                <a:latin typeface="Times New Roman" panose="02020603050405020304" pitchFamily="18" charset="0"/>
                <a:cs typeface="Times New Roman" panose="02020603050405020304" pitchFamily="18" charset="0"/>
              </a:rPr>
              <a:t>10</a:t>
            </a:r>
            <a:r>
              <a:rPr lang="ru-RU" sz="1400" b="1" i="0" baseline="0">
                <a:effectLst/>
                <a:latin typeface="Times New Roman" panose="02020603050405020304" pitchFamily="18" charset="0"/>
                <a:cs typeface="Times New Roman" panose="02020603050405020304" pitchFamily="18" charset="0"/>
              </a:rPr>
              <a:t>) в воде</a:t>
            </a:r>
            <a:endParaRPr lang="ru-RU" sz="1400">
              <a:effectLst/>
              <a:latin typeface="Times New Roman" panose="02020603050405020304" pitchFamily="18" charset="0"/>
              <a:cs typeface="Times New Roman" panose="02020603050405020304" pitchFamily="18" charset="0"/>
            </a:endParaRPr>
          </a:p>
        </c:rich>
      </c:tx>
      <c:layout>
        <c:manualLayout>
          <c:xMode val="edge"/>
          <c:yMode val="edge"/>
          <c:x val="0.1276746233492467"/>
          <c:y val="1.8240784035012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0840424946881637"/>
          <c:y val="0.15997506249961035"/>
          <c:w val="0.84628781402324704"/>
          <c:h val="0.72758798261856228"/>
        </c:manualLayout>
      </c:layout>
      <c:scatterChart>
        <c:scatterStyle val="lineMarker"/>
        <c:varyColors val="0"/>
        <c:ser>
          <c:idx val="0"/>
          <c:order val="0"/>
          <c:tx>
            <c:v>Эксперимент_37.8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Water_Binary!$B$78:$B$86</c:f>
              <c:numCache>
                <c:formatCode>General</c:formatCode>
                <c:ptCount val="9"/>
                <c:pt idx="0">
                  <c:v>1.01</c:v>
                </c:pt>
                <c:pt idx="1">
                  <c:v>2.0299999999999998</c:v>
                </c:pt>
                <c:pt idx="2">
                  <c:v>5.07</c:v>
                </c:pt>
                <c:pt idx="3">
                  <c:v>10.130000000000001</c:v>
                </c:pt>
                <c:pt idx="4">
                  <c:v>20.27</c:v>
                </c:pt>
                <c:pt idx="5">
                  <c:v>30.4</c:v>
                </c:pt>
                <c:pt idx="6">
                  <c:v>40.53</c:v>
                </c:pt>
                <c:pt idx="7">
                  <c:v>50.66</c:v>
                </c:pt>
                <c:pt idx="8">
                  <c:v>60.8</c:v>
                </c:pt>
              </c:numCache>
            </c:numRef>
          </c:xVal>
          <c:yVal>
            <c:numRef>
              <c:f>Water_Binary!$C$78:$C$86</c:f>
              <c:numCache>
                <c:formatCode>General</c:formatCode>
                <c:ptCount val="9"/>
                <c:pt idx="0">
                  <c:v>5.0000000000000001E-4</c:v>
                </c:pt>
                <c:pt idx="1">
                  <c:v>5.0000000000000001E-4</c:v>
                </c:pt>
                <c:pt idx="2">
                  <c:v>5.0000000000000001E-4</c:v>
                </c:pt>
                <c:pt idx="3">
                  <c:v>5.0000000000000001E-4</c:v>
                </c:pt>
                <c:pt idx="4">
                  <c:v>5.0000000000000001E-4</c:v>
                </c:pt>
                <c:pt idx="5">
                  <c:v>5.0000000000000001E-4</c:v>
                </c:pt>
                <c:pt idx="6">
                  <c:v>5.0000000000000001E-4</c:v>
                </c:pt>
                <c:pt idx="7">
                  <c:v>5.0000000000000001E-4</c:v>
                </c:pt>
                <c:pt idx="8">
                  <c:v>5.0000000000000001E-4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9F6-43D5-B307-FAFCC7573267}"/>
            </c:ext>
          </c:extLst>
        </c:ser>
        <c:ser>
          <c:idx val="1"/>
          <c:order val="1"/>
          <c:tx>
            <c:v>Расчет_37.8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Water_Binary!$I$78:$I$86</c:f>
              <c:numCache>
                <c:formatCode>General</c:formatCode>
                <c:ptCount val="9"/>
                <c:pt idx="0">
                  <c:v>1.01</c:v>
                </c:pt>
                <c:pt idx="1">
                  <c:v>2.0299999999999998</c:v>
                </c:pt>
                <c:pt idx="2">
                  <c:v>5.07</c:v>
                </c:pt>
                <c:pt idx="3">
                  <c:v>10.130000000000001</c:v>
                </c:pt>
                <c:pt idx="4">
                  <c:v>20.27</c:v>
                </c:pt>
                <c:pt idx="5">
                  <c:v>30.4</c:v>
                </c:pt>
                <c:pt idx="6">
                  <c:v>40.53</c:v>
                </c:pt>
                <c:pt idx="7">
                  <c:v>50.66</c:v>
                </c:pt>
                <c:pt idx="8">
                  <c:v>60.8</c:v>
                </c:pt>
              </c:numCache>
            </c:numRef>
          </c:xVal>
          <c:yVal>
            <c:numRef>
              <c:f>Water_Binary!$J$78:$J$86</c:f>
              <c:numCache>
                <c:formatCode>General</c:formatCode>
                <c:ptCount val="9"/>
                <c:pt idx="0">
                  <c:v>6.3106473518799563E-4</c:v>
                </c:pt>
                <c:pt idx="1">
                  <c:v>6.2299847543285242E-4</c:v>
                </c:pt>
                <c:pt idx="2">
                  <c:v>6.0108402756624355E-4</c:v>
                </c:pt>
                <c:pt idx="3">
                  <c:v>5.7007699163091159E-4</c:v>
                </c:pt>
                <c:pt idx="4">
                  <c:v>5.2151107979986539E-4</c:v>
                </c:pt>
                <c:pt idx="5">
                  <c:v>4.8434848959558771E-4</c:v>
                </c:pt>
                <c:pt idx="6">
                  <c:v>4.5440940222491529E-4</c:v>
                </c:pt>
                <c:pt idx="7">
                  <c:v>4.2949189214995791E-4</c:v>
                </c:pt>
                <c:pt idx="8">
                  <c:v>4.0825134962356365E-4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9F6-43D5-B307-FAFCC7573267}"/>
            </c:ext>
          </c:extLst>
        </c:ser>
        <c:ser>
          <c:idx val="2"/>
          <c:order val="2"/>
          <c:tx>
            <c:v>Эксперимент_71.1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Water_Binary!$B$78:$B$86</c:f>
              <c:numCache>
                <c:formatCode>General</c:formatCode>
                <c:ptCount val="9"/>
                <c:pt idx="0">
                  <c:v>1.01</c:v>
                </c:pt>
                <c:pt idx="1">
                  <c:v>2.0299999999999998</c:v>
                </c:pt>
                <c:pt idx="2">
                  <c:v>5.07</c:v>
                </c:pt>
                <c:pt idx="3">
                  <c:v>10.130000000000001</c:v>
                </c:pt>
                <c:pt idx="4">
                  <c:v>20.27</c:v>
                </c:pt>
                <c:pt idx="5">
                  <c:v>30.4</c:v>
                </c:pt>
                <c:pt idx="6">
                  <c:v>40.53</c:v>
                </c:pt>
                <c:pt idx="7">
                  <c:v>50.66</c:v>
                </c:pt>
                <c:pt idx="8">
                  <c:v>60.8</c:v>
                </c:pt>
              </c:numCache>
            </c:numRef>
          </c:xVal>
          <c:yVal>
            <c:numRef>
              <c:f>Water_Binary!$D$78:$D$86</c:f>
              <c:numCache>
                <c:formatCode>General</c:formatCode>
                <c:ptCount val="9"/>
                <c:pt idx="0">
                  <c:v>2E-3</c:v>
                </c:pt>
                <c:pt idx="1">
                  <c:v>2E-3</c:v>
                </c:pt>
                <c:pt idx="2">
                  <c:v>2E-3</c:v>
                </c:pt>
                <c:pt idx="3">
                  <c:v>2E-3</c:v>
                </c:pt>
                <c:pt idx="4">
                  <c:v>2E-3</c:v>
                </c:pt>
                <c:pt idx="5">
                  <c:v>2E-3</c:v>
                </c:pt>
                <c:pt idx="6">
                  <c:v>2E-3</c:v>
                </c:pt>
                <c:pt idx="7">
                  <c:v>2E-3</c:v>
                </c:pt>
                <c:pt idx="8">
                  <c:v>2E-3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9F6-43D5-B307-FAFCC7573267}"/>
            </c:ext>
          </c:extLst>
        </c:ser>
        <c:ser>
          <c:idx val="3"/>
          <c:order val="3"/>
          <c:tx>
            <c:v>Расчет_71.1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Water_Binary!$I$78:$I$86</c:f>
              <c:numCache>
                <c:formatCode>General</c:formatCode>
                <c:ptCount val="9"/>
                <c:pt idx="0">
                  <c:v>1.01</c:v>
                </c:pt>
                <c:pt idx="1">
                  <c:v>2.0299999999999998</c:v>
                </c:pt>
                <c:pt idx="2">
                  <c:v>5.07</c:v>
                </c:pt>
                <c:pt idx="3">
                  <c:v>10.130000000000001</c:v>
                </c:pt>
                <c:pt idx="4">
                  <c:v>20.27</c:v>
                </c:pt>
                <c:pt idx="5">
                  <c:v>30.4</c:v>
                </c:pt>
                <c:pt idx="6">
                  <c:v>40.53</c:v>
                </c:pt>
                <c:pt idx="7">
                  <c:v>50.66</c:v>
                </c:pt>
                <c:pt idx="8">
                  <c:v>60.8</c:v>
                </c:pt>
              </c:numCache>
            </c:numRef>
          </c:xVal>
          <c:yVal>
            <c:numRef>
              <c:f>Water_Binary!$K$78:$K$86</c:f>
              <c:numCache>
                <c:formatCode>General</c:formatCode>
                <c:ptCount val="9"/>
                <c:pt idx="0">
                  <c:v>2.3814944681457978E-3</c:v>
                </c:pt>
                <c:pt idx="1">
                  <c:v>2.331145973222521E-3</c:v>
                </c:pt>
                <c:pt idx="2">
                  <c:v>2.2036258862504969E-3</c:v>
                </c:pt>
                <c:pt idx="3">
                  <c:v>2.0401956734727627E-3</c:v>
                </c:pt>
                <c:pt idx="4">
                  <c:v>1.8105975857500862E-3</c:v>
                </c:pt>
                <c:pt idx="5">
                  <c:v>1.6496749342274715E-3</c:v>
                </c:pt>
                <c:pt idx="6">
                  <c:v>1.5268371013475866E-3</c:v>
                </c:pt>
                <c:pt idx="7">
                  <c:v>1.4283726953444307E-3</c:v>
                </c:pt>
                <c:pt idx="8">
                  <c:v>1.3467697891439252E-3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9F6-43D5-B307-FAFCC7573267}"/>
            </c:ext>
          </c:extLst>
        </c:ser>
        <c:ser>
          <c:idx val="4"/>
          <c:order val="4"/>
          <c:tx>
            <c:v>Эксперимент_104.4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Water_Binary!$B$78:$B$86</c:f>
              <c:numCache>
                <c:formatCode>General</c:formatCode>
                <c:ptCount val="9"/>
                <c:pt idx="0">
                  <c:v>1.01</c:v>
                </c:pt>
                <c:pt idx="1">
                  <c:v>2.0299999999999998</c:v>
                </c:pt>
                <c:pt idx="2">
                  <c:v>5.07</c:v>
                </c:pt>
                <c:pt idx="3">
                  <c:v>10.130000000000001</c:v>
                </c:pt>
                <c:pt idx="4">
                  <c:v>20.27</c:v>
                </c:pt>
                <c:pt idx="5">
                  <c:v>30.4</c:v>
                </c:pt>
                <c:pt idx="6">
                  <c:v>40.53</c:v>
                </c:pt>
                <c:pt idx="7">
                  <c:v>50.66</c:v>
                </c:pt>
                <c:pt idx="8">
                  <c:v>60.8</c:v>
                </c:pt>
              </c:numCache>
            </c:numRef>
          </c:xVal>
          <c:yVal>
            <c:numRef>
              <c:f>Water_Binary!$E$78:$E$86</c:f>
              <c:numCache>
                <c:formatCode>General</c:formatCode>
                <c:ptCount val="9"/>
                <c:pt idx="0">
                  <c:v>1.0999999999999999E-2</c:v>
                </c:pt>
                <c:pt idx="1">
                  <c:v>8.26E-3</c:v>
                </c:pt>
                <c:pt idx="2">
                  <c:v>7.5399999999999998E-3</c:v>
                </c:pt>
                <c:pt idx="3">
                  <c:v>6.9199999999999999E-3</c:v>
                </c:pt>
                <c:pt idx="4">
                  <c:v>5.8399999999999997E-3</c:v>
                </c:pt>
                <c:pt idx="5">
                  <c:v>5.0299999999999997E-3</c:v>
                </c:pt>
                <c:pt idx="6">
                  <c:v>4.4999999999999997E-3</c:v>
                </c:pt>
                <c:pt idx="7">
                  <c:v>4.2399999999999998E-3</c:v>
                </c:pt>
                <c:pt idx="8">
                  <c:v>4.0200000000000001E-3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9F6-43D5-B307-FAFCC7573267}"/>
            </c:ext>
          </c:extLst>
        </c:ser>
        <c:ser>
          <c:idx val="5"/>
          <c:order val="5"/>
          <c:tx>
            <c:v>Расчет_104.4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Water_Binary!$I$78:$I$86</c:f>
              <c:numCache>
                <c:formatCode>General</c:formatCode>
                <c:ptCount val="9"/>
                <c:pt idx="0">
                  <c:v>1.01</c:v>
                </c:pt>
                <c:pt idx="1">
                  <c:v>2.0299999999999998</c:v>
                </c:pt>
                <c:pt idx="2">
                  <c:v>5.07</c:v>
                </c:pt>
                <c:pt idx="3">
                  <c:v>10.130000000000001</c:v>
                </c:pt>
                <c:pt idx="4">
                  <c:v>20.27</c:v>
                </c:pt>
                <c:pt idx="5">
                  <c:v>30.4</c:v>
                </c:pt>
                <c:pt idx="6">
                  <c:v>40.53</c:v>
                </c:pt>
                <c:pt idx="7">
                  <c:v>50.66</c:v>
                </c:pt>
                <c:pt idx="8">
                  <c:v>60.8</c:v>
                </c:pt>
              </c:numCache>
            </c:numRef>
          </c:xVal>
          <c:yVal>
            <c:numRef>
              <c:f>Water_Binary!$L$78:$L$86</c:f>
              <c:numCache>
                <c:formatCode>General</c:formatCode>
                <c:ptCount val="9"/>
                <c:pt idx="0">
                  <c:v>0.12108682172131366</c:v>
                </c:pt>
                <c:pt idx="1">
                  <c:v>8.253050294240059E-3</c:v>
                </c:pt>
                <c:pt idx="2">
                  <c:v>7.4166040414047237E-3</c:v>
                </c:pt>
                <c:pt idx="3">
                  <c:v>6.571413714526372E-3</c:v>
                </c:pt>
                <c:pt idx="4">
                  <c:v>5.5845198237555599E-3</c:v>
                </c:pt>
                <c:pt idx="5">
                  <c:v>4.9710706172532149E-3</c:v>
                </c:pt>
                <c:pt idx="6">
                  <c:v>4.5316470626984009E-3</c:v>
                </c:pt>
                <c:pt idx="7">
                  <c:v>4.1935886944055945E-3</c:v>
                </c:pt>
                <c:pt idx="8">
                  <c:v>3.9215294503268834E-3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9F6-43D5-B307-FAFCC7573267}"/>
            </c:ext>
          </c:extLst>
        </c:ser>
        <c:ser>
          <c:idx val="6"/>
          <c:order val="6"/>
          <c:tx>
            <c:v>Эксперимент_137.8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Water_Binary!$B$78:$B$86</c:f>
              <c:numCache>
                <c:formatCode>General</c:formatCode>
                <c:ptCount val="9"/>
                <c:pt idx="0">
                  <c:v>1.01</c:v>
                </c:pt>
                <c:pt idx="1">
                  <c:v>2.0299999999999998</c:v>
                </c:pt>
                <c:pt idx="2">
                  <c:v>5.07</c:v>
                </c:pt>
                <c:pt idx="3">
                  <c:v>10.130000000000001</c:v>
                </c:pt>
                <c:pt idx="4">
                  <c:v>20.27</c:v>
                </c:pt>
                <c:pt idx="5">
                  <c:v>30.4</c:v>
                </c:pt>
                <c:pt idx="6">
                  <c:v>40.53</c:v>
                </c:pt>
                <c:pt idx="7">
                  <c:v>50.66</c:v>
                </c:pt>
                <c:pt idx="8">
                  <c:v>60.8</c:v>
                </c:pt>
              </c:numCache>
            </c:numRef>
          </c:xVal>
          <c:yVal>
            <c:numRef>
              <c:f>Water_Binary!$F$78:$F$86</c:f>
              <c:numCache>
                <c:formatCode>General</c:formatCode>
                <c:ptCount val="9"/>
                <c:pt idx="0">
                  <c:v>0.35</c:v>
                </c:pt>
                <c:pt idx="1">
                  <c:v>0.151</c:v>
                </c:pt>
                <c:pt idx="2">
                  <c:v>2.4799999999999999E-2</c:v>
                </c:pt>
                <c:pt idx="3">
                  <c:v>1.9699999999999999E-2</c:v>
                </c:pt>
                <c:pt idx="4">
                  <c:v>1.54E-2</c:v>
                </c:pt>
                <c:pt idx="5">
                  <c:v>1.34E-2</c:v>
                </c:pt>
                <c:pt idx="6">
                  <c:v>1.2200000000000001E-2</c:v>
                </c:pt>
                <c:pt idx="7">
                  <c:v>1.2E-2</c:v>
                </c:pt>
                <c:pt idx="8">
                  <c:v>1.01E-2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59F6-43D5-B307-FAFCC7573267}"/>
            </c:ext>
          </c:extLst>
        </c:ser>
        <c:ser>
          <c:idx val="7"/>
          <c:order val="7"/>
          <c:tx>
            <c:v>Расчет_137.8</c:v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Water_Binary!$I$78:$I$86</c:f>
              <c:numCache>
                <c:formatCode>General</c:formatCode>
                <c:ptCount val="9"/>
                <c:pt idx="0">
                  <c:v>1.01</c:v>
                </c:pt>
                <c:pt idx="1">
                  <c:v>2.0299999999999998</c:v>
                </c:pt>
                <c:pt idx="2">
                  <c:v>5.07</c:v>
                </c:pt>
                <c:pt idx="3">
                  <c:v>10.130000000000001</c:v>
                </c:pt>
                <c:pt idx="4">
                  <c:v>20.27</c:v>
                </c:pt>
                <c:pt idx="5">
                  <c:v>30.4</c:v>
                </c:pt>
                <c:pt idx="6">
                  <c:v>40.53</c:v>
                </c:pt>
                <c:pt idx="7">
                  <c:v>50.66</c:v>
                </c:pt>
                <c:pt idx="8">
                  <c:v>60.8</c:v>
                </c:pt>
              </c:numCache>
            </c:numRef>
          </c:xVal>
          <c:yVal>
            <c:numRef>
              <c:f>Water_Binary!$M$78:$M$86</c:f>
              <c:numCache>
                <c:formatCode>General</c:formatCode>
                <c:ptCount val="9"/>
                <c:pt idx="0">
                  <c:v>0.50208928006974318</c:v>
                </c:pt>
                <c:pt idx="1">
                  <c:v>0.18753179009745688</c:v>
                </c:pt>
                <c:pt idx="2">
                  <c:v>2.5198465341993357E-2</c:v>
                </c:pt>
                <c:pt idx="3">
                  <c:v>1.9894533653845765E-2</c:v>
                </c:pt>
                <c:pt idx="4">
                  <c:v>1.5778269899527974E-2</c:v>
                </c:pt>
                <c:pt idx="5">
                  <c:v>1.3632498378607116E-2</c:v>
                </c:pt>
                <c:pt idx="6">
                  <c:v>1.2209166467942961E-2</c:v>
                </c:pt>
                <c:pt idx="7">
                  <c:v>1.116331710132825E-2</c:v>
                </c:pt>
                <c:pt idx="8">
                  <c:v>1.0347704018527358E-2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59F6-43D5-B307-FAFCC7573267}"/>
            </c:ext>
          </c:extLst>
        </c:ser>
        <c:ser>
          <c:idx val="10"/>
          <c:order val="8"/>
          <c:tx>
            <c:v>Эксперимент_171.1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Water_Binary!$B$79:$B$86</c:f>
              <c:numCache>
                <c:formatCode>General</c:formatCode>
                <c:ptCount val="8"/>
                <c:pt idx="0">
                  <c:v>2.0299999999999998</c:v>
                </c:pt>
                <c:pt idx="1">
                  <c:v>5.07</c:v>
                </c:pt>
                <c:pt idx="2">
                  <c:v>10.130000000000001</c:v>
                </c:pt>
                <c:pt idx="3">
                  <c:v>20.27</c:v>
                </c:pt>
                <c:pt idx="4">
                  <c:v>30.4</c:v>
                </c:pt>
                <c:pt idx="5">
                  <c:v>40.53</c:v>
                </c:pt>
                <c:pt idx="6">
                  <c:v>50.66</c:v>
                </c:pt>
                <c:pt idx="7">
                  <c:v>60.8</c:v>
                </c:pt>
              </c:numCache>
            </c:numRef>
          </c:xVal>
          <c:yVal>
            <c:numRef>
              <c:f>Water_Binary!$G$79:$G$86</c:f>
              <c:numCache>
                <c:formatCode>General</c:formatCode>
                <c:ptCount val="8"/>
                <c:pt idx="0">
                  <c:v>0.4</c:v>
                </c:pt>
                <c:pt idx="1">
                  <c:v>0.10199999999999999</c:v>
                </c:pt>
                <c:pt idx="2">
                  <c:v>5.0200000000000002E-2</c:v>
                </c:pt>
                <c:pt idx="3">
                  <c:v>3.7199999999999997E-2</c:v>
                </c:pt>
                <c:pt idx="4">
                  <c:v>3.2000000000000001E-2</c:v>
                </c:pt>
                <c:pt idx="5">
                  <c:v>2.8799999999999999E-2</c:v>
                </c:pt>
                <c:pt idx="6">
                  <c:v>2.58E-2</c:v>
                </c:pt>
                <c:pt idx="7">
                  <c:v>2.3599999999999999E-2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59F6-43D5-B307-FAFCC7573267}"/>
            </c:ext>
          </c:extLst>
        </c:ser>
        <c:ser>
          <c:idx val="11"/>
          <c:order val="9"/>
          <c:tx>
            <c:v>Расчет_171.1</c:v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Water_Binary!$I$80:$I$86</c:f>
              <c:numCache>
                <c:formatCode>General</c:formatCode>
                <c:ptCount val="7"/>
                <c:pt idx="0">
                  <c:v>5.07</c:v>
                </c:pt>
                <c:pt idx="1">
                  <c:v>10.130000000000001</c:v>
                </c:pt>
                <c:pt idx="2">
                  <c:v>20.27</c:v>
                </c:pt>
                <c:pt idx="3">
                  <c:v>30.4</c:v>
                </c:pt>
                <c:pt idx="4">
                  <c:v>40.53</c:v>
                </c:pt>
                <c:pt idx="5">
                  <c:v>50.66</c:v>
                </c:pt>
                <c:pt idx="6">
                  <c:v>60.8</c:v>
                </c:pt>
              </c:numCache>
            </c:numRef>
          </c:xVal>
          <c:yVal>
            <c:numRef>
              <c:f>Water_Binary!$N$80:$N$86</c:f>
              <c:numCache>
                <c:formatCode>General</c:formatCode>
                <c:ptCount val="7"/>
                <c:pt idx="0">
                  <c:v>0.15966062927763616</c:v>
                </c:pt>
                <c:pt idx="1">
                  <c:v>5.9999680074675737E-2</c:v>
                </c:pt>
                <c:pt idx="2">
                  <c:v>4.1935787903179166E-2</c:v>
                </c:pt>
                <c:pt idx="3">
                  <c:v>3.4791581262139645E-2</c:v>
                </c:pt>
                <c:pt idx="4">
                  <c:v>3.0480263540279804E-2</c:v>
                </c:pt>
                <c:pt idx="5">
                  <c:v>2.7474854527329305E-2</c:v>
                </c:pt>
                <c:pt idx="6">
                  <c:v>2.5211284113963648E-2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59F6-43D5-B307-FAFCC7573267}"/>
            </c:ext>
          </c:extLst>
        </c:ser>
        <c:ser>
          <c:idx val="12"/>
          <c:order val="10"/>
          <c:tx>
            <c:v>Эксперимент_204.4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Water_Binary!$B$91:$B$97</c:f>
              <c:numCache>
                <c:formatCode>General</c:formatCode>
                <c:ptCount val="7"/>
                <c:pt idx="0">
                  <c:v>5.07</c:v>
                </c:pt>
                <c:pt idx="1">
                  <c:v>10.130000000000001</c:v>
                </c:pt>
                <c:pt idx="2">
                  <c:v>20.27</c:v>
                </c:pt>
                <c:pt idx="3">
                  <c:v>30.4</c:v>
                </c:pt>
                <c:pt idx="4">
                  <c:v>40.53</c:v>
                </c:pt>
                <c:pt idx="5">
                  <c:v>50.66</c:v>
                </c:pt>
                <c:pt idx="6">
                  <c:v>60.8</c:v>
                </c:pt>
              </c:numCache>
            </c:numRef>
          </c:xVal>
          <c:yVal>
            <c:numRef>
              <c:f>Water_Binary!$C$91:$C$97</c:f>
              <c:numCache>
                <c:formatCode>General</c:formatCode>
                <c:ptCount val="7"/>
                <c:pt idx="0">
                  <c:v>0.33800000000000002</c:v>
                </c:pt>
                <c:pt idx="1">
                  <c:v>0.14199999999999999</c:v>
                </c:pt>
                <c:pt idx="2">
                  <c:v>8.5900000000000004E-2</c:v>
                </c:pt>
                <c:pt idx="3">
                  <c:v>7.0300000000000001E-2</c:v>
                </c:pt>
                <c:pt idx="4">
                  <c:v>6.1600000000000002E-2</c:v>
                </c:pt>
                <c:pt idx="5">
                  <c:v>5.6500000000000002E-2</c:v>
                </c:pt>
                <c:pt idx="6">
                  <c:v>5.2200000000000003E-2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59F6-43D5-B307-FAFCC7573267}"/>
            </c:ext>
          </c:extLst>
        </c:ser>
        <c:ser>
          <c:idx val="13"/>
          <c:order val="11"/>
          <c:tx>
            <c:v>Расчет_204.4</c:v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Water_Binary!$I$92:$I$97</c:f>
              <c:numCache>
                <c:formatCode>General</c:formatCode>
                <c:ptCount val="6"/>
                <c:pt idx="0">
                  <c:v>10.130000000000001</c:v>
                </c:pt>
                <c:pt idx="1">
                  <c:v>20.27</c:v>
                </c:pt>
                <c:pt idx="2">
                  <c:v>30.4</c:v>
                </c:pt>
                <c:pt idx="3">
                  <c:v>40.53</c:v>
                </c:pt>
                <c:pt idx="4">
                  <c:v>50.66</c:v>
                </c:pt>
                <c:pt idx="5">
                  <c:v>60.8</c:v>
                </c:pt>
              </c:numCache>
            </c:numRef>
          </c:xVal>
          <c:yVal>
            <c:numRef>
              <c:f>Water_Binary!$J$92:$J$97</c:f>
              <c:numCache>
                <c:formatCode>General</c:formatCode>
                <c:ptCount val="6"/>
                <c:pt idx="0">
                  <c:v>0.19803306646463961</c:v>
                </c:pt>
                <c:pt idx="1">
                  <c:v>0.10957558056007832</c:v>
                </c:pt>
                <c:pt idx="2">
                  <c:v>8.5699494394099629E-2</c:v>
                </c:pt>
                <c:pt idx="3">
                  <c:v>7.2871741700006792E-2</c:v>
                </c:pt>
                <c:pt idx="4">
                  <c:v>6.4471815879289546E-2</c:v>
                </c:pt>
                <c:pt idx="5">
                  <c:v>5.8398197472724747E-2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59F6-43D5-B307-FAFCC75732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3313576"/>
        <c:axId val="1"/>
      </c:scatterChart>
      <c:valAx>
        <c:axId val="403313576"/>
        <c:scaling>
          <c:orientation val="minMax"/>
          <c:max val="7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 sz="1200">
                    <a:latin typeface="Times New Roman" panose="02020603050405020304" pitchFamily="18" charset="0"/>
                    <a:cs typeface="Times New Roman" panose="02020603050405020304" pitchFamily="18" charset="0"/>
                  </a:defRPr>
                </a:pPr>
                <a:r>
                  <a:rPr lang="ru-RU" sz="120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Давление, МПа</a:t>
                </a:r>
              </a:p>
            </c:rich>
          </c:tx>
          <c:layout>
            <c:manualLayout>
              <c:xMode val="edge"/>
              <c:yMode val="edge"/>
              <c:x val="0.4197949035898072"/>
              <c:y val="0.93886397216974959"/>
            </c:manualLayout>
          </c:layout>
          <c:overlay val="0"/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ru-RU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"/>
          <c:min val="1E-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 sz="1200">
                    <a:latin typeface="Times New Roman" panose="02020603050405020304" pitchFamily="18" charset="0"/>
                    <a:cs typeface="Times New Roman" panose="02020603050405020304" pitchFamily="18" charset="0"/>
                  </a:defRPr>
                </a:pPr>
                <a:r>
                  <a:rPr lang="ru-RU" sz="120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Мольная доля воды (</a:t>
                </a:r>
                <a:r>
                  <a:rPr lang="en-US" sz="120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H20) </a:t>
                </a:r>
                <a:r>
                  <a:rPr lang="ru-RU" sz="120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в паровой фазе</a:t>
                </a:r>
              </a:p>
            </c:rich>
          </c:tx>
          <c:layout>
            <c:manualLayout>
              <c:xMode val="edge"/>
              <c:yMode val="edge"/>
              <c:x val="8.3989501312335957E-3"/>
              <c:y val="0.13506748711042948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3313576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 sz="1400" b="1" i="0" baseline="0">
                <a:effectLst/>
                <a:latin typeface="Times New Roman" panose="02020603050405020304" pitchFamily="18" charset="0"/>
                <a:cs typeface="Times New Roman" panose="02020603050405020304" pitchFamily="18" charset="0"/>
              </a:rPr>
              <a:t>Содержание водяных паров в газовой фазе, находящейся в равновесии с раствором азота (</a:t>
            </a:r>
            <a:r>
              <a:rPr lang="en-US" sz="1400" b="1" i="0" baseline="0">
                <a:effectLst/>
                <a:latin typeface="Times New Roman" panose="02020603050405020304" pitchFamily="18" charset="0"/>
                <a:cs typeface="Times New Roman" panose="02020603050405020304" pitchFamily="18" charset="0"/>
              </a:rPr>
              <a:t>N</a:t>
            </a:r>
            <a:r>
              <a:rPr lang="en-US" sz="1400" b="1" i="0" baseline="-25000">
                <a:effectLst/>
                <a:latin typeface="Times New Roman" panose="02020603050405020304" pitchFamily="18" charset="0"/>
                <a:cs typeface="Times New Roman" panose="02020603050405020304" pitchFamily="18" charset="0"/>
              </a:rPr>
              <a:t>2</a:t>
            </a:r>
            <a:r>
              <a:rPr lang="ru-RU" sz="1400" b="1" i="0" baseline="0">
                <a:effectLst/>
                <a:latin typeface="Times New Roman" panose="02020603050405020304" pitchFamily="18" charset="0"/>
                <a:cs typeface="Times New Roman" panose="02020603050405020304" pitchFamily="18" charset="0"/>
              </a:rPr>
              <a:t>) в воде</a:t>
            </a:r>
            <a:endParaRPr lang="ru-RU" sz="1400">
              <a:effectLst/>
              <a:latin typeface="Times New Roman" panose="02020603050405020304" pitchFamily="18" charset="0"/>
              <a:cs typeface="Times New Roman" panose="02020603050405020304" pitchFamily="18" charset="0"/>
            </a:endParaRPr>
          </a:p>
        </c:rich>
      </c:tx>
      <c:layout>
        <c:manualLayout>
          <c:xMode val="edge"/>
          <c:yMode val="edge"/>
          <c:x val="0.12328468495578181"/>
          <c:y val="2.2918394742641904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137788020399889"/>
          <c:y val="0.16952661686519951"/>
          <c:w val="0.83327964492243345"/>
          <c:h val="0.73828306077124972"/>
        </c:manualLayout>
      </c:layout>
      <c:scatterChart>
        <c:scatterStyle val="lineMarker"/>
        <c:varyColors val="0"/>
        <c:ser>
          <c:idx val="0"/>
          <c:order val="0"/>
          <c:tx>
            <c:v>Эксперимент_25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Water_Binary!$B$105:$B$106</c:f>
              <c:numCache>
                <c:formatCode>General</c:formatCode>
                <c:ptCount val="2"/>
                <c:pt idx="0">
                  <c:v>5.07</c:v>
                </c:pt>
                <c:pt idx="1">
                  <c:v>10.130000000000001</c:v>
                </c:pt>
              </c:numCache>
            </c:numRef>
          </c:xVal>
          <c:yVal>
            <c:numRef>
              <c:f>Water_Binary!$C$105:$C$106</c:f>
              <c:numCache>
                <c:formatCode>General</c:formatCode>
                <c:ptCount val="2"/>
                <c:pt idx="0">
                  <c:v>6.6E-4</c:v>
                </c:pt>
                <c:pt idx="1">
                  <c:v>4.4999999999999999E-4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4F-4D27-929A-C871ADD64D42}"/>
            </c:ext>
          </c:extLst>
        </c:ser>
        <c:ser>
          <c:idx val="1"/>
          <c:order val="1"/>
          <c:tx>
            <c:v>Расчет_25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Water_Binary!$I$105:$I$111</c:f>
              <c:numCache>
                <c:formatCode>General</c:formatCode>
                <c:ptCount val="7"/>
                <c:pt idx="0">
                  <c:v>5.07</c:v>
                </c:pt>
                <c:pt idx="1">
                  <c:v>10.130000000000001</c:v>
                </c:pt>
                <c:pt idx="2">
                  <c:v>15.2</c:v>
                </c:pt>
                <c:pt idx="3">
                  <c:v>20.27</c:v>
                </c:pt>
                <c:pt idx="4">
                  <c:v>30.4</c:v>
                </c:pt>
                <c:pt idx="5">
                  <c:v>40.53</c:v>
                </c:pt>
                <c:pt idx="6">
                  <c:v>50.66</c:v>
                </c:pt>
              </c:numCache>
            </c:numRef>
          </c:xVal>
          <c:yVal>
            <c:numRef>
              <c:f>Water_Binary!$J$105:$J$111</c:f>
              <c:numCache>
                <c:formatCode>General</c:formatCode>
                <c:ptCount val="7"/>
                <c:pt idx="0">
                  <c:v>6.7233276506243234E-4</c:v>
                </c:pt>
                <c:pt idx="1">
                  <c:v>4.1915650344541964E-4</c:v>
                </c:pt>
                <c:pt idx="2">
                  <c:v>3.401196509064694E-4</c:v>
                </c:pt>
                <c:pt idx="3">
                  <c:v>3.0348874937861388E-4</c:v>
                </c:pt>
                <c:pt idx="4">
                  <c:v>2.6984291515987904E-4</c:v>
                </c:pt>
                <c:pt idx="5">
                  <c:v>2.5374603370216802E-4</c:v>
                </c:pt>
                <c:pt idx="6">
                  <c:v>2.4353830734259632E-4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24F-4D27-929A-C871ADD64D42}"/>
            </c:ext>
          </c:extLst>
        </c:ser>
        <c:ser>
          <c:idx val="2"/>
          <c:order val="2"/>
          <c:tx>
            <c:v>Эксперимент_50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Water_Binary!$B$105:$B$111</c:f>
              <c:numCache>
                <c:formatCode>General</c:formatCode>
                <c:ptCount val="7"/>
                <c:pt idx="0">
                  <c:v>5.07</c:v>
                </c:pt>
                <c:pt idx="1">
                  <c:v>10.130000000000001</c:v>
                </c:pt>
                <c:pt idx="2">
                  <c:v>15.2</c:v>
                </c:pt>
                <c:pt idx="3">
                  <c:v>20.27</c:v>
                </c:pt>
                <c:pt idx="4">
                  <c:v>30.4</c:v>
                </c:pt>
                <c:pt idx="5">
                  <c:v>40.53</c:v>
                </c:pt>
                <c:pt idx="6">
                  <c:v>50.66</c:v>
                </c:pt>
              </c:numCache>
            </c:numRef>
          </c:xVal>
          <c:yVal>
            <c:numRef>
              <c:f>Water_Binary!$D$105:$D$111</c:f>
              <c:numCache>
                <c:formatCode>General</c:formatCode>
                <c:ptCount val="7"/>
                <c:pt idx="0">
                  <c:v>2.7499999999999998E-3</c:v>
                </c:pt>
                <c:pt idx="1">
                  <c:v>1.58E-3</c:v>
                </c:pt>
                <c:pt idx="2">
                  <c:v>1.2999999999999999E-3</c:v>
                </c:pt>
                <c:pt idx="3">
                  <c:v>1.1299999999999999E-3</c:v>
                </c:pt>
                <c:pt idx="4">
                  <c:v>8.9999999999999998E-4</c:v>
                </c:pt>
                <c:pt idx="5">
                  <c:v>6.9999999999999999E-4</c:v>
                </c:pt>
                <c:pt idx="6">
                  <c:v>6.2E-4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24F-4D27-929A-C871ADD64D42}"/>
            </c:ext>
          </c:extLst>
        </c:ser>
        <c:ser>
          <c:idx val="3"/>
          <c:order val="3"/>
          <c:tx>
            <c:v>Расчет_50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Water_Binary!$I$105:$I$111</c:f>
              <c:numCache>
                <c:formatCode>General</c:formatCode>
                <c:ptCount val="7"/>
                <c:pt idx="0">
                  <c:v>5.07</c:v>
                </c:pt>
                <c:pt idx="1">
                  <c:v>10.130000000000001</c:v>
                </c:pt>
                <c:pt idx="2">
                  <c:v>15.2</c:v>
                </c:pt>
                <c:pt idx="3">
                  <c:v>20.27</c:v>
                </c:pt>
                <c:pt idx="4">
                  <c:v>30.4</c:v>
                </c:pt>
                <c:pt idx="5">
                  <c:v>40.53</c:v>
                </c:pt>
                <c:pt idx="6">
                  <c:v>50.66</c:v>
                </c:pt>
              </c:numCache>
            </c:numRef>
          </c:xVal>
          <c:yVal>
            <c:numRef>
              <c:f>Water_Binary!$K$105:$K$111</c:f>
              <c:numCache>
                <c:formatCode>General</c:formatCode>
                <c:ptCount val="7"/>
                <c:pt idx="0">
                  <c:v>2.6091618493785619E-3</c:v>
                </c:pt>
                <c:pt idx="1">
                  <c:v>1.5434958559685664E-3</c:v>
                </c:pt>
                <c:pt idx="2">
                  <c:v>1.1966361173154068E-3</c:v>
                </c:pt>
                <c:pt idx="3">
                  <c:v>1.0272465482077107E-3</c:v>
                </c:pt>
                <c:pt idx="4">
                  <c:v>8.6051303253650803E-4</c:v>
                </c:pt>
                <c:pt idx="5">
                  <c:v>7.7562430395534065E-4</c:v>
                </c:pt>
                <c:pt idx="6">
                  <c:v>7.216145983834567E-4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24F-4D27-929A-C871ADD64D42}"/>
            </c:ext>
          </c:extLst>
        </c:ser>
        <c:ser>
          <c:idx val="4"/>
          <c:order val="4"/>
          <c:tx>
            <c:v>Эксперимент_75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Water_Binary!$B$105:$B$111</c:f>
              <c:numCache>
                <c:formatCode>General</c:formatCode>
                <c:ptCount val="7"/>
                <c:pt idx="0">
                  <c:v>5.07</c:v>
                </c:pt>
                <c:pt idx="1">
                  <c:v>10.130000000000001</c:v>
                </c:pt>
                <c:pt idx="2">
                  <c:v>15.2</c:v>
                </c:pt>
                <c:pt idx="3">
                  <c:v>20.27</c:v>
                </c:pt>
                <c:pt idx="4">
                  <c:v>30.4</c:v>
                </c:pt>
                <c:pt idx="5">
                  <c:v>40.53</c:v>
                </c:pt>
                <c:pt idx="6">
                  <c:v>50.66</c:v>
                </c:pt>
              </c:numCache>
            </c:numRef>
          </c:xVal>
          <c:yVal>
            <c:numRef>
              <c:f>Water_Binary!$E$105:$E$106</c:f>
              <c:numCache>
                <c:formatCode>General</c:formatCode>
                <c:ptCount val="2"/>
                <c:pt idx="0">
                  <c:v>8.3499999999999998E-3</c:v>
                </c:pt>
                <c:pt idx="1">
                  <c:v>5.0000000000000001E-3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24F-4D27-929A-C871ADD64D42}"/>
            </c:ext>
          </c:extLst>
        </c:ser>
        <c:ser>
          <c:idx val="5"/>
          <c:order val="5"/>
          <c:tx>
            <c:v>Расчет_75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Water_Binary!$I$105:$I$111</c:f>
              <c:numCache>
                <c:formatCode>General</c:formatCode>
                <c:ptCount val="7"/>
                <c:pt idx="0">
                  <c:v>5.07</c:v>
                </c:pt>
                <c:pt idx="1">
                  <c:v>10.130000000000001</c:v>
                </c:pt>
                <c:pt idx="2">
                  <c:v>15.2</c:v>
                </c:pt>
                <c:pt idx="3">
                  <c:v>20.27</c:v>
                </c:pt>
                <c:pt idx="4">
                  <c:v>30.4</c:v>
                </c:pt>
                <c:pt idx="5">
                  <c:v>40.53</c:v>
                </c:pt>
                <c:pt idx="6">
                  <c:v>50.66</c:v>
                </c:pt>
              </c:numCache>
            </c:numRef>
          </c:xVal>
          <c:yVal>
            <c:numRef>
              <c:f>Water_Binary!$L$105:$L$111</c:f>
              <c:numCache>
                <c:formatCode>General</c:formatCode>
                <c:ptCount val="7"/>
                <c:pt idx="0">
                  <c:v>8.1829464574806176E-3</c:v>
                </c:pt>
                <c:pt idx="1">
                  <c:v>4.6521655671434708E-3</c:v>
                </c:pt>
                <c:pt idx="2">
                  <c:v>3.4869325192295767E-3</c:v>
                </c:pt>
                <c:pt idx="3">
                  <c:v>2.9080049615866493E-3</c:v>
                </c:pt>
                <c:pt idx="4">
                  <c:v>2.3269442146866574E-3</c:v>
                </c:pt>
                <c:pt idx="5">
                  <c:v>2.027639668240694E-3</c:v>
                </c:pt>
                <c:pt idx="6">
                  <c:v>1.8387080174577335E-3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24F-4D27-929A-C871ADD64D42}"/>
            </c:ext>
          </c:extLst>
        </c:ser>
        <c:ser>
          <c:idx val="6"/>
          <c:order val="6"/>
          <c:tx>
            <c:v>Эксперимент_100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Water_Binary!$B$105:$B$111</c:f>
              <c:numCache>
                <c:formatCode>General</c:formatCode>
                <c:ptCount val="7"/>
                <c:pt idx="0">
                  <c:v>5.07</c:v>
                </c:pt>
                <c:pt idx="1">
                  <c:v>10.130000000000001</c:v>
                </c:pt>
                <c:pt idx="2">
                  <c:v>15.2</c:v>
                </c:pt>
                <c:pt idx="3">
                  <c:v>20.27</c:v>
                </c:pt>
                <c:pt idx="4">
                  <c:v>30.4</c:v>
                </c:pt>
                <c:pt idx="5">
                  <c:v>40.53</c:v>
                </c:pt>
                <c:pt idx="6">
                  <c:v>50.66</c:v>
                </c:pt>
              </c:numCache>
            </c:numRef>
          </c:xVal>
          <c:yVal>
            <c:numRef>
              <c:f>Water_Binary!$F$105:$F$111</c:f>
              <c:numCache>
                <c:formatCode>General</c:formatCode>
                <c:ptCount val="7"/>
                <c:pt idx="0">
                  <c:v>2.1499999999999998E-2</c:v>
                </c:pt>
                <c:pt idx="1">
                  <c:v>1.17E-2</c:v>
                </c:pt>
                <c:pt idx="2">
                  <c:v>8.6700000000000006E-3</c:v>
                </c:pt>
                <c:pt idx="3">
                  <c:v>6.8500000000000002E-3</c:v>
                </c:pt>
                <c:pt idx="4">
                  <c:v>5.2599999999999999E-3</c:v>
                </c:pt>
                <c:pt idx="5">
                  <c:v>4.45E-3</c:v>
                </c:pt>
                <c:pt idx="6">
                  <c:v>4.2500000000000003E-3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24F-4D27-929A-C871ADD64D42}"/>
            </c:ext>
          </c:extLst>
        </c:ser>
        <c:ser>
          <c:idx val="7"/>
          <c:order val="7"/>
          <c:tx>
            <c:v>Расчет_100</c:v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Water_Binary!$I$105:$I$111</c:f>
              <c:numCache>
                <c:formatCode>General</c:formatCode>
                <c:ptCount val="7"/>
                <c:pt idx="0">
                  <c:v>5.07</c:v>
                </c:pt>
                <c:pt idx="1">
                  <c:v>10.130000000000001</c:v>
                </c:pt>
                <c:pt idx="2">
                  <c:v>15.2</c:v>
                </c:pt>
                <c:pt idx="3">
                  <c:v>20.27</c:v>
                </c:pt>
                <c:pt idx="4">
                  <c:v>30.4</c:v>
                </c:pt>
                <c:pt idx="5">
                  <c:v>40.53</c:v>
                </c:pt>
                <c:pt idx="6">
                  <c:v>50.66</c:v>
                </c:pt>
              </c:numCache>
            </c:numRef>
          </c:xVal>
          <c:yVal>
            <c:numRef>
              <c:f>Water_Binary!$M$105:$M$111</c:f>
              <c:numCache>
                <c:formatCode>General</c:formatCode>
                <c:ptCount val="7"/>
                <c:pt idx="0">
                  <c:v>2.1810376171115378E-2</c:v>
                </c:pt>
                <c:pt idx="1">
                  <c:v>1.1989770066105522E-2</c:v>
                </c:pt>
                <c:pt idx="2">
                  <c:v>8.7516966037394714E-3</c:v>
                </c:pt>
                <c:pt idx="3">
                  <c:v>7.1366104087143183E-3</c:v>
                </c:pt>
                <c:pt idx="4">
                  <c:v>5.5089191399748764E-3</c:v>
                </c:pt>
                <c:pt idx="5">
                  <c:v>4.6714398109349081E-3</c:v>
                </c:pt>
                <c:pt idx="6">
                  <c:v>4.1476560818853965E-3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24F-4D27-929A-C871ADD64D42}"/>
            </c:ext>
          </c:extLst>
        </c:ser>
        <c:ser>
          <c:idx val="10"/>
          <c:order val="8"/>
          <c:tx>
            <c:v>Эксперимент_150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Water_Binary!$B$105:$B$111</c:f>
              <c:numCache>
                <c:formatCode>General</c:formatCode>
                <c:ptCount val="7"/>
                <c:pt idx="0">
                  <c:v>5.07</c:v>
                </c:pt>
                <c:pt idx="1">
                  <c:v>10.130000000000001</c:v>
                </c:pt>
                <c:pt idx="2">
                  <c:v>15.2</c:v>
                </c:pt>
                <c:pt idx="3">
                  <c:v>20.27</c:v>
                </c:pt>
                <c:pt idx="4">
                  <c:v>30.4</c:v>
                </c:pt>
                <c:pt idx="5">
                  <c:v>40.53</c:v>
                </c:pt>
                <c:pt idx="6">
                  <c:v>50.66</c:v>
                </c:pt>
              </c:numCache>
            </c:numRef>
          </c:xVal>
          <c:yVal>
            <c:numRef>
              <c:f>Water_Binary!$G$105:$G$111</c:f>
              <c:numCache>
                <c:formatCode>General</c:formatCode>
                <c:ptCount val="7"/>
                <c:pt idx="0">
                  <c:v>8.8999999999999996E-2</c:v>
                </c:pt>
                <c:pt idx="1">
                  <c:v>5.0999999999999997E-2</c:v>
                </c:pt>
                <c:pt idx="2">
                  <c:v>3.5999999999999997E-2</c:v>
                </c:pt>
                <c:pt idx="3">
                  <c:v>0.03</c:v>
                </c:pt>
                <c:pt idx="4">
                  <c:v>2.5000000000000001E-2</c:v>
                </c:pt>
                <c:pt idx="5">
                  <c:v>2.1000000000000001E-2</c:v>
                </c:pt>
                <c:pt idx="6">
                  <c:v>1.9E-2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624F-4D27-929A-C871ADD64D42}"/>
            </c:ext>
          </c:extLst>
        </c:ser>
        <c:ser>
          <c:idx val="11"/>
          <c:order val="9"/>
          <c:tx>
            <c:v>Расчет_150</c:v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Water_Binary!$I$105:$I$111</c:f>
              <c:numCache>
                <c:formatCode>General</c:formatCode>
                <c:ptCount val="7"/>
                <c:pt idx="0">
                  <c:v>5.07</c:v>
                </c:pt>
                <c:pt idx="1">
                  <c:v>10.130000000000001</c:v>
                </c:pt>
                <c:pt idx="2">
                  <c:v>15.2</c:v>
                </c:pt>
                <c:pt idx="3">
                  <c:v>20.27</c:v>
                </c:pt>
                <c:pt idx="4">
                  <c:v>30.4</c:v>
                </c:pt>
                <c:pt idx="5">
                  <c:v>40.53</c:v>
                </c:pt>
                <c:pt idx="6">
                  <c:v>50.66</c:v>
                </c:pt>
              </c:numCache>
            </c:numRef>
          </c:xVal>
          <c:yVal>
            <c:numRef>
              <c:f>Water_Binary!$N$105:$N$111</c:f>
              <c:numCache>
                <c:formatCode>General</c:formatCode>
                <c:ptCount val="7"/>
                <c:pt idx="0">
                  <c:v>0.11237834403282697</c:v>
                </c:pt>
                <c:pt idx="1">
                  <c:v>5.7219350202186769E-2</c:v>
                </c:pt>
                <c:pt idx="2">
                  <c:v>3.9898341927986455E-2</c:v>
                </c:pt>
                <c:pt idx="3">
                  <c:v>3.1397961591673469E-2</c:v>
                </c:pt>
                <c:pt idx="4">
                  <c:v>2.2935687470517226E-2</c:v>
                </c:pt>
                <c:pt idx="5">
                  <c:v>1.8652097317614132E-2</c:v>
                </c:pt>
                <c:pt idx="6">
                  <c:v>1.6023550835055307E-2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624F-4D27-929A-C871ADD64D42}"/>
            </c:ext>
          </c:extLst>
        </c:ser>
        <c:ser>
          <c:idx val="12"/>
          <c:order val="10"/>
          <c:tx>
            <c:v>Эксперимент_200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Water_Binary!$B$114:$B$120</c:f>
              <c:numCache>
                <c:formatCode>General</c:formatCode>
                <c:ptCount val="7"/>
                <c:pt idx="0">
                  <c:v>5.07</c:v>
                </c:pt>
                <c:pt idx="1">
                  <c:v>10.130000000000001</c:v>
                </c:pt>
                <c:pt idx="2">
                  <c:v>15.2</c:v>
                </c:pt>
                <c:pt idx="3">
                  <c:v>20.27</c:v>
                </c:pt>
                <c:pt idx="4">
                  <c:v>30.4</c:v>
                </c:pt>
                <c:pt idx="5">
                  <c:v>40.53</c:v>
                </c:pt>
                <c:pt idx="6">
                  <c:v>50.66</c:v>
                </c:pt>
              </c:numCache>
            </c:numRef>
          </c:xVal>
          <c:yVal>
            <c:numRef>
              <c:f>Water_Binary!$C$114:$C$120</c:f>
              <c:numCache>
                <c:formatCode>General</c:formatCode>
                <c:ptCount val="7"/>
                <c:pt idx="0">
                  <c:v>0.221</c:v>
                </c:pt>
                <c:pt idx="1">
                  <c:v>0.14299999999999999</c:v>
                </c:pt>
                <c:pt idx="2">
                  <c:v>0.122</c:v>
                </c:pt>
                <c:pt idx="3">
                  <c:v>0.105</c:v>
                </c:pt>
                <c:pt idx="4">
                  <c:v>8.2000000000000003E-2</c:v>
                </c:pt>
                <c:pt idx="5">
                  <c:v>6.8000000000000005E-2</c:v>
                </c:pt>
                <c:pt idx="6">
                  <c:v>5.8999999999999997E-2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624F-4D27-929A-C871ADD64D42}"/>
            </c:ext>
          </c:extLst>
        </c:ser>
        <c:ser>
          <c:idx val="13"/>
          <c:order val="11"/>
          <c:tx>
            <c:v>Расчет_200</c:v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Water_Binary!$I$114:$I$120</c:f>
              <c:numCache>
                <c:formatCode>General</c:formatCode>
                <c:ptCount val="7"/>
                <c:pt idx="0">
                  <c:v>5.07</c:v>
                </c:pt>
                <c:pt idx="1">
                  <c:v>10.130000000000001</c:v>
                </c:pt>
                <c:pt idx="2">
                  <c:v>15.2</c:v>
                </c:pt>
                <c:pt idx="3">
                  <c:v>20.27</c:v>
                </c:pt>
                <c:pt idx="4">
                  <c:v>30.4</c:v>
                </c:pt>
                <c:pt idx="5">
                  <c:v>40.53</c:v>
                </c:pt>
                <c:pt idx="6">
                  <c:v>50.66</c:v>
                </c:pt>
              </c:numCache>
            </c:numRef>
          </c:xVal>
          <c:yVal>
            <c:numRef>
              <c:f>Water_Binary!$J$114:$J$120</c:f>
              <c:numCache>
                <c:formatCode>General</c:formatCode>
                <c:ptCount val="7"/>
                <c:pt idx="0">
                  <c:v>0.50028586537503505</c:v>
                </c:pt>
                <c:pt idx="1">
                  <c:v>0.21410242680243144</c:v>
                </c:pt>
                <c:pt idx="2">
                  <c:v>0.14006039589149047</c:v>
                </c:pt>
                <c:pt idx="3">
                  <c:v>0.10598027286415973</c:v>
                </c:pt>
                <c:pt idx="4">
                  <c:v>7.348298342073141E-2</c:v>
                </c:pt>
                <c:pt idx="5">
                  <c:v>5.762742118155053E-2</c:v>
                </c:pt>
                <c:pt idx="6">
                  <c:v>4.8144315880579304E-2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624F-4D27-929A-C871ADD64D42}"/>
            </c:ext>
          </c:extLst>
        </c:ser>
        <c:ser>
          <c:idx val="8"/>
          <c:order val="12"/>
          <c:tx>
            <c:v>Эксперимент_250</c:v>
          </c:tx>
          <c:spPr>
            <a:ln w="28575">
              <a:noFill/>
            </a:ln>
          </c:spPr>
          <c:xVal>
            <c:numRef>
              <c:f>Water_Binary!$B$114:$B$120</c:f>
              <c:numCache>
                <c:formatCode>General</c:formatCode>
                <c:ptCount val="7"/>
                <c:pt idx="0">
                  <c:v>5.07</c:v>
                </c:pt>
                <c:pt idx="1">
                  <c:v>10.130000000000001</c:v>
                </c:pt>
                <c:pt idx="2">
                  <c:v>15.2</c:v>
                </c:pt>
                <c:pt idx="3">
                  <c:v>20.27</c:v>
                </c:pt>
                <c:pt idx="4">
                  <c:v>30.4</c:v>
                </c:pt>
                <c:pt idx="5">
                  <c:v>40.53</c:v>
                </c:pt>
                <c:pt idx="6">
                  <c:v>50.66</c:v>
                </c:pt>
              </c:numCache>
            </c:numRef>
          </c:xVal>
          <c:yVal>
            <c:numRef>
              <c:f>Water_Binary!$D$114:$D$120</c:f>
              <c:numCache>
                <c:formatCode>General</c:formatCode>
                <c:ptCount val="7"/>
                <c:pt idx="0">
                  <c:v>0.69</c:v>
                </c:pt>
                <c:pt idx="1">
                  <c:v>0.31</c:v>
                </c:pt>
                <c:pt idx="2">
                  <c:v>0.23300000000000001</c:v>
                </c:pt>
                <c:pt idx="3">
                  <c:v>0.19500000000000001</c:v>
                </c:pt>
                <c:pt idx="4">
                  <c:v>0.152</c:v>
                </c:pt>
                <c:pt idx="5">
                  <c:v>0.126</c:v>
                </c:pt>
                <c:pt idx="6">
                  <c:v>0.11600000000000001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624F-4D27-929A-C871ADD64D42}"/>
            </c:ext>
          </c:extLst>
        </c:ser>
        <c:ser>
          <c:idx val="9"/>
          <c:order val="13"/>
          <c:tx>
            <c:v>Расчет_240</c:v>
          </c:tx>
          <c:marker>
            <c:symbol val="none"/>
          </c:marker>
          <c:xVal>
            <c:numRef>
              <c:f>Water_Binary!$I$115:$I$120</c:f>
              <c:numCache>
                <c:formatCode>General</c:formatCode>
                <c:ptCount val="6"/>
                <c:pt idx="0">
                  <c:v>10.130000000000001</c:v>
                </c:pt>
                <c:pt idx="1">
                  <c:v>15.2</c:v>
                </c:pt>
                <c:pt idx="2">
                  <c:v>20.27</c:v>
                </c:pt>
                <c:pt idx="3">
                  <c:v>30.4</c:v>
                </c:pt>
                <c:pt idx="4">
                  <c:v>40.53</c:v>
                </c:pt>
                <c:pt idx="5">
                  <c:v>50.66</c:v>
                </c:pt>
              </c:numCache>
            </c:numRef>
          </c:xVal>
          <c:yVal>
            <c:numRef>
              <c:f>Water_Binary!$K$115:$K$120</c:f>
              <c:numCache>
                <c:formatCode>General</c:formatCode>
                <c:ptCount val="6"/>
                <c:pt idx="0">
                  <c:v>0.61499633307094115</c:v>
                </c:pt>
                <c:pt idx="1">
                  <c:v>0.36078563341806874</c:v>
                </c:pt>
                <c:pt idx="2">
                  <c:v>0.25887799268500761</c:v>
                </c:pt>
                <c:pt idx="3">
                  <c:v>0.16930262933720944</c:v>
                </c:pt>
                <c:pt idx="4">
                  <c:v>0.12817798135287767</c:v>
                </c:pt>
                <c:pt idx="5">
                  <c:v>0.104426337802243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624F-4D27-929A-C871ADD64D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3311936"/>
        <c:axId val="1"/>
      </c:scatterChart>
      <c:valAx>
        <c:axId val="403311936"/>
        <c:scaling>
          <c:orientation val="minMax"/>
          <c:max val="6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 sz="1200">
                    <a:latin typeface="Times New Roman" panose="02020603050405020304" pitchFamily="18" charset="0"/>
                    <a:cs typeface="Times New Roman" panose="02020603050405020304" pitchFamily="18" charset="0"/>
                  </a:defRPr>
                </a:pPr>
                <a:r>
                  <a:rPr lang="ru-RU" sz="120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Давление, МПа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ru-RU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"/>
          <c:min val="1E-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 sz="1200">
                    <a:latin typeface="Times New Roman" panose="02020603050405020304" pitchFamily="18" charset="0"/>
                    <a:cs typeface="Times New Roman" panose="02020603050405020304" pitchFamily="18" charset="0"/>
                  </a:defRPr>
                </a:pPr>
                <a:r>
                  <a:rPr lang="ru-RU" sz="1200" b="1" i="0" baseline="0">
                    <a:effectLst/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Мольная доля воды (</a:t>
                </a:r>
                <a:r>
                  <a:rPr lang="en-US" sz="1200" b="1" i="0" baseline="0">
                    <a:effectLst/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H20) </a:t>
                </a:r>
                <a:r>
                  <a:rPr lang="ru-RU" sz="1200" b="1" i="0" baseline="0">
                    <a:effectLst/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в паровой фазе</a:t>
                </a:r>
                <a:endParaRPr lang="ru-RU" sz="1200">
                  <a:effectLst/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layout>
            <c:manualLayout>
              <c:xMode val="edge"/>
              <c:yMode val="edge"/>
              <c:x val="4.3360583111824403E-3"/>
              <c:y val="0.15927016756493223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3311936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>
                <a:latin typeface="Times New Roman" panose="02020603050405020304" pitchFamily="18" charset="0"/>
                <a:cs typeface="Times New Roman" panose="02020603050405020304" pitchFamily="18" charset="0"/>
              </a:defRPr>
            </a:pPr>
            <a:r>
              <a:rPr lang="ru-RU" sz="1400" b="1" i="0" baseline="0">
                <a:effectLst/>
                <a:latin typeface="Times New Roman" panose="02020603050405020304" pitchFamily="18" charset="0"/>
                <a:cs typeface="Times New Roman" panose="02020603050405020304" pitchFamily="18" charset="0"/>
              </a:rPr>
              <a:t>Содержание водяных паров в газовой фазе, находящейся в равновесии с раствором диоксида углерода (С</a:t>
            </a:r>
            <a:r>
              <a:rPr lang="en-US" sz="1400" b="1" i="0" baseline="0">
                <a:effectLst/>
                <a:latin typeface="Times New Roman" panose="02020603050405020304" pitchFamily="18" charset="0"/>
                <a:cs typeface="Times New Roman" panose="02020603050405020304" pitchFamily="18" charset="0"/>
              </a:rPr>
              <a:t>O</a:t>
            </a:r>
            <a:r>
              <a:rPr lang="en-US" sz="1400" b="1" i="0" baseline="-25000">
                <a:effectLst/>
                <a:latin typeface="Times New Roman" panose="02020603050405020304" pitchFamily="18" charset="0"/>
                <a:cs typeface="Times New Roman" panose="02020603050405020304" pitchFamily="18" charset="0"/>
              </a:rPr>
              <a:t>2</a:t>
            </a:r>
            <a:r>
              <a:rPr lang="ru-RU" sz="1400" b="1" i="0" baseline="0">
                <a:effectLst/>
                <a:latin typeface="Times New Roman" panose="02020603050405020304" pitchFamily="18" charset="0"/>
                <a:cs typeface="Times New Roman" panose="02020603050405020304" pitchFamily="18" charset="0"/>
              </a:rPr>
              <a:t>) в воде</a:t>
            </a:r>
            <a:endParaRPr lang="ru-RU" sz="1400">
              <a:effectLst/>
              <a:latin typeface="Times New Roman" panose="02020603050405020304" pitchFamily="18" charset="0"/>
              <a:cs typeface="Times New Roman" panose="02020603050405020304" pitchFamily="18" charset="0"/>
            </a:endParaRPr>
          </a:p>
        </c:rich>
      </c:tx>
      <c:layout>
        <c:manualLayout>
          <c:xMode val="edge"/>
          <c:yMode val="edge"/>
          <c:x val="0.1110006193046094"/>
          <c:y val="1.102632662720438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0077059180753578"/>
          <c:y val="0.12508227775875841"/>
          <c:w val="0.84628781402324704"/>
          <c:h val="0.78501153950583757"/>
        </c:manualLayout>
      </c:layout>
      <c:scatterChart>
        <c:scatterStyle val="lineMarker"/>
        <c:varyColors val="0"/>
        <c:ser>
          <c:idx val="0"/>
          <c:order val="0"/>
          <c:tx>
            <c:v>Эксперимент_25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Water_Binary!$B$130:$B$137</c:f>
              <c:numCache>
                <c:formatCode>General</c:formatCode>
                <c:ptCount val="8"/>
                <c:pt idx="0">
                  <c:v>2.5299999999999998</c:v>
                </c:pt>
                <c:pt idx="1">
                  <c:v>5.07</c:v>
                </c:pt>
                <c:pt idx="2">
                  <c:v>7.6</c:v>
                </c:pt>
                <c:pt idx="3">
                  <c:v>10.130000000000001</c:v>
                </c:pt>
                <c:pt idx="4">
                  <c:v>15.2</c:v>
                </c:pt>
                <c:pt idx="5">
                  <c:v>20.27</c:v>
                </c:pt>
                <c:pt idx="6">
                  <c:v>40.53</c:v>
                </c:pt>
                <c:pt idx="7">
                  <c:v>50.66</c:v>
                </c:pt>
              </c:numCache>
            </c:numRef>
          </c:xVal>
          <c:yVal>
            <c:numRef>
              <c:f>Water_Binary!$C$130:$C$137</c:f>
              <c:numCache>
                <c:formatCode>General</c:formatCode>
                <c:ptCount val="8"/>
                <c:pt idx="0">
                  <c:v>1.64E-3</c:v>
                </c:pt>
                <c:pt idx="1">
                  <c:v>1.2899999999999999E-3</c:v>
                </c:pt>
                <c:pt idx="2">
                  <c:v>2.3E-3</c:v>
                </c:pt>
                <c:pt idx="3">
                  <c:v>3.32E-3</c:v>
                </c:pt>
                <c:pt idx="4">
                  <c:v>3.5899999999999999E-3</c:v>
                </c:pt>
                <c:pt idx="5">
                  <c:v>3.7699999999999999E-3</c:v>
                </c:pt>
                <c:pt idx="6">
                  <c:v>3.9500000000000004E-3</c:v>
                </c:pt>
                <c:pt idx="7">
                  <c:v>3.9699999999999996E-3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275-402E-8FF7-03DFEB4132C8}"/>
            </c:ext>
          </c:extLst>
        </c:ser>
        <c:ser>
          <c:idx val="1"/>
          <c:order val="1"/>
          <c:tx>
            <c:v>Расчет_25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Water_Binary!$I$130:$I$139</c:f>
              <c:numCache>
                <c:formatCode>General</c:formatCode>
                <c:ptCount val="10"/>
                <c:pt idx="0">
                  <c:v>2.5299999999999998</c:v>
                </c:pt>
                <c:pt idx="1">
                  <c:v>5.07</c:v>
                </c:pt>
                <c:pt idx="2">
                  <c:v>7.6</c:v>
                </c:pt>
                <c:pt idx="3">
                  <c:v>10.130000000000001</c:v>
                </c:pt>
                <c:pt idx="4">
                  <c:v>15.2</c:v>
                </c:pt>
                <c:pt idx="5">
                  <c:v>20.27</c:v>
                </c:pt>
                <c:pt idx="6">
                  <c:v>40.53</c:v>
                </c:pt>
                <c:pt idx="7">
                  <c:v>50.66</c:v>
                </c:pt>
                <c:pt idx="8">
                  <c:v>60.8</c:v>
                </c:pt>
                <c:pt idx="9">
                  <c:v>70.930000000000007</c:v>
                </c:pt>
              </c:numCache>
            </c:numRef>
          </c:xVal>
          <c:yVal>
            <c:numRef>
              <c:f>Water_Binary!$J$130:$J$139</c:f>
              <c:numCache>
                <c:formatCode>General</c:formatCode>
                <c:ptCount val="10"/>
                <c:pt idx="0">
                  <c:v>1.4044076014289356E-3</c:v>
                </c:pt>
                <c:pt idx="1">
                  <c:v>1.0099433795584167E-3</c:v>
                </c:pt>
                <c:pt idx="2">
                  <c:v>2.7576551473401595E-3</c:v>
                </c:pt>
                <c:pt idx="3">
                  <c:v>3.088147962360449E-3</c:v>
                </c:pt>
                <c:pt idx="4">
                  <c:v>3.4493410718235387E-3</c:v>
                </c:pt>
                <c:pt idx="5">
                  <c:v>3.6710795047521522E-3</c:v>
                </c:pt>
                <c:pt idx="6">
                  <c:v>4.1152824893078213E-3</c:v>
                </c:pt>
                <c:pt idx="7">
                  <c:v>4.2270152505679845E-3</c:v>
                </c:pt>
                <c:pt idx="8">
                  <c:v>4.3042193946719581E-3</c:v>
                </c:pt>
                <c:pt idx="9">
                  <c:v>4.3582998808769135E-3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275-402E-8FF7-03DFEB4132C8}"/>
            </c:ext>
          </c:extLst>
        </c:ser>
        <c:ser>
          <c:idx val="2"/>
          <c:order val="2"/>
          <c:tx>
            <c:v>Эксперимент_35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Water_Binary!$B$130:$B$137</c:f>
              <c:numCache>
                <c:formatCode>General</c:formatCode>
                <c:ptCount val="8"/>
                <c:pt idx="0">
                  <c:v>2.5299999999999998</c:v>
                </c:pt>
                <c:pt idx="1">
                  <c:v>5.07</c:v>
                </c:pt>
                <c:pt idx="2">
                  <c:v>7.6</c:v>
                </c:pt>
                <c:pt idx="3">
                  <c:v>10.130000000000001</c:v>
                </c:pt>
                <c:pt idx="4">
                  <c:v>15.2</c:v>
                </c:pt>
                <c:pt idx="5">
                  <c:v>20.27</c:v>
                </c:pt>
                <c:pt idx="6">
                  <c:v>40.53</c:v>
                </c:pt>
                <c:pt idx="7">
                  <c:v>50.66</c:v>
                </c:pt>
              </c:numCache>
            </c:numRef>
          </c:xVal>
          <c:yVal>
            <c:numRef>
              <c:f>Water_Binary!$D$130:$D$137</c:f>
              <c:numCache>
                <c:formatCode>General</c:formatCode>
                <c:ptCount val="8"/>
                <c:pt idx="0">
                  <c:v>2.9299999999999999E-3</c:v>
                </c:pt>
                <c:pt idx="1">
                  <c:v>1.9400000000000001E-3</c:v>
                </c:pt>
                <c:pt idx="2">
                  <c:v>2.6900000000000001E-3</c:v>
                </c:pt>
                <c:pt idx="3">
                  <c:v>3.7799999999999999E-3</c:v>
                </c:pt>
                <c:pt idx="4">
                  <c:v>4.3E-3</c:v>
                </c:pt>
                <c:pt idx="5">
                  <c:v>4.62E-3</c:v>
                </c:pt>
                <c:pt idx="6">
                  <c:v>5.2700000000000004E-3</c:v>
                </c:pt>
                <c:pt idx="7">
                  <c:v>5.2700000000000004E-3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275-402E-8FF7-03DFEB4132C8}"/>
            </c:ext>
          </c:extLst>
        </c:ser>
        <c:ser>
          <c:idx val="3"/>
          <c:order val="3"/>
          <c:tx>
            <c:v>Расчет_35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Water_Binary!$I$130:$I$139</c:f>
              <c:numCache>
                <c:formatCode>General</c:formatCode>
                <c:ptCount val="10"/>
                <c:pt idx="0">
                  <c:v>2.5299999999999998</c:v>
                </c:pt>
                <c:pt idx="1">
                  <c:v>5.07</c:v>
                </c:pt>
                <c:pt idx="2">
                  <c:v>7.6</c:v>
                </c:pt>
                <c:pt idx="3">
                  <c:v>10.130000000000001</c:v>
                </c:pt>
                <c:pt idx="4">
                  <c:v>15.2</c:v>
                </c:pt>
                <c:pt idx="5">
                  <c:v>20.27</c:v>
                </c:pt>
                <c:pt idx="6">
                  <c:v>40.53</c:v>
                </c:pt>
                <c:pt idx="7">
                  <c:v>50.66</c:v>
                </c:pt>
                <c:pt idx="8">
                  <c:v>60.8</c:v>
                </c:pt>
                <c:pt idx="9">
                  <c:v>70.930000000000007</c:v>
                </c:pt>
              </c:numCache>
            </c:numRef>
          </c:xVal>
          <c:yVal>
            <c:numRef>
              <c:f>Water_Binary!$K$130:$K$139</c:f>
              <c:numCache>
                <c:formatCode>General</c:formatCode>
                <c:ptCount val="10"/>
                <c:pt idx="0">
                  <c:v>2.4855394524303906E-3</c:v>
                </c:pt>
                <c:pt idx="1">
                  <c:v>1.6962688633566504E-3</c:v>
                </c:pt>
                <c:pt idx="2">
                  <c:v>1.9478253669564113E-3</c:v>
                </c:pt>
                <c:pt idx="3">
                  <c:v>3.6516540364334841E-3</c:v>
                </c:pt>
                <c:pt idx="4">
                  <c:v>4.3568103313041786E-3</c:v>
                </c:pt>
                <c:pt idx="5">
                  <c:v>4.7197946471699385E-3</c:v>
                </c:pt>
                <c:pt idx="6">
                  <c:v>5.3795807649049945E-3</c:v>
                </c:pt>
                <c:pt idx="7">
                  <c:v>5.5350432849770965E-3</c:v>
                </c:pt>
                <c:pt idx="8">
                  <c:v>5.6397753065296121E-3</c:v>
                </c:pt>
                <c:pt idx="9">
                  <c:v>5.711408883436863E-3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275-402E-8FF7-03DFEB4132C8}"/>
            </c:ext>
          </c:extLst>
        </c:ser>
        <c:ser>
          <c:idx val="4"/>
          <c:order val="4"/>
          <c:tx>
            <c:v>Эксперимент_40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Water_Binary!$B$130:$B$137</c:f>
              <c:numCache>
                <c:formatCode>General</c:formatCode>
                <c:ptCount val="8"/>
                <c:pt idx="0">
                  <c:v>2.5299999999999998</c:v>
                </c:pt>
                <c:pt idx="1">
                  <c:v>5.07</c:v>
                </c:pt>
                <c:pt idx="2">
                  <c:v>7.6</c:v>
                </c:pt>
                <c:pt idx="3">
                  <c:v>10.130000000000001</c:v>
                </c:pt>
                <c:pt idx="4">
                  <c:v>15.2</c:v>
                </c:pt>
                <c:pt idx="5">
                  <c:v>20.27</c:v>
                </c:pt>
                <c:pt idx="6">
                  <c:v>40.53</c:v>
                </c:pt>
                <c:pt idx="7">
                  <c:v>50.66</c:v>
                </c:pt>
              </c:numCache>
            </c:numRef>
          </c:xVal>
          <c:yVal>
            <c:numRef>
              <c:f>Water_Binary!$E$130:$E$137</c:f>
              <c:numCache>
                <c:formatCode>General</c:formatCode>
                <c:ptCount val="8"/>
                <c:pt idx="0">
                  <c:v>3.8800000000000002E-3</c:v>
                </c:pt>
                <c:pt idx="1">
                  <c:v>2.49E-3</c:v>
                </c:pt>
                <c:pt idx="2">
                  <c:v>2.98E-3</c:v>
                </c:pt>
                <c:pt idx="3">
                  <c:v>4.0000000000000001E-3</c:v>
                </c:pt>
                <c:pt idx="4">
                  <c:v>4.8500000000000001E-3</c:v>
                </c:pt>
                <c:pt idx="5">
                  <c:v>5.2700000000000004E-3</c:v>
                </c:pt>
                <c:pt idx="6">
                  <c:v>5.9699999999999996E-3</c:v>
                </c:pt>
                <c:pt idx="7">
                  <c:v>5.9699999999999996E-3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275-402E-8FF7-03DFEB4132C8}"/>
            </c:ext>
          </c:extLst>
        </c:ser>
        <c:ser>
          <c:idx val="5"/>
          <c:order val="5"/>
          <c:tx>
            <c:v>Расчет_40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Water_Binary!$I$130:$I$139</c:f>
              <c:numCache>
                <c:formatCode>General</c:formatCode>
                <c:ptCount val="10"/>
                <c:pt idx="0">
                  <c:v>2.5299999999999998</c:v>
                </c:pt>
                <c:pt idx="1">
                  <c:v>5.07</c:v>
                </c:pt>
                <c:pt idx="2">
                  <c:v>7.6</c:v>
                </c:pt>
                <c:pt idx="3">
                  <c:v>10.130000000000001</c:v>
                </c:pt>
                <c:pt idx="4">
                  <c:v>15.2</c:v>
                </c:pt>
                <c:pt idx="5">
                  <c:v>20.27</c:v>
                </c:pt>
                <c:pt idx="6">
                  <c:v>40.53</c:v>
                </c:pt>
                <c:pt idx="7">
                  <c:v>50.66</c:v>
                </c:pt>
                <c:pt idx="8">
                  <c:v>60.8</c:v>
                </c:pt>
                <c:pt idx="9">
                  <c:v>70.930000000000007</c:v>
                </c:pt>
              </c:numCache>
            </c:numRef>
          </c:xVal>
          <c:yVal>
            <c:numRef>
              <c:f>Water_Binary!$L$130:$L$139</c:f>
              <c:numCache>
                <c:formatCode>General</c:formatCode>
                <c:ptCount val="10"/>
                <c:pt idx="0">
                  <c:v>3.2577047300872703E-3</c:v>
                </c:pt>
                <c:pt idx="1">
                  <c:v>2.1775087499550862E-3</c:v>
                </c:pt>
                <c:pt idx="2">
                  <c:v>2.2207919805778804E-3</c:v>
                </c:pt>
                <c:pt idx="3">
                  <c:v>3.8390980730845605E-3</c:v>
                </c:pt>
                <c:pt idx="4">
                  <c:v>4.8577352610791524E-3</c:v>
                </c:pt>
                <c:pt idx="5">
                  <c:v>5.3204136894827855E-3</c:v>
                </c:pt>
                <c:pt idx="6">
                  <c:v>6.1186300635308862E-3</c:v>
                </c:pt>
                <c:pt idx="7">
                  <c:v>6.3005039376072885E-3</c:v>
                </c:pt>
                <c:pt idx="8">
                  <c:v>6.4214615581368569E-3</c:v>
                </c:pt>
                <c:pt idx="9">
                  <c:v>6.5031748329168002E-3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275-402E-8FF7-03DFEB4132C8}"/>
            </c:ext>
          </c:extLst>
        </c:ser>
        <c:ser>
          <c:idx val="6"/>
          <c:order val="6"/>
          <c:tx>
            <c:v>Эксперимент_50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Water_Binary!$B$130:$B$139</c:f>
              <c:numCache>
                <c:formatCode>General</c:formatCode>
                <c:ptCount val="10"/>
                <c:pt idx="0">
                  <c:v>2.5299999999999998</c:v>
                </c:pt>
                <c:pt idx="1">
                  <c:v>5.07</c:v>
                </c:pt>
                <c:pt idx="2">
                  <c:v>7.6</c:v>
                </c:pt>
                <c:pt idx="3">
                  <c:v>10.130000000000001</c:v>
                </c:pt>
                <c:pt idx="4">
                  <c:v>15.2</c:v>
                </c:pt>
                <c:pt idx="5">
                  <c:v>20.27</c:v>
                </c:pt>
                <c:pt idx="6">
                  <c:v>40.53</c:v>
                </c:pt>
                <c:pt idx="7">
                  <c:v>50.66</c:v>
                </c:pt>
                <c:pt idx="8">
                  <c:v>60.8</c:v>
                </c:pt>
                <c:pt idx="9">
                  <c:v>70.930000000000007</c:v>
                </c:pt>
              </c:numCache>
            </c:numRef>
          </c:xVal>
          <c:yVal>
            <c:numRef>
              <c:f>Water_Binary!$F$130:$F$139</c:f>
              <c:numCache>
                <c:formatCode>General</c:formatCode>
                <c:ptCount val="10"/>
                <c:pt idx="0">
                  <c:v>6.1900000000000002E-3</c:v>
                </c:pt>
                <c:pt idx="1">
                  <c:v>3.8300000000000001E-3</c:v>
                </c:pt>
                <c:pt idx="2">
                  <c:v>3.49E-3</c:v>
                </c:pt>
                <c:pt idx="3">
                  <c:v>4.4900000000000001E-3</c:v>
                </c:pt>
                <c:pt idx="4">
                  <c:v>6.0899999999999999E-3</c:v>
                </c:pt>
                <c:pt idx="5">
                  <c:v>6.7600000000000004E-3</c:v>
                </c:pt>
                <c:pt idx="6">
                  <c:v>7.5799999999999999E-3</c:v>
                </c:pt>
                <c:pt idx="7">
                  <c:v>0</c:v>
                </c:pt>
                <c:pt idx="8">
                  <c:v>7.92E-3</c:v>
                </c:pt>
                <c:pt idx="9">
                  <c:v>8.0099999999999998E-3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C275-402E-8FF7-03DFEB4132C8}"/>
            </c:ext>
          </c:extLst>
        </c:ser>
        <c:ser>
          <c:idx val="7"/>
          <c:order val="7"/>
          <c:tx>
            <c:v>Расчет_50</c:v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Water_Binary!$I$130:$I$139</c:f>
              <c:numCache>
                <c:formatCode>General</c:formatCode>
                <c:ptCount val="10"/>
                <c:pt idx="0">
                  <c:v>2.5299999999999998</c:v>
                </c:pt>
                <c:pt idx="1">
                  <c:v>5.07</c:v>
                </c:pt>
                <c:pt idx="2">
                  <c:v>7.6</c:v>
                </c:pt>
                <c:pt idx="3">
                  <c:v>10.130000000000001</c:v>
                </c:pt>
                <c:pt idx="4">
                  <c:v>15.2</c:v>
                </c:pt>
                <c:pt idx="5">
                  <c:v>20.27</c:v>
                </c:pt>
                <c:pt idx="6">
                  <c:v>40.53</c:v>
                </c:pt>
                <c:pt idx="7">
                  <c:v>50.66</c:v>
                </c:pt>
                <c:pt idx="8">
                  <c:v>60.8</c:v>
                </c:pt>
                <c:pt idx="9">
                  <c:v>70.930000000000007</c:v>
                </c:pt>
              </c:numCache>
            </c:numRef>
          </c:xVal>
          <c:yVal>
            <c:numRef>
              <c:f>Water_Binary!$M$130:$M$139</c:f>
              <c:numCache>
                <c:formatCode>General</c:formatCode>
                <c:ptCount val="10"/>
                <c:pt idx="0">
                  <c:v>5.4453243220144434E-3</c:v>
                </c:pt>
                <c:pt idx="1">
                  <c:v>3.5152421179706732E-3</c:v>
                </c:pt>
                <c:pt idx="2">
                  <c:v>3.2535785742663693E-3</c:v>
                </c:pt>
                <c:pt idx="3">
                  <c:v>4.0787008943129156E-3</c:v>
                </c:pt>
                <c:pt idx="4">
                  <c:v>5.9567823331245122E-3</c:v>
                </c:pt>
                <c:pt idx="5">
                  <c:v>6.6937715749715108E-3</c:v>
                </c:pt>
                <c:pt idx="6">
                  <c:v>7.8416874554669332E-3</c:v>
                </c:pt>
                <c:pt idx="7">
                  <c:v>8.0864384466318717E-3</c:v>
                </c:pt>
                <c:pt idx="8">
                  <c:v>8.2450487430772244E-3</c:v>
                </c:pt>
                <c:pt idx="9">
                  <c:v>8.3494797328665365E-3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C275-402E-8FF7-03DFEB4132C8}"/>
            </c:ext>
          </c:extLst>
        </c:ser>
        <c:ser>
          <c:idx val="10"/>
          <c:order val="8"/>
          <c:tx>
            <c:v>Эксперимент_75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Water_Binary!$B$130:$B$139</c:f>
              <c:numCache>
                <c:formatCode>General</c:formatCode>
                <c:ptCount val="10"/>
                <c:pt idx="0">
                  <c:v>2.5299999999999998</c:v>
                </c:pt>
                <c:pt idx="1">
                  <c:v>5.07</c:v>
                </c:pt>
                <c:pt idx="2">
                  <c:v>7.6</c:v>
                </c:pt>
                <c:pt idx="3">
                  <c:v>10.130000000000001</c:v>
                </c:pt>
                <c:pt idx="4">
                  <c:v>15.2</c:v>
                </c:pt>
                <c:pt idx="5">
                  <c:v>20.27</c:v>
                </c:pt>
                <c:pt idx="6">
                  <c:v>40.53</c:v>
                </c:pt>
                <c:pt idx="7">
                  <c:v>50.66</c:v>
                </c:pt>
                <c:pt idx="8">
                  <c:v>60.8</c:v>
                </c:pt>
                <c:pt idx="9">
                  <c:v>70.930000000000007</c:v>
                </c:pt>
              </c:numCache>
            </c:numRef>
          </c:xVal>
          <c:yVal>
            <c:numRef>
              <c:f>Water_Binary!$G$130:$G$139</c:f>
              <c:numCache>
                <c:formatCode>General</c:formatCode>
                <c:ptCount val="10"/>
                <c:pt idx="0">
                  <c:v>1.06E-2</c:v>
                </c:pt>
                <c:pt idx="1">
                  <c:v>9.8499999999999994E-3</c:v>
                </c:pt>
                <c:pt idx="2">
                  <c:v>9.0600000000000003E-3</c:v>
                </c:pt>
                <c:pt idx="3">
                  <c:v>8.2799999999999992E-3</c:v>
                </c:pt>
                <c:pt idx="4">
                  <c:v>9.5499999999999995E-3</c:v>
                </c:pt>
                <c:pt idx="5">
                  <c:v>1.1299999999999999E-2</c:v>
                </c:pt>
                <c:pt idx="6">
                  <c:v>1.32E-2</c:v>
                </c:pt>
                <c:pt idx="7">
                  <c:v>0</c:v>
                </c:pt>
                <c:pt idx="8">
                  <c:v>1.49E-2</c:v>
                </c:pt>
                <c:pt idx="9">
                  <c:v>1.55E-2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C275-402E-8FF7-03DFEB4132C8}"/>
            </c:ext>
          </c:extLst>
        </c:ser>
        <c:ser>
          <c:idx val="11"/>
          <c:order val="9"/>
          <c:tx>
            <c:v>Расчет_75</c:v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Water_Binary!$I$130:$I$139</c:f>
              <c:numCache>
                <c:formatCode>General</c:formatCode>
                <c:ptCount val="10"/>
                <c:pt idx="0">
                  <c:v>2.5299999999999998</c:v>
                </c:pt>
                <c:pt idx="1">
                  <c:v>5.07</c:v>
                </c:pt>
                <c:pt idx="2">
                  <c:v>7.6</c:v>
                </c:pt>
                <c:pt idx="3">
                  <c:v>10.130000000000001</c:v>
                </c:pt>
                <c:pt idx="4">
                  <c:v>15.2</c:v>
                </c:pt>
                <c:pt idx="5">
                  <c:v>20.27</c:v>
                </c:pt>
                <c:pt idx="6">
                  <c:v>40.53</c:v>
                </c:pt>
                <c:pt idx="7">
                  <c:v>50.66</c:v>
                </c:pt>
                <c:pt idx="8">
                  <c:v>60.8</c:v>
                </c:pt>
                <c:pt idx="9">
                  <c:v>70.930000000000007</c:v>
                </c:pt>
              </c:numCache>
            </c:numRef>
          </c:xVal>
          <c:yVal>
            <c:numRef>
              <c:f>Water_Binary!$N$130:$N$139</c:f>
              <c:numCache>
                <c:formatCode>General</c:formatCode>
                <c:ptCount val="10"/>
                <c:pt idx="0">
                  <c:v>1.7130136144298539E-2</c:v>
                </c:pt>
                <c:pt idx="1">
                  <c:v>1.036786812299134E-2</c:v>
                </c:pt>
                <c:pt idx="2">
                  <c:v>8.6308189344851474E-3</c:v>
                </c:pt>
                <c:pt idx="3">
                  <c:v>8.3645548966285212E-3</c:v>
                </c:pt>
                <c:pt idx="4">
                  <c:v>9.8980975070470066E-3</c:v>
                </c:pt>
                <c:pt idx="5">
                  <c:v>1.1489061122108436E-2</c:v>
                </c:pt>
                <c:pt idx="6">
                  <c:v>1.3935224434368286E-2</c:v>
                </c:pt>
                <c:pt idx="7">
                  <c:v>1.439772543717634E-2</c:v>
                </c:pt>
                <c:pt idx="8">
                  <c:v>1.4679116632224576E-2</c:v>
                </c:pt>
                <c:pt idx="9">
                  <c:v>1.4851642914040042E-2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C275-402E-8FF7-03DFEB4132C8}"/>
            </c:ext>
          </c:extLst>
        </c:ser>
        <c:ser>
          <c:idx val="12"/>
          <c:order val="10"/>
          <c:tx>
            <c:v>Эксперимент_100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Water_Binary!$B$142:$B$150</c:f>
              <c:numCache>
                <c:formatCode>General</c:formatCode>
                <c:ptCount val="9"/>
                <c:pt idx="0">
                  <c:v>19.23</c:v>
                </c:pt>
                <c:pt idx="1">
                  <c:v>28.85</c:v>
                </c:pt>
                <c:pt idx="2">
                  <c:v>38.47</c:v>
                </c:pt>
                <c:pt idx="3">
                  <c:v>48.08</c:v>
                </c:pt>
                <c:pt idx="4">
                  <c:v>96.17</c:v>
                </c:pt>
                <c:pt idx="5">
                  <c:v>144.26</c:v>
                </c:pt>
                <c:pt idx="6">
                  <c:v>192.31</c:v>
                </c:pt>
                <c:pt idx="7">
                  <c:v>240.46</c:v>
                </c:pt>
                <c:pt idx="8">
                  <c:v>288.5</c:v>
                </c:pt>
              </c:numCache>
            </c:numRef>
          </c:xVal>
          <c:yVal>
            <c:numRef>
              <c:f>Water_Binary!$C$142:$C$150</c:f>
              <c:numCache>
                <c:formatCode>General</c:formatCode>
                <c:ptCount val="9"/>
                <c:pt idx="0">
                  <c:v>2.9000000000000001E-2</c:v>
                </c:pt>
                <c:pt idx="1">
                  <c:v>0</c:v>
                </c:pt>
                <c:pt idx="2">
                  <c:v>0</c:v>
                </c:pt>
                <c:pt idx="3">
                  <c:v>0.03</c:v>
                </c:pt>
                <c:pt idx="4">
                  <c:v>0.03</c:v>
                </c:pt>
                <c:pt idx="5">
                  <c:v>2.9000000000000001E-2</c:v>
                </c:pt>
                <c:pt idx="6">
                  <c:v>2.9000000000000001E-2</c:v>
                </c:pt>
                <c:pt idx="7">
                  <c:v>2.9000000000000001E-2</c:v>
                </c:pt>
                <c:pt idx="8">
                  <c:v>2.8000000000000001E-2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C275-402E-8FF7-03DFEB4132C8}"/>
            </c:ext>
          </c:extLst>
        </c:ser>
        <c:ser>
          <c:idx val="13"/>
          <c:order val="11"/>
          <c:tx>
            <c:v>Расчет_100</c:v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Water_Binary!$I$142:$I$150</c:f>
              <c:numCache>
                <c:formatCode>General</c:formatCode>
                <c:ptCount val="9"/>
                <c:pt idx="0">
                  <c:v>19.23</c:v>
                </c:pt>
                <c:pt idx="1">
                  <c:v>28.85</c:v>
                </c:pt>
                <c:pt idx="2">
                  <c:v>38.47</c:v>
                </c:pt>
                <c:pt idx="3">
                  <c:v>48.08</c:v>
                </c:pt>
                <c:pt idx="4">
                  <c:v>96.17</c:v>
                </c:pt>
                <c:pt idx="5">
                  <c:v>144.26</c:v>
                </c:pt>
                <c:pt idx="6">
                  <c:v>192.31</c:v>
                </c:pt>
                <c:pt idx="7">
                  <c:v>240.46</c:v>
                </c:pt>
                <c:pt idx="8">
                  <c:v>288.5</c:v>
                </c:pt>
              </c:numCache>
            </c:numRef>
          </c:xVal>
          <c:yVal>
            <c:numRef>
              <c:f>Water_Binary!$J$142:$J$146</c:f>
              <c:numCache>
                <c:formatCode>General</c:formatCode>
                <c:ptCount val="5"/>
                <c:pt idx="0">
                  <c:v>1.9547467913924761E-2</c:v>
                </c:pt>
                <c:pt idx="1">
                  <c:v>2.2003449122927978E-2</c:v>
                </c:pt>
                <c:pt idx="2">
                  <c:v>2.3390195591433263E-2</c:v>
                </c:pt>
                <c:pt idx="3">
                  <c:v>2.4179817215489941E-2</c:v>
                </c:pt>
                <c:pt idx="4">
                  <c:v>2.5142612575361701E-2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C275-402E-8FF7-03DFEB4132C8}"/>
            </c:ext>
          </c:extLst>
        </c:ser>
        <c:ser>
          <c:idx val="8"/>
          <c:order val="12"/>
          <c:tx>
            <c:v>Эксперимент_150</c:v>
          </c:tx>
          <c:spPr>
            <a:ln w="28575">
              <a:noFill/>
            </a:ln>
          </c:spPr>
          <c:xVal>
            <c:numRef>
              <c:f>Water_Binary!$B$142:$B$150</c:f>
              <c:numCache>
                <c:formatCode>General</c:formatCode>
                <c:ptCount val="9"/>
                <c:pt idx="0">
                  <c:v>19.23</c:v>
                </c:pt>
                <c:pt idx="1">
                  <c:v>28.85</c:v>
                </c:pt>
                <c:pt idx="2">
                  <c:v>38.47</c:v>
                </c:pt>
                <c:pt idx="3">
                  <c:v>48.08</c:v>
                </c:pt>
                <c:pt idx="4">
                  <c:v>96.17</c:v>
                </c:pt>
                <c:pt idx="5">
                  <c:v>144.26</c:v>
                </c:pt>
                <c:pt idx="6">
                  <c:v>192.31</c:v>
                </c:pt>
                <c:pt idx="7">
                  <c:v>240.46</c:v>
                </c:pt>
                <c:pt idx="8">
                  <c:v>288.5</c:v>
                </c:pt>
              </c:numCache>
            </c:numRef>
          </c:xVal>
          <c:yVal>
            <c:numRef>
              <c:f>Water_Binary!$D$142:$D$150</c:f>
              <c:numCache>
                <c:formatCode>General</c:formatCode>
                <c:ptCount val="9"/>
                <c:pt idx="0">
                  <c:v>0.06</c:v>
                </c:pt>
                <c:pt idx="1">
                  <c:v>0</c:v>
                </c:pt>
                <c:pt idx="2">
                  <c:v>0</c:v>
                </c:pt>
                <c:pt idx="3">
                  <c:v>6.3E-2</c:v>
                </c:pt>
                <c:pt idx="4">
                  <c:v>6.5000000000000002E-2</c:v>
                </c:pt>
                <c:pt idx="5">
                  <c:v>6.8000000000000005E-2</c:v>
                </c:pt>
                <c:pt idx="6">
                  <c:v>6.8000000000000005E-2</c:v>
                </c:pt>
                <c:pt idx="7">
                  <c:v>6.7000000000000004E-2</c:v>
                </c:pt>
                <c:pt idx="8">
                  <c:v>6.5000000000000002E-2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C275-402E-8FF7-03DFEB4132C8}"/>
            </c:ext>
          </c:extLst>
        </c:ser>
        <c:ser>
          <c:idx val="9"/>
          <c:order val="13"/>
          <c:tx>
            <c:v>Расчет_150</c:v>
          </c:tx>
          <c:marker>
            <c:symbol val="none"/>
          </c:marker>
          <c:xVal>
            <c:numRef>
              <c:f>Water_Binary!$I$142:$I$150</c:f>
              <c:numCache>
                <c:formatCode>General</c:formatCode>
                <c:ptCount val="9"/>
                <c:pt idx="0">
                  <c:v>19.23</c:v>
                </c:pt>
                <c:pt idx="1">
                  <c:v>28.85</c:v>
                </c:pt>
                <c:pt idx="2">
                  <c:v>38.47</c:v>
                </c:pt>
                <c:pt idx="3">
                  <c:v>48.08</c:v>
                </c:pt>
                <c:pt idx="4">
                  <c:v>96.17</c:v>
                </c:pt>
                <c:pt idx="5">
                  <c:v>144.26</c:v>
                </c:pt>
                <c:pt idx="6">
                  <c:v>192.31</c:v>
                </c:pt>
                <c:pt idx="7">
                  <c:v>240.46</c:v>
                </c:pt>
                <c:pt idx="8">
                  <c:v>288.5</c:v>
                </c:pt>
              </c:numCache>
            </c:numRef>
          </c:xVal>
          <c:yVal>
            <c:numRef>
              <c:f>Water_Binary!$K$142:$K$146</c:f>
              <c:numCache>
                <c:formatCode>General</c:formatCode>
                <c:ptCount val="5"/>
                <c:pt idx="0">
                  <c:v>6.1594908530605855E-2</c:v>
                </c:pt>
                <c:pt idx="1">
                  <c:v>6.063974440494059E-2</c:v>
                </c:pt>
                <c:pt idx="2">
                  <c:v>6.165829220876802E-2</c:v>
                </c:pt>
                <c:pt idx="3">
                  <c:v>6.246771730429556E-2</c:v>
                </c:pt>
                <c:pt idx="4">
                  <c:v>6.2455457968345791E-2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C275-402E-8FF7-03DFEB4132C8}"/>
            </c:ext>
          </c:extLst>
        </c:ser>
        <c:ser>
          <c:idx val="14"/>
          <c:order val="14"/>
          <c:tx>
            <c:v>Эксперимент_200</c:v>
          </c:tx>
          <c:spPr>
            <a:ln w="28575">
              <a:noFill/>
            </a:ln>
          </c:spPr>
          <c:xVal>
            <c:numRef>
              <c:f>Water_Binary!$B$142:$B$150</c:f>
              <c:numCache>
                <c:formatCode>General</c:formatCode>
                <c:ptCount val="9"/>
                <c:pt idx="0">
                  <c:v>19.23</c:v>
                </c:pt>
                <c:pt idx="1">
                  <c:v>28.85</c:v>
                </c:pt>
                <c:pt idx="2">
                  <c:v>38.47</c:v>
                </c:pt>
                <c:pt idx="3">
                  <c:v>48.08</c:v>
                </c:pt>
                <c:pt idx="4">
                  <c:v>96.17</c:v>
                </c:pt>
                <c:pt idx="5">
                  <c:v>144.26</c:v>
                </c:pt>
                <c:pt idx="6">
                  <c:v>192.31</c:v>
                </c:pt>
                <c:pt idx="7">
                  <c:v>240.46</c:v>
                </c:pt>
                <c:pt idx="8">
                  <c:v>288.5</c:v>
                </c:pt>
              </c:numCache>
            </c:numRef>
          </c:xVal>
          <c:yVal>
            <c:numRef>
              <c:f>Water_Binary!$E$142:$E$150</c:f>
              <c:numCache>
                <c:formatCode>General</c:formatCode>
                <c:ptCount val="9"/>
                <c:pt idx="0">
                  <c:v>0.155</c:v>
                </c:pt>
                <c:pt idx="1">
                  <c:v>0</c:v>
                </c:pt>
                <c:pt idx="2">
                  <c:v>0</c:v>
                </c:pt>
                <c:pt idx="3">
                  <c:v>0.14000000000000001</c:v>
                </c:pt>
                <c:pt idx="4">
                  <c:v>0.14499999999999999</c:v>
                </c:pt>
                <c:pt idx="5">
                  <c:v>0.15</c:v>
                </c:pt>
                <c:pt idx="6">
                  <c:v>0.14499999999999999</c:v>
                </c:pt>
                <c:pt idx="7">
                  <c:v>0.14000000000000001</c:v>
                </c:pt>
                <c:pt idx="8">
                  <c:v>0.13300000000000001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C275-402E-8FF7-03DFEB4132C8}"/>
            </c:ext>
          </c:extLst>
        </c:ser>
        <c:ser>
          <c:idx val="15"/>
          <c:order val="15"/>
          <c:tx>
            <c:v>Расчет_200</c:v>
          </c:tx>
          <c:marker>
            <c:symbol val="none"/>
          </c:marker>
          <c:xVal>
            <c:numRef>
              <c:f>Water_Binary!$I$142:$I$150</c:f>
              <c:numCache>
                <c:formatCode>General</c:formatCode>
                <c:ptCount val="9"/>
                <c:pt idx="0">
                  <c:v>19.23</c:v>
                </c:pt>
                <c:pt idx="1">
                  <c:v>28.85</c:v>
                </c:pt>
                <c:pt idx="2">
                  <c:v>38.47</c:v>
                </c:pt>
                <c:pt idx="3">
                  <c:v>48.08</c:v>
                </c:pt>
                <c:pt idx="4">
                  <c:v>96.17</c:v>
                </c:pt>
                <c:pt idx="5">
                  <c:v>144.26</c:v>
                </c:pt>
                <c:pt idx="6">
                  <c:v>192.31</c:v>
                </c:pt>
                <c:pt idx="7">
                  <c:v>240.46</c:v>
                </c:pt>
                <c:pt idx="8">
                  <c:v>288.5</c:v>
                </c:pt>
              </c:numCache>
            </c:numRef>
          </c:xVal>
          <c:yVal>
            <c:numRef>
              <c:f>Water_Binary!$L$142:$L$146</c:f>
              <c:numCache>
                <c:formatCode>General</c:formatCode>
                <c:ptCount val="5"/>
                <c:pt idx="0">
                  <c:v>0.1788413911965587</c:v>
                </c:pt>
                <c:pt idx="1">
                  <c:v>0.15791156132510442</c:v>
                </c:pt>
                <c:pt idx="2">
                  <c:v>0.15162190442922763</c:v>
                </c:pt>
                <c:pt idx="3">
                  <c:v>0.14898958216767505</c:v>
                </c:pt>
                <c:pt idx="4">
                  <c:v>0.14111021616966235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C275-402E-8FF7-03DFEB4132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0802152"/>
        <c:axId val="1"/>
      </c:scatterChart>
      <c:valAx>
        <c:axId val="480802152"/>
        <c:scaling>
          <c:orientation val="minMax"/>
          <c:max val="1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 sz="1200">
                    <a:latin typeface="Times New Roman" panose="02020603050405020304" pitchFamily="18" charset="0"/>
                    <a:cs typeface="Times New Roman" panose="02020603050405020304" pitchFamily="18" charset="0"/>
                  </a:defRPr>
                </a:pPr>
                <a:r>
                  <a:rPr lang="ru-RU" sz="120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Давление, МПа</a:t>
                </a:r>
              </a:p>
            </c:rich>
          </c:tx>
          <c:layout>
            <c:manualLayout>
              <c:xMode val="edge"/>
              <c:yMode val="edge"/>
              <c:x val="0.42498990996911901"/>
              <c:y val="0.94754098360655736"/>
            </c:manualLayout>
          </c:layout>
          <c:overlay val="0"/>
        </c:title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ru-RU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0.5"/>
          <c:min val="1.0000000000000002E-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 sz="1200">
                    <a:latin typeface="Times New Roman" panose="02020603050405020304" pitchFamily="18" charset="0"/>
                    <a:cs typeface="Times New Roman" panose="02020603050405020304" pitchFamily="18" charset="0"/>
                  </a:defRPr>
                </a:pPr>
                <a:r>
                  <a:rPr lang="ru-RU" sz="120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Мольная доля воды (</a:t>
                </a:r>
                <a:r>
                  <a:rPr lang="en-US" sz="120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H20) </a:t>
                </a:r>
                <a:r>
                  <a:rPr lang="ru-RU" sz="120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в паровой фазе</a:t>
                </a:r>
              </a:p>
            </c:rich>
          </c:tx>
          <c:layout>
            <c:manualLayout>
              <c:xMode val="edge"/>
              <c:yMode val="edge"/>
              <c:x val="6.420545746388443E-3"/>
              <c:y val="0.17209242287337034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80802152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>
                <a:latin typeface="Times New Roman" panose="02020603050405020304" pitchFamily="18" charset="0"/>
                <a:cs typeface="Times New Roman" panose="02020603050405020304" pitchFamily="18" charset="0"/>
              </a:defRPr>
            </a:pPr>
            <a:r>
              <a:rPr lang="ru-RU" sz="1400" b="1" i="0" baseline="0">
                <a:effectLst/>
                <a:latin typeface="Times New Roman" panose="02020603050405020304" pitchFamily="18" charset="0"/>
                <a:cs typeface="Times New Roman" panose="02020603050405020304" pitchFamily="18" charset="0"/>
              </a:rPr>
              <a:t>Содержание водяных паров в газовой фазе, находящейся в равновесии с раствором сероводорода(</a:t>
            </a:r>
            <a:r>
              <a:rPr lang="en-US" sz="1400" b="1" i="0" baseline="0">
                <a:effectLst/>
                <a:latin typeface="Times New Roman" panose="02020603050405020304" pitchFamily="18" charset="0"/>
                <a:cs typeface="Times New Roman" panose="02020603050405020304" pitchFamily="18" charset="0"/>
              </a:rPr>
              <a:t>H</a:t>
            </a:r>
            <a:r>
              <a:rPr lang="en-US" sz="1400" b="1" i="0" baseline="-25000">
                <a:effectLst/>
                <a:latin typeface="Times New Roman" panose="02020603050405020304" pitchFamily="18" charset="0"/>
                <a:cs typeface="Times New Roman" panose="02020603050405020304" pitchFamily="18" charset="0"/>
              </a:rPr>
              <a:t>2</a:t>
            </a:r>
            <a:r>
              <a:rPr lang="en-US" sz="1400" b="1" i="0" baseline="0">
                <a:effectLst/>
                <a:latin typeface="Times New Roman" panose="02020603050405020304" pitchFamily="18" charset="0"/>
                <a:cs typeface="Times New Roman" panose="02020603050405020304" pitchFamily="18" charset="0"/>
              </a:rPr>
              <a:t>S)</a:t>
            </a:r>
            <a:r>
              <a:rPr lang="ru-RU" sz="1400" b="1" i="0" baseline="0">
                <a:effectLst/>
                <a:latin typeface="Times New Roman" panose="02020603050405020304" pitchFamily="18" charset="0"/>
                <a:cs typeface="Times New Roman" panose="02020603050405020304" pitchFamily="18" charset="0"/>
              </a:rPr>
              <a:t> в воде</a:t>
            </a:r>
            <a:endParaRPr lang="ru-RU" sz="1400">
              <a:effectLst/>
              <a:latin typeface="Times New Roman" panose="02020603050405020304" pitchFamily="18" charset="0"/>
              <a:cs typeface="Times New Roman" panose="02020603050405020304" pitchFamily="18" charset="0"/>
            </a:endParaRPr>
          </a:p>
        </c:rich>
      </c:tx>
      <c:layout>
        <c:manualLayout>
          <c:xMode val="edge"/>
          <c:yMode val="edge"/>
          <c:x val="0.11292604501607717"/>
          <c:y val="5.4777363355896303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0077059180753578"/>
          <c:y val="0.13429877716898292"/>
          <c:w val="0.84628781402324704"/>
          <c:h val="0.75893755216081848"/>
        </c:manualLayout>
      </c:layout>
      <c:scatterChart>
        <c:scatterStyle val="lineMarker"/>
        <c:varyColors val="0"/>
        <c:ser>
          <c:idx val="0"/>
          <c:order val="0"/>
          <c:tx>
            <c:v>Эксперимент_37.8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Water_Binary!$B$159:$B$161</c:f>
              <c:numCache>
                <c:formatCode>General</c:formatCode>
                <c:ptCount val="3"/>
                <c:pt idx="0">
                  <c:v>1.01</c:v>
                </c:pt>
                <c:pt idx="1">
                  <c:v>2.0299999999999998</c:v>
                </c:pt>
                <c:pt idx="2">
                  <c:v>2.09</c:v>
                </c:pt>
              </c:numCache>
            </c:numRef>
          </c:xVal>
          <c:yVal>
            <c:numRef>
              <c:f>Water_Binary!$C$159:$C$161</c:f>
              <c:numCache>
                <c:formatCode>General</c:formatCode>
                <c:ptCount val="3"/>
                <c:pt idx="0">
                  <c:v>7.6E-3</c:v>
                </c:pt>
                <c:pt idx="1">
                  <c:v>4.64E-3</c:v>
                </c:pt>
                <c:pt idx="2">
                  <c:v>4.0000000000000001E-3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FA-435C-88CE-014C596D977D}"/>
            </c:ext>
          </c:extLst>
        </c:ser>
        <c:ser>
          <c:idx val="1"/>
          <c:order val="1"/>
          <c:tx>
            <c:v>Расчет_37.8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Water_Binary!$I$159:$I$171</c:f>
              <c:numCache>
                <c:formatCode>General</c:formatCode>
                <c:ptCount val="13"/>
                <c:pt idx="0">
                  <c:v>1.01</c:v>
                </c:pt>
                <c:pt idx="1">
                  <c:v>2.0299999999999998</c:v>
                </c:pt>
                <c:pt idx="2">
                  <c:v>2.09</c:v>
                </c:pt>
                <c:pt idx="3">
                  <c:v>3.04</c:v>
                </c:pt>
                <c:pt idx="4">
                  <c:v>4.05</c:v>
                </c:pt>
                <c:pt idx="5">
                  <c:v>5.07</c:v>
                </c:pt>
                <c:pt idx="6">
                  <c:v>5.24</c:v>
                </c:pt>
                <c:pt idx="7">
                  <c:v>7.6</c:v>
                </c:pt>
                <c:pt idx="8">
                  <c:v>10.130000000000001</c:v>
                </c:pt>
                <c:pt idx="9">
                  <c:v>12.66</c:v>
                </c:pt>
                <c:pt idx="10">
                  <c:v>15.2</c:v>
                </c:pt>
                <c:pt idx="11">
                  <c:v>17.73</c:v>
                </c:pt>
                <c:pt idx="12">
                  <c:v>20.27</c:v>
                </c:pt>
              </c:numCache>
            </c:numRef>
          </c:xVal>
          <c:yVal>
            <c:numRef>
              <c:f>Water_Binary!$J$159:$J$161</c:f>
              <c:numCache>
                <c:formatCode>General</c:formatCode>
                <c:ptCount val="3"/>
                <c:pt idx="0">
                  <c:v>6.3366637210239543E-3</c:v>
                </c:pt>
                <c:pt idx="1">
                  <c:v>3.5575801911665373E-3</c:v>
                </c:pt>
                <c:pt idx="2">
                  <c:v>3.481996576316153E-3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AFA-435C-88CE-014C596D977D}"/>
            </c:ext>
          </c:extLst>
        </c:ser>
        <c:ser>
          <c:idx val="2"/>
          <c:order val="2"/>
          <c:tx>
            <c:v>Эксперимент_71.1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Water_Binary!$B$159:$B$165</c:f>
              <c:numCache>
                <c:formatCode>General</c:formatCode>
                <c:ptCount val="7"/>
                <c:pt idx="0">
                  <c:v>1.01</c:v>
                </c:pt>
                <c:pt idx="1">
                  <c:v>2.0299999999999998</c:v>
                </c:pt>
                <c:pt idx="2">
                  <c:v>2.09</c:v>
                </c:pt>
                <c:pt idx="3">
                  <c:v>3.04</c:v>
                </c:pt>
                <c:pt idx="4">
                  <c:v>4.05</c:v>
                </c:pt>
                <c:pt idx="5">
                  <c:v>5.07</c:v>
                </c:pt>
                <c:pt idx="6">
                  <c:v>5.24</c:v>
                </c:pt>
              </c:numCache>
            </c:numRef>
          </c:xVal>
          <c:yVal>
            <c:numRef>
              <c:f>Water_Binary!$D$159:$D$164</c:f>
              <c:numCache>
                <c:formatCode>General</c:formatCode>
                <c:ptCount val="6"/>
                <c:pt idx="0">
                  <c:v>3.6600000000000001E-2</c:v>
                </c:pt>
                <c:pt idx="1">
                  <c:v>2.01E-2</c:v>
                </c:pt>
                <c:pt idx="2">
                  <c:v>0</c:v>
                </c:pt>
                <c:pt idx="3">
                  <c:v>1.54E-2</c:v>
                </c:pt>
                <c:pt idx="4">
                  <c:v>1.3599999999999999E-2</c:v>
                </c:pt>
                <c:pt idx="5">
                  <c:v>1.32E-2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AFA-435C-88CE-014C596D977D}"/>
            </c:ext>
          </c:extLst>
        </c:ser>
        <c:ser>
          <c:idx val="3"/>
          <c:order val="3"/>
          <c:tx>
            <c:v>Расчет_71.1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Water_Binary!$I$159:$I$171</c:f>
              <c:numCache>
                <c:formatCode>General</c:formatCode>
                <c:ptCount val="13"/>
                <c:pt idx="0">
                  <c:v>1.01</c:v>
                </c:pt>
                <c:pt idx="1">
                  <c:v>2.0299999999999998</c:v>
                </c:pt>
                <c:pt idx="2">
                  <c:v>2.09</c:v>
                </c:pt>
                <c:pt idx="3">
                  <c:v>3.04</c:v>
                </c:pt>
                <c:pt idx="4">
                  <c:v>4.05</c:v>
                </c:pt>
                <c:pt idx="5">
                  <c:v>5.07</c:v>
                </c:pt>
                <c:pt idx="6">
                  <c:v>5.24</c:v>
                </c:pt>
                <c:pt idx="7">
                  <c:v>7.6</c:v>
                </c:pt>
                <c:pt idx="8">
                  <c:v>10.130000000000001</c:v>
                </c:pt>
                <c:pt idx="9">
                  <c:v>12.66</c:v>
                </c:pt>
                <c:pt idx="10">
                  <c:v>15.2</c:v>
                </c:pt>
                <c:pt idx="11">
                  <c:v>17.73</c:v>
                </c:pt>
                <c:pt idx="12">
                  <c:v>20.27</c:v>
                </c:pt>
              </c:numCache>
            </c:numRef>
          </c:xVal>
          <c:yVal>
            <c:numRef>
              <c:f>Water_Binary!$K$159:$K$164</c:f>
              <c:numCache>
                <c:formatCode>General</c:formatCode>
                <c:ptCount val="6"/>
                <c:pt idx="0">
                  <c:v>3.3257416618991294E-2</c:v>
                </c:pt>
                <c:pt idx="1">
                  <c:v>1.7795717692697926E-2</c:v>
                </c:pt>
                <c:pt idx="2">
                  <c:v>1.7370496573508414E-2</c:v>
                </c:pt>
                <c:pt idx="3">
                  <c:v>1.2990250902163188E-2</c:v>
                </c:pt>
                <c:pt idx="4">
                  <c:v>1.0791128738130195E-2</c:v>
                </c:pt>
                <c:pt idx="5">
                  <c:v>9.7221954754614041E-3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AFA-435C-88CE-014C596D977D}"/>
            </c:ext>
          </c:extLst>
        </c:ser>
        <c:ser>
          <c:idx val="4"/>
          <c:order val="4"/>
          <c:tx>
            <c:v>Эксперимент_104.4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Water_Binary!$B$159:$B$171</c:f>
              <c:numCache>
                <c:formatCode>General</c:formatCode>
                <c:ptCount val="13"/>
                <c:pt idx="0">
                  <c:v>1.01</c:v>
                </c:pt>
                <c:pt idx="1">
                  <c:v>2.0299999999999998</c:v>
                </c:pt>
                <c:pt idx="2">
                  <c:v>2.09</c:v>
                </c:pt>
                <c:pt idx="3">
                  <c:v>3.04</c:v>
                </c:pt>
                <c:pt idx="4">
                  <c:v>4.05</c:v>
                </c:pt>
                <c:pt idx="5">
                  <c:v>5.07</c:v>
                </c:pt>
                <c:pt idx="6">
                  <c:v>5.24</c:v>
                </c:pt>
                <c:pt idx="7">
                  <c:v>7.6</c:v>
                </c:pt>
                <c:pt idx="8">
                  <c:v>10.130000000000001</c:v>
                </c:pt>
                <c:pt idx="9">
                  <c:v>12.66</c:v>
                </c:pt>
                <c:pt idx="10">
                  <c:v>15.2</c:v>
                </c:pt>
                <c:pt idx="11">
                  <c:v>17.73</c:v>
                </c:pt>
                <c:pt idx="12">
                  <c:v>20.27</c:v>
                </c:pt>
              </c:numCache>
            </c:numRef>
          </c:xVal>
          <c:yVal>
            <c:numRef>
              <c:f>Water_Binary!$E$159:$E$171</c:f>
              <c:numCache>
                <c:formatCode>General</c:formatCode>
                <c:ptCount val="13"/>
                <c:pt idx="0">
                  <c:v>0</c:v>
                </c:pt>
                <c:pt idx="1">
                  <c:v>7.46E-2</c:v>
                </c:pt>
                <c:pt idx="2">
                  <c:v>0</c:v>
                </c:pt>
                <c:pt idx="3">
                  <c:v>4.8000000000000001E-2</c:v>
                </c:pt>
                <c:pt idx="4">
                  <c:v>4.0399999999999998E-2</c:v>
                </c:pt>
                <c:pt idx="5">
                  <c:v>3.6499999999999998E-2</c:v>
                </c:pt>
                <c:pt idx="6">
                  <c:v>0</c:v>
                </c:pt>
                <c:pt idx="7">
                  <c:v>3.3300000000000003E-2</c:v>
                </c:pt>
                <c:pt idx="8">
                  <c:v>3.44E-2</c:v>
                </c:pt>
                <c:pt idx="9">
                  <c:v>3.7600000000000001E-2</c:v>
                </c:pt>
                <c:pt idx="10">
                  <c:v>4.2500000000000003E-2</c:v>
                </c:pt>
                <c:pt idx="11">
                  <c:v>4.82E-2</c:v>
                </c:pt>
                <c:pt idx="12">
                  <c:v>5.3999999999999999E-2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AFA-435C-88CE-014C596D977D}"/>
            </c:ext>
          </c:extLst>
        </c:ser>
        <c:ser>
          <c:idx val="5"/>
          <c:order val="5"/>
          <c:tx>
            <c:v>Расчет_104.4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Water_Binary!$I$159:$I$171</c:f>
              <c:numCache>
                <c:formatCode>General</c:formatCode>
                <c:ptCount val="13"/>
                <c:pt idx="0">
                  <c:v>1.01</c:v>
                </c:pt>
                <c:pt idx="1">
                  <c:v>2.0299999999999998</c:v>
                </c:pt>
                <c:pt idx="2">
                  <c:v>2.09</c:v>
                </c:pt>
                <c:pt idx="3">
                  <c:v>3.04</c:v>
                </c:pt>
                <c:pt idx="4">
                  <c:v>4.05</c:v>
                </c:pt>
                <c:pt idx="5">
                  <c:v>5.07</c:v>
                </c:pt>
                <c:pt idx="6">
                  <c:v>5.24</c:v>
                </c:pt>
                <c:pt idx="7">
                  <c:v>7.6</c:v>
                </c:pt>
                <c:pt idx="8">
                  <c:v>10.130000000000001</c:v>
                </c:pt>
                <c:pt idx="9">
                  <c:v>12.66</c:v>
                </c:pt>
                <c:pt idx="10">
                  <c:v>15.2</c:v>
                </c:pt>
                <c:pt idx="11">
                  <c:v>17.73</c:v>
                </c:pt>
                <c:pt idx="12">
                  <c:v>20.27</c:v>
                </c:pt>
              </c:numCache>
            </c:numRef>
          </c:xVal>
          <c:yVal>
            <c:numRef>
              <c:f>Water_Binary!$L$159:$L$171</c:f>
              <c:numCache>
                <c:formatCode>General</c:formatCode>
                <c:ptCount val="13"/>
                <c:pt idx="0">
                  <c:v>0.13418160132994753</c:v>
                </c:pt>
                <c:pt idx="1">
                  <c:v>6.7024920922721276E-2</c:v>
                </c:pt>
                <c:pt idx="2">
                  <c:v>6.5246985866827742E-2</c:v>
                </c:pt>
                <c:pt idx="3">
                  <c:v>4.6977354377052069E-2</c:v>
                </c:pt>
                <c:pt idx="4">
                  <c:v>3.7523530472042071E-2</c:v>
                </c:pt>
                <c:pt idx="5">
                  <c:v>3.2207400014732206E-2</c:v>
                </c:pt>
                <c:pt idx="6">
                  <c:v>3.1564550405985964E-2</c:v>
                </c:pt>
                <c:pt idx="7">
                  <c:v>2.6911196919015414E-2</c:v>
                </c:pt>
                <c:pt idx="8">
                  <c:v>4.145488385219278E-2</c:v>
                </c:pt>
                <c:pt idx="9">
                  <c:v>4.5664361388491143E-2</c:v>
                </c:pt>
                <c:pt idx="10">
                  <c:v>4.7859424374179636E-2</c:v>
                </c:pt>
                <c:pt idx="11">
                  <c:v>4.9344744966823305E-2</c:v>
                </c:pt>
                <c:pt idx="12">
                  <c:v>5.0456921943160517E-2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AFA-435C-88CE-014C596D977D}"/>
            </c:ext>
          </c:extLst>
        </c:ser>
        <c:ser>
          <c:idx val="6"/>
          <c:order val="6"/>
          <c:tx>
            <c:v>Эксперимент_137.8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Water_Binary!$B$159:$B$171</c:f>
              <c:numCache>
                <c:formatCode>General</c:formatCode>
                <c:ptCount val="13"/>
                <c:pt idx="0">
                  <c:v>1.01</c:v>
                </c:pt>
                <c:pt idx="1">
                  <c:v>2.0299999999999998</c:v>
                </c:pt>
                <c:pt idx="2">
                  <c:v>2.09</c:v>
                </c:pt>
                <c:pt idx="3">
                  <c:v>3.04</c:v>
                </c:pt>
                <c:pt idx="4">
                  <c:v>4.05</c:v>
                </c:pt>
                <c:pt idx="5">
                  <c:v>5.07</c:v>
                </c:pt>
                <c:pt idx="6">
                  <c:v>5.24</c:v>
                </c:pt>
                <c:pt idx="7">
                  <c:v>7.6</c:v>
                </c:pt>
                <c:pt idx="8">
                  <c:v>10.130000000000001</c:v>
                </c:pt>
                <c:pt idx="9">
                  <c:v>12.66</c:v>
                </c:pt>
                <c:pt idx="10">
                  <c:v>15.2</c:v>
                </c:pt>
                <c:pt idx="11">
                  <c:v>17.73</c:v>
                </c:pt>
                <c:pt idx="12">
                  <c:v>20.27</c:v>
                </c:pt>
              </c:numCache>
            </c:numRef>
          </c:xVal>
          <c:yVal>
            <c:numRef>
              <c:f>Water_Binary!$F$159:$F$171</c:f>
              <c:numCache>
                <c:formatCode>General</c:formatCode>
                <c:ptCount val="13"/>
                <c:pt idx="0">
                  <c:v>0</c:v>
                </c:pt>
                <c:pt idx="1">
                  <c:v>0.184</c:v>
                </c:pt>
                <c:pt idx="2">
                  <c:v>0</c:v>
                </c:pt>
                <c:pt idx="3">
                  <c:v>0.1295</c:v>
                </c:pt>
                <c:pt idx="4">
                  <c:v>0.10199999999999999</c:v>
                </c:pt>
                <c:pt idx="5">
                  <c:v>8.7999999999999995E-2</c:v>
                </c:pt>
                <c:pt idx="6">
                  <c:v>0</c:v>
                </c:pt>
                <c:pt idx="7">
                  <c:v>7.2499999999999995E-2</c:v>
                </c:pt>
                <c:pt idx="8">
                  <c:v>6.7000000000000004E-2</c:v>
                </c:pt>
                <c:pt idx="9">
                  <c:v>6.7500000000000004E-2</c:v>
                </c:pt>
                <c:pt idx="10">
                  <c:v>7.2499999999999995E-2</c:v>
                </c:pt>
                <c:pt idx="11">
                  <c:v>8.2000000000000003E-2</c:v>
                </c:pt>
                <c:pt idx="12">
                  <c:v>8.8499999999999995E-2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3AFA-435C-88CE-014C596D977D}"/>
            </c:ext>
          </c:extLst>
        </c:ser>
        <c:ser>
          <c:idx val="7"/>
          <c:order val="7"/>
          <c:tx>
            <c:v>Расчет_137.8</c:v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Water_Binary!$I$159:$I$171</c:f>
              <c:numCache>
                <c:formatCode>General</c:formatCode>
                <c:ptCount val="13"/>
                <c:pt idx="0">
                  <c:v>1.01</c:v>
                </c:pt>
                <c:pt idx="1">
                  <c:v>2.0299999999999998</c:v>
                </c:pt>
                <c:pt idx="2">
                  <c:v>2.09</c:v>
                </c:pt>
                <c:pt idx="3">
                  <c:v>3.04</c:v>
                </c:pt>
                <c:pt idx="4">
                  <c:v>4.05</c:v>
                </c:pt>
                <c:pt idx="5">
                  <c:v>5.07</c:v>
                </c:pt>
                <c:pt idx="6">
                  <c:v>5.24</c:v>
                </c:pt>
                <c:pt idx="7">
                  <c:v>7.6</c:v>
                </c:pt>
                <c:pt idx="8">
                  <c:v>10.130000000000001</c:v>
                </c:pt>
                <c:pt idx="9">
                  <c:v>12.66</c:v>
                </c:pt>
                <c:pt idx="10">
                  <c:v>15.2</c:v>
                </c:pt>
                <c:pt idx="11">
                  <c:v>17.73</c:v>
                </c:pt>
                <c:pt idx="12">
                  <c:v>20.27</c:v>
                </c:pt>
              </c:numCache>
            </c:numRef>
          </c:xVal>
          <c:yVal>
            <c:numRef>
              <c:f>Water_Binary!$M$159:$M$171</c:f>
              <c:numCache>
                <c:formatCode>General</c:formatCode>
                <c:ptCount val="13"/>
                <c:pt idx="0">
                  <c:v>0.51778293870699588</c:v>
                </c:pt>
                <c:pt idx="1">
                  <c:v>0.21734182911551728</c:v>
                </c:pt>
                <c:pt idx="2">
                  <c:v>0.21055201809908136</c:v>
                </c:pt>
                <c:pt idx="3">
                  <c:v>0.14342457197554967</c:v>
                </c:pt>
                <c:pt idx="4">
                  <c:v>0.1101501198337908</c:v>
                </c:pt>
                <c:pt idx="5">
                  <c:v>9.1397080105365666E-2</c:v>
                </c:pt>
                <c:pt idx="6">
                  <c:v>8.9077823385353444E-2</c:v>
                </c:pt>
                <c:pt idx="7">
                  <c:v>6.9311708692267174E-2</c:v>
                </c:pt>
                <c:pt idx="8">
                  <c:v>6.1572013296312414E-2</c:v>
                </c:pt>
                <c:pt idx="9">
                  <c:v>6.2140076993231222E-2</c:v>
                </c:pt>
                <c:pt idx="10">
                  <c:v>6.8768702538488852E-2</c:v>
                </c:pt>
                <c:pt idx="11">
                  <c:v>7.3801776863744326E-2</c:v>
                </c:pt>
                <c:pt idx="12">
                  <c:v>7.6935980633385914E-2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3AFA-435C-88CE-014C596D977D}"/>
            </c:ext>
          </c:extLst>
        </c:ser>
        <c:ser>
          <c:idx val="10"/>
          <c:order val="8"/>
          <c:tx>
            <c:v>Эксперимент_171.1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Water_Binary!$B$160:$B$171</c:f>
              <c:numCache>
                <c:formatCode>General</c:formatCode>
                <c:ptCount val="12"/>
                <c:pt idx="0">
                  <c:v>2.0299999999999998</c:v>
                </c:pt>
                <c:pt idx="1">
                  <c:v>2.09</c:v>
                </c:pt>
                <c:pt idx="2">
                  <c:v>3.04</c:v>
                </c:pt>
                <c:pt idx="3">
                  <c:v>4.05</c:v>
                </c:pt>
                <c:pt idx="4">
                  <c:v>5.07</c:v>
                </c:pt>
                <c:pt idx="5">
                  <c:v>5.24</c:v>
                </c:pt>
                <c:pt idx="6">
                  <c:v>7.6</c:v>
                </c:pt>
                <c:pt idx="7">
                  <c:v>10.130000000000001</c:v>
                </c:pt>
                <c:pt idx="8">
                  <c:v>12.66</c:v>
                </c:pt>
                <c:pt idx="9">
                  <c:v>15.2</c:v>
                </c:pt>
                <c:pt idx="10">
                  <c:v>17.73</c:v>
                </c:pt>
                <c:pt idx="11">
                  <c:v>20.27</c:v>
                </c:pt>
              </c:numCache>
            </c:numRef>
          </c:xVal>
          <c:yVal>
            <c:numRef>
              <c:f>Water_Binary!$G$160:$G$171</c:f>
              <c:numCache>
                <c:formatCode>General</c:formatCode>
                <c:ptCount val="12"/>
                <c:pt idx="0">
                  <c:v>0.41399999999999998</c:v>
                </c:pt>
                <c:pt idx="1">
                  <c:v>0</c:v>
                </c:pt>
                <c:pt idx="2">
                  <c:v>0.28999999999999998</c:v>
                </c:pt>
                <c:pt idx="3">
                  <c:v>0.22600000000000001</c:v>
                </c:pt>
                <c:pt idx="4">
                  <c:v>0.1885</c:v>
                </c:pt>
                <c:pt idx="5">
                  <c:v>0</c:v>
                </c:pt>
                <c:pt idx="6">
                  <c:v>0.14199999999999999</c:v>
                </c:pt>
                <c:pt idx="7">
                  <c:v>0.126</c:v>
                </c:pt>
                <c:pt idx="8">
                  <c:v>0.121</c:v>
                </c:pt>
                <c:pt idx="9">
                  <c:v>0.122</c:v>
                </c:pt>
                <c:pt idx="10">
                  <c:v>0.128</c:v>
                </c:pt>
                <c:pt idx="11">
                  <c:v>0.187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3AFA-435C-88CE-014C596D977D}"/>
            </c:ext>
          </c:extLst>
        </c:ser>
        <c:ser>
          <c:idx val="11"/>
          <c:order val="9"/>
          <c:tx>
            <c:v>Расчет_171.1</c:v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Water_Binary!$I$160:$I$171</c:f>
              <c:numCache>
                <c:formatCode>General</c:formatCode>
                <c:ptCount val="12"/>
                <c:pt idx="0">
                  <c:v>2.0299999999999998</c:v>
                </c:pt>
                <c:pt idx="1">
                  <c:v>2.09</c:v>
                </c:pt>
                <c:pt idx="2">
                  <c:v>3.04</c:v>
                </c:pt>
                <c:pt idx="3">
                  <c:v>4.05</c:v>
                </c:pt>
                <c:pt idx="4">
                  <c:v>5.07</c:v>
                </c:pt>
                <c:pt idx="5">
                  <c:v>5.24</c:v>
                </c:pt>
                <c:pt idx="6">
                  <c:v>7.6</c:v>
                </c:pt>
                <c:pt idx="7">
                  <c:v>10.130000000000001</c:v>
                </c:pt>
                <c:pt idx="8">
                  <c:v>12.66</c:v>
                </c:pt>
                <c:pt idx="9">
                  <c:v>15.2</c:v>
                </c:pt>
                <c:pt idx="10">
                  <c:v>17.73</c:v>
                </c:pt>
                <c:pt idx="11">
                  <c:v>20.27</c:v>
                </c:pt>
              </c:numCache>
            </c:numRef>
          </c:xVal>
          <c:yVal>
            <c:numRef>
              <c:f>Water_Binary!$N$160:$N$171</c:f>
              <c:numCache>
                <c:formatCode>General</c:formatCode>
                <c:ptCount val="12"/>
                <c:pt idx="0">
                  <c:v>0.7284475573729442</c:v>
                </c:pt>
                <c:pt idx="1">
                  <c:v>0.69597556680254635</c:v>
                </c:pt>
                <c:pt idx="2">
                  <c:v>0.41501672217827151</c:v>
                </c:pt>
                <c:pt idx="3">
                  <c:v>0.29767659549192732</c:v>
                </c:pt>
                <c:pt idx="4">
                  <c:v>0.23629600261586167</c:v>
                </c:pt>
                <c:pt idx="5">
                  <c:v>0.22888174437243214</c:v>
                </c:pt>
                <c:pt idx="6">
                  <c:v>0.16582994572191853</c:v>
                </c:pt>
                <c:pt idx="7">
                  <c:v>0.1365992944494234</c:v>
                </c:pt>
                <c:pt idx="8">
                  <c:v>0.12318744466523091</c:v>
                </c:pt>
                <c:pt idx="9">
                  <c:v>0.11828798656631455</c:v>
                </c:pt>
                <c:pt idx="10">
                  <c:v>0.11850378832641395</c:v>
                </c:pt>
                <c:pt idx="11">
                  <c:v>0.12088875084531932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3AFA-435C-88CE-014C596D97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0800512"/>
        <c:axId val="1"/>
      </c:scatterChart>
      <c:valAx>
        <c:axId val="480800512"/>
        <c:scaling>
          <c:orientation val="minMax"/>
          <c:max val="25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 sz="1200">
                    <a:latin typeface="Times New Roman" panose="02020603050405020304" pitchFamily="18" charset="0"/>
                    <a:cs typeface="Times New Roman" panose="02020603050405020304" pitchFamily="18" charset="0"/>
                  </a:defRPr>
                </a:pPr>
                <a:r>
                  <a:rPr lang="ru-RU" sz="120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Давление, МПа</a:t>
                </a:r>
              </a:p>
            </c:rich>
          </c:tx>
          <c:layout>
            <c:manualLayout>
              <c:xMode val="edge"/>
              <c:yMode val="edge"/>
              <c:x val="0.41411263302698093"/>
              <c:y val="0.93917046553391359"/>
            </c:manualLayout>
          </c:layout>
          <c:overlay val="0"/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ru-RU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"/>
          <c:min val="1E-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 sz="1200">
                    <a:latin typeface="Times New Roman" panose="02020603050405020304" pitchFamily="18" charset="0"/>
                    <a:cs typeface="Times New Roman" panose="02020603050405020304" pitchFamily="18" charset="0"/>
                  </a:defRPr>
                </a:pPr>
                <a:r>
                  <a:rPr lang="ru-RU" sz="1200" b="1" i="0" baseline="0">
                    <a:effectLst/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Мольная доля воды (</a:t>
                </a:r>
                <a:r>
                  <a:rPr lang="en-US" sz="1200" b="1" i="0" baseline="0">
                    <a:effectLst/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H20) </a:t>
                </a:r>
                <a:r>
                  <a:rPr lang="ru-RU" sz="1200" b="1" i="0" baseline="0">
                    <a:effectLst/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в паровой фазе</a:t>
                </a:r>
                <a:endParaRPr lang="ru-RU" sz="1200">
                  <a:effectLst/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layout>
            <c:manualLayout>
              <c:xMode val="edge"/>
              <c:yMode val="edge"/>
              <c:x val="6.4308681672025723E-3"/>
              <c:y val="0.12518050375282036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80800512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>
                <a:latin typeface="Times New Roman" pitchFamily="18" charset="0"/>
                <a:cs typeface="Times New Roman" pitchFamily="18" charset="0"/>
              </a:defRPr>
            </a:pPr>
            <a:r>
              <a:rPr lang="ru-RU" sz="1400">
                <a:latin typeface="Times New Roman" pitchFamily="18" charset="0"/>
                <a:cs typeface="Times New Roman" pitchFamily="18" charset="0"/>
              </a:rPr>
              <a:t>Влагосодержание</a:t>
            </a:r>
            <a:r>
              <a:rPr lang="ru-RU" sz="1400" baseline="0">
                <a:latin typeface="Times New Roman" pitchFamily="18" charset="0"/>
                <a:cs typeface="Times New Roman" pitchFamily="18" charset="0"/>
              </a:rPr>
              <a:t> метана (С</a:t>
            </a:r>
            <a:r>
              <a:rPr lang="en-US" sz="1400" baseline="0">
                <a:latin typeface="Times New Roman" pitchFamily="18" charset="0"/>
                <a:cs typeface="Times New Roman" pitchFamily="18" charset="0"/>
              </a:rPr>
              <a:t>H</a:t>
            </a:r>
            <a:r>
              <a:rPr lang="en-US" sz="1400" baseline="-25000">
                <a:latin typeface="Times New Roman" pitchFamily="18" charset="0"/>
                <a:cs typeface="Times New Roman" pitchFamily="18" charset="0"/>
              </a:rPr>
              <a:t>4</a:t>
            </a:r>
            <a:r>
              <a:rPr lang="en-US" sz="1400" baseline="0">
                <a:latin typeface="Times New Roman" pitchFamily="18" charset="0"/>
                <a:cs typeface="Times New Roman" pitchFamily="18" charset="0"/>
              </a:rPr>
              <a:t>)</a:t>
            </a:r>
            <a:endParaRPr lang="ru-RU" sz="1400">
              <a:latin typeface="Times New Roman" pitchFamily="18" charset="0"/>
              <a:cs typeface="Times New Roman" pitchFamily="18" charset="0"/>
            </a:endParaRPr>
          </a:p>
        </c:rich>
      </c:tx>
      <c:layout>
        <c:manualLayout>
          <c:xMode val="edge"/>
          <c:yMode val="edge"/>
          <c:x val="0.30273208779493821"/>
          <c:y val="1.8277696276558585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0145240842324016"/>
          <c:y val="8.179994610939792E-2"/>
          <c:w val="0.86308604740602801"/>
          <c:h val="0.81613943694300572"/>
        </c:manualLayout>
      </c:layout>
      <c:scatterChart>
        <c:scatterStyle val="smoothMarker"/>
        <c:varyColors val="0"/>
        <c:ser>
          <c:idx val="1"/>
          <c:order val="1"/>
          <c:tx>
            <c:v>расчет_37.8</c:v>
          </c:tx>
          <c:spPr>
            <a:ln>
              <a:solidFill>
                <a:schemeClr val="bg2">
                  <a:lumMod val="25000"/>
                </a:schemeClr>
              </a:solidFill>
            </a:ln>
          </c:spPr>
          <c:marker>
            <c:symbol val="none"/>
          </c:marker>
          <c:xVal>
            <c:numRef>
              <c:f>Water_Binary!$AF$7:$AF$17</c:f>
              <c:numCache>
                <c:formatCode>General</c:formatCode>
                <c:ptCount val="11"/>
                <c:pt idx="0">
                  <c:v>2.5299999999999998</c:v>
                </c:pt>
                <c:pt idx="1">
                  <c:v>5.07</c:v>
                </c:pt>
                <c:pt idx="2">
                  <c:v>10.130000000000001</c:v>
                </c:pt>
                <c:pt idx="3">
                  <c:v>15.2</c:v>
                </c:pt>
                <c:pt idx="4">
                  <c:v>20.27</c:v>
                </c:pt>
                <c:pt idx="5">
                  <c:v>25.33</c:v>
                </c:pt>
                <c:pt idx="6">
                  <c:v>30.4</c:v>
                </c:pt>
                <c:pt idx="7">
                  <c:v>40.53</c:v>
                </c:pt>
                <c:pt idx="8">
                  <c:v>50.66</c:v>
                </c:pt>
                <c:pt idx="9">
                  <c:v>60.8</c:v>
                </c:pt>
                <c:pt idx="10">
                  <c:v>70.930000000000007</c:v>
                </c:pt>
              </c:numCache>
            </c:numRef>
          </c:xVal>
          <c:yVal>
            <c:numRef>
              <c:f>Water_Binary!$AN$7:$AN$17</c:f>
              <c:numCache>
                <c:formatCode>0.000</c:formatCode>
                <c:ptCount val="11"/>
                <c:pt idx="0">
                  <c:v>1.8693904641214736</c:v>
                </c:pt>
                <c:pt idx="1">
                  <c:v>1.0301758130406755</c:v>
                </c:pt>
                <c:pt idx="2">
                  <c:v>0.62785440721644736</c:v>
                </c:pt>
                <c:pt idx="3">
                  <c:v>0.50391423396034563</c:v>
                </c:pt>
                <c:pt idx="4">
                  <c:v>0.445977903087445</c:v>
                </c:pt>
                <c:pt idx="5">
                  <c:v>0.41176853664352414</c:v>
                </c:pt>
                <c:pt idx="6">
                  <c:v>0.38806825597458838</c:v>
                </c:pt>
                <c:pt idx="7">
                  <c:v>0.35528241552918671</c:v>
                </c:pt>
                <c:pt idx="8">
                  <c:v>0.33200457857589138</c:v>
                </c:pt>
                <c:pt idx="9">
                  <c:v>0.31375406601223421</c:v>
                </c:pt>
                <c:pt idx="10">
                  <c:v>0.29872113322956401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1B2-4ECF-A07A-ED1BA5C21D20}"/>
            </c:ext>
          </c:extLst>
        </c:ser>
        <c:ser>
          <c:idx val="3"/>
          <c:order val="3"/>
          <c:tx>
            <c:v>расчет_71.1</c:v>
          </c:tx>
          <c:spPr>
            <a:ln>
              <a:solidFill>
                <a:schemeClr val="bg2">
                  <a:lumMod val="25000"/>
                </a:schemeClr>
              </a:solidFill>
            </a:ln>
          </c:spPr>
          <c:marker>
            <c:symbol val="none"/>
          </c:marker>
          <c:xVal>
            <c:numRef>
              <c:f>Water_Binary!$AF$7:$AF$17</c:f>
              <c:numCache>
                <c:formatCode>General</c:formatCode>
                <c:ptCount val="11"/>
                <c:pt idx="0">
                  <c:v>2.5299999999999998</c:v>
                </c:pt>
                <c:pt idx="1">
                  <c:v>5.07</c:v>
                </c:pt>
                <c:pt idx="2">
                  <c:v>10.130000000000001</c:v>
                </c:pt>
                <c:pt idx="3">
                  <c:v>15.2</c:v>
                </c:pt>
                <c:pt idx="4">
                  <c:v>20.27</c:v>
                </c:pt>
                <c:pt idx="5">
                  <c:v>25.33</c:v>
                </c:pt>
                <c:pt idx="6">
                  <c:v>30.4</c:v>
                </c:pt>
                <c:pt idx="7">
                  <c:v>40.53</c:v>
                </c:pt>
                <c:pt idx="8">
                  <c:v>50.66</c:v>
                </c:pt>
                <c:pt idx="9">
                  <c:v>60.8</c:v>
                </c:pt>
                <c:pt idx="10">
                  <c:v>70.930000000000007</c:v>
                </c:pt>
              </c:numCache>
            </c:numRef>
          </c:xVal>
          <c:yVal>
            <c:numRef>
              <c:f>Water_Binary!$AO$7:$AO$17</c:f>
              <c:numCache>
                <c:formatCode>0.000</c:formatCode>
                <c:ptCount val="11"/>
                <c:pt idx="0">
                  <c:v>9.775435702746023</c:v>
                </c:pt>
                <c:pt idx="1">
                  <c:v>5.2286371839318289</c:v>
                </c:pt>
                <c:pt idx="2">
                  <c:v>3.0193766266081301</c:v>
                </c:pt>
                <c:pt idx="3">
                  <c:v>2.3059756432300609</c:v>
                </c:pt>
                <c:pt idx="4">
                  <c:v>1.9582183585323967</c:v>
                </c:pt>
                <c:pt idx="5">
                  <c:v>1.7508750168932705</c:v>
                </c:pt>
                <c:pt idx="6">
                  <c:v>1.6099185834005831</c:v>
                </c:pt>
                <c:pt idx="7">
                  <c:v>1.4242095620038635</c:v>
                </c:pt>
                <c:pt idx="8">
                  <c:v>1.3011409473645525</c:v>
                </c:pt>
                <c:pt idx="9">
                  <c:v>1.2099015939390243</c:v>
                </c:pt>
                <c:pt idx="10">
                  <c:v>1.1379410314420824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1B2-4ECF-A07A-ED1BA5C21D20}"/>
            </c:ext>
          </c:extLst>
        </c:ser>
        <c:ser>
          <c:idx val="5"/>
          <c:order val="5"/>
          <c:tx>
            <c:v>расчет_104.4</c:v>
          </c:tx>
          <c:spPr>
            <a:ln>
              <a:solidFill>
                <a:schemeClr val="bg2">
                  <a:lumMod val="25000"/>
                </a:schemeClr>
              </a:solidFill>
            </a:ln>
          </c:spPr>
          <c:marker>
            <c:symbol val="none"/>
          </c:marker>
          <c:xVal>
            <c:numRef>
              <c:f>Water_Binary!$AF$7:$AF$17</c:f>
              <c:numCache>
                <c:formatCode>General</c:formatCode>
                <c:ptCount val="11"/>
                <c:pt idx="0">
                  <c:v>2.5299999999999998</c:v>
                </c:pt>
                <c:pt idx="1">
                  <c:v>5.07</c:v>
                </c:pt>
                <c:pt idx="2">
                  <c:v>10.130000000000001</c:v>
                </c:pt>
                <c:pt idx="3">
                  <c:v>15.2</c:v>
                </c:pt>
                <c:pt idx="4">
                  <c:v>20.27</c:v>
                </c:pt>
                <c:pt idx="5">
                  <c:v>25.33</c:v>
                </c:pt>
                <c:pt idx="6">
                  <c:v>30.4</c:v>
                </c:pt>
                <c:pt idx="7">
                  <c:v>40.53</c:v>
                </c:pt>
                <c:pt idx="8">
                  <c:v>50.66</c:v>
                </c:pt>
                <c:pt idx="9">
                  <c:v>60.8</c:v>
                </c:pt>
                <c:pt idx="10">
                  <c:v>70.930000000000007</c:v>
                </c:pt>
              </c:numCache>
            </c:numRef>
          </c:xVal>
          <c:yVal>
            <c:numRef>
              <c:f>Water_Binary!$AP$7:$AP$17</c:f>
              <c:numCache>
                <c:formatCode>0.000</c:formatCode>
                <c:ptCount val="11"/>
                <c:pt idx="0">
                  <c:v>37.88084895949374</c:v>
                </c:pt>
                <c:pt idx="1">
                  <c:v>19.62367030099286</c:v>
                </c:pt>
                <c:pt idx="2">
                  <c:v>10.897599051184367</c:v>
                </c:pt>
                <c:pt idx="3">
                  <c:v>8.0598563808760151</c:v>
                </c:pt>
                <c:pt idx="4">
                  <c:v>6.6606337301150873</c:v>
                </c:pt>
                <c:pt idx="5">
                  <c:v>5.8233486110119257</c:v>
                </c:pt>
                <c:pt idx="6">
                  <c:v>5.2575195329703295</c:v>
                </c:pt>
                <c:pt idx="7">
                  <c:v>4.5265532541543125</c:v>
                </c:pt>
                <c:pt idx="8">
                  <c:v>4.0581469370416272</c:v>
                </c:pt>
                <c:pt idx="9">
                  <c:v>3.7217093794978569</c:v>
                </c:pt>
                <c:pt idx="10">
                  <c:v>3.4634320789876107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1B2-4ECF-A07A-ED1BA5C21D20}"/>
            </c:ext>
          </c:extLst>
        </c:ser>
        <c:ser>
          <c:idx val="7"/>
          <c:order val="7"/>
          <c:tx>
            <c:v>расчет_137.8</c:v>
          </c:tx>
          <c:spPr>
            <a:ln>
              <a:solidFill>
                <a:schemeClr val="bg2">
                  <a:lumMod val="25000"/>
                </a:schemeClr>
              </a:solidFill>
            </a:ln>
          </c:spPr>
          <c:marker>
            <c:symbol val="none"/>
          </c:marker>
          <c:xVal>
            <c:numRef>
              <c:f>Water_Binary!$AF$7:$AF$17</c:f>
              <c:numCache>
                <c:formatCode>General</c:formatCode>
                <c:ptCount val="11"/>
                <c:pt idx="0">
                  <c:v>2.5299999999999998</c:v>
                </c:pt>
                <c:pt idx="1">
                  <c:v>5.07</c:v>
                </c:pt>
                <c:pt idx="2">
                  <c:v>10.130000000000001</c:v>
                </c:pt>
                <c:pt idx="3">
                  <c:v>15.2</c:v>
                </c:pt>
                <c:pt idx="4">
                  <c:v>20.27</c:v>
                </c:pt>
                <c:pt idx="5">
                  <c:v>25.33</c:v>
                </c:pt>
                <c:pt idx="6">
                  <c:v>30.4</c:v>
                </c:pt>
                <c:pt idx="7">
                  <c:v>40.53</c:v>
                </c:pt>
                <c:pt idx="8">
                  <c:v>50.66</c:v>
                </c:pt>
                <c:pt idx="9">
                  <c:v>60.8</c:v>
                </c:pt>
                <c:pt idx="10">
                  <c:v>70.930000000000007</c:v>
                </c:pt>
              </c:numCache>
            </c:numRef>
          </c:xVal>
          <c:yVal>
            <c:numRef>
              <c:f>Water_Binary!$AQ$7:$AQ$17</c:f>
              <c:numCache>
                <c:formatCode>0.000</c:formatCode>
                <c:ptCount val="11"/>
                <c:pt idx="0">
                  <c:v>123.1730513171679</c:v>
                </c:pt>
                <c:pt idx="1">
                  <c:v>60.267972478206453</c:v>
                </c:pt>
                <c:pt idx="2">
                  <c:v>32.115974192253461</c:v>
                </c:pt>
                <c:pt idx="3">
                  <c:v>23.152989835646693</c:v>
                </c:pt>
                <c:pt idx="4">
                  <c:v>18.750868738962097</c:v>
                </c:pt>
                <c:pt idx="5">
                  <c:v>16.123828470295678</c:v>
                </c:pt>
                <c:pt idx="6">
                  <c:v>14.357325877929824</c:v>
                </c:pt>
                <c:pt idx="7">
                  <c:v>12.10098491427051</c:v>
                </c:pt>
                <c:pt idx="8">
                  <c:v>10.682879089831959</c:v>
                </c:pt>
                <c:pt idx="9">
                  <c:v>9.6839779329793707</c:v>
                </c:pt>
                <c:pt idx="10">
                  <c:v>8.9305600398713079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1B2-4ECF-A07A-ED1BA5C21D20}"/>
            </c:ext>
          </c:extLst>
        </c:ser>
        <c:ser>
          <c:idx val="9"/>
          <c:order val="9"/>
          <c:tx>
            <c:v>расчет_171.1</c:v>
          </c:tx>
          <c:spPr>
            <a:ln>
              <a:solidFill>
                <a:schemeClr val="bg2">
                  <a:lumMod val="25000"/>
                </a:schemeClr>
              </a:solidFill>
            </a:ln>
          </c:spPr>
          <c:marker>
            <c:symbol val="none"/>
          </c:marker>
          <c:xVal>
            <c:numRef>
              <c:f>Water_Binary!$AF$7:$AF$17</c:f>
              <c:numCache>
                <c:formatCode>General</c:formatCode>
                <c:ptCount val="11"/>
                <c:pt idx="0">
                  <c:v>2.5299999999999998</c:v>
                </c:pt>
                <c:pt idx="1">
                  <c:v>5.07</c:v>
                </c:pt>
                <c:pt idx="2">
                  <c:v>10.130000000000001</c:v>
                </c:pt>
                <c:pt idx="3">
                  <c:v>15.2</c:v>
                </c:pt>
                <c:pt idx="4">
                  <c:v>20.27</c:v>
                </c:pt>
                <c:pt idx="5">
                  <c:v>25.33</c:v>
                </c:pt>
                <c:pt idx="6">
                  <c:v>30.4</c:v>
                </c:pt>
                <c:pt idx="7">
                  <c:v>40.53</c:v>
                </c:pt>
                <c:pt idx="8">
                  <c:v>50.66</c:v>
                </c:pt>
                <c:pt idx="9">
                  <c:v>60.8</c:v>
                </c:pt>
                <c:pt idx="10">
                  <c:v>70.930000000000007</c:v>
                </c:pt>
              </c:numCache>
            </c:numRef>
          </c:xVal>
          <c:yVal>
            <c:numRef>
              <c:f>Water_Binary!$AR$7:$AR$17</c:f>
              <c:numCache>
                <c:formatCode>0.000</c:formatCode>
                <c:ptCount val="11"/>
                <c:pt idx="0">
                  <c:v>384.72146390893096</c:v>
                </c:pt>
                <c:pt idx="1">
                  <c:v>164.01512703512947</c:v>
                </c:pt>
                <c:pt idx="2">
                  <c:v>81.940547900834616</c:v>
                </c:pt>
                <c:pt idx="3">
                  <c:v>57.459401402611597</c:v>
                </c:pt>
                <c:pt idx="4">
                  <c:v>45.68086891424992</c:v>
                </c:pt>
                <c:pt idx="5">
                  <c:v>38.727631141552038</c:v>
                </c:pt>
                <c:pt idx="6">
                  <c:v>34.090181109314763</c:v>
                </c:pt>
                <c:pt idx="7">
                  <c:v>28.230462436233285</c:v>
                </c:pt>
                <c:pt idx="8">
                  <c:v>24.60211008694435</c:v>
                </c:pt>
                <c:pt idx="9">
                  <c:v>22.081999029471643</c:v>
                </c:pt>
                <c:pt idx="10">
                  <c:v>20.205275145857875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71B2-4ECF-A07A-ED1BA5C21D20}"/>
            </c:ext>
          </c:extLst>
        </c:ser>
        <c:ser>
          <c:idx val="10"/>
          <c:order val="10"/>
          <c:tx>
            <c:v>Бюкачек_200</c:v>
          </c:tx>
          <c:spPr>
            <a:ln>
              <a:solidFill>
                <a:srgbClr val="92D050"/>
              </a:solidFill>
              <a:prstDash val="dash"/>
            </a:ln>
          </c:spPr>
          <c:marker>
            <c:symbol val="none"/>
          </c:marker>
          <c:xVal>
            <c:numRef>
              <c:f>Water_Binary!$AF$21:$AF$30</c:f>
              <c:numCache>
                <c:formatCode>General</c:formatCode>
                <c:ptCount val="10"/>
                <c:pt idx="0">
                  <c:v>4.9000000000000004</c:v>
                </c:pt>
                <c:pt idx="1">
                  <c:v>9.8000000000000007</c:v>
                </c:pt>
                <c:pt idx="2">
                  <c:v>14.7</c:v>
                </c:pt>
                <c:pt idx="3">
                  <c:v>19.600000000000001</c:v>
                </c:pt>
                <c:pt idx="4">
                  <c:v>24.5</c:v>
                </c:pt>
                <c:pt idx="5">
                  <c:v>29.4</c:v>
                </c:pt>
                <c:pt idx="6">
                  <c:v>39.200000000000003</c:v>
                </c:pt>
                <c:pt idx="7">
                  <c:v>49</c:v>
                </c:pt>
                <c:pt idx="8">
                  <c:v>58.8</c:v>
                </c:pt>
                <c:pt idx="9">
                  <c:v>78.400000000000006</c:v>
                </c:pt>
              </c:numCache>
            </c:numRef>
          </c:xVal>
          <c:yVal>
            <c:numRef>
              <c:f>Water_Binary!$AH$21:$AH$30</c:f>
              <c:numCache>
                <c:formatCode>0.000</c:formatCode>
                <c:ptCount val="10"/>
                <c:pt idx="0">
                  <c:v>264.59128676768364</c:v>
                </c:pt>
                <c:pt idx="1">
                  <c:v>141.92471827521706</c:v>
                </c:pt>
                <c:pt idx="2">
                  <c:v>101.0358621110615</c:v>
                </c:pt>
                <c:pt idx="3">
                  <c:v>80.591434028983727</c:v>
                </c:pt>
                <c:pt idx="4">
                  <c:v>68.324777179737055</c:v>
                </c:pt>
                <c:pt idx="5">
                  <c:v>60.147005946905949</c:v>
                </c:pt>
                <c:pt idx="6">
                  <c:v>49.924791905867067</c:v>
                </c:pt>
                <c:pt idx="7">
                  <c:v>43.791463481243731</c:v>
                </c:pt>
                <c:pt idx="8">
                  <c:v>39.702577864828179</c:v>
                </c:pt>
                <c:pt idx="9">
                  <c:v>34.591470844308738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71B2-4ECF-A07A-ED1BA5C21D20}"/>
            </c:ext>
          </c:extLst>
        </c:ser>
        <c:ser>
          <c:idx val="11"/>
          <c:order val="11"/>
          <c:tx>
            <c:v>расчет_200</c:v>
          </c:tx>
          <c:spPr>
            <a:ln>
              <a:solidFill>
                <a:schemeClr val="bg2">
                  <a:lumMod val="25000"/>
                </a:schemeClr>
              </a:solidFill>
            </a:ln>
          </c:spPr>
          <c:marker>
            <c:symbol val="none"/>
          </c:marker>
          <c:xVal>
            <c:numRef>
              <c:f>Water_Binary!$AF$21:$AF$30</c:f>
              <c:numCache>
                <c:formatCode>General</c:formatCode>
                <c:ptCount val="10"/>
                <c:pt idx="0">
                  <c:v>4.9000000000000004</c:v>
                </c:pt>
                <c:pt idx="1">
                  <c:v>9.8000000000000007</c:v>
                </c:pt>
                <c:pt idx="2">
                  <c:v>14.7</c:v>
                </c:pt>
                <c:pt idx="3">
                  <c:v>19.600000000000001</c:v>
                </c:pt>
                <c:pt idx="4">
                  <c:v>24.5</c:v>
                </c:pt>
                <c:pt idx="5">
                  <c:v>29.4</c:v>
                </c:pt>
                <c:pt idx="6">
                  <c:v>39.200000000000003</c:v>
                </c:pt>
                <c:pt idx="7">
                  <c:v>49</c:v>
                </c:pt>
                <c:pt idx="8">
                  <c:v>58.8</c:v>
                </c:pt>
                <c:pt idx="9">
                  <c:v>78.400000000000006</c:v>
                </c:pt>
              </c:numCache>
            </c:numRef>
          </c:xVal>
          <c:yVal>
            <c:numRef>
              <c:f>Water_Binary!$AO$21:$AO$30</c:f>
              <c:numCache>
                <c:formatCode>0.000</c:formatCode>
                <c:ptCount val="10"/>
                <c:pt idx="0">
                  <c:v>178.26104091062675</c:v>
                </c:pt>
                <c:pt idx="1">
                  <c:v>120.32476370381414</c:v>
                </c:pt>
                <c:pt idx="2">
                  <c:v>93.630327371777128</c:v>
                </c:pt>
                <c:pt idx="3">
                  <c:v>78.192134041187387</c:v>
                </c:pt>
                <c:pt idx="4">
                  <c:v>68.067422816778119</c:v>
                </c:pt>
                <c:pt idx="5">
                  <c:v>55.455206506106755</c:v>
                </c:pt>
                <c:pt idx="6">
                  <c:v>47.777324180380361</c:v>
                </c:pt>
                <c:pt idx="7">
                  <c:v>42.521015143182645</c:v>
                </c:pt>
                <c:pt idx="8">
                  <c:v>35.643052558489998</c:v>
                </c:pt>
                <c:pt idx="9">
                  <c:v>31.237483376113339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71B2-4ECF-A07A-ED1BA5C21D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0803792"/>
        <c:axId val="1"/>
      </c:scatterChart>
      <c:scatterChart>
        <c:scatterStyle val="lineMarker"/>
        <c:varyColors val="0"/>
        <c:ser>
          <c:idx val="0"/>
          <c:order val="0"/>
          <c:tx>
            <c:v>Бюкачик_37.8</c:v>
          </c:tx>
          <c:spPr>
            <a:ln w="28575">
              <a:solidFill>
                <a:srgbClr val="92D050"/>
              </a:solidFill>
              <a:prstDash val="dash"/>
            </a:ln>
          </c:spPr>
          <c:marker>
            <c:symbol val="none"/>
          </c:marker>
          <c:xVal>
            <c:numRef>
              <c:f>Water_Binary!$AF$7:$AF$17</c:f>
              <c:numCache>
                <c:formatCode>General</c:formatCode>
                <c:ptCount val="11"/>
                <c:pt idx="0">
                  <c:v>2.5299999999999998</c:v>
                </c:pt>
                <c:pt idx="1">
                  <c:v>5.07</c:v>
                </c:pt>
                <c:pt idx="2">
                  <c:v>10.130000000000001</c:v>
                </c:pt>
                <c:pt idx="3">
                  <c:v>15.2</c:v>
                </c:pt>
                <c:pt idx="4">
                  <c:v>20.27</c:v>
                </c:pt>
                <c:pt idx="5">
                  <c:v>25.33</c:v>
                </c:pt>
                <c:pt idx="6">
                  <c:v>30.4</c:v>
                </c:pt>
                <c:pt idx="7">
                  <c:v>40.53</c:v>
                </c:pt>
                <c:pt idx="8">
                  <c:v>50.66</c:v>
                </c:pt>
                <c:pt idx="9">
                  <c:v>60.8</c:v>
                </c:pt>
                <c:pt idx="10">
                  <c:v>70.930000000000007</c:v>
                </c:pt>
              </c:numCache>
            </c:numRef>
          </c:xVal>
          <c:yVal>
            <c:numRef>
              <c:f>Water_Binary!$AG$7:$AG$17</c:f>
              <c:numCache>
                <c:formatCode>0.000</c:formatCode>
                <c:ptCount val="11"/>
                <c:pt idx="0">
                  <c:v>2.1995481428633292</c:v>
                </c:pt>
                <c:pt idx="1">
                  <c:v>1.2193315184430584</c:v>
                </c:pt>
                <c:pt idx="2">
                  <c:v>0.73163468038881008</c:v>
                </c:pt>
                <c:pt idx="3">
                  <c:v>0.56864062936295401</c:v>
                </c:pt>
                <c:pt idx="4">
                  <c:v>0.48718380958535551</c:v>
                </c:pt>
                <c:pt idx="5">
                  <c:v>0.43839969735994855</c:v>
                </c:pt>
                <c:pt idx="6">
                  <c:v>0.40580732197716285</c:v>
                </c:pt>
                <c:pt idx="7">
                  <c:v>0.36510903912944354</c:v>
                </c:pt>
                <c:pt idx="8">
                  <c:v>0.34068685597566017</c:v>
                </c:pt>
                <c:pt idx="9">
                  <c:v>0.32439066828426727</c:v>
                </c:pt>
                <c:pt idx="10">
                  <c:v>0.31276299731416957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71B2-4ECF-A07A-ED1BA5C21D20}"/>
            </c:ext>
          </c:extLst>
        </c:ser>
        <c:ser>
          <c:idx val="2"/>
          <c:order val="2"/>
          <c:tx>
            <c:v>Бюкачик_71.1</c:v>
          </c:tx>
          <c:spPr>
            <a:ln w="28575">
              <a:solidFill>
                <a:srgbClr val="92D050"/>
              </a:solidFill>
              <a:prstDash val="dash"/>
            </a:ln>
          </c:spPr>
          <c:marker>
            <c:symbol val="none"/>
          </c:marker>
          <c:xVal>
            <c:numRef>
              <c:f>Water_Binary!$AF$7:$AF$17</c:f>
              <c:numCache>
                <c:formatCode>General</c:formatCode>
                <c:ptCount val="11"/>
                <c:pt idx="0">
                  <c:v>2.5299999999999998</c:v>
                </c:pt>
                <c:pt idx="1">
                  <c:v>5.07</c:v>
                </c:pt>
                <c:pt idx="2">
                  <c:v>10.130000000000001</c:v>
                </c:pt>
                <c:pt idx="3">
                  <c:v>15.2</c:v>
                </c:pt>
                <c:pt idx="4">
                  <c:v>20.27</c:v>
                </c:pt>
                <c:pt idx="5">
                  <c:v>25.33</c:v>
                </c:pt>
                <c:pt idx="6">
                  <c:v>30.4</c:v>
                </c:pt>
                <c:pt idx="7">
                  <c:v>40.53</c:v>
                </c:pt>
                <c:pt idx="8">
                  <c:v>50.66</c:v>
                </c:pt>
                <c:pt idx="9">
                  <c:v>60.8</c:v>
                </c:pt>
                <c:pt idx="10">
                  <c:v>70.930000000000007</c:v>
                </c:pt>
              </c:numCache>
            </c:numRef>
          </c:xVal>
          <c:yVal>
            <c:numRef>
              <c:f>Water_Binary!$AH$7:$AH$17</c:f>
              <c:numCache>
                <c:formatCode>0.000</c:formatCode>
                <c:ptCount val="11"/>
                <c:pt idx="0">
                  <c:v>10.598804228521765</c:v>
                </c:pt>
                <c:pt idx="1">
                  <c:v>5.7060915603777902</c:v>
                </c:pt>
                <c:pt idx="2">
                  <c:v>3.2717720045622292</c:v>
                </c:pt>
                <c:pt idx="3">
                  <c:v>2.4581936195210985</c:v>
                </c:pt>
                <c:pt idx="4">
                  <c:v>2.0516051123446486</c:v>
                </c:pt>
                <c:pt idx="5">
                  <c:v>1.8081011378731153</c:v>
                </c:pt>
                <c:pt idx="6">
                  <c:v>1.6454175800273461</c:v>
                </c:pt>
                <c:pt idx="7">
                  <c:v>1.4422737043779081</c:v>
                </c:pt>
                <c:pt idx="8">
                  <c:v>1.3203713392033543</c:v>
                </c:pt>
                <c:pt idx="9">
                  <c:v>1.23902956028047</c:v>
                </c:pt>
                <c:pt idx="10">
                  <c:v>1.1809904986699262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71B2-4ECF-A07A-ED1BA5C21D20}"/>
            </c:ext>
          </c:extLst>
        </c:ser>
        <c:ser>
          <c:idx val="4"/>
          <c:order val="4"/>
          <c:tx>
            <c:v>Бюкачик_104.4</c:v>
          </c:tx>
          <c:spPr>
            <a:ln w="28575">
              <a:solidFill>
                <a:srgbClr val="92D050"/>
              </a:solidFill>
              <a:prstDash val="dash"/>
            </a:ln>
          </c:spPr>
          <c:marker>
            <c:symbol val="none"/>
          </c:marker>
          <c:xVal>
            <c:numRef>
              <c:f>Water_Binary!$AF$7:$AF$17</c:f>
              <c:numCache>
                <c:formatCode>General</c:formatCode>
                <c:ptCount val="11"/>
                <c:pt idx="0">
                  <c:v>2.5299999999999998</c:v>
                </c:pt>
                <c:pt idx="1">
                  <c:v>5.07</c:v>
                </c:pt>
                <c:pt idx="2">
                  <c:v>10.130000000000001</c:v>
                </c:pt>
                <c:pt idx="3">
                  <c:v>15.2</c:v>
                </c:pt>
                <c:pt idx="4">
                  <c:v>20.27</c:v>
                </c:pt>
                <c:pt idx="5">
                  <c:v>25.33</c:v>
                </c:pt>
                <c:pt idx="6">
                  <c:v>30.4</c:v>
                </c:pt>
                <c:pt idx="7">
                  <c:v>40.53</c:v>
                </c:pt>
                <c:pt idx="8">
                  <c:v>50.66</c:v>
                </c:pt>
                <c:pt idx="9">
                  <c:v>60.8</c:v>
                </c:pt>
                <c:pt idx="10">
                  <c:v>70.930000000000007</c:v>
                </c:pt>
              </c:numCache>
            </c:numRef>
          </c:xVal>
          <c:yVal>
            <c:numRef>
              <c:f>Water_Binary!$AI$7:$AI$17</c:f>
              <c:numCache>
                <c:formatCode>0.000</c:formatCode>
                <c:ptCount val="11"/>
                <c:pt idx="0">
                  <c:v>37.961945504255766</c:v>
                </c:pt>
                <c:pt idx="1">
                  <c:v>20.095059814292757</c:v>
                </c:pt>
                <c:pt idx="2">
                  <c:v>11.205572082919959</c:v>
                </c:pt>
                <c:pt idx="3">
                  <c:v>8.234600151541704</c:v>
                </c:pt>
                <c:pt idx="4">
                  <c:v>6.7498470353669706</c:v>
                </c:pt>
                <c:pt idx="5">
                  <c:v>5.8606352683933451</c:v>
                </c:pt>
                <c:pt idx="6">
                  <c:v>5.26655817275849</c:v>
                </c:pt>
                <c:pt idx="7">
                  <c:v>4.5247307549180276</c:v>
                </c:pt>
                <c:pt idx="8">
                  <c:v>4.0795757311843115</c:v>
                </c:pt>
                <c:pt idx="9">
                  <c:v>3.7825371833668844</c:v>
                </c:pt>
                <c:pt idx="10">
                  <c:v>3.5705939629730166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71B2-4ECF-A07A-ED1BA5C21D20}"/>
            </c:ext>
          </c:extLst>
        </c:ser>
        <c:ser>
          <c:idx val="6"/>
          <c:order val="6"/>
          <c:tx>
            <c:v>Бюкачек_137.8</c:v>
          </c:tx>
          <c:spPr>
            <a:ln w="28575">
              <a:solidFill>
                <a:srgbClr val="92D050"/>
              </a:solidFill>
              <a:prstDash val="dash"/>
            </a:ln>
          </c:spPr>
          <c:marker>
            <c:symbol val="none"/>
          </c:marker>
          <c:xVal>
            <c:numRef>
              <c:f>Water_Binary!$AF$7:$AF$17</c:f>
              <c:numCache>
                <c:formatCode>General</c:formatCode>
                <c:ptCount val="11"/>
                <c:pt idx="0">
                  <c:v>2.5299999999999998</c:v>
                </c:pt>
                <c:pt idx="1">
                  <c:v>5.07</c:v>
                </c:pt>
                <c:pt idx="2">
                  <c:v>10.130000000000001</c:v>
                </c:pt>
                <c:pt idx="3">
                  <c:v>15.2</c:v>
                </c:pt>
                <c:pt idx="4">
                  <c:v>20.27</c:v>
                </c:pt>
                <c:pt idx="5">
                  <c:v>25.33</c:v>
                </c:pt>
                <c:pt idx="6">
                  <c:v>30.4</c:v>
                </c:pt>
                <c:pt idx="7">
                  <c:v>40.53</c:v>
                </c:pt>
                <c:pt idx="8">
                  <c:v>50.66</c:v>
                </c:pt>
                <c:pt idx="9">
                  <c:v>60.8</c:v>
                </c:pt>
                <c:pt idx="10">
                  <c:v>70.930000000000007</c:v>
                </c:pt>
              </c:numCache>
            </c:numRef>
          </c:xVal>
          <c:yVal>
            <c:numRef>
              <c:f>Water_Binary!$AJ$7:$AJ$17</c:f>
              <c:numCache>
                <c:formatCode>0.000</c:formatCode>
                <c:ptCount val="11"/>
                <c:pt idx="0">
                  <c:v>108.14258553595617</c:v>
                </c:pt>
                <c:pt idx="1">
                  <c:v>56.669898522781835</c:v>
                </c:pt>
                <c:pt idx="2">
                  <c:v>31.060185244017752</c:v>
                </c:pt>
                <c:pt idx="3">
                  <c:v>22.50111619290346</c:v>
                </c:pt>
                <c:pt idx="4">
                  <c:v>18.223692932529122</c:v>
                </c:pt>
                <c:pt idx="5">
                  <c:v>15.661963946062425</c:v>
                </c:pt>
                <c:pt idx="6">
                  <c:v>13.950488038289276</c:v>
                </c:pt>
                <c:pt idx="7">
                  <c:v>11.813358425502656</c:v>
                </c:pt>
                <c:pt idx="8">
                  <c:v>10.530911914868758</c:v>
                </c:pt>
                <c:pt idx="9">
                  <c:v>9.6751739609821854</c:v>
                </c:pt>
                <c:pt idx="10">
                  <c:v>9.0645870217023194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71B2-4ECF-A07A-ED1BA5C21D20}"/>
            </c:ext>
          </c:extLst>
        </c:ser>
        <c:ser>
          <c:idx val="8"/>
          <c:order val="8"/>
          <c:tx>
            <c:v>Бюкачек_171.1</c:v>
          </c:tx>
          <c:spPr>
            <a:ln w="28575">
              <a:solidFill>
                <a:srgbClr val="92D050"/>
              </a:solidFill>
              <a:prstDash val="dash"/>
            </a:ln>
          </c:spPr>
          <c:marker>
            <c:symbol val="none"/>
          </c:marker>
          <c:xVal>
            <c:numRef>
              <c:f>Water_Binary!$AF$7:$AF$17</c:f>
              <c:numCache>
                <c:formatCode>General</c:formatCode>
                <c:ptCount val="11"/>
                <c:pt idx="0">
                  <c:v>2.5299999999999998</c:v>
                </c:pt>
                <c:pt idx="1">
                  <c:v>5.07</c:v>
                </c:pt>
                <c:pt idx="2">
                  <c:v>10.130000000000001</c:v>
                </c:pt>
                <c:pt idx="3">
                  <c:v>15.2</c:v>
                </c:pt>
                <c:pt idx="4">
                  <c:v>20.27</c:v>
                </c:pt>
                <c:pt idx="5">
                  <c:v>25.33</c:v>
                </c:pt>
                <c:pt idx="6">
                  <c:v>30.4</c:v>
                </c:pt>
                <c:pt idx="7">
                  <c:v>40.53</c:v>
                </c:pt>
                <c:pt idx="8">
                  <c:v>50.66</c:v>
                </c:pt>
                <c:pt idx="9">
                  <c:v>60.8</c:v>
                </c:pt>
                <c:pt idx="10">
                  <c:v>70.930000000000007</c:v>
                </c:pt>
              </c:numCache>
            </c:numRef>
          </c:xVal>
          <c:yVal>
            <c:numRef>
              <c:f>Water_Binary!$AK$7:$AK$17</c:f>
              <c:numCache>
                <c:formatCode>0.000</c:formatCode>
                <c:ptCount val="11"/>
                <c:pt idx="0">
                  <c:v>257.97158042098272</c:v>
                </c:pt>
                <c:pt idx="1">
                  <c:v>134.31490321795985</c:v>
                </c:pt>
                <c:pt idx="2">
                  <c:v>72.790777862632027</c:v>
                </c:pt>
                <c:pt idx="3">
                  <c:v>52.228687553627346</c:v>
                </c:pt>
                <c:pt idx="4">
                  <c:v>41.952714449028562</c:v>
                </c:pt>
                <c:pt idx="5">
                  <c:v>35.798481733723442</c:v>
                </c:pt>
                <c:pt idx="6">
                  <c:v>31.686875440193688</c:v>
                </c:pt>
                <c:pt idx="7">
                  <c:v>26.552689486354978</c:v>
                </c:pt>
                <c:pt idx="8">
                  <c:v>23.471772530241743</c:v>
                </c:pt>
                <c:pt idx="9">
                  <c:v>21.415969383476856</c:v>
                </c:pt>
                <c:pt idx="10">
                  <c:v>19.949110813696212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71B2-4ECF-A07A-ED1BA5C21D20}"/>
            </c:ext>
          </c:extLst>
        </c:ser>
        <c:ser>
          <c:idx val="14"/>
          <c:order val="12"/>
          <c:tx>
            <c:v>Эксперимент_37.8</c:v>
          </c:tx>
          <c:spPr>
            <a:ln>
              <a:noFill/>
            </a:ln>
          </c:spPr>
          <c:marker>
            <c:symbol val="circle"/>
            <c:size val="7"/>
            <c:spPr>
              <a:solidFill>
                <a:srgbClr val="0070C0"/>
              </a:solidFill>
              <a:ln>
                <a:noFill/>
              </a:ln>
            </c:spPr>
          </c:marker>
          <c:xVal>
            <c:numRef>
              <c:f>Water_Binary!$AF$7:$AF$17</c:f>
              <c:numCache>
                <c:formatCode>General</c:formatCode>
                <c:ptCount val="11"/>
                <c:pt idx="0">
                  <c:v>2.5299999999999998</c:v>
                </c:pt>
                <c:pt idx="1">
                  <c:v>5.07</c:v>
                </c:pt>
                <c:pt idx="2">
                  <c:v>10.130000000000001</c:v>
                </c:pt>
                <c:pt idx="3">
                  <c:v>15.2</c:v>
                </c:pt>
                <c:pt idx="4">
                  <c:v>20.27</c:v>
                </c:pt>
                <c:pt idx="5">
                  <c:v>25.33</c:v>
                </c:pt>
                <c:pt idx="6">
                  <c:v>30.4</c:v>
                </c:pt>
                <c:pt idx="7">
                  <c:v>40.53</c:v>
                </c:pt>
                <c:pt idx="8">
                  <c:v>50.66</c:v>
                </c:pt>
                <c:pt idx="9">
                  <c:v>60.8</c:v>
                </c:pt>
                <c:pt idx="10">
                  <c:v>70.930000000000007</c:v>
                </c:pt>
              </c:numCache>
            </c:numRef>
          </c:xVal>
          <c:yVal>
            <c:numRef>
              <c:f>Water_Binary!$AZ$7:$AZ$17</c:f>
              <c:numCache>
                <c:formatCode>0.000</c:formatCode>
                <c:ptCount val="11"/>
                <c:pt idx="0">
                  <c:v>2.2088186356073214</c:v>
                </c:pt>
                <c:pt idx="1">
                  <c:v>1.2429284525790349</c:v>
                </c:pt>
                <c:pt idx="2">
                  <c:v>0.72628951747088188</c:v>
                </c:pt>
                <c:pt idx="3">
                  <c:v>0.56156405990016645</c:v>
                </c:pt>
                <c:pt idx="4">
                  <c:v>0.46422628951747091</c:v>
                </c:pt>
                <c:pt idx="5">
                  <c:v>0.42678868552412647</c:v>
                </c:pt>
                <c:pt idx="6">
                  <c:v>0.41181364392678876</c:v>
                </c:pt>
                <c:pt idx="7">
                  <c:v>0.37437603993344432</c:v>
                </c:pt>
                <c:pt idx="8">
                  <c:v>0.34442595673876875</c:v>
                </c:pt>
                <c:pt idx="9">
                  <c:v>0.32945091514143099</c:v>
                </c:pt>
                <c:pt idx="10">
                  <c:v>0.29950083194675547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71B2-4ECF-A07A-ED1BA5C21D20}"/>
            </c:ext>
          </c:extLst>
        </c:ser>
        <c:ser>
          <c:idx val="15"/>
          <c:order val="13"/>
          <c:tx>
            <c:v>Эксперимент_71.1</c:v>
          </c:tx>
          <c:spPr>
            <a:ln>
              <a:noFill/>
            </a:ln>
          </c:spPr>
          <c:marker>
            <c:symbol val="circle"/>
            <c:size val="7"/>
            <c:spPr>
              <a:solidFill>
                <a:srgbClr val="0070C0"/>
              </a:solidFill>
              <a:ln>
                <a:noFill/>
              </a:ln>
            </c:spPr>
          </c:marker>
          <c:xVal>
            <c:numRef>
              <c:f>Water_Binary!$AY$7:$AY$17</c:f>
              <c:numCache>
                <c:formatCode>General</c:formatCode>
                <c:ptCount val="11"/>
                <c:pt idx="0">
                  <c:v>2.5299999999999998</c:v>
                </c:pt>
                <c:pt idx="1">
                  <c:v>5.07</c:v>
                </c:pt>
                <c:pt idx="2">
                  <c:v>10.130000000000001</c:v>
                </c:pt>
                <c:pt idx="3">
                  <c:v>15.2</c:v>
                </c:pt>
                <c:pt idx="4">
                  <c:v>20.27</c:v>
                </c:pt>
                <c:pt idx="5">
                  <c:v>25.33</c:v>
                </c:pt>
                <c:pt idx="6">
                  <c:v>30.4</c:v>
                </c:pt>
                <c:pt idx="7">
                  <c:v>40.53</c:v>
                </c:pt>
                <c:pt idx="8">
                  <c:v>50.66</c:v>
                </c:pt>
                <c:pt idx="9">
                  <c:v>60.8</c:v>
                </c:pt>
                <c:pt idx="10">
                  <c:v>70.930000000000007</c:v>
                </c:pt>
              </c:numCache>
            </c:numRef>
          </c:xVal>
          <c:yVal>
            <c:numRef>
              <c:f>Water_Binary!$BA$7:$BA$18</c:f>
              <c:numCache>
                <c:formatCode>0.000</c:formatCode>
                <c:ptCount val="12"/>
                <c:pt idx="0">
                  <c:v>10.407653910149749</c:v>
                </c:pt>
                <c:pt idx="1">
                  <c:v>5.6156405990016642</c:v>
                </c:pt>
                <c:pt idx="2">
                  <c:v>3.2945091514143101</c:v>
                </c:pt>
                <c:pt idx="3">
                  <c:v>2.4708818635607321</c:v>
                </c:pt>
                <c:pt idx="4">
                  <c:v>2.0216306156405994</c:v>
                </c:pt>
                <c:pt idx="5">
                  <c:v>1.7970049916805324</c:v>
                </c:pt>
                <c:pt idx="6">
                  <c:v>1.6472545757071551</c:v>
                </c:pt>
                <c:pt idx="7">
                  <c:v>1.4226289517470883</c:v>
                </c:pt>
                <c:pt idx="8">
                  <c:v>1.3477537437603992</c:v>
                </c:pt>
                <c:pt idx="9">
                  <c:v>1.2728785357737105</c:v>
                </c:pt>
                <c:pt idx="10">
                  <c:v>1.1980033277870219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71B2-4ECF-A07A-ED1BA5C21D20}"/>
            </c:ext>
          </c:extLst>
        </c:ser>
        <c:ser>
          <c:idx val="16"/>
          <c:order val="14"/>
          <c:tx>
            <c:v>Эксперимент_104.4</c:v>
          </c:tx>
          <c:spPr>
            <a:ln>
              <a:noFill/>
            </a:ln>
          </c:spPr>
          <c:marker>
            <c:symbol val="circle"/>
            <c:size val="7"/>
            <c:spPr>
              <a:solidFill>
                <a:srgbClr val="0070C0"/>
              </a:solidFill>
              <a:ln>
                <a:noFill/>
              </a:ln>
            </c:spPr>
          </c:marker>
          <c:xVal>
            <c:numRef>
              <c:f>Water_Binary!$AY$7:$AY$17</c:f>
              <c:numCache>
                <c:formatCode>General</c:formatCode>
                <c:ptCount val="11"/>
                <c:pt idx="0">
                  <c:v>2.5299999999999998</c:v>
                </c:pt>
                <c:pt idx="1">
                  <c:v>5.07</c:v>
                </c:pt>
                <c:pt idx="2">
                  <c:v>10.130000000000001</c:v>
                </c:pt>
                <c:pt idx="3">
                  <c:v>15.2</c:v>
                </c:pt>
                <c:pt idx="4">
                  <c:v>20.27</c:v>
                </c:pt>
                <c:pt idx="5">
                  <c:v>25.33</c:v>
                </c:pt>
                <c:pt idx="6">
                  <c:v>30.4</c:v>
                </c:pt>
                <c:pt idx="7">
                  <c:v>40.53</c:v>
                </c:pt>
                <c:pt idx="8">
                  <c:v>50.66</c:v>
                </c:pt>
                <c:pt idx="9">
                  <c:v>60.8</c:v>
                </c:pt>
                <c:pt idx="10">
                  <c:v>70.930000000000007</c:v>
                </c:pt>
              </c:numCache>
            </c:numRef>
          </c:xVal>
          <c:yVal>
            <c:numRef>
              <c:f>Water_Binary!$BB$7:$BB$17</c:f>
              <c:numCache>
                <c:formatCode>0.000</c:formatCode>
                <c:ptCount val="11"/>
                <c:pt idx="0">
                  <c:v>36.763727121464221</c:v>
                </c:pt>
                <c:pt idx="1">
                  <c:v>19.617304492512481</c:v>
                </c:pt>
                <c:pt idx="2">
                  <c:v>11.081530782029951</c:v>
                </c:pt>
                <c:pt idx="3">
                  <c:v>8.0865224625623977</c:v>
                </c:pt>
                <c:pt idx="4">
                  <c:v>6.5890183028286202</c:v>
                </c:pt>
                <c:pt idx="5">
                  <c:v>5.7653910149750418</c:v>
                </c:pt>
                <c:pt idx="6">
                  <c:v>5.1663893510815315</c:v>
                </c:pt>
                <c:pt idx="7">
                  <c:v>4.4176372712146428</c:v>
                </c:pt>
                <c:pt idx="8">
                  <c:v>3.9683860232945092</c:v>
                </c:pt>
                <c:pt idx="9">
                  <c:v>3.8186356073211321</c:v>
                </c:pt>
                <c:pt idx="10">
                  <c:v>3.668885191347754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71B2-4ECF-A07A-ED1BA5C21D20}"/>
            </c:ext>
          </c:extLst>
        </c:ser>
        <c:ser>
          <c:idx val="17"/>
          <c:order val="15"/>
          <c:tx>
            <c:v>Эксперимент_137.8</c:v>
          </c:tx>
          <c:spPr>
            <a:ln>
              <a:noFill/>
            </a:ln>
          </c:spPr>
          <c:marker>
            <c:symbol val="circle"/>
            <c:size val="7"/>
            <c:spPr>
              <a:solidFill>
                <a:srgbClr val="0070C0"/>
              </a:solidFill>
              <a:ln>
                <a:noFill/>
              </a:ln>
            </c:spPr>
          </c:marker>
          <c:xVal>
            <c:numRef>
              <c:f>Water_Binary!$AY$7:$AY$17</c:f>
              <c:numCache>
                <c:formatCode>General</c:formatCode>
                <c:ptCount val="11"/>
                <c:pt idx="0">
                  <c:v>2.5299999999999998</c:v>
                </c:pt>
                <c:pt idx="1">
                  <c:v>5.07</c:v>
                </c:pt>
                <c:pt idx="2">
                  <c:v>10.130000000000001</c:v>
                </c:pt>
                <c:pt idx="3">
                  <c:v>15.2</c:v>
                </c:pt>
                <c:pt idx="4">
                  <c:v>20.27</c:v>
                </c:pt>
                <c:pt idx="5">
                  <c:v>25.33</c:v>
                </c:pt>
                <c:pt idx="6">
                  <c:v>30.4</c:v>
                </c:pt>
                <c:pt idx="7">
                  <c:v>40.53</c:v>
                </c:pt>
                <c:pt idx="8">
                  <c:v>50.66</c:v>
                </c:pt>
                <c:pt idx="9">
                  <c:v>60.8</c:v>
                </c:pt>
                <c:pt idx="10">
                  <c:v>70.930000000000007</c:v>
                </c:pt>
              </c:numCache>
            </c:numRef>
          </c:xVal>
          <c:yVal>
            <c:numRef>
              <c:f>Water_Binary!$BC$7:$BC$17</c:f>
              <c:numCache>
                <c:formatCode>0.000</c:formatCode>
                <c:ptCount val="11"/>
                <c:pt idx="0">
                  <c:v>104.7504159733777</c:v>
                </c:pt>
                <c:pt idx="1">
                  <c:v>56.306156405990023</c:v>
                </c:pt>
                <c:pt idx="2">
                  <c:v>30.39933444259567</c:v>
                </c:pt>
                <c:pt idx="3">
                  <c:v>21.863560732113143</c:v>
                </c:pt>
                <c:pt idx="4">
                  <c:v>17.595673876871881</c:v>
                </c:pt>
                <c:pt idx="5">
                  <c:v>15.199667221297835</c:v>
                </c:pt>
                <c:pt idx="6">
                  <c:v>13.627287853577371</c:v>
                </c:pt>
                <c:pt idx="7">
                  <c:v>11.680532445923461</c:v>
                </c:pt>
                <c:pt idx="8">
                  <c:v>10.407653910149749</c:v>
                </c:pt>
                <c:pt idx="9">
                  <c:v>9.5840266222961752</c:v>
                </c:pt>
                <c:pt idx="10">
                  <c:v>8.8352745424292856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71B2-4ECF-A07A-ED1BA5C21D20}"/>
            </c:ext>
          </c:extLst>
        </c:ser>
        <c:ser>
          <c:idx val="18"/>
          <c:order val="16"/>
          <c:tx>
            <c:v>Эксперимент_171.1</c:v>
          </c:tx>
          <c:spPr>
            <a:ln>
              <a:noFill/>
            </a:ln>
          </c:spPr>
          <c:marker>
            <c:symbol val="circle"/>
            <c:size val="7"/>
            <c:spPr>
              <a:solidFill>
                <a:srgbClr val="0070C0"/>
              </a:solidFill>
              <a:ln>
                <a:noFill/>
              </a:ln>
            </c:spPr>
          </c:marker>
          <c:xVal>
            <c:numRef>
              <c:f>Water_Binary!$AY$7:$AY$17</c:f>
              <c:numCache>
                <c:formatCode>General</c:formatCode>
                <c:ptCount val="11"/>
                <c:pt idx="0">
                  <c:v>2.5299999999999998</c:v>
                </c:pt>
                <c:pt idx="1">
                  <c:v>5.07</c:v>
                </c:pt>
                <c:pt idx="2">
                  <c:v>10.130000000000001</c:v>
                </c:pt>
                <c:pt idx="3">
                  <c:v>15.2</c:v>
                </c:pt>
                <c:pt idx="4">
                  <c:v>20.27</c:v>
                </c:pt>
                <c:pt idx="5">
                  <c:v>25.33</c:v>
                </c:pt>
                <c:pt idx="6">
                  <c:v>30.4</c:v>
                </c:pt>
                <c:pt idx="7">
                  <c:v>40.53</c:v>
                </c:pt>
                <c:pt idx="8">
                  <c:v>50.66</c:v>
                </c:pt>
                <c:pt idx="9">
                  <c:v>60.8</c:v>
                </c:pt>
                <c:pt idx="10">
                  <c:v>70.930000000000007</c:v>
                </c:pt>
              </c:numCache>
            </c:numRef>
          </c:xVal>
          <c:yVal>
            <c:numRef>
              <c:f>Water_Binary!$BD$7:$BD$17</c:f>
              <c:numCache>
                <c:formatCode>0.000</c:formatCode>
                <c:ptCount val="11"/>
                <c:pt idx="0">
                  <c:v>248.81031613976705</c:v>
                </c:pt>
                <c:pt idx="1">
                  <c:v>128.41098169717139</c:v>
                </c:pt>
                <c:pt idx="2">
                  <c:v>71.131447587354415</c:v>
                </c:pt>
                <c:pt idx="3">
                  <c:v>50.915141430948431</c:v>
                </c:pt>
                <c:pt idx="4">
                  <c:v>40.806988352745428</c:v>
                </c:pt>
                <c:pt idx="5">
                  <c:v>34.966722129783697</c:v>
                </c:pt>
                <c:pt idx="6">
                  <c:v>31.073211314475873</c:v>
                </c:pt>
                <c:pt idx="7">
                  <c:v>26.206322795341105</c:v>
                </c:pt>
                <c:pt idx="8">
                  <c:v>23.211314475873547</c:v>
                </c:pt>
                <c:pt idx="9">
                  <c:v>20.965058236272881</c:v>
                </c:pt>
                <c:pt idx="10">
                  <c:v>19.467554076539102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71B2-4ECF-A07A-ED1BA5C21D20}"/>
            </c:ext>
          </c:extLst>
        </c:ser>
        <c:ser>
          <c:idx val="20"/>
          <c:order val="17"/>
          <c:tx>
            <c:v>Расчет_150</c:v>
          </c:tx>
          <c:spPr>
            <a:ln>
              <a:solidFill>
                <a:schemeClr val="bg2">
                  <a:lumMod val="25000"/>
                </a:schemeClr>
              </a:solidFill>
            </a:ln>
          </c:spPr>
          <c:marker>
            <c:symbol val="none"/>
          </c:marker>
          <c:xVal>
            <c:numRef>
              <c:f>Water_Binary!$AM$21:$AM$30</c:f>
              <c:numCache>
                <c:formatCode>General</c:formatCode>
                <c:ptCount val="10"/>
                <c:pt idx="0">
                  <c:v>4.9000000000000004</c:v>
                </c:pt>
                <c:pt idx="1">
                  <c:v>9.8000000000000007</c:v>
                </c:pt>
                <c:pt idx="2">
                  <c:v>14.7</c:v>
                </c:pt>
                <c:pt idx="3">
                  <c:v>19.600000000000001</c:v>
                </c:pt>
                <c:pt idx="4">
                  <c:v>24.5</c:v>
                </c:pt>
                <c:pt idx="5">
                  <c:v>29.4</c:v>
                </c:pt>
                <c:pt idx="6">
                  <c:v>39.200000000000003</c:v>
                </c:pt>
                <c:pt idx="7">
                  <c:v>49</c:v>
                </c:pt>
                <c:pt idx="8">
                  <c:v>58.8</c:v>
                </c:pt>
                <c:pt idx="9">
                  <c:v>78.400000000000006</c:v>
                </c:pt>
              </c:numCache>
            </c:numRef>
          </c:xVal>
          <c:yVal>
            <c:numRef>
              <c:f>Water_Binary!$AN$21:$AN$30</c:f>
              <c:numCache>
                <c:formatCode>0.000</c:formatCode>
                <c:ptCount val="10"/>
                <c:pt idx="0">
                  <c:v>47.215104400198072</c:v>
                </c:pt>
                <c:pt idx="1">
                  <c:v>33.635085214629264</c:v>
                </c:pt>
                <c:pt idx="2">
                  <c:v>27.005052573819111</c:v>
                </c:pt>
                <c:pt idx="3">
                  <c:v>23.05772620938588</c:v>
                </c:pt>
                <c:pt idx="4">
                  <c:v>20.419603438353594</c:v>
                </c:pt>
                <c:pt idx="5">
                  <c:v>17.066762740271379</c:v>
                </c:pt>
                <c:pt idx="6">
                  <c:v>14.977761221735179</c:v>
                </c:pt>
                <c:pt idx="7">
                  <c:v>13.519085595831735</c:v>
                </c:pt>
                <c:pt idx="8">
                  <c:v>11.564234673415591</c:v>
                </c:pt>
                <c:pt idx="9">
                  <c:v>10.277460977824733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71B2-4ECF-A07A-ED1BA5C21D20}"/>
            </c:ext>
          </c:extLst>
        </c:ser>
        <c:ser>
          <c:idx val="19"/>
          <c:order val="18"/>
          <c:tx>
            <c:v>Бюкачик_150</c:v>
          </c:tx>
          <c:spPr>
            <a:ln>
              <a:solidFill>
                <a:srgbClr val="92D050"/>
              </a:solidFill>
              <a:prstDash val="dash"/>
            </a:ln>
          </c:spPr>
          <c:marker>
            <c:symbol val="none"/>
          </c:marker>
          <c:xVal>
            <c:numRef>
              <c:f>Water_Binary!$AF$21:$AF$30</c:f>
              <c:numCache>
                <c:formatCode>General</c:formatCode>
                <c:ptCount val="10"/>
                <c:pt idx="0">
                  <c:v>4.9000000000000004</c:v>
                </c:pt>
                <c:pt idx="1">
                  <c:v>9.8000000000000007</c:v>
                </c:pt>
                <c:pt idx="2">
                  <c:v>14.7</c:v>
                </c:pt>
                <c:pt idx="3">
                  <c:v>19.600000000000001</c:v>
                </c:pt>
                <c:pt idx="4">
                  <c:v>24.5</c:v>
                </c:pt>
                <c:pt idx="5">
                  <c:v>29.4</c:v>
                </c:pt>
                <c:pt idx="6">
                  <c:v>39.200000000000003</c:v>
                </c:pt>
                <c:pt idx="7">
                  <c:v>49</c:v>
                </c:pt>
                <c:pt idx="8">
                  <c:v>58.8</c:v>
                </c:pt>
                <c:pt idx="9">
                  <c:v>78.400000000000006</c:v>
                </c:pt>
              </c:numCache>
            </c:numRef>
          </c:xVal>
          <c:yVal>
            <c:numRef>
              <c:f>Water_Binary!$AG$21:$AG$31</c:f>
              <c:numCache>
                <c:formatCode>0.000</c:formatCode>
                <c:ptCount val="11"/>
                <c:pt idx="0">
                  <c:v>81.648400240487788</c:v>
                </c:pt>
                <c:pt idx="1">
                  <c:v>44.391562970935212</c:v>
                </c:pt>
                <c:pt idx="2">
                  <c:v>31.972617214417696</c:v>
                </c:pt>
                <c:pt idx="3">
                  <c:v>25.763144336158931</c:v>
                </c:pt>
                <c:pt idx="4">
                  <c:v>22.037460609203674</c:v>
                </c:pt>
                <c:pt idx="5">
                  <c:v>19.553671457900169</c:v>
                </c:pt>
                <c:pt idx="6">
                  <c:v>16.448935018770786</c:v>
                </c:pt>
                <c:pt idx="7">
                  <c:v>14.586093155293158</c:v>
                </c:pt>
                <c:pt idx="8">
                  <c:v>13.344198579641406</c:v>
                </c:pt>
                <c:pt idx="9">
                  <c:v>11.791830360076714</c:v>
                </c:pt>
                <c:pt idx="10">
                  <c:v>10.860409428337903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71B2-4ECF-A07A-ED1BA5C21D20}"/>
            </c:ext>
          </c:extLst>
        </c:ser>
        <c:ser>
          <c:idx val="21"/>
          <c:order val="19"/>
          <c:tx>
            <c:v>Эксперимент_150</c:v>
          </c:tx>
          <c:spPr>
            <a:ln>
              <a:noFill/>
            </a:ln>
          </c:spPr>
          <c:marker>
            <c:symbol val="circle"/>
            <c:size val="7"/>
            <c:spPr>
              <a:solidFill>
                <a:srgbClr val="0070C0"/>
              </a:solidFill>
              <a:ln>
                <a:noFill/>
              </a:ln>
            </c:spPr>
          </c:marker>
          <c:xVal>
            <c:numRef>
              <c:f>Water_Binary!$AY$21:$AY$30</c:f>
              <c:numCache>
                <c:formatCode>General</c:formatCode>
                <c:ptCount val="10"/>
                <c:pt idx="0">
                  <c:v>4.9000000000000004</c:v>
                </c:pt>
                <c:pt idx="1">
                  <c:v>9.8000000000000007</c:v>
                </c:pt>
                <c:pt idx="2">
                  <c:v>14.7</c:v>
                </c:pt>
                <c:pt idx="3">
                  <c:v>19.600000000000001</c:v>
                </c:pt>
                <c:pt idx="4">
                  <c:v>24.5</c:v>
                </c:pt>
                <c:pt idx="5">
                  <c:v>29.4</c:v>
                </c:pt>
                <c:pt idx="6">
                  <c:v>39.200000000000003</c:v>
                </c:pt>
                <c:pt idx="7">
                  <c:v>49</c:v>
                </c:pt>
                <c:pt idx="8">
                  <c:v>58.8</c:v>
                </c:pt>
                <c:pt idx="9">
                  <c:v>78.400000000000006</c:v>
                </c:pt>
              </c:numCache>
            </c:numRef>
          </c:xVal>
          <c:yVal>
            <c:numRef>
              <c:f>Water_Binary!$AZ$21:$AZ$30</c:f>
              <c:numCache>
                <c:formatCode>0.000</c:formatCode>
                <c:ptCount val="10"/>
                <c:pt idx="0">
                  <c:v>78.618968386023298</c:v>
                </c:pt>
                <c:pt idx="1">
                  <c:v>44.925124792013314</c:v>
                </c:pt>
                <c:pt idx="2">
                  <c:v>33.693843594009984</c:v>
                </c:pt>
                <c:pt idx="3">
                  <c:v>27.703826955074874</c:v>
                </c:pt>
                <c:pt idx="4">
                  <c:v>23.211314475873547</c:v>
                </c:pt>
                <c:pt idx="5">
                  <c:v>20.590682196339436</c:v>
                </c:pt>
                <c:pt idx="6">
                  <c:v>16.472545757071547</c:v>
                </c:pt>
                <c:pt idx="7">
                  <c:v>13.851913477537437</c:v>
                </c:pt>
                <c:pt idx="8">
                  <c:v>12.728785357737108</c:v>
                </c:pt>
                <c:pt idx="9">
                  <c:v>12.354409317803663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71B2-4ECF-A07A-ED1BA5C21D20}"/>
            </c:ext>
          </c:extLst>
        </c:ser>
        <c:ser>
          <c:idx val="22"/>
          <c:order val="20"/>
          <c:tx>
            <c:v>Эксперимент_200</c:v>
          </c:tx>
          <c:spPr>
            <a:ln>
              <a:noFill/>
            </a:ln>
          </c:spPr>
          <c:marker>
            <c:symbol val="circle"/>
            <c:size val="7"/>
            <c:spPr>
              <a:solidFill>
                <a:srgbClr val="0070C0"/>
              </a:solidFill>
              <a:ln>
                <a:noFill/>
              </a:ln>
            </c:spPr>
          </c:marker>
          <c:xVal>
            <c:numRef>
              <c:f>Water_Binary!$AY$21:$AY$30</c:f>
              <c:numCache>
                <c:formatCode>General</c:formatCode>
                <c:ptCount val="10"/>
                <c:pt idx="0">
                  <c:v>4.9000000000000004</c:v>
                </c:pt>
                <c:pt idx="1">
                  <c:v>9.8000000000000007</c:v>
                </c:pt>
                <c:pt idx="2">
                  <c:v>14.7</c:v>
                </c:pt>
                <c:pt idx="3">
                  <c:v>19.600000000000001</c:v>
                </c:pt>
                <c:pt idx="4">
                  <c:v>24.5</c:v>
                </c:pt>
                <c:pt idx="5">
                  <c:v>29.4</c:v>
                </c:pt>
                <c:pt idx="6">
                  <c:v>39.200000000000003</c:v>
                </c:pt>
                <c:pt idx="7">
                  <c:v>49</c:v>
                </c:pt>
                <c:pt idx="8">
                  <c:v>58.8</c:v>
                </c:pt>
                <c:pt idx="9">
                  <c:v>78.400000000000006</c:v>
                </c:pt>
              </c:numCache>
            </c:numRef>
          </c:xVal>
          <c:yVal>
            <c:numRef>
              <c:f>Water_Binary!$BA$21:$BA$30</c:f>
              <c:numCache>
                <c:formatCode>0.000</c:formatCode>
                <c:ptCount val="10"/>
                <c:pt idx="0">
                  <c:v>265.80698835274541</c:v>
                </c:pt>
                <c:pt idx="1">
                  <c:v>142.26289517470883</c:v>
                </c:pt>
                <c:pt idx="2">
                  <c:v>102.57903494176374</c:v>
                </c:pt>
                <c:pt idx="3">
                  <c:v>81.239600665557404</c:v>
                </c:pt>
                <c:pt idx="4">
                  <c:v>67.387687188019967</c:v>
                </c:pt>
                <c:pt idx="5">
                  <c:v>58.777038269550751</c:v>
                </c:pt>
                <c:pt idx="6">
                  <c:v>48.668885191347755</c:v>
                </c:pt>
                <c:pt idx="7">
                  <c:v>41.930116472545762</c:v>
                </c:pt>
                <c:pt idx="8">
                  <c:v>38.935108153078204</c:v>
                </c:pt>
                <c:pt idx="9">
                  <c:v>34.068219633943428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71B2-4ECF-A07A-ED1BA5C21D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0803792"/>
        <c:axId val="1"/>
      </c:scatterChart>
      <c:valAx>
        <c:axId val="480803792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1200" b="0">
                    <a:latin typeface="Times New Roman" pitchFamily="18" charset="0"/>
                    <a:cs typeface="Times New Roman" pitchFamily="18" charset="0"/>
                  </a:defRPr>
                </a:pPr>
                <a:r>
                  <a:rPr lang="ru-RU" sz="1200" b="0">
                    <a:latin typeface="Times New Roman" pitchFamily="18" charset="0"/>
                    <a:cs typeface="Times New Roman" pitchFamily="18" charset="0"/>
                  </a:rPr>
                  <a:t>Давление, МПа</a:t>
                </a:r>
              </a:p>
            </c:rich>
          </c:tx>
          <c:layout>
            <c:manualLayout>
              <c:xMode val="edge"/>
              <c:yMode val="edge"/>
              <c:x val="0.41055900788751021"/>
              <c:y val="0.93841202359210796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ru-RU"/>
          </a:p>
        </c:txPr>
        <c:crossAx val="1"/>
        <c:crossesAt val="0.1"/>
        <c:crossBetween val="midCat"/>
      </c:valAx>
      <c:valAx>
        <c:axId val="1"/>
        <c:scaling>
          <c:logBase val="10"/>
          <c:orientation val="minMax"/>
          <c:max val="500"/>
          <c:min val="0.25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ru-RU" sz="1200" b="0">
                    <a:latin typeface="Times New Roman" pitchFamily="18" charset="0"/>
                    <a:cs typeface="Times New Roman" pitchFamily="18" charset="0"/>
                  </a:rPr>
                  <a:t>Влагосодержание</a:t>
                </a:r>
                <a:r>
                  <a:rPr lang="ru-RU" sz="1200" b="0" baseline="0">
                    <a:latin typeface="Times New Roman" pitchFamily="18" charset="0"/>
                    <a:cs typeface="Times New Roman" pitchFamily="18" charset="0"/>
                  </a:rPr>
                  <a:t>, г/м3</a:t>
                </a:r>
                <a:endParaRPr lang="ru-RU" sz="1200" b="0">
                  <a:latin typeface="Times New Roman" pitchFamily="18" charset="0"/>
                  <a:cs typeface="Times New Roman" pitchFamily="18" charset="0"/>
                </a:endParaRPr>
              </a:p>
            </c:rich>
          </c:tx>
          <c:layout>
            <c:manualLayout>
              <c:xMode val="edge"/>
              <c:yMode val="edge"/>
              <c:x val="1.5947209683622451E-2"/>
              <c:y val="0.34318253944492683"/>
            </c:manualLayout>
          </c:layout>
          <c:overlay val="0"/>
        </c:title>
        <c:numFmt formatCode="0.00" sourceLinked="0"/>
        <c:majorTickMark val="out"/>
        <c:minorTickMark val="none"/>
        <c:tickLblPos val="nextTo"/>
        <c:crossAx val="480803792"/>
        <c:crosses val="autoZero"/>
        <c:crossBetween val="midCat"/>
      </c:valAx>
      <c:spPr>
        <a:ln>
          <a:solidFill>
            <a:sysClr val="windowText" lastClr="000000"/>
          </a:solidFill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>
                <a:latin typeface="Times New Roman" pitchFamily="18" charset="0"/>
                <a:cs typeface="Times New Roman" pitchFamily="18" charset="0"/>
              </a:defRPr>
            </a:pPr>
            <a:r>
              <a:rPr lang="ru-RU" sz="1400">
                <a:latin typeface="Times New Roman" pitchFamily="18" charset="0"/>
                <a:cs typeface="Times New Roman" pitchFamily="18" charset="0"/>
              </a:rPr>
              <a:t>Влагосодержание</a:t>
            </a:r>
            <a:r>
              <a:rPr lang="ru-RU" sz="1400" baseline="0">
                <a:latin typeface="Times New Roman" pitchFamily="18" charset="0"/>
                <a:cs typeface="Times New Roman" pitchFamily="18" charset="0"/>
              </a:rPr>
              <a:t> этана (С2</a:t>
            </a:r>
            <a:r>
              <a:rPr lang="en-US" sz="1400" baseline="0">
                <a:latin typeface="Times New Roman" pitchFamily="18" charset="0"/>
                <a:cs typeface="Times New Roman" pitchFamily="18" charset="0"/>
              </a:rPr>
              <a:t>H</a:t>
            </a:r>
            <a:r>
              <a:rPr lang="ru-RU" sz="1400" baseline="0">
                <a:latin typeface="Times New Roman" pitchFamily="18" charset="0"/>
                <a:cs typeface="Times New Roman" pitchFamily="18" charset="0"/>
              </a:rPr>
              <a:t>6</a:t>
            </a:r>
            <a:r>
              <a:rPr lang="en-US" sz="1400" baseline="0">
                <a:latin typeface="Times New Roman" pitchFamily="18" charset="0"/>
                <a:cs typeface="Times New Roman" pitchFamily="18" charset="0"/>
              </a:rPr>
              <a:t>)</a:t>
            </a:r>
            <a:endParaRPr lang="ru-RU" sz="1400">
              <a:latin typeface="Times New Roman" pitchFamily="18" charset="0"/>
              <a:cs typeface="Times New Roman" pitchFamily="18" charset="0"/>
            </a:endParaRPr>
          </a:p>
        </c:rich>
      </c:tx>
      <c:layout>
        <c:manualLayout>
          <c:xMode val="edge"/>
          <c:yMode val="edge"/>
          <c:x val="0.30273197067983082"/>
          <c:y val="1.8277625409183401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0170386085159044"/>
          <c:y val="9.3621398448789389E-2"/>
          <c:w val="0.87178831273033874"/>
          <c:h val="0.78664401781238025"/>
        </c:manualLayout>
      </c:layout>
      <c:scatterChart>
        <c:scatterStyle val="smoothMarker"/>
        <c:varyColors val="0"/>
        <c:ser>
          <c:idx val="1"/>
          <c:order val="1"/>
          <c:tx>
            <c:v>расчет_37.8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Water_Binary!$AF$37:$AF$46</c:f>
              <c:numCache>
                <c:formatCode>General</c:formatCode>
                <c:ptCount val="10"/>
                <c:pt idx="0">
                  <c:v>2.5299999999999998</c:v>
                </c:pt>
                <c:pt idx="1">
                  <c:v>5.07</c:v>
                </c:pt>
                <c:pt idx="2">
                  <c:v>10.130000000000001</c:v>
                </c:pt>
                <c:pt idx="3">
                  <c:v>15.2</c:v>
                </c:pt>
                <c:pt idx="4">
                  <c:v>20.27</c:v>
                </c:pt>
                <c:pt idx="5">
                  <c:v>30.4</c:v>
                </c:pt>
                <c:pt idx="6">
                  <c:v>40.53</c:v>
                </c:pt>
                <c:pt idx="7">
                  <c:v>50.66</c:v>
                </c:pt>
                <c:pt idx="8">
                  <c:v>60.8</c:v>
                </c:pt>
                <c:pt idx="9">
                  <c:v>70.930000000000007</c:v>
                </c:pt>
              </c:numCache>
            </c:numRef>
          </c:xVal>
          <c:yVal>
            <c:numRef>
              <c:f>Water_Binary!$AN$37:$AN$46</c:f>
              <c:numCache>
                <c:formatCode>0.000</c:formatCode>
                <c:ptCount val="10"/>
                <c:pt idx="0">
                  <c:v>0.91705956817350132</c:v>
                </c:pt>
                <c:pt idx="1">
                  <c:v>0.64446560094089989</c:v>
                </c:pt>
                <c:pt idx="2">
                  <c:v>0.59655803797771956</c:v>
                </c:pt>
                <c:pt idx="3">
                  <c:v>0.56370001355102706</c:v>
                </c:pt>
                <c:pt idx="4">
                  <c:v>0.51670587403457624</c:v>
                </c:pt>
                <c:pt idx="5">
                  <c:v>0.48239877439521112</c:v>
                </c:pt>
                <c:pt idx="6">
                  <c:v>0.45524530186143464</c:v>
                </c:pt>
                <c:pt idx="7">
                  <c:v>0.43277083620254858</c:v>
                </c:pt>
                <c:pt idx="8">
                  <c:v>0.41367665189686709</c:v>
                </c:pt>
                <c:pt idx="9">
                  <c:v>0.4139342917643915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91F-4DAE-B0C1-95F9D0C7B7FD}"/>
            </c:ext>
          </c:extLst>
        </c:ser>
        <c:ser>
          <c:idx val="3"/>
          <c:order val="3"/>
          <c:tx>
            <c:v>расчет_71.1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Water_Binary!$AF$37:$AF$46</c:f>
              <c:numCache>
                <c:formatCode>General</c:formatCode>
                <c:ptCount val="10"/>
                <c:pt idx="0">
                  <c:v>2.5299999999999998</c:v>
                </c:pt>
                <c:pt idx="1">
                  <c:v>5.07</c:v>
                </c:pt>
                <c:pt idx="2">
                  <c:v>10.130000000000001</c:v>
                </c:pt>
                <c:pt idx="3">
                  <c:v>15.2</c:v>
                </c:pt>
                <c:pt idx="4">
                  <c:v>20.27</c:v>
                </c:pt>
                <c:pt idx="5">
                  <c:v>30.4</c:v>
                </c:pt>
                <c:pt idx="6">
                  <c:v>40.53</c:v>
                </c:pt>
                <c:pt idx="7">
                  <c:v>50.66</c:v>
                </c:pt>
                <c:pt idx="8">
                  <c:v>60.8</c:v>
                </c:pt>
                <c:pt idx="9">
                  <c:v>70.930000000000007</c:v>
                </c:pt>
              </c:numCache>
            </c:numRef>
          </c:xVal>
          <c:yVal>
            <c:numRef>
              <c:f>Water_Binary!$AO$37:$AO$46</c:f>
              <c:numCache>
                <c:formatCode>0.000</c:formatCode>
                <c:ptCount val="10"/>
                <c:pt idx="0">
                  <c:v>4.9774169327737514</c:v>
                </c:pt>
                <c:pt idx="1">
                  <c:v>2.7766180881705886</c:v>
                </c:pt>
                <c:pt idx="2">
                  <c:v>2.3216131730523197</c:v>
                </c:pt>
                <c:pt idx="3">
                  <c:v>2.1050376228067038</c:v>
                </c:pt>
                <c:pt idx="4">
                  <c:v>1.8493919892110504</c:v>
                </c:pt>
                <c:pt idx="5">
                  <c:v>1.6854960665849037</c:v>
                </c:pt>
                <c:pt idx="6">
                  <c:v>1.5647361140521285</c:v>
                </c:pt>
                <c:pt idx="7">
                  <c:v>1.4694369828221865</c:v>
                </c:pt>
                <c:pt idx="8">
                  <c:v>1.3912490638890056</c:v>
                </c:pt>
                <c:pt idx="9">
                  <c:v>1.392115540696121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91F-4DAE-B0C1-95F9D0C7B7FD}"/>
            </c:ext>
          </c:extLst>
        </c:ser>
        <c:ser>
          <c:idx val="5"/>
          <c:order val="5"/>
          <c:tx>
            <c:v>расчет_104.4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Water_Binary!$AF$37:$AF$46</c:f>
              <c:numCache>
                <c:formatCode>General</c:formatCode>
                <c:ptCount val="10"/>
                <c:pt idx="0">
                  <c:v>2.5299999999999998</c:v>
                </c:pt>
                <c:pt idx="1">
                  <c:v>5.07</c:v>
                </c:pt>
                <c:pt idx="2">
                  <c:v>10.130000000000001</c:v>
                </c:pt>
                <c:pt idx="3">
                  <c:v>15.2</c:v>
                </c:pt>
                <c:pt idx="4">
                  <c:v>20.27</c:v>
                </c:pt>
                <c:pt idx="5">
                  <c:v>30.4</c:v>
                </c:pt>
                <c:pt idx="6">
                  <c:v>40.53</c:v>
                </c:pt>
                <c:pt idx="7">
                  <c:v>50.66</c:v>
                </c:pt>
                <c:pt idx="8">
                  <c:v>60.8</c:v>
                </c:pt>
                <c:pt idx="9">
                  <c:v>70.930000000000007</c:v>
                </c:pt>
              </c:numCache>
            </c:numRef>
          </c:xVal>
          <c:yVal>
            <c:numRef>
              <c:f>Water_Binary!$AP$37:$AP$46</c:f>
              <c:numCache>
                <c:formatCode>0.000</c:formatCode>
                <c:ptCount val="10"/>
                <c:pt idx="0">
                  <c:v>19.035095477585067</c:v>
                </c:pt>
                <c:pt idx="1">
                  <c:v>10.246852663637608</c:v>
                </c:pt>
                <c:pt idx="2">
                  <c:v>7.7197567463670298</c:v>
                </c:pt>
                <c:pt idx="3">
                  <c:v>6.6232027058727683</c:v>
                </c:pt>
                <c:pt idx="4">
                  <c:v>5.5132737698298024</c:v>
                </c:pt>
                <c:pt idx="5">
                  <c:v>4.8827947456335261</c:v>
                </c:pt>
                <c:pt idx="6">
                  <c:v>4.4487297182285097</c:v>
                </c:pt>
                <c:pt idx="7">
                  <c:v>4.121320664777179</c:v>
                </c:pt>
                <c:pt idx="8">
                  <c:v>3.8614417354014865</c:v>
                </c:pt>
                <c:pt idx="9">
                  <c:v>3.8638466604379853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91F-4DAE-B0C1-95F9D0C7B7FD}"/>
            </c:ext>
          </c:extLst>
        </c:ser>
        <c:ser>
          <c:idx val="7"/>
          <c:order val="7"/>
          <c:tx>
            <c:v>расчет_137.8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Water_Binary!$AF$37:$AF$46</c:f>
              <c:numCache>
                <c:formatCode>General</c:formatCode>
                <c:ptCount val="10"/>
                <c:pt idx="0">
                  <c:v>2.5299999999999998</c:v>
                </c:pt>
                <c:pt idx="1">
                  <c:v>5.07</c:v>
                </c:pt>
                <c:pt idx="2">
                  <c:v>10.130000000000001</c:v>
                </c:pt>
                <c:pt idx="3">
                  <c:v>15.2</c:v>
                </c:pt>
                <c:pt idx="4">
                  <c:v>20.27</c:v>
                </c:pt>
                <c:pt idx="5">
                  <c:v>30.4</c:v>
                </c:pt>
                <c:pt idx="6">
                  <c:v>40.53</c:v>
                </c:pt>
                <c:pt idx="7">
                  <c:v>50.66</c:v>
                </c:pt>
                <c:pt idx="8">
                  <c:v>60.8</c:v>
                </c:pt>
                <c:pt idx="9">
                  <c:v>70.930000000000007</c:v>
                </c:pt>
              </c:numCache>
            </c:numRef>
          </c:xVal>
          <c:yVal>
            <c:numRef>
              <c:f>Water_Binary!$AQ$37:$AQ$46</c:f>
              <c:numCache>
                <c:formatCode>0.000</c:formatCode>
                <c:ptCount val="10"/>
                <c:pt idx="0">
                  <c:v>59.824447488467747</c:v>
                </c:pt>
                <c:pt idx="1">
                  <c:v>31.16016189625574</c:v>
                </c:pt>
                <c:pt idx="2">
                  <c:v>22.378022379261118</c:v>
                </c:pt>
                <c:pt idx="3">
                  <c:v>18.336013268755153</c:v>
                </c:pt>
                <c:pt idx="4">
                  <c:v>14.434686458639334</c:v>
                </c:pt>
                <c:pt idx="5">
                  <c:v>12.388284831077511</c:v>
                </c:pt>
                <c:pt idx="6">
                  <c:v>11.055429444227229</c:v>
                </c:pt>
                <c:pt idx="7">
                  <c:v>10.089173636021886</c:v>
                </c:pt>
                <c:pt idx="8">
                  <c:v>9.3449464567952258</c:v>
                </c:pt>
                <c:pt idx="9">
                  <c:v>9.350766535729127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91F-4DAE-B0C1-95F9D0C7B7FD}"/>
            </c:ext>
          </c:extLst>
        </c:ser>
        <c:ser>
          <c:idx val="9"/>
          <c:order val="9"/>
          <c:tx>
            <c:v>расчет_171.1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Water_Binary!$AF$37:$AF$46</c:f>
              <c:numCache>
                <c:formatCode>General</c:formatCode>
                <c:ptCount val="10"/>
                <c:pt idx="0">
                  <c:v>2.5299999999999998</c:v>
                </c:pt>
                <c:pt idx="1">
                  <c:v>5.07</c:v>
                </c:pt>
                <c:pt idx="2">
                  <c:v>10.130000000000001</c:v>
                </c:pt>
                <c:pt idx="3">
                  <c:v>15.2</c:v>
                </c:pt>
                <c:pt idx="4">
                  <c:v>20.27</c:v>
                </c:pt>
                <c:pt idx="5">
                  <c:v>30.4</c:v>
                </c:pt>
                <c:pt idx="6">
                  <c:v>40.53</c:v>
                </c:pt>
                <c:pt idx="7">
                  <c:v>50.66</c:v>
                </c:pt>
                <c:pt idx="8">
                  <c:v>60.8</c:v>
                </c:pt>
                <c:pt idx="9">
                  <c:v>70.930000000000007</c:v>
                </c:pt>
              </c:numCache>
            </c:numRef>
          </c:xVal>
          <c:yVal>
            <c:numRef>
              <c:f>Water_Binary!$AR$37:$AR$46</c:f>
              <c:numCache>
                <c:formatCode>0.000</c:formatCode>
                <c:ptCount val="10"/>
                <c:pt idx="0">
                  <c:v>168.89421989779009</c:v>
                </c:pt>
                <c:pt idx="1">
                  <c:v>83.066516412230882</c:v>
                </c:pt>
                <c:pt idx="2">
                  <c:v>57.742094935053572</c:v>
                </c:pt>
                <c:pt idx="3">
                  <c:v>45.821988549511211</c:v>
                </c:pt>
                <c:pt idx="4">
                  <c:v>34.325815207185009</c:v>
                </c:pt>
                <c:pt idx="5">
                  <c:v>28.519210930524977</c:v>
                </c:pt>
                <c:pt idx="6">
                  <c:v>24.883940821364511</c:v>
                </c:pt>
                <c:pt idx="7">
                  <c:v>22.333560856500391</c:v>
                </c:pt>
                <c:pt idx="8">
                  <c:v>20.421167877353568</c:v>
                </c:pt>
                <c:pt idx="9">
                  <c:v>20.433886281842895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91F-4DAE-B0C1-95F9D0C7B7FD}"/>
            </c:ext>
          </c:extLst>
        </c:ser>
        <c:ser>
          <c:idx val="11"/>
          <c:order val="11"/>
          <c:tx>
            <c:v>расчет_200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Water_Binary!$AF$49:$AF$50</c:f>
              <c:numCache>
                <c:formatCode>General</c:formatCode>
                <c:ptCount val="2"/>
                <c:pt idx="0">
                  <c:v>19.23</c:v>
                </c:pt>
                <c:pt idx="1">
                  <c:v>48.1</c:v>
                </c:pt>
              </c:numCache>
            </c:numRef>
          </c:xVal>
          <c:yVal>
            <c:numRef>
              <c:f>Water_Binary!$AN$49:$AN$50</c:f>
              <c:numCache>
                <c:formatCode>0.000</c:formatCode>
                <c:ptCount val="2"/>
                <c:pt idx="0">
                  <c:v>49.629820200642598</c:v>
                </c:pt>
                <c:pt idx="1">
                  <c:v>31.331660719011122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391F-4DAE-B0C1-95F9D0C7B7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1481712"/>
        <c:axId val="1"/>
      </c:scatterChart>
      <c:scatterChart>
        <c:scatterStyle val="lineMarker"/>
        <c:varyColors val="0"/>
        <c:ser>
          <c:idx val="0"/>
          <c:order val="0"/>
          <c:tx>
            <c:v>Бюкачик_37.8</c:v>
          </c:tx>
          <c:spPr>
            <a:ln w="25400">
              <a:solidFill>
                <a:srgbClr val="92D050"/>
              </a:solidFill>
              <a:prstDash val="dash"/>
            </a:ln>
          </c:spPr>
          <c:marker>
            <c:symbol val="none"/>
          </c:marker>
          <c:xVal>
            <c:numRef>
              <c:f>Water_Binary!$AF$37:$AF$46</c:f>
              <c:numCache>
                <c:formatCode>General</c:formatCode>
                <c:ptCount val="10"/>
                <c:pt idx="0">
                  <c:v>2.5299999999999998</c:v>
                </c:pt>
                <c:pt idx="1">
                  <c:v>5.07</c:v>
                </c:pt>
                <c:pt idx="2">
                  <c:v>10.130000000000001</c:v>
                </c:pt>
                <c:pt idx="3">
                  <c:v>15.2</c:v>
                </c:pt>
                <c:pt idx="4">
                  <c:v>20.27</c:v>
                </c:pt>
                <c:pt idx="5">
                  <c:v>30.4</c:v>
                </c:pt>
                <c:pt idx="6">
                  <c:v>40.53</c:v>
                </c:pt>
                <c:pt idx="7">
                  <c:v>50.66</c:v>
                </c:pt>
                <c:pt idx="8">
                  <c:v>60.8</c:v>
                </c:pt>
                <c:pt idx="9">
                  <c:v>70.930000000000007</c:v>
                </c:pt>
              </c:numCache>
            </c:numRef>
          </c:xVal>
          <c:yVal>
            <c:numRef>
              <c:f>Water_Binary!$AG$37:$AG$46</c:f>
              <c:numCache>
                <c:formatCode>0.000</c:formatCode>
                <c:ptCount val="10"/>
                <c:pt idx="0">
                  <c:v>2.1874604392212471</c:v>
                </c:pt>
                <c:pt idx="1">
                  <c:v>1.2126306339526636</c:v>
                </c:pt>
                <c:pt idx="2">
                  <c:v>0.72761395312284693</c:v>
                </c:pt>
                <c:pt idx="3">
                  <c:v>0.56551564233828344</c:v>
                </c:pt>
                <c:pt idx="4">
                  <c:v>0.48450647172912559</c:v>
                </c:pt>
                <c:pt idx="5">
                  <c:v>0.40357719182076568</c:v>
                </c:pt>
                <c:pt idx="6">
                  <c:v>0.36310256799292329</c:v>
                </c:pt>
                <c:pt idx="7">
                  <c:v>0.33881459791068069</c:v>
                </c:pt>
                <c:pt idx="8">
                  <c:v>0.32260796656200685</c:v>
                </c:pt>
                <c:pt idx="9">
                  <c:v>0.31104419591670551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391F-4DAE-B0C1-95F9D0C7B7FD}"/>
            </c:ext>
          </c:extLst>
        </c:ser>
        <c:ser>
          <c:idx val="2"/>
          <c:order val="2"/>
          <c:tx>
            <c:v>Бюкачик_71.1</c:v>
          </c:tx>
          <c:spPr>
            <a:ln w="25400">
              <a:solidFill>
                <a:srgbClr val="92D050"/>
              </a:solidFill>
              <a:prstDash val="dash"/>
            </a:ln>
          </c:spPr>
          <c:marker>
            <c:symbol val="none"/>
          </c:marker>
          <c:xVal>
            <c:numRef>
              <c:f>Water_Binary!$AF$37:$AF$46</c:f>
              <c:numCache>
                <c:formatCode>General</c:formatCode>
                <c:ptCount val="10"/>
                <c:pt idx="0">
                  <c:v>2.5299999999999998</c:v>
                </c:pt>
                <c:pt idx="1">
                  <c:v>5.07</c:v>
                </c:pt>
                <c:pt idx="2">
                  <c:v>10.130000000000001</c:v>
                </c:pt>
                <c:pt idx="3">
                  <c:v>15.2</c:v>
                </c:pt>
                <c:pt idx="4">
                  <c:v>20.27</c:v>
                </c:pt>
                <c:pt idx="5">
                  <c:v>30.4</c:v>
                </c:pt>
                <c:pt idx="6">
                  <c:v>40.53</c:v>
                </c:pt>
                <c:pt idx="7">
                  <c:v>50.66</c:v>
                </c:pt>
                <c:pt idx="8">
                  <c:v>60.8</c:v>
                </c:pt>
                <c:pt idx="9">
                  <c:v>70.930000000000007</c:v>
                </c:pt>
              </c:numCache>
            </c:numRef>
          </c:xVal>
          <c:yVal>
            <c:numRef>
              <c:f>Water_Binary!$AH$37:$AH$46</c:f>
              <c:numCache>
                <c:formatCode>0.000</c:formatCode>
                <c:ptCount val="10"/>
                <c:pt idx="0">
                  <c:v>10.352581861399807</c:v>
                </c:pt>
                <c:pt idx="1">
                  <c:v>5.5735325149686838</c:v>
                </c:pt>
                <c:pt idx="2">
                  <c:v>3.1957649918580215</c:v>
                </c:pt>
                <c:pt idx="3">
                  <c:v>2.4010869649596533</c:v>
                </c:pt>
                <c:pt idx="4">
                  <c:v>2.0039439747040806</c:v>
                </c:pt>
                <c:pt idx="5">
                  <c:v>1.6071926442022109</c:v>
                </c:pt>
                <c:pt idx="6">
                  <c:v>1.4087680335613795</c:v>
                </c:pt>
                <c:pt idx="7">
                  <c:v>1.2896976000145719</c:v>
                </c:pt>
                <c:pt idx="8">
                  <c:v>1.2102454838234897</c:v>
                </c:pt>
                <c:pt idx="9">
                  <c:v>1.1535547361196063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391F-4DAE-B0C1-95F9D0C7B7FD}"/>
            </c:ext>
          </c:extLst>
        </c:ser>
        <c:ser>
          <c:idx val="4"/>
          <c:order val="4"/>
          <c:tx>
            <c:v>Бюкачик_104.4</c:v>
          </c:tx>
          <c:spPr>
            <a:ln w="25400">
              <a:solidFill>
                <a:srgbClr val="92D050"/>
              </a:solidFill>
              <a:prstDash val="dash"/>
            </a:ln>
          </c:spPr>
          <c:marker>
            <c:symbol val="none"/>
          </c:marker>
          <c:xVal>
            <c:numRef>
              <c:f>Water_Binary!$AF$37:$AF$46</c:f>
              <c:numCache>
                <c:formatCode>General</c:formatCode>
                <c:ptCount val="10"/>
                <c:pt idx="0">
                  <c:v>2.5299999999999998</c:v>
                </c:pt>
                <c:pt idx="1">
                  <c:v>5.07</c:v>
                </c:pt>
                <c:pt idx="2">
                  <c:v>10.130000000000001</c:v>
                </c:pt>
                <c:pt idx="3">
                  <c:v>15.2</c:v>
                </c:pt>
                <c:pt idx="4">
                  <c:v>20.27</c:v>
                </c:pt>
                <c:pt idx="5">
                  <c:v>30.4</c:v>
                </c:pt>
                <c:pt idx="6">
                  <c:v>40.53</c:v>
                </c:pt>
                <c:pt idx="7">
                  <c:v>50.66</c:v>
                </c:pt>
                <c:pt idx="8">
                  <c:v>60.8</c:v>
                </c:pt>
                <c:pt idx="9">
                  <c:v>70.930000000000007</c:v>
                </c:pt>
              </c:numCache>
            </c:numRef>
          </c:xVal>
          <c:yVal>
            <c:numRef>
              <c:f>Water_Binary!$AI$37:$AI$46</c:f>
              <c:numCache>
                <c:formatCode>0.000</c:formatCode>
                <c:ptCount val="10"/>
                <c:pt idx="0">
                  <c:v>36.411164634049221</c:v>
                </c:pt>
                <c:pt idx="1">
                  <c:v>19.274157883906501</c:v>
                </c:pt>
                <c:pt idx="2">
                  <c:v>10.747814015068441</c:v>
                </c:pt>
                <c:pt idx="3">
                  <c:v>7.8982090572712806</c:v>
                </c:pt>
                <c:pt idx="4">
                  <c:v>6.4741094903011112</c:v>
                </c:pt>
                <c:pt idx="5">
                  <c:v>5.0514143607737179</c:v>
                </c:pt>
                <c:pt idx="6">
                  <c:v>4.3398912846444233</c:v>
                </c:pt>
                <c:pt idx="7">
                  <c:v>3.9129212587002749</c:v>
                </c:pt>
                <c:pt idx="8">
                  <c:v>3.6280170125249369</c:v>
                </c:pt>
                <c:pt idx="9">
                  <c:v>3.4247318703035892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391F-4DAE-B0C1-95F9D0C7B7FD}"/>
            </c:ext>
          </c:extLst>
        </c:ser>
        <c:ser>
          <c:idx val="6"/>
          <c:order val="6"/>
          <c:tx>
            <c:v>Бюкачек_137.8</c:v>
          </c:tx>
          <c:spPr>
            <a:ln w="25400">
              <a:solidFill>
                <a:srgbClr val="92D050"/>
              </a:solidFill>
              <a:prstDash val="dash"/>
            </a:ln>
          </c:spPr>
          <c:marker>
            <c:symbol val="none"/>
          </c:marker>
          <c:xVal>
            <c:numRef>
              <c:f>Water_Binary!$AF$37:$AF$46</c:f>
              <c:numCache>
                <c:formatCode>General</c:formatCode>
                <c:ptCount val="10"/>
                <c:pt idx="0">
                  <c:v>2.5299999999999998</c:v>
                </c:pt>
                <c:pt idx="1">
                  <c:v>5.07</c:v>
                </c:pt>
                <c:pt idx="2">
                  <c:v>10.130000000000001</c:v>
                </c:pt>
                <c:pt idx="3">
                  <c:v>15.2</c:v>
                </c:pt>
                <c:pt idx="4">
                  <c:v>20.27</c:v>
                </c:pt>
                <c:pt idx="5">
                  <c:v>30.4</c:v>
                </c:pt>
                <c:pt idx="6">
                  <c:v>40.53</c:v>
                </c:pt>
                <c:pt idx="7">
                  <c:v>50.66</c:v>
                </c:pt>
                <c:pt idx="8">
                  <c:v>60.8</c:v>
                </c:pt>
                <c:pt idx="9">
                  <c:v>70.930000000000007</c:v>
                </c:pt>
              </c:numCache>
            </c:numRef>
          </c:xVal>
          <c:yVal>
            <c:numRef>
              <c:f>Water_Binary!$AJ$37:$AJ$46</c:f>
              <c:numCache>
                <c:formatCode>0.000</c:formatCode>
                <c:ptCount val="10"/>
                <c:pt idx="0">
                  <c:v>101.83387967647769</c:v>
                </c:pt>
                <c:pt idx="1">
                  <c:v>53.363950925035006</c:v>
                </c:pt>
                <c:pt idx="2">
                  <c:v>29.248229559082969</c:v>
                </c:pt>
                <c:pt idx="3">
                  <c:v>21.188470273930321</c:v>
                </c:pt>
                <c:pt idx="4">
                  <c:v>17.160578731819008</c:v>
                </c:pt>
                <c:pt idx="5">
                  <c:v>13.136659469335024</c:v>
                </c:pt>
                <c:pt idx="6">
                  <c:v>11.124203425650089</c:v>
                </c:pt>
                <c:pt idx="7">
                  <c:v>9.9165709004226503</c:v>
                </c:pt>
                <c:pt idx="8">
                  <c:v>9.1107540670373748</c:v>
                </c:pt>
                <c:pt idx="9">
                  <c:v>8.5357868920017737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391F-4DAE-B0C1-95F9D0C7B7FD}"/>
            </c:ext>
          </c:extLst>
        </c:ser>
        <c:ser>
          <c:idx val="8"/>
          <c:order val="8"/>
          <c:tx>
            <c:v>Бюкачек_171.1</c:v>
          </c:tx>
          <c:spPr>
            <a:ln w="25400">
              <a:solidFill>
                <a:srgbClr val="92D050"/>
              </a:solidFill>
              <a:prstDash val="dash"/>
            </a:ln>
          </c:spPr>
          <c:marker>
            <c:symbol val="none"/>
          </c:marker>
          <c:xVal>
            <c:numRef>
              <c:f>Water_Binary!$AF$37:$AF$46</c:f>
              <c:numCache>
                <c:formatCode>General</c:formatCode>
                <c:ptCount val="10"/>
                <c:pt idx="0">
                  <c:v>2.5299999999999998</c:v>
                </c:pt>
                <c:pt idx="1">
                  <c:v>5.07</c:v>
                </c:pt>
                <c:pt idx="2">
                  <c:v>10.130000000000001</c:v>
                </c:pt>
                <c:pt idx="3">
                  <c:v>15.2</c:v>
                </c:pt>
                <c:pt idx="4">
                  <c:v>20.27</c:v>
                </c:pt>
                <c:pt idx="5">
                  <c:v>30.4</c:v>
                </c:pt>
                <c:pt idx="6">
                  <c:v>40.53</c:v>
                </c:pt>
                <c:pt idx="7">
                  <c:v>50.66</c:v>
                </c:pt>
                <c:pt idx="8">
                  <c:v>60.8</c:v>
                </c:pt>
                <c:pt idx="9">
                  <c:v>70.930000000000007</c:v>
                </c:pt>
              </c:numCache>
            </c:numRef>
          </c:xVal>
          <c:yVal>
            <c:numRef>
              <c:f>Water_Binary!$AK$37:$AK$46</c:f>
              <c:numCache>
                <c:formatCode>0.000</c:formatCode>
                <c:ptCount val="10"/>
                <c:pt idx="0">
                  <c:v>238.47259155863597</c:v>
                </c:pt>
                <c:pt idx="1">
                  <c:v>124.16260350486652</c:v>
                </c:pt>
                <c:pt idx="2">
                  <c:v>67.288828521899248</c:v>
                </c:pt>
                <c:pt idx="3">
                  <c:v>48.280940304720183</c:v>
                </c:pt>
                <c:pt idx="4">
                  <c:v>38.781684871073224</c:v>
                </c:pt>
                <c:pt idx="5">
                  <c:v>29.291797539431837</c:v>
                </c:pt>
                <c:pt idx="6">
                  <c:v>24.545683149785376</c:v>
                </c:pt>
                <c:pt idx="7">
                  <c:v>21.697639773447989</c:v>
                </c:pt>
                <c:pt idx="8">
                  <c:v>19.797226156787659</c:v>
                </c:pt>
                <c:pt idx="9">
                  <c:v>18.44124126878279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391F-4DAE-B0C1-95F9D0C7B7FD}"/>
            </c:ext>
          </c:extLst>
        </c:ser>
        <c:ser>
          <c:idx val="10"/>
          <c:order val="10"/>
          <c:tx>
            <c:v>Бюкачек_200</c:v>
          </c:tx>
          <c:spPr>
            <a:ln w="25400">
              <a:solidFill>
                <a:srgbClr val="92D050"/>
              </a:solidFill>
              <a:prstDash val="dash"/>
            </a:ln>
          </c:spPr>
          <c:marker>
            <c:symbol val="none"/>
          </c:marker>
          <c:xVal>
            <c:numRef>
              <c:f>Water_Binary!$AF$49:$AF$50</c:f>
              <c:numCache>
                <c:formatCode>General</c:formatCode>
                <c:ptCount val="2"/>
                <c:pt idx="0">
                  <c:v>19.23</c:v>
                </c:pt>
                <c:pt idx="1">
                  <c:v>48.1</c:v>
                </c:pt>
              </c:numCache>
            </c:numRef>
          </c:xVal>
          <c:yVal>
            <c:numRef>
              <c:f>Water_Binary!$AG$49:$AG$50</c:f>
              <c:numCache>
                <c:formatCode>0.000</c:formatCode>
                <c:ptCount val="2"/>
                <c:pt idx="0">
                  <c:v>74.379434772427402</c:v>
                </c:pt>
                <c:pt idx="1">
                  <c:v>40.250286822083837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391F-4DAE-B0C1-95F9D0C7B7FD}"/>
            </c:ext>
          </c:extLst>
        </c:ser>
        <c:ser>
          <c:idx val="14"/>
          <c:order val="12"/>
          <c:tx>
            <c:v>Эксперимент_37,8</c:v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0070C0"/>
              </a:solidFill>
              <a:ln>
                <a:noFill/>
              </a:ln>
            </c:spPr>
          </c:marker>
          <c:xVal>
            <c:numRef>
              <c:f>Water_Binary!$AY$37:$AY$46</c:f>
              <c:numCache>
                <c:formatCode>General</c:formatCode>
                <c:ptCount val="10"/>
                <c:pt idx="0">
                  <c:v>2.5299999999999998</c:v>
                </c:pt>
                <c:pt idx="1">
                  <c:v>5.07</c:v>
                </c:pt>
                <c:pt idx="2">
                  <c:v>10.130000000000001</c:v>
                </c:pt>
                <c:pt idx="3">
                  <c:v>15.2</c:v>
                </c:pt>
                <c:pt idx="4">
                  <c:v>20.27</c:v>
                </c:pt>
                <c:pt idx="5">
                  <c:v>30.4</c:v>
                </c:pt>
                <c:pt idx="6">
                  <c:v>40.53</c:v>
                </c:pt>
                <c:pt idx="7">
                  <c:v>50.66</c:v>
                </c:pt>
                <c:pt idx="8">
                  <c:v>60.8</c:v>
                </c:pt>
                <c:pt idx="9">
                  <c:v>70.930000000000007</c:v>
                </c:pt>
              </c:numCache>
            </c:numRef>
          </c:xVal>
          <c:yVal>
            <c:numRef>
              <c:f>Water_Binary!$AZ$37:$AZ$46</c:f>
              <c:numCache>
                <c:formatCode>0.000</c:formatCode>
                <c:ptCount val="10"/>
                <c:pt idx="0">
                  <c:v>2.1272046589018303</c:v>
                </c:pt>
                <c:pt idx="1">
                  <c:v>1.1980033277870219</c:v>
                </c:pt>
                <c:pt idx="2">
                  <c:v>0.71880199667221301</c:v>
                </c:pt>
                <c:pt idx="3">
                  <c:v>0.51663893510815306</c:v>
                </c:pt>
                <c:pt idx="4">
                  <c:v>0.48668885191347749</c:v>
                </c:pt>
                <c:pt idx="5">
                  <c:v>0.46422628951747091</c:v>
                </c:pt>
                <c:pt idx="6">
                  <c:v>0.47171381031613985</c:v>
                </c:pt>
                <c:pt idx="7">
                  <c:v>0.47171381031613985</c:v>
                </c:pt>
                <c:pt idx="8">
                  <c:v>0.47171381031613985</c:v>
                </c:pt>
                <c:pt idx="9">
                  <c:v>0.47171381031613985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391F-4DAE-B0C1-95F9D0C7B7FD}"/>
            </c:ext>
          </c:extLst>
        </c:ser>
        <c:ser>
          <c:idx val="15"/>
          <c:order val="13"/>
          <c:tx>
            <c:v>Эксперимент_71,1</c:v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0070C0"/>
              </a:solidFill>
              <a:ln>
                <a:noFill/>
              </a:ln>
            </c:spPr>
          </c:marker>
          <c:xVal>
            <c:numRef>
              <c:f>Water_Binary!$AY$37:$AY$46</c:f>
              <c:numCache>
                <c:formatCode>General</c:formatCode>
                <c:ptCount val="10"/>
                <c:pt idx="0">
                  <c:v>2.5299999999999998</c:v>
                </c:pt>
                <c:pt idx="1">
                  <c:v>5.07</c:v>
                </c:pt>
                <c:pt idx="2">
                  <c:v>10.130000000000001</c:v>
                </c:pt>
                <c:pt idx="3">
                  <c:v>15.2</c:v>
                </c:pt>
                <c:pt idx="4">
                  <c:v>20.27</c:v>
                </c:pt>
                <c:pt idx="5">
                  <c:v>30.4</c:v>
                </c:pt>
                <c:pt idx="6">
                  <c:v>40.53</c:v>
                </c:pt>
                <c:pt idx="7">
                  <c:v>50.66</c:v>
                </c:pt>
                <c:pt idx="8">
                  <c:v>60.8</c:v>
                </c:pt>
                <c:pt idx="9">
                  <c:v>70.930000000000007</c:v>
                </c:pt>
              </c:numCache>
            </c:numRef>
          </c:xVal>
          <c:yVal>
            <c:numRef>
              <c:f>Water_Binary!$BA$37:$BA$46</c:f>
              <c:numCache>
                <c:formatCode>0.000</c:formatCode>
                <c:ptCount val="10"/>
                <c:pt idx="0">
                  <c:v>8.5118136439267893</c:v>
                </c:pt>
                <c:pt idx="1">
                  <c:v>5.6455906821963397</c:v>
                </c:pt>
                <c:pt idx="2">
                  <c:v>3.1597337770382699</c:v>
                </c:pt>
                <c:pt idx="3">
                  <c:v>2.3960066555740438</c:v>
                </c:pt>
                <c:pt idx="4">
                  <c:v>2.0366056572379372</c:v>
                </c:pt>
                <c:pt idx="5">
                  <c:v>1.7296173044925125</c:v>
                </c:pt>
                <c:pt idx="6">
                  <c:v>1.6023294509151416</c:v>
                </c:pt>
                <c:pt idx="7">
                  <c:v>1.5424292845257905</c:v>
                </c:pt>
                <c:pt idx="8">
                  <c:v>1.4975041597337773</c:v>
                </c:pt>
                <c:pt idx="9">
                  <c:v>1.4525790349417638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391F-4DAE-B0C1-95F9D0C7B7FD}"/>
            </c:ext>
          </c:extLst>
        </c:ser>
        <c:ser>
          <c:idx val="16"/>
          <c:order val="14"/>
          <c:tx>
            <c:v>Эксперимент_104.4</c:v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0070C0"/>
              </a:solidFill>
              <a:ln>
                <a:noFill/>
              </a:ln>
            </c:spPr>
          </c:marker>
          <c:xVal>
            <c:numRef>
              <c:f>Water_Binary!$AY$37:$AY$46</c:f>
              <c:numCache>
                <c:formatCode>General</c:formatCode>
                <c:ptCount val="10"/>
                <c:pt idx="0">
                  <c:v>2.5299999999999998</c:v>
                </c:pt>
                <c:pt idx="1">
                  <c:v>5.07</c:v>
                </c:pt>
                <c:pt idx="2">
                  <c:v>10.130000000000001</c:v>
                </c:pt>
                <c:pt idx="3">
                  <c:v>15.2</c:v>
                </c:pt>
                <c:pt idx="4">
                  <c:v>20.27</c:v>
                </c:pt>
                <c:pt idx="5">
                  <c:v>30.4</c:v>
                </c:pt>
                <c:pt idx="6">
                  <c:v>40.53</c:v>
                </c:pt>
                <c:pt idx="7">
                  <c:v>50.66</c:v>
                </c:pt>
                <c:pt idx="8">
                  <c:v>60.8</c:v>
                </c:pt>
                <c:pt idx="9">
                  <c:v>70.930000000000007</c:v>
                </c:pt>
              </c:numCache>
            </c:numRef>
          </c:xVal>
          <c:yVal>
            <c:numRef>
              <c:f>Water_Binary!$BB$37:$BB$46</c:f>
              <c:numCache>
                <c:formatCode>0.000</c:formatCode>
                <c:ptCount val="10"/>
                <c:pt idx="0">
                  <c:v>36.591514143094841</c:v>
                </c:pt>
                <c:pt idx="1">
                  <c:v>19.617304492512481</c:v>
                </c:pt>
                <c:pt idx="2">
                  <c:v>10.707154742096508</c:v>
                </c:pt>
                <c:pt idx="3">
                  <c:v>7.7870216306156399</c:v>
                </c:pt>
                <c:pt idx="4">
                  <c:v>6.4392678868552409</c:v>
                </c:pt>
                <c:pt idx="5">
                  <c:v>5.2038269550748746</c:v>
                </c:pt>
                <c:pt idx="6">
                  <c:v>4.6422628951747082</c:v>
                </c:pt>
                <c:pt idx="7">
                  <c:v>4.3427620632279531</c:v>
                </c:pt>
                <c:pt idx="8">
                  <c:v>4.1181364392678868</c:v>
                </c:pt>
                <c:pt idx="9">
                  <c:v>3.9683860232945092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391F-4DAE-B0C1-95F9D0C7B7FD}"/>
            </c:ext>
          </c:extLst>
        </c:ser>
        <c:ser>
          <c:idx val="17"/>
          <c:order val="15"/>
          <c:tx>
            <c:v>Эксперимент_137,8</c:v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0070C0"/>
              </a:solidFill>
              <a:ln>
                <a:noFill/>
              </a:ln>
            </c:spPr>
          </c:marker>
          <c:xVal>
            <c:numRef>
              <c:f>Water_Binary!$AY$37:$AY$46</c:f>
              <c:numCache>
                <c:formatCode>General</c:formatCode>
                <c:ptCount val="10"/>
                <c:pt idx="0">
                  <c:v>2.5299999999999998</c:v>
                </c:pt>
                <c:pt idx="1">
                  <c:v>5.07</c:v>
                </c:pt>
                <c:pt idx="2">
                  <c:v>10.130000000000001</c:v>
                </c:pt>
                <c:pt idx="3">
                  <c:v>15.2</c:v>
                </c:pt>
                <c:pt idx="4">
                  <c:v>20.27</c:v>
                </c:pt>
                <c:pt idx="5">
                  <c:v>30.4</c:v>
                </c:pt>
                <c:pt idx="6">
                  <c:v>40.53</c:v>
                </c:pt>
                <c:pt idx="7">
                  <c:v>50.66</c:v>
                </c:pt>
                <c:pt idx="8">
                  <c:v>60.8</c:v>
                </c:pt>
                <c:pt idx="9">
                  <c:v>70.930000000000007</c:v>
                </c:pt>
              </c:numCache>
            </c:numRef>
          </c:xVal>
          <c:yVal>
            <c:numRef>
              <c:f>Water_Binary!$BC$37:$BC$46</c:f>
              <c:numCache>
                <c:formatCode>0.000</c:formatCode>
                <c:ptCount val="10"/>
                <c:pt idx="0">
                  <c:v>103.25291181364392</c:v>
                </c:pt>
                <c:pt idx="1">
                  <c:v>54.958402662229624</c:v>
                </c:pt>
                <c:pt idx="2">
                  <c:v>29.201331114808653</c:v>
                </c:pt>
                <c:pt idx="3">
                  <c:v>21.189683860232943</c:v>
                </c:pt>
                <c:pt idx="4">
                  <c:v>17.221297836938437</c:v>
                </c:pt>
                <c:pt idx="5">
                  <c:v>13.552412645590683</c:v>
                </c:pt>
                <c:pt idx="6">
                  <c:v>11.830282861896841</c:v>
                </c:pt>
                <c:pt idx="7">
                  <c:v>10.782029950083194</c:v>
                </c:pt>
                <c:pt idx="8">
                  <c:v>10.033277870216306</c:v>
                </c:pt>
                <c:pt idx="9">
                  <c:v>9.4342762063227958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391F-4DAE-B0C1-95F9D0C7B7FD}"/>
            </c:ext>
          </c:extLst>
        </c:ser>
        <c:ser>
          <c:idx val="18"/>
          <c:order val="16"/>
          <c:tx>
            <c:v>Эксперимент_171,1</c:v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0070C0"/>
              </a:solidFill>
              <a:ln>
                <a:noFill/>
              </a:ln>
            </c:spPr>
          </c:marker>
          <c:xVal>
            <c:numRef>
              <c:f>Water_Binary!$AY$37:$AY$46</c:f>
              <c:numCache>
                <c:formatCode>General</c:formatCode>
                <c:ptCount val="10"/>
                <c:pt idx="0">
                  <c:v>2.5299999999999998</c:v>
                </c:pt>
                <c:pt idx="1">
                  <c:v>5.07</c:v>
                </c:pt>
                <c:pt idx="2">
                  <c:v>10.130000000000001</c:v>
                </c:pt>
                <c:pt idx="3">
                  <c:v>15.2</c:v>
                </c:pt>
                <c:pt idx="4">
                  <c:v>20.27</c:v>
                </c:pt>
                <c:pt idx="5">
                  <c:v>30.4</c:v>
                </c:pt>
                <c:pt idx="6">
                  <c:v>40.53</c:v>
                </c:pt>
                <c:pt idx="7">
                  <c:v>50.66</c:v>
                </c:pt>
                <c:pt idx="8">
                  <c:v>60.8</c:v>
                </c:pt>
                <c:pt idx="9">
                  <c:v>70.930000000000007</c:v>
                </c:pt>
              </c:numCache>
            </c:numRef>
          </c:xVal>
          <c:yVal>
            <c:numRef>
              <c:f>Water_Binary!$BD$37:$BD$46</c:f>
              <c:numCache>
                <c:formatCode>0.000</c:formatCode>
                <c:ptCount val="10"/>
                <c:pt idx="0">
                  <c:v>245.21630615640603</c:v>
                </c:pt>
                <c:pt idx="1">
                  <c:v>129.53410981697172</c:v>
                </c:pt>
                <c:pt idx="2">
                  <c:v>68.510815307820309</c:v>
                </c:pt>
                <c:pt idx="3">
                  <c:v>48.668885191347755</c:v>
                </c:pt>
                <c:pt idx="4">
                  <c:v>40.058236272878538</c:v>
                </c:pt>
                <c:pt idx="5">
                  <c:v>31.222961730449253</c:v>
                </c:pt>
                <c:pt idx="6">
                  <c:v>26.955074875207984</c:v>
                </c:pt>
                <c:pt idx="7">
                  <c:v>24.334442595673877</c:v>
                </c:pt>
                <c:pt idx="8">
                  <c:v>22.462562396006657</c:v>
                </c:pt>
                <c:pt idx="9">
                  <c:v>20.590682196339436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391F-4DAE-B0C1-95F9D0C7B7FD}"/>
            </c:ext>
          </c:extLst>
        </c:ser>
        <c:ser>
          <c:idx val="19"/>
          <c:order val="17"/>
          <c:tx>
            <c:v>Эксперимент_200</c:v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0070C0"/>
              </a:solidFill>
              <a:ln>
                <a:noFill/>
              </a:ln>
            </c:spPr>
          </c:marker>
          <c:xVal>
            <c:numRef>
              <c:f>Water_Binary!$AY$49:$AY$50</c:f>
              <c:numCache>
                <c:formatCode>General</c:formatCode>
                <c:ptCount val="2"/>
                <c:pt idx="0">
                  <c:v>19.23</c:v>
                </c:pt>
                <c:pt idx="1">
                  <c:v>48.1</c:v>
                </c:pt>
              </c:numCache>
            </c:numRef>
          </c:xVal>
          <c:yVal>
            <c:numRef>
              <c:f>Water_Binary!$AZ$49:$AZ$50</c:f>
              <c:numCache>
                <c:formatCode>0.000</c:formatCode>
                <c:ptCount val="2"/>
                <c:pt idx="0">
                  <c:v>89.850249584026628</c:v>
                </c:pt>
                <c:pt idx="1">
                  <c:v>52.41264559068221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391F-4DAE-B0C1-95F9D0C7B7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1481712"/>
        <c:axId val="1"/>
      </c:scatterChart>
      <c:valAx>
        <c:axId val="481481712"/>
        <c:scaling>
          <c:orientation val="minMax"/>
          <c:max val="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1200" b="0">
                    <a:latin typeface="Times New Roman" pitchFamily="18" charset="0"/>
                    <a:cs typeface="Times New Roman" pitchFamily="18" charset="0"/>
                  </a:defRPr>
                </a:pPr>
                <a:r>
                  <a:rPr lang="ru-RU" sz="1200" b="0">
                    <a:latin typeface="Times New Roman" pitchFamily="18" charset="0"/>
                    <a:cs typeface="Times New Roman" pitchFamily="18" charset="0"/>
                  </a:rPr>
                  <a:t>Давление, МПа</a:t>
                </a:r>
              </a:p>
            </c:rich>
          </c:tx>
          <c:layout>
            <c:manualLayout>
              <c:xMode val="edge"/>
              <c:yMode val="edge"/>
              <c:x val="0.42092162702460117"/>
              <c:y val="0.93426500339143004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ru-RU"/>
          </a:p>
        </c:txPr>
        <c:crossAx val="1"/>
        <c:crossesAt val="0.1"/>
        <c:crossBetween val="midCat"/>
      </c:valAx>
      <c:valAx>
        <c:axId val="1"/>
        <c:scaling>
          <c:logBase val="10"/>
          <c:orientation val="minMax"/>
          <c:max val="1000"/>
          <c:min val="0.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ru-RU" sz="1200" b="0">
                    <a:latin typeface="Times New Roman" pitchFamily="18" charset="0"/>
                    <a:cs typeface="Times New Roman" pitchFamily="18" charset="0"/>
                  </a:rPr>
                  <a:t>Влагосодержание</a:t>
                </a:r>
                <a:r>
                  <a:rPr lang="ru-RU" sz="1200" b="0" baseline="0">
                    <a:latin typeface="Times New Roman" pitchFamily="18" charset="0"/>
                    <a:cs typeface="Times New Roman" pitchFamily="18" charset="0"/>
                  </a:rPr>
                  <a:t>, г/м3</a:t>
                </a:r>
                <a:endParaRPr lang="ru-RU" sz="1200" b="0">
                  <a:latin typeface="Times New Roman" pitchFamily="18" charset="0"/>
                  <a:cs typeface="Times New Roman" pitchFamily="18" charset="0"/>
                </a:endParaRPr>
              </a:p>
            </c:rich>
          </c:tx>
          <c:layout>
            <c:manualLayout>
              <c:xMode val="edge"/>
              <c:yMode val="edge"/>
              <c:x val="9.0498143690587902E-3"/>
              <c:y val="0.27474145507092512"/>
            </c:manualLayout>
          </c:layout>
          <c:overlay val="0"/>
        </c:title>
        <c:numFmt formatCode="0.0" sourceLinked="0"/>
        <c:majorTickMark val="out"/>
        <c:minorTickMark val="none"/>
        <c:tickLblPos val="nextTo"/>
        <c:crossAx val="4814817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22" l="0.70000000000000018" r="0.70000000000000018" t="0.75000000000000022" header="0.3000000000000001" footer="0.3000000000000001"/>
    <c:pageSetup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>
                <a:latin typeface="Times New Roman" pitchFamily="18" charset="0"/>
                <a:cs typeface="Times New Roman" pitchFamily="18" charset="0"/>
              </a:defRPr>
            </a:pPr>
            <a:r>
              <a:rPr lang="ru-RU" sz="1400">
                <a:latin typeface="Times New Roman" pitchFamily="18" charset="0"/>
                <a:cs typeface="Times New Roman" pitchFamily="18" charset="0"/>
              </a:rPr>
              <a:t>Влагосодержание</a:t>
            </a:r>
            <a:r>
              <a:rPr lang="ru-RU" sz="1400" baseline="0">
                <a:latin typeface="Times New Roman" pitchFamily="18" charset="0"/>
                <a:cs typeface="Times New Roman" pitchFamily="18" charset="0"/>
              </a:rPr>
              <a:t> пропана (С3</a:t>
            </a:r>
            <a:r>
              <a:rPr lang="en-US" sz="1400" baseline="0">
                <a:latin typeface="Times New Roman" pitchFamily="18" charset="0"/>
                <a:cs typeface="Times New Roman" pitchFamily="18" charset="0"/>
              </a:rPr>
              <a:t>H</a:t>
            </a:r>
            <a:r>
              <a:rPr lang="ru-RU" sz="1400" baseline="0">
                <a:latin typeface="Times New Roman" pitchFamily="18" charset="0"/>
                <a:cs typeface="Times New Roman" pitchFamily="18" charset="0"/>
              </a:rPr>
              <a:t>8</a:t>
            </a:r>
            <a:r>
              <a:rPr lang="en-US" sz="1400" baseline="0">
                <a:latin typeface="Times New Roman" pitchFamily="18" charset="0"/>
                <a:cs typeface="Times New Roman" pitchFamily="18" charset="0"/>
              </a:rPr>
              <a:t>)</a:t>
            </a:r>
            <a:endParaRPr lang="ru-RU" sz="1400">
              <a:latin typeface="Times New Roman" pitchFamily="18" charset="0"/>
              <a:cs typeface="Times New Roman" pitchFamily="18" charset="0"/>
            </a:endParaRPr>
          </a:p>
        </c:rich>
      </c:tx>
      <c:layout>
        <c:manualLayout>
          <c:xMode val="edge"/>
          <c:yMode val="edge"/>
          <c:x val="0.30273204176326207"/>
          <c:y val="1.8277811427417728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8.7361064302759819E-2"/>
          <c:y val="8.3710882293559455E-2"/>
          <c:w val="0.86317963172891321"/>
          <c:h val="0.81900262467191598"/>
        </c:manualLayout>
      </c:layout>
      <c:scatterChart>
        <c:scatterStyle val="lineMarker"/>
        <c:varyColors val="0"/>
        <c:ser>
          <c:idx val="0"/>
          <c:order val="0"/>
          <c:tx>
            <c:v>Бюкачик_37.8</c:v>
          </c:tx>
          <c:spPr>
            <a:ln w="25400">
              <a:solidFill>
                <a:srgbClr val="92D050"/>
              </a:solidFill>
              <a:prstDash val="dash"/>
            </a:ln>
          </c:spPr>
          <c:marker>
            <c:symbol val="none"/>
          </c:marker>
          <c:xVal>
            <c:numRef>
              <c:f>Water_Binary!$AZ$61:$AZ$65</c:f>
              <c:numCache>
                <c:formatCode>General</c:formatCode>
                <c:ptCount val="5"/>
                <c:pt idx="0">
                  <c:v>5.07</c:v>
                </c:pt>
                <c:pt idx="1">
                  <c:v>7.6</c:v>
                </c:pt>
                <c:pt idx="2">
                  <c:v>10.130000000000001</c:v>
                </c:pt>
                <c:pt idx="3">
                  <c:v>15.2</c:v>
                </c:pt>
                <c:pt idx="4">
                  <c:v>20.27</c:v>
                </c:pt>
              </c:numCache>
            </c:numRef>
          </c:xVal>
          <c:yVal>
            <c:numRef>
              <c:f>Water_Binary!$BA$61:$BA$65</c:f>
              <c:numCache>
                <c:formatCode>0.000</c:formatCode>
                <c:ptCount val="5"/>
                <c:pt idx="0">
                  <c:v>1.1605208774619262</c:v>
                </c:pt>
                <c:pt idx="1">
                  <c:v>0.85117313215096424</c:v>
                </c:pt>
                <c:pt idx="2">
                  <c:v>0.69634657057874527</c:v>
                </c:pt>
                <c:pt idx="3">
                  <c:v>0.54121402765954585</c:v>
                </c:pt>
                <c:pt idx="4">
                  <c:v>0.46368602273741993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753-43C1-9987-FE57DC268533}"/>
            </c:ext>
          </c:extLst>
        </c:ser>
        <c:ser>
          <c:idx val="2"/>
          <c:order val="2"/>
          <c:tx>
            <c:v>Бюкачик_54.4</c:v>
          </c:tx>
          <c:spPr>
            <a:ln w="25400">
              <a:solidFill>
                <a:srgbClr val="92D050"/>
              </a:solidFill>
              <a:prstDash val="dash"/>
            </a:ln>
          </c:spPr>
          <c:marker>
            <c:symbol val="none"/>
          </c:marker>
          <c:xVal>
            <c:numRef>
              <c:f>Water_Binary!$AZ$61:$AZ$65</c:f>
              <c:numCache>
                <c:formatCode>General</c:formatCode>
                <c:ptCount val="5"/>
                <c:pt idx="0">
                  <c:v>5.07</c:v>
                </c:pt>
                <c:pt idx="1">
                  <c:v>7.6</c:v>
                </c:pt>
                <c:pt idx="2">
                  <c:v>10.130000000000001</c:v>
                </c:pt>
                <c:pt idx="3">
                  <c:v>15.2</c:v>
                </c:pt>
                <c:pt idx="4">
                  <c:v>20.27</c:v>
                </c:pt>
              </c:numCache>
            </c:numRef>
          </c:xVal>
          <c:yVal>
            <c:numRef>
              <c:f>Water_Binary!$BB$61:$BB$65</c:f>
              <c:numCache>
                <c:formatCode>0.000</c:formatCode>
                <c:ptCount val="5"/>
                <c:pt idx="0">
                  <c:v>2.5448461607087287</c:v>
                </c:pt>
                <c:pt idx="1">
                  <c:v>1.8417104937686599</c:v>
                </c:pt>
                <c:pt idx="2">
                  <c:v>1.4897956041945082</c:v>
                </c:pt>
                <c:pt idx="3">
                  <c:v>1.1371852306488663</c:v>
                </c:pt>
                <c:pt idx="4">
                  <c:v>0.96096702226123143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753-43C1-9987-FE57DC268533}"/>
            </c:ext>
          </c:extLst>
        </c:ser>
        <c:ser>
          <c:idx val="4"/>
          <c:order val="4"/>
          <c:tx>
            <c:v>Бюкачик_71.1</c:v>
          </c:tx>
          <c:spPr>
            <a:ln w="25400">
              <a:solidFill>
                <a:srgbClr val="92D050"/>
              </a:solidFill>
              <a:prstDash val="dash"/>
            </a:ln>
          </c:spPr>
          <c:marker>
            <c:symbol val="none"/>
          </c:marker>
          <c:xVal>
            <c:numRef>
              <c:f>Water_Binary!$AZ$61:$AZ$65</c:f>
              <c:numCache>
                <c:formatCode>General</c:formatCode>
                <c:ptCount val="5"/>
                <c:pt idx="0">
                  <c:v>5.07</c:v>
                </c:pt>
                <c:pt idx="1">
                  <c:v>7.6</c:v>
                </c:pt>
                <c:pt idx="2">
                  <c:v>10.130000000000001</c:v>
                </c:pt>
                <c:pt idx="3">
                  <c:v>15.2</c:v>
                </c:pt>
                <c:pt idx="4">
                  <c:v>20.27</c:v>
                </c:pt>
              </c:numCache>
            </c:numRef>
          </c:xVal>
          <c:yVal>
            <c:numRef>
              <c:f>Water_Binary!$BC$61:$BC$65</c:f>
              <c:numCache>
                <c:formatCode>0.000</c:formatCode>
                <c:ptCount val="5"/>
                <c:pt idx="0">
                  <c:v>5.2294092906310397</c:v>
                </c:pt>
                <c:pt idx="1">
                  <c:v>3.7425928887375801</c:v>
                </c:pt>
                <c:pt idx="2">
                  <c:v>2.9984508198728372</c:v>
                </c:pt>
                <c:pt idx="3">
                  <c:v>2.2528381145083616</c:v>
                </c:pt>
                <c:pt idx="4">
                  <c:v>1.8802156820790508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753-43C1-9987-FE57DC268533}"/>
            </c:ext>
          </c:extLst>
        </c:ser>
        <c:ser>
          <c:idx val="6"/>
          <c:order val="6"/>
          <c:tx>
            <c:v>Бюкачек_87.8</c:v>
          </c:tx>
          <c:spPr>
            <a:ln w="25400">
              <a:solidFill>
                <a:srgbClr val="92D050"/>
              </a:solidFill>
              <a:prstDash val="dash"/>
            </a:ln>
          </c:spPr>
          <c:marker>
            <c:symbol val="none"/>
          </c:marker>
          <c:xVal>
            <c:numRef>
              <c:f>Water_Binary!$AZ$61:$AZ$65</c:f>
              <c:numCache>
                <c:formatCode>General</c:formatCode>
                <c:ptCount val="5"/>
                <c:pt idx="0">
                  <c:v>5.07</c:v>
                </c:pt>
                <c:pt idx="1">
                  <c:v>7.6</c:v>
                </c:pt>
                <c:pt idx="2">
                  <c:v>10.130000000000001</c:v>
                </c:pt>
                <c:pt idx="3">
                  <c:v>15.2</c:v>
                </c:pt>
                <c:pt idx="4">
                  <c:v>20.27</c:v>
                </c:pt>
              </c:numCache>
            </c:numRef>
          </c:xVal>
          <c:yVal>
            <c:numRef>
              <c:f>Water_Binary!$BD$61:$BD$65</c:f>
              <c:numCache>
                <c:formatCode>0.000</c:formatCode>
                <c:ptCount val="5"/>
                <c:pt idx="0">
                  <c:v>9.9617516533830148</c:v>
                </c:pt>
                <c:pt idx="1">
                  <c:v>7.0698883286022669</c:v>
                </c:pt>
                <c:pt idx="2">
                  <c:v>5.622529290434608</c:v>
                </c:pt>
                <c:pt idx="3">
                  <c:v>4.1723098589108876</c:v>
                </c:pt>
                <c:pt idx="4">
                  <c:v>3.4475578687118098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753-43C1-9987-FE57DC268533}"/>
            </c:ext>
          </c:extLst>
        </c:ser>
        <c:ser>
          <c:idx val="10"/>
          <c:order val="8"/>
          <c:tx>
            <c:v>Бюкачек_104.4</c:v>
          </c:tx>
          <c:spPr>
            <a:ln w="25400">
              <a:solidFill>
                <a:srgbClr val="92D050"/>
              </a:solidFill>
              <a:prstDash val="dash"/>
            </a:ln>
          </c:spPr>
          <c:marker>
            <c:symbol val="none"/>
          </c:marker>
          <c:xVal>
            <c:numRef>
              <c:f>Water_Binary!$AZ$69:$AZ$73</c:f>
              <c:numCache>
                <c:formatCode>General</c:formatCode>
                <c:ptCount val="5"/>
                <c:pt idx="0">
                  <c:v>5.07</c:v>
                </c:pt>
                <c:pt idx="1">
                  <c:v>7.6</c:v>
                </c:pt>
                <c:pt idx="2">
                  <c:v>10.130000000000001</c:v>
                </c:pt>
                <c:pt idx="3">
                  <c:v>15.2</c:v>
                </c:pt>
                <c:pt idx="4">
                  <c:v>20.27</c:v>
                </c:pt>
              </c:numCache>
            </c:numRef>
          </c:xVal>
          <c:yVal>
            <c:numRef>
              <c:f>Water_Binary!$BA$69:$BA$73</c:f>
              <c:numCache>
                <c:formatCode>0.000</c:formatCode>
                <c:ptCount val="5"/>
                <c:pt idx="0">
                  <c:v>17.712678421160859</c:v>
                </c:pt>
                <c:pt idx="1">
                  <c:v>12.490670490762135</c:v>
                </c:pt>
                <c:pt idx="2">
                  <c:v>9.8770890290522075</c:v>
                </c:pt>
                <c:pt idx="3">
                  <c:v>7.2583423865879189</c:v>
                </c:pt>
                <c:pt idx="4">
                  <c:v>5.9496150314737921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753-43C1-9987-FE57DC268533}"/>
            </c:ext>
          </c:extLst>
        </c:ser>
        <c:ser>
          <c:idx val="12"/>
          <c:order val="10"/>
          <c:tx>
            <c:v>Бюкачек_121.1</c:v>
          </c:tx>
          <c:spPr>
            <a:ln w="25400">
              <a:solidFill>
                <a:srgbClr val="92D050"/>
              </a:solidFill>
              <a:prstDash val="dash"/>
            </a:ln>
          </c:spPr>
          <c:marker>
            <c:symbol val="none"/>
          </c:marker>
          <c:xVal>
            <c:numRef>
              <c:f>Water_Binary!$BG$69:$BG$73</c:f>
              <c:numCache>
                <c:formatCode>General</c:formatCode>
                <c:ptCount val="5"/>
                <c:pt idx="0">
                  <c:v>5.07</c:v>
                </c:pt>
                <c:pt idx="1">
                  <c:v>7.6</c:v>
                </c:pt>
                <c:pt idx="2">
                  <c:v>10.130000000000001</c:v>
                </c:pt>
                <c:pt idx="3">
                  <c:v>15.2</c:v>
                </c:pt>
                <c:pt idx="4">
                  <c:v>20.27</c:v>
                </c:pt>
              </c:numCache>
            </c:numRef>
          </c:xVal>
          <c:yVal>
            <c:numRef>
              <c:f>Water_Binary!$BB$69:$BB$73</c:f>
              <c:numCache>
                <c:formatCode>0.000</c:formatCode>
                <c:ptCount val="5"/>
                <c:pt idx="0">
                  <c:v>29.027226063397155</c:v>
                </c:pt>
                <c:pt idx="1">
                  <c:v>20.395900904138141</c:v>
                </c:pt>
                <c:pt idx="2">
                  <c:v>16.075978045555399</c:v>
                </c:pt>
                <c:pt idx="3">
                  <c:v>11.74751779001893</c:v>
                </c:pt>
                <c:pt idx="4">
                  <c:v>9.5843553633497436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753-43C1-9987-FE57DC268533}"/>
            </c:ext>
          </c:extLst>
        </c:ser>
        <c:ser>
          <c:idx val="14"/>
          <c:order val="12"/>
          <c:tx>
            <c:v>Бюкачек_137.8</c:v>
          </c:tx>
          <c:spPr>
            <a:ln w="25400">
              <a:solidFill>
                <a:srgbClr val="92D050"/>
              </a:solidFill>
              <a:prstDash val="dash"/>
            </a:ln>
          </c:spPr>
          <c:marker>
            <c:symbol val="none"/>
          </c:marker>
          <c:xVal>
            <c:numRef>
              <c:f>Water_Binary!$AZ$69:$AZ$73</c:f>
              <c:numCache>
                <c:formatCode>General</c:formatCode>
                <c:ptCount val="5"/>
                <c:pt idx="0">
                  <c:v>5.07</c:v>
                </c:pt>
                <c:pt idx="1">
                  <c:v>7.6</c:v>
                </c:pt>
                <c:pt idx="2">
                  <c:v>10.130000000000001</c:v>
                </c:pt>
                <c:pt idx="3">
                  <c:v>15.2</c:v>
                </c:pt>
                <c:pt idx="4">
                  <c:v>20.27</c:v>
                </c:pt>
              </c:numCache>
            </c:numRef>
          </c:xVal>
          <c:yVal>
            <c:numRef>
              <c:f>Water_Binary!$BC$69:$BC$73</c:f>
              <c:numCache>
                <c:formatCode>0.000</c:formatCode>
                <c:ptCount val="5"/>
                <c:pt idx="0">
                  <c:v>47.981917589152793</c:v>
                </c:pt>
                <c:pt idx="1">
                  <c:v>33.530989524682539</c:v>
                </c:pt>
                <c:pt idx="2">
                  <c:v>26.298392754014795</c:v>
                </c:pt>
                <c:pt idx="3">
                  <c:v>19.051502313839809</c:v>
                </c:pt>
                <c:pt idx="4">
                  <c:v>15.429844683895427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A753-43C1-9987-FE57DC268533}"/>
            </c:ext>
          </c:extLst>
        </c:ser>
        <c:ser>
          <c:idx val="16"/>
          <c:order val="14"/>
          <c:tx>
            <c:v>Бюкачек_154.4</c:v>
          </c:tx>
          <c:spPr>
            <a:ln w="25400">
              <a:solidFill>
                <a:srgbClr val="92D050"/>
              </a:solidFill>
              <a:prstDash val="dash"/>
            </a:ln>
          </c:spPr>
          <c:marker>
            <c:symbol val="none"/>
          </c:marker>
          <c:xVal>
            <c:numRef>
              <c:f>Water_Binary!$AZ$69:$AZ$73</c:f>
              <c:numCache>
                <c:formatCode>General</c:formatCode>
                <c:ptCount val="5"/>
                <c:pt idx="0">
                  <c:v>5.07</c:v>
                </c:pt>
                <c:pt idx="1">
                  <c:v>7.6</c:v>
                </c:pt>
                <c:pt idx="2">
                  <c:v>10.130000000000001</c:v>
                </c:pt>
                <c:pt idx="3">
                  <c:v>15.2</c:v>
                </c:pt>
                <c:pt idx="4">
                  <c:v>20.27</c:v>
                </c:pt>
              </c:numCache>
            </c:numRef>
          </c:xVal>
          <c:yVal>
            <c:numRef>
              <c:f>Water_Binary!$BD$69:$BD$73</c:f>
              <c:numCache>
                <c:formatCode>0.000</c:formatCode>
                <c:ptCount val="5"/>
                <c:pt idx="0">
                  <c:v>73.332551019658169</c:v>
                </c:pt>
                <c:pt idx="1">
                  <c:v>51.090672822476577</c:v>
                </c:pt>
                <c:pt idx="2">
                  <c:v>39.95875550167591</c:v>
                </c:pt>
                <c:pt idx="3">
                  <c:v>28.804838344272877</c:v>
                </c:pt>
                <c:pt idx="4">
                  <c:v>23.230631101821331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A753-43C1-9987-FE57DC2685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1479416"/>
        <c:axId val="1"/>
      </c:scatterChart>
      <c:scatterChart>
        <c:scatterStyle val="smoothMarker"/>
        <c:varyColors val="0"/>
        <c:ser>
          <c:idx val="1"/>
          <c:order val="1"/>
          <c:tx>
            <c:v>расчет_37.8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Water_Binary!$BG$61:$BG$65</c:f>
              <c:numCache>
                <c:formatCode>General</c:formatCode>
                <c:ptCount val="5"/>
                <c:pt idx="0">
                  <c:v>5.07</c:v>
                </c:pt>
                <c:pt idx="1">
                  <c:v>7.6</c:v>
                </c:pt>
                <c:pt idx="2">
                  <c:v>10.130000000000001</c:v>
                </c:pt>
                <c:pt idx="3">
                  <c:v>15.2</c:v>
                </c:pt>
                <c:pt idx="4">
                  <c:v>20.27</c:v>
                </c:pt>
              </c:numCache>
            </c:numRef>
          </c:xVal>
          <c:yVal>
            <c:numRef>
              <c:f>Water_Binary!$BH$61:$BH$65</c:f>
              <c:numCache>
                <c:formatCode>0.000</c:formatCode>
                <c:ptCount val="5"/>
                <c:pt idx="0">
                  <c:v>0.6056512711183395</c:v>
                </c:pt>
                <c:pt idx="1">
                  <c:v>0.58551348297171235</c:v>
                </c:pt>
                <c:pt idx="2">
                  <c:v>0.56808878111735728</c:v>
                </c:pt>
                <c:pt idx="3">
                  <c:v>0.53880278221988576</c:v>
                </c:pt>
                <c:pt idx="4">
                  <c:v>0.51469715060721943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A753-43C1-9987-FE57DC268533}"/>
            </c:ext>
          </c:extLst>
        </c:ser>
        <c:ser>
          <c:idx val="3"/>
          <c:order val="3"/>
          <c:tx>
            <c:v>расчет_54.4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Water_Binary!$BG$61:$BG$65</c:f>
              <c:numCache>
                <c:formatCode>General</c:formatCode>
                <c:ptCount val="5"/>
                <c:pt idx="0">
                  <c:v>5.07</c:v>
                </c:pt>
                <c:pt idx="1">
                  <c:v>7.6</c:v>
                </c:pt>
                <c:pt idx="2">
                  <c:v>10.130000000000001</c:v>
                </c:pt>
                <c:pt idx="3">
                  <c:v>15.2</c:v>
                </c:pt>
                <c:pt idx="4">
                  <c:v>20.27</c:v>
                </c:pt>
              </c:numCache>
            </c:numRef>
          </c:xVal>
          <c:yVal>
            <c:numRef>
              <c:f>Water_Binary!$BI$61:$BI$65</c:f>
              <c:numCache>
                <c:formatCode>0.000</c:formatCode>
                <c:ptCount val="5"/>
                <c:pt idx="0">
                  <c:v>1.2173407904980844</c:v>
                </c:pt>
                <c:pt idx="1">
                  <c:v>1.1627596286875841</c:v>
                </c:pt>
                <c:pt idx="2">
                  <c:v>1.1182558871751089</c:v>
                </c:pt>
                <c:pt idx="3">
                  <c:v>1.0474247854281435</c:v>
                </c:pt>
                <c:pt idx="4">
                  <c:v>0.99184984873810234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A753-43C1-9987-FE57DC268533}"/>
            </c:ext>
          </c:extLst>
        </c:ser>
        <c:ser>
          <c:idx val="5"/>
          <c:order val="5"/>
          <c:tx>
            <c:v>расчет_71.1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Water_Binary!$AZ$61:$AZ$65</c:f>
              <c:numCache>
                <c:formatCode>General</c:formatCode>
                <c:ptCount val="5"/>
                <c:pt idx="0">
                  <c:v>5.07</c:v>
                </c:pt>
                <c:pt idx="1">
                  <c:v>7.6</c:v>
                </c:pt>
                <c:pt idx="2">
                  <c:v>10.130000000000001</c:v>
                </c:pt>
                <c:pt idx="3">
                  <c:v>15.2</c:v>
                </c:pt>
                <c:pt idx="4">
                  <c:v>20.27</c:v>
                </c:pt>
              </c:numCache>
            </c:numRef>
          </c:xVal>
          <c:yVal>
            <c:numRef>
              <c:f>Water_Binary!$BJ$61:$BJ$65</c:f>
              <c:numCache>
                <c:formatCode>0.000</c:formatCode>
                <c:ptCount val="5"/>
                <c:pt idx="0">
                  <c:v>2.3856363653558659</c:v>
                </c:pt>
                <c:pt idx="1">
                  <c:v>2.2304402164501185</c:v>
                </c:pt>
                <c:pt idx="2">
                  <c:v>2.1164729111013503</c:v>
                </c:pt>
                <c:pt idx="3">
                  <c:v>1.9489631513534116</c:v>
                </c:pt>
                <c:pt idx="4">
                  <c:v>1.825515987044839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A753-43C1-9987-FE57DC268533}"/>
            </c:ext>
          </c:extLst>
        </c:ser>
        <c:ser>
          <c:idx val="7"/>
          <c:order val="7"/>
          <c:tx>
            <c:v>расчет_87.8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Water_Binary!$BG$61:$BG$65</c:f>
              <c:numCache>
                <c:formatCode>General</c:formatCode>
                <c:ptCount val="5"/>
                <c:pt idx="0">
                  <c:v>5.07</c:v>
                </c:pt>
                <c:pt idx="1">
                  <c:v>7.6</c:v>
                </c:pt>
                <c:pt idx="2">
                  <c:v>10.130000000000001</c:v>
                </c:pt>
                <c:pt idx="3">
                  <c:v>15.2</c:v>
                </c:pt>
                <c:pt idx="4">
                  <c:v>20.27</c:v>
                </c:pt>
              </c:numCache>
            </c:numRef>
          </c:xVal>
          <c:yVal>
            <c:numRef>
              <c:f>Water_Binary!$BK$61:$BK$65</c:f>
              <c:numCache>
                <c:formatCode>0.000</c:formatCode>
                <c:ptCount val="5"/>
                <c:pt idx="0">
                  <c:v>4.6874056413398932</c:v>
                </c:pt>
                <c:pt idx="1">
                  <c:v>4.1772794714367087</c:v>
                </c:pt>
                <c:pt idx="2">
                  <c:v>3.8771712175357358</c:v>
                </c:pt>
                <c:pt idx="3">
                  <c:v>3.4864393910304252</c:v>
                </c:pt>
                <c:pt idx="4">
                  <c:v>3.2212597428247949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A753-43C1-9987-FE57DC268533}"/>
            </c:ext>
          </c:extLst>
        </c:ser>
        <c:ser>
          <c:idx val="11"/>
          <c:order val="9"/>
          <c:tx>
            <c:v>расчет_104.4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Water_Binary!$AZ$69:$AZ$73</c:f>
              <c:numCache>
                <c:formatCode>General</c:formatCode>
                <c:ptCount val="5"/>
                <c:pt idx="0">
                  <c:v>5.07</c:v>
                </c:pt>
                <c:pt idx="1">
                  <c:v>7.6</c:v>
                </c:pt>
                <c:pt idx="2">
                  <c:v>10.130000000000001</c:v>
                </c:pt>
                <c:pt idx="3">
                  <c:v>15.2</c:v>
                </c:pt>
                <c:pt idx="4">
                  <c:v>20.27</c:v>
                </c:pt>
              </c:numCache>
            </c:numRef>
          </c:xVal>
          <c:yVal>
            <c:numRef>
              <c:f>Water_Binary!$BH$69:$BH$73</c:f>
              <c:numCache>
                <c:formatCode>0.000</c:formatCode>
                <c:ptCount val="5"/>
                <c:pt idx="0">
                  <c:v>7.7712914985316477</c:v>
                </c:pt>
                <c:pt idx="1">
                  <c:v>6.9291190250019143</c:v>
                </c:pt>
                <c:pt idx="2">
                  <c:v>6.023133188661391</c:v>
                </c:pt>
                <c:pt idx="3">
                  <c:v>5.4707802212611574</c:v>
                </c:pt>
                <c:pt idx="4">
                  <c:v>5.4741874502768582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A753-43C1-9987-FE57DC268533}"/>
            </c:ext>
          </c:extLst>
        </c:ser>
        <c:ser>
          <c:idx val="13"/>
          <c:order val="11"/>
          <c:tx>
            <c:v>расчет_121.1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Water_Binary!$AZ$69:$AZ$73</c:f>
              <c:numCache>
                <c:formatCode>General</c:formatCode>
                <c:ptCount val="5"/>
                <c:pt idx="0">
                  <c:v>5.07</c:v>
                </c:pt>
                <c:pt idx="1">
                  <c:v>7.6</c:v>
                </c:pt>
                <c:pt idx="2">
                  <c:v>10.130000000000001</c:v>
                </c:pt>
                <c:pt idx="3">
                  <c:v>15.2</c:v>
                </c:pt>
                <c:pt idx="4">
                  <c:v>20.27</c:v>
                </c:pt>
              </c:numCache>
            </c:numRef>
          </c:xVal>
          <c:yVal>
            <c:numRef>
              <c:f>Water_Binary!$BI$69:$BI$73</c:f>
              <c:numCache>
                <c:formatCode>0.000</c:formatCode>
                <c:ptCount val="5"/>
                <c:pt idx="0">
                  <c:v>14.934345209772848</c:v>
                </c:pt>
                <c:pt idx="1">
                  <c:v>12.31014927800058</c:v>
                </c:pt>
                <c:pt idx="2">
                  <c:v>10.186220525514383</c:v>
                </c:pt>
                <c:pt idx="3">
                  <c:v>9.0554793509038749</c:v>
                </c:pt>
                <c:pt idx="4">
                  <c:v>9.0611191482906488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A753-43C1-9987-FE57DC268533}"/>
            </c:ext>
          </c:extLst>
        </c:ser>
        <c:ser>
          <c:idx val="15"/>
          <c:order val="13"/>
          <c:tx>
            <c:v>расчет_137.8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Water_Binary!$BG$69:$BG$73</c:f>
              <c:numCache>
                <c:formatCode>General</c:formatCode>
                <c:ptCount val="5"/>
                <c:pt idx="0">
                  <c:v>5.07</c:v>
                </c:pt>
                <c:pt idx="1">
                  <c:v>7.6</c:v>
                </c:pt>
                <c:pt idx="2">
                  <c:v>10.130000000000001</c:v>
                </c:pt>
                <c:pt idx="3">
                  <c:v>15.2</c:v>
                </c:pt>
                <c:pt idx="4">
                  <c:v>20.27</c:v>
                </c:pt>
              </c:numCache>
            </c:numRef>
          </c:xVal>
          <c:yVal>
            <c:numRef>
              <c:f>Water_Binary!$BJ$69:$BJ$73</c:f>
              <c:numCache>
                <c:formatCode>0.000</c:formatCode>
                <c:ptCount val="5"/>
                <c:pt idx="0">
                  <c:v>29.306780827087916</c:v>
                </c:pt>
                <c:pt idx="1">
                  <c:v>21.84840546186981</c:v>
                </c:pt>
                <c:pt idx="2">
                  <c:v>16.910564042408694</c:v>
                </c:pt>
                <c:pt idx="3">
                  <c:v>14.64253594372085</c:v>
                </c:pt>
                <c:pt idx="4">
                  <c:v>14.651655387623382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A753-43C1-9987-FE57DC268533}"/>
            </c:ext>
          </c:extLst>
        </c:ser>
        <c:ser>
          <c:idx val="17"/>
          <c:order val="15"/>
          <c:tx>
            <c:v>расчет_154.4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Water_Binary!$BG$69:$BG$73</c:f>
              <c:numCache>
                <c:formatCode>General</c:formatCode>
                <c:ptCount val="5"/>
                <c:pt idx="0">
                  <c:v>5.07</c:v>
                </c:pt>
                <c:pt idx="1">
                  <c:v>7.6</c:v>
                </c:pt>
                <c:pt idx="2">
                  <c:v>10.130000000000001</c:v>
                </c:pt>
                <c:pt idx="3">
                  <c:v>15.2</c:v>
                </c:pt>
                <c:pt idx="4">
                  <c:v>20.27</c:v>
                </c:pt>
              </c:numCache>
            </c:numRef>
          </c:xVal>
          <c:yVal>
            <c:numRef>
              <c:f>Water_Binary!$BK$69:$BK$73</c:f>
              <c:numCache>
                <c:formatCode>0.000</c:formatCode>
                <c:ptCount val="5"/>
                <c:pt idx="0">
                  <c:v>53.764168655251382</c:v>
                </c:pt>
                <c:pt idx="1">
                  <c:v>38.388055555288467</c:v>
                </c:pt>
                <c:pt idx="2">
                  <c:v>27.613842872554535</c:v>
                </c:pt>
                <c:pt idx="3">
                  <c:v>23.184842098742831</c:v>
                </c:pt>
                <c:pt idx="4">
                  <c:v>23.199281733224268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A753-43C1-9987-FE57DC268533}"/>
            </c:ext>
          </c:extLst>
        </c:ser>
        <c:ser>
          <c:idx val="18"/>
          <c:order val="16"/>
          <c:tx>
            <c:v>Эксперимент_37,8</c:v>
          </c:tx>
          <c:spPr>
            <a:ln>
              <a:noFill/>
            </a:ln>
          </c:spPr>
          <c:marker>
            <c:symbol val="circle"/>
            <c:size val="7"/>
            <c:spPr>
              <a:solidFill>
                <a:srgbClr val="0070C0"/>
              </a:solidFill>
              <a:ln>
                <a:noFill/>
              </a:ln>
            </c:spPr>
          </c:marker>
          <c:xVal>
            <c:numRef>
              <c:f>Water_Binary!$BN$61:$BN$65</c:f>
              <c:numCache>
                <c:formatCode>General</c:formatCode>
                <c:ptCount val="5"/>
                <c:pt idx="0">
                  <c:v>5.07</c:v>
                </c:pt>
                <c:pt idx="1">
                  <c:v>7.6</c:v>
                </c:pt>
                <c:pt idx="2">
                  <c:v>10.130000000000001</c:v>
                </c:pt>
                <c:pt idx="3">
                  <c:v>15.2</c:v>
                </c:pt>
                <c:pt idx="4">
                  <c:v>20.27</c:v>
                </c:pt>
              </c:numCache>
            </c:numRef>
          </c:xVal>
          <c:yVal>
            <c:numRef>
              <c:f>Water_Binary!$BO$61:$BO$65</c:f>
              <c:numCache>
                <c:formatCode>0.000</c:formatCode>
                <c:ptCount val="5"/>
                <c:pt idx="0">
                  <c:v>0.45149750415973383</c:v>
                </c:pt>
                <c:pt idx="1">
                  <c:v>0.44850249584026625</c:v>
                </c:pt>
                <c:pt idx="2">
                  <c:v>0.44700499168053248</c:v>
                </c:pt>
                <c:pt idx="3">
                  <c:v>0.44625623960066557</c:v>
                </c:pt>
                <c:pt idx="4">
                  <c:v>0.44475873544093181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A753-43C1-9987-FE57DC268533}"/>
            </c:ext>
          </c:extLst>
        </c:ser>
        <c:ser>
          <c:idx val="19"/>
          <c:order val="17"/>
          <c:tx>
            <c:v>Эксперимент_54,4</c:v>
          </c:tx>
          <c:spPr>
            <a:ln>
              <a:noFill/>
            </a:ln>
          </c:spPr>
          <c:marker>
            <c:symbol val="circle"/>
            <c:size val="7"/>
            <c:spPr>
              <a:solidFill>
                <a:srgbClr val="0070C0"/>
              </a:solidFill>
              <a:ln>
                <a:noFill/>
              </a:ln>
            </c:spPr>
          </c:marker>
          <c:xVal>
            <c:numRef>
              <c:f>Water_Binary!$BN$61:$BN$65</c:f>
              <c:numCache>
                <c:formatCode>General</c:formatCode>
                <c:ptCount val="5"/>
                <c:pt idx="0">
                  <c:v>5.07</c:v>
                </c:pt>
                <c:pt idx="1">
                  <c:v>7.6</c:v>
                </c:pt>
                <c:pt idx="2">
                  <c:v>10.130000000000001</c:v>
                </c:pt>
                <c:pt idx="3">
                  <c:v>15.2</c:v>
                </c:pt>
                <c:pt idx="4">
                  <c:v>20.27</c:v>
                </c:pt>
              </c:numCache>
            </c:numRef>
          </c:xVal>
          <c:yVal>
            <c:numRef>
              <c:f>Water_Binary!$BP$61:$BP$65</c:f>
              <c:numCache>
                <c:formatCode>0.000</c:formatCode>
                <c:ptCount val="5"/>
                <c:pt idx="0">
                  <c:v>1.0160565723793678</c:v>
                </c:pt>
                <c:pt idx="1">
                  <c:v>1.0070715474209653</c:v>
                </c:pt>
                <c:pt idx="2">
                  <c:v>0.99359400998336111</c:v>
                </c:pt>
                <c:pt idx="3">
                  <c:v>0.98910149750415965</c:v>
                </c:pt>
                <c:pt idx="4">
                  <c:v>0.98460898502495842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A753-43C1-9987-FE57DC268533}"/>
            </c:ext>
          </c:extLst>
        </c:ser>
        <c:ser>
          <c:idx val="20"/>
          <c:order val="18"/>
          <c:tx>
            <c:v>Эксперимент_71.1</c:v>
          </c:tx>
          <c:spPr>
            <a:ln>
              <a:noFill/>
            </a:ln>
          </c:spPr>
          <c:marker>
            <c:symbol val="circle"/>
            <c:size val="7"/>
            <c:spPr>
              <a:solidFill>
                <a:srgbClr val="0070C0"/>
              </a:solidFill>
              <a:ln>
                <a:noFill/>
              </a:ln>
            </c:spPr>
          </c:marker>
          <c:xVal>
            <c:numRef>
              <c:f>Water_Binary!$BN$61:$BN$65</c:f>
              <c:numCache>
                <c:formatCode>General</c:formatCode>
                <c:ptCount val="5"/>
                <c:pt idx="0">
                  <c:v>5.07</c:v>
                </c:pt>
                <c:pt idx="1">
                  <c:v>7.6</c:v>
                </c:pt>
                <c:pt idx="2">
                  <c:v>10.130000000000001</c:v>
                </c:pt>
                <c:pt idx="3">
                  <c:v>15.2</c:v>
                </c:pt>
                <c:pt idx="4">
                  <c:v>20.27</c:v>
                </c:pt>
              </c:numCache>
            </c:numRef>
          </c:xVal>
          <c:yVal>
            <c:numRef>
              <c:f>Water_Binary!$BQ$61:$BQ$65</c:f>
              <c:numCache>
                <c:formatCode>0.000</c:formatCode>
                <c:ptCount val="5"/>
                <c:pt idx="0">
                  <c:v>2.1054908485856902</c:v>
                </c:pt>
                <c:pt idx="1">
                  <c:v>2.0545757071547421</c:v>
                </c:pt>
                <c:pt idx="2">
                  <c:v>2.0276206322795338</c:v>
                </c:pt>
                <c:pt idx="3">
                  <c:v>1.9774542429284527</c:v>
                </c:pt>
                <c:pt idx="4">
                  <c:v>1.9519966722129782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A753-43C1-9987-FE57DC268533}"/>
            </c:ext>
          </c:extLst>
        </c:ser>
        <c:ser>
          <c:idx val="21"/>
          <c:order val="19"/>
          <c:tx>
            <c:v>Эксперимент_87,8</c:v>
          </c:tx>
          <c:spPr>
            <a:ln>
              <a:noFill/>
            </a:ln>
          </c:spPr>
          <c:marker>
            <c:symbol val="circle"/>
            <c:size val="7"/>
            <c:spPr>
              <a:solidFill>
                <a:srgbClr val="0070C0"/>
              </a:solidFill>
              <a:ln>
                <a:noFill/>
              </a:ln>
            </c:spPr>
          </c:marker>
          <c:xVal>
            <c:numRef>
              <c:f>Water_Binary!$BN$61:$BN$65</c:f>
              <c:numCache>
                <c:formatCode>General</c:formatCode>
                <c:ptCount val="5"/>
                <c:pt idx="0">
                  <c:v>5.07</c:v>
                </c:pt>
                <c:pt idx="1">
                  <c:v>7.6</c:v>
                </c:pt>
                <c:pt idx="2">
                  <c:v>10.130000000000001</c:v>
                </c:pt>
                <c:pt idx="3">
                  <c:v>15.2</c:v>
                </c:pt>
                <c:pt idx="4">
                  <c:v>20.27</c:v>
                </c:pt>
              </c:numCache>
            </c:numRef>
          </c:xVal>
          <c:yVal>
            <c:numRef>
              <c:f>Water_Binary!$BR$61:$BR$65</c:f>
              <c:numCache>
                <c:formatCode>0.000</c:formatCode>
                <c:ptCount val="5"/>
                <c:pt idx="0">
                  <c:v>4.0432612312811989</c:v>
                </c:pt>
                <c:pt idx="1">
                  <c:v>3.8560732113144764</c:v>
                </c:pt>
                <c:pt idx="2">
                  <c:v>3.757237936772047</c:v>
                </c:pt>
                <c:pt idx="3">
                  <c:v>3.5655574043261233</c:v>
                </c:pt>
                <c:pt idx="4">
                  <c:v>3.4225457570715476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A753-43C1-9987-FE57DC268533}"/>
            </c:ext>
          </c:extLst>
        </c:ser>
        <c:ser>
          <c:idx val="23"/>
          <c:order val="20"/>
          <c:tx>
            <c:v>Эксперимент_104,4</c:v>
          </c:tx>
          <c:spPr>
            <a:ln>
              <a:noFill/>
            </a:ln>
          </c:spPr>
          <c:marker>
            <c:symbol val="circle"/>
            <c:size val="7"/>
            <c:spPr>
              <a:solidFill>
                <a:srgbClr val="0070C0"/>
              </a:solidFill>
              <a:ln>
                <a:noFill/>
              </a:ln>
            </c:spPr>
          </c:marker>
          <c:xVal>
            <c:numRef>
              <c:f>Water_Binary!$BN$69:$BN$73</c:f>
              <c:numCache>
                <c:formatCode>General</c:formatCode>
                <c:ptCount val="5"/>
                <c:pt idx="0">
                  <c:v>5.07</c:v>
                </c:pt>
                <c:pt idx="1">
                  <c:v>7.6</c:v>
                </c:pt>
                <c:pt idx="2">
                  <c:v>10.130000000000001</c:v>
                </c:pt>
                <c:pt idx="3">
                  <c:v>15.2</c:v>
                </c:pt>
                <c:pt idx="4">
                  <c:v>20.27</c:v>
                </c:pt>
              </c:numCache>
            </c:numRef>
          </c:xVal>
          <c:yVal>
            <c:numRef>
              <c:f>Water_Binary!$BO$69:$BO$73</c:f>
              <c:numCache>
                <c:formatCode>0.000</c:formatCode>
                <c:ptCount val="5"/>
                <c:pt idx="0">
                  <c:v>10.033277870216306</c:v>
                </c:pt>
                <c:pt idx="1">
                  <c:v>7.1056572379367724</c:v>
                </c:pt>
                <c:pt idx="2">
                  <c:v>6.7350249584026622</c:v>
                </c:pt>
                <c:pt idx="3">
                  <c:v>6.2400998336106479</c:v>
                </c:pt>
                <c:pt idx="4">
                  <c:v>5.918885191347754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A753-43C1-9987-FE57DC268533}"/>
            </c:ext>
          </c:extLst>
        </c:ser>
        <c:ser>
          <c:idx val="24"/>
          <c:order val="21"/>
          <c:tx>
            <c:v>Эксперимент_121,1</c:v>
          </c:tx>
          <c:spPr>
            <a:ln>
              <a:noFill/>
            </a:ln>
          </c:spPr>
          <c:marker>
            <c:symbol val="circle"/>
            <c:size val="7"/>
            <c:spPr>
              <a:solidFill>
                <a:srgbClr val="0070C0"/>
              </a:solidFill>
              <a:ln>
                <a:noFill/>
              </a:ln>
            </c:spPr>
          </c:marker>
          <c:xVal>
            <c:numRef>
              <c:f>Water_Binary!$BN$69:$BN$73</c:f>
              <c:numCache>
                <c:formatCode>General</c:formatCode>
                <c:ptCount val="5"/>
                <c:pt idx="0">
                  <c:v>5.07</c:v>
                </c:pt>
                <c:pt idx="1">
                  <c:v>7.6</c:v>
                </c:pt>
                <c:pt idx="2">
                  <c:v>10.130000000000001</c:v>
                </c:pt>
                <c:pt idx="3">
                  <c:v>15.2</c:v>
                </c:pt>
                <c:pt idx="4">
                  <c:v>20.27</c:v>
                </c:pt>
              </c:numCache>
            </c:numRef>
          </c:xVal>
          <c:yVal>
            <c:numRef>
              <c:f>Water_Binary!$BP$69:$BP$73</c:f>
              <c:numCache>
                <c:formatCode>0.000</c:formatCode>
                <c:ptCount val="5"/>
                <c:pt idx="0">
                  <c:v>24.259567387687188</c:v>
                </c:pt>
                <c:pt idx="1">
                  <c:v>13.17803660565724</c:v>
                </c:pt>
                <c:pt idx="2">
                  <c:v>10.482529118136441</c:v>
                </c:pt>
                <c:pt idx="3">
                  <c:v>9.8835274542429286</c:v>
                </c:pt>
                <c:pt idx="4">
                  <c:v>9.2845257903494165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A753-43C1-9987-FE57DC268533}"/>
            </c:ext>
          </c:extLst>
        </c:ser>
        <c:ser>
          <c:idx val="25"/>
          <c:order val="22"/>
          <c:tx>
            <c:v>Эксперимент_137,8</c:v>
          </c:tx>
          <c:spPr>
            <a:ln>
              <a:noFill/>
            </a:ln>
          </c:spPr>
          <c:marker>
            <c:symbol val="circle"/>
            <c:size val="7"/>
            <c:spPr>
              <a:solidFill>
                <a:srgbClr val="0070C0"/>
              </a:solidFill>
              <a:ln>
                <a:noFill/>
              </a:ln>
            </c:spPr>
          </c:marker>
          <c:xVal>
            <c:numRef>
              <c:f>Water_Binary!$BN$69:$BN$73</c:f>
              <c:numCache>
                <c:formatCode>General</c:formatCode>
                <c:ptCount val="5"/>
                <c:pt idx="0">
                  <c:v>5.07</c:v>
                </c:pt>
                <c:pt idx="1">
                  <c:v>7.6</c:v>
                </c:pt>
                <c:pt idx="2">
                  <c:v>10.130000000000001</c:v>
                </c:pt>
                <c:pt idx="3">
                  <c:v>15.2</c:v>
                </c:pt>
                <c:pt idx="4">
                  <c:v>20.27</c:v>
                </c:pt>
              </c:numCache>
            </c:numRef>
          </c:xVal>
          <c:yVal>
            <c:numRef>
              <c:f>Water_Binary!$BQ$69:$BQ$73</c:f>
              <c:numCache>
                <c:formatCode>0.000</c:formatCode>
                <c:ptCount val="5"/>
                <c:pt idx="0">
                  <c:v>44.176372712146417</c:v>
                </c:pt>
                <c:pt idx="1">
                  <c:v>26.206322795341105</c:v>
                </c:pt>
                <c:pt idx="2">
                  <c:v>19.767054908485857</c:v>
                </c:pt>
                <c:pt idx="3">
                  <c:v>16.622296173044926</c:v>
                </c:pt>
                <c:pt idx="4">
                  <c:v>14.975041597337771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A753-43C1-9987-FE57DC268533}"/>
            </c:ext>
          </c:extLst>
        </c:ser>
        <c:ser>
          <c:idx val="26"/>
          <c:order val="23"/>
          <c:tx>
            <c:v>Эксперимент_154,4</c:v>
          </c:tx>
          <c:spPr>
            <a:ln>
              <a:noFill/>
            </a:ln>
          </c:spPr>
          <c:marker>
            <c:symbol val="circle"/>
            <c:size val="7"/>
            <c:spPr>
              <a:solidFill>
                <a:srgbClr val="0070C0"/>
              </a:solidFill>
              <a:ln>
                <a:noFill/>
              </a:ln>
            </c:spPr>
          </c:marker>
          <c:xVal>
            <c:numRef>
              <c:f>Water_Binary!$BN$69:$BN$73</c:f>
              <c:numCache>
                <c:formatCode>General</c:formatCode>
                <c:ptCount val="5"/>
                <c:pt idx="0">
                  <c:v>5.07</c:v>
                </c:pt>
                <c:pt idx="1">
                  <c:v>7.6</c:v>
                </c:pt>
                <c:pt idx="2">
                  <c:v>10.130000000000001</c:v>
                </c:pt>
                <c:pt idx="3">
                  <c:v>15.2</c:v>
                </c:pt>
                <c:pt idx="4">
                  <c:v>20.27</c:v>
                </c:pt>
              </c:numCache>
            </c:numRef>
          </c:xVal>
          <c:yVal>
            <c:numRef>
              <c:f>Water_Binary!$BR$69:$BR$73</c:f>
              <c:numCache>
                <c:formatCode>0.000</c:formatCode>
                <c:ptCount val="5"/>
                <c:pt idx="0">
                  <c:v>73.078202995008326</c:v>
                </c:pt>
                <c:pt idx="1">
                  <c:v>45.673876871880196</c:v>
                </c:pt>
                <c:pt idx="2">
                  <c:v>33.693843594009984</c:v>
                </c:pt>
                <c:pt idx="3">
                  <c:v>25.906821963394346</c:v>
                </c:pt>
                <c:pt idx="4">
                  <c:v>23.211314475873547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A753-43C1-9987-FE57DC2685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1479416"/>
        <c:axId val="1"/>
      </c:scatterChart>
      <c:valAx>
        <c:axId val="481479416"/>
        <c:scaling>
          <c:orientation val="minMax"/>
          <c:max val="24"/>
          <c:min val="4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1200" b="0">
                    <a:latin typeface="Times New Roman" pitchFamily="18" charset="0"/>
                    <a:cs typeface="Times New Roman" pitchFamily="18" charset="0"/>
                  </a:defRPr>
                </a:pPr>
                <a:r>
                  <a:rPr lang="ru-RU" sz="1200" b="0">
                    <a:latin typeface="Times New Roman" pitchFamily="18" charset="0"/>
                    <a:cs typeface="Times New Roman" pitchFamily="18" charset="0"/>
                  </a:rPr>
                  <a:t>Давление, МПа</a:t>
                </a:r>
              </a:p>
            </c:rich>
          </c:tx>
          <c:layout>
            <c:manualLayout>
              <c:xMode val="edge"/>
              <c:yMode val="edge"/>
              <c:x val="0.44687548297707919"/>
              <c:y val="0.9346827680193821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ru-RU"/>
          </a:p>
        </c:txPr>
        <c:crossAx val="1"/>
        <c:crossesAt val="0.1"/>
        <c:crossBetween val="midCat"/>
        <c:majorUnit val="4"/>
      </c:valAx>
      <c:valAx>
        <c:axId val="1"/>
        <c:scaling>
          <c:logBase val="10"/>
          <c:orientation val="minMax"/>
          <c:max val="200"/>
          <c:min val="0.2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ru-RU" sz="1200" b="0">
                    <a:latin typeface="Times New Roman" pitchFamily="18" charset="0"/>
                    <a:cs typeface="Times New Roman" pitchFamily="18" charset="0"/>
                  </a:rPr>
                  <a:t>Влагосодержание</a:t>
                </a:r>
                <a:r>
                  <a:rPr lang="ru-RU" sz="1200" b="0" baseline="0">
                    <a:latin typeface="Times New Roman" pitchFamily="18" charset="0"/>
                    <a:cs typeface="Times New Roman" pitchFamily="18" charset="0"/>
                  </a:rPr>
                  <a:t>, г/м3</a:t>
                </a:r>
                <a:endParaRPr lang="ru-RU" sz="1200" b="0">
                  <a:latin typeface="Times New Roman" pitchFamily="18" charset="0"/>
                  <a:cs typeface="Times New Roman" pitchFamily="18" charset="0"/>
                </a:endParaRPr>
              </a:p>
            </c:rich>
          </c:tx>
          <c:layout>
            <c:manualLayout>
              <c:xMode val="edge"/>
              <c:yMode val="edge"/>
              <c:x val="9.0498415324543578E-3"/>
              <c:y val="0.27474157076519279"/>
            </c:manualLayout>
          </c:layout>
          <c:overlay val="0"/>
        </c:title>
        <c:numFmt formatCode="0.0" sourceLinked="0"/>
        <c:majorTickMark val="out"/>
        <c:minorTickMark val="none"/>
        <c:tickLblPos val="nextTo"/>
        <c:crossAx val="4814794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 sz="1800" b="1" i="0" baseline="0">
                <a:effectLst/>
              </a:rPr>
              <a:t>Влагосодержание диоксида углерода (С</a:t>
            </a:r>
            <a:r>
              <a:rPr lang="en-US" sz="1800" b="1" i="0" baseline="0">
                <a:effectLst/>
              </a:rPr>
              <a:t>O2)</a:t>
            </a:r>
            <a:endParaRPr lang="ru-RU">
              <a:effectLst/>
            </a:endParaRP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9.7313486499119112E-2"/>
          <c:y val="0.11424018925008676"/>
          <c:w val="0.87243993815841525"/>
          <c:h val="0.80870530848448408"/>
        </c:manualLayout>
      </c:layout>
      <c:scatterChart>
        <c:scatterStyle val="smoothMarker"/>
        <c:varyColors val="0"/>
        <c:ser>
          <c:idx val="6"/>
          <c:order val="6"/>
          <c:tx>
            <c:v>Расчет_25</c:v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Water_Binary!$AM$131:$AM$140</c:f>
              <c:numCache>
                <c:formatCode>General</c:formatCode>
                <c:ptCount val="10"/>
                <c:pt idx="0">
                  <c:v>2.5299999999999998</c:v>
                </c:pt>
                <c:pt idx="1">
                  <c:v>5.07</c:v>
                </c:pt>
                <c:pt idx="2">
                  <c:v>10.130000000000001</c:v>
                </c:pt>
                <c:pt idx="3">
                  <c:v>15.2</c:v>
                </c:pt>
                <c:pt idx="4">
                  <c:v>20.27</c:v>
                </c:pt>
                <c:pt idx="5">
                  <c:v>25.33</c:v>
                </c:pt>
                <c:pt idx="6">
                  <c:v>30.4</c:v>
                </c:pt>
                <c:pt idx="7">
                  <c:v>40.53</c:v>
                </c:pt>
                <c:pt idx="8">
                  <c:v>50.66</c:v>
                </c:pt>
                <c:pt idx="9">
                  <c:v>60.8</c:v>
                </c:pt>
              </c:numCache>
            </c:numRef>
          </c:xVal>
          <c:yVal>
            <c:numRef>
              <c:f>Water_Binary!$AN$131:$AN$140</c:f>
              <c:numCache>
                <c:formatCode>0.000</c:formatCode>
                <c:ptCount val="10"/>
                <c:pt idx="0">
                  <c:v>1.0515531125507838</c:v>
                </c:pt>
                <c:pt idx="1">
                  <c:v>0.75619720599215901</c:v>
                </c:pt>
                <c:pt idx="2">
                  <c:v>2.0648000271265752</c:v>
                </c:pt>
                <c:pt idx="3">
                  <c:v>2.3122572097540801</c:v>
                </c:pt>
                <c:pt idx="4">
                  <c:v>2.5827013016981573</c:v>
                </c:pt>
                <c:pt idx="5">
                  <c:v>2.7487284145398809</c:v>
                </c:pt>
                <c:pt idx="6">
                  <c:v>3.0813263231090176</c:v>
                </c:pt>
                <c:pt idx="7">
                  <c:v>3.1649864604918356</c:v>
                </c:pt>
                <c:pt idx="8">
                  <c:v>3.2227932239640289</c:v>
                </c:pt>
                <c:pt idx="9">
                  <c:v>3.2632861004902018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49D-4F00-BC10-0A09240C89F3}"/>
            </c:ext>
          </c:extLst>
        </c:ser>
        <c:ser>
          <c:idx val="7"/>
          <c:order val="7"/>
          <c:tx>
            <c:v>Расчет_50</c:v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Water_Binary!$AM$131:$AM$140</c:f>
              <c:numCache>
                <c:formatCode>General</c:formatCode>
                <c:ptCount val="10"/>
                <c:pt idx="0">
                  <c:v>2.5299999999999998</c:v>
                </c:pt>
                <c:pt idx="1">
                  <c:v>5.07</c:v>
                </c:pt>
                <c:pt idx="2">
                  <c:v>10.130000000000001</c:v>
                </c:pt>
                <c:pt idx="3">
                  <c:v>15.2</c:v>
                </c:pt>
                <c:pt idx="4">
                  <c:v>20.27</c:v>
                </c:pt>
                <c:pt idx="5">
                  <c:v>25.33</c:v>
                </c:pt>
                <c:pt idx="6">
                  <c:v>30.4</c:v>
                </c:pt>
                <c:pt idx="7">
                  <c:v>40.53</c:v>
                </c:pt>
                <c:pt idx="8">
                  <c:v>50.66</c:v>
                </c:pt>
                <c:pt idx="9">
                  <c:v>60.8</c:v>
                </c:pt>
              </c:numCache>
            </c:numRef>
          </c:xVal>
          <c:yVal>
            <c:numRef>
              <c:f>Water_Binary!$AQ$131:$AQ$140</c:f>
              <c:numCache>
                <c:formatCode>0.000</c:formatCode>
                <c:ptCount val="10"/>
                <c:pt idx="0">
                  <c:v>4.077197911658069</c:v>
                </c:pt>
                <c:pt idx="1">
                  <c:v>2.6320448470662283</c:v>
                </c:pt>
                <c:pt idx="2">
                  <c:v>2.43612372449229</c:v>
                </c:pt>
                <c:pt idx="3">
                  <c:v>3.0539357777717338</c:v>
                </c:pt>
                <c:pt idx="4">
                  <c:v>4.4601531612413154</c:v>
                </c:pt>
                <c:pt idx="5">
                  <c:v>5.0119753889137773</c:v>
                </c:pt>
                <c:pt idx="6">
                  <c:v>5.871479791946955</c:v>
                </c:pt>
                <c:pt idx="7">
                  <c:v>6.0547376056311855</c:v>
                </c:pt>
                <c:pt idx="8">
                  <c:v>6.173497394982947</c:v>
                </c:pt>
                <c:pt idx="9">
                  <c:v>6.2516903157902526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49D-4F00-BC10-0A09240C89F3}"/>
            </c:ext>
          </c:extLst>
        </c:ser>
        <c:ser>
          <c:idx val="8"/>
          <c:order val="8"/>
          <c:tx>
            <c:v>Расчет_75</c:v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Water_Binary!$AM$131:$AM$140</c:f>
              <c:numCache>
                <c:formatCode>General</c:formatCode>
                <c:ptCount val="10"/>
                <c:pt idx="0">
                  <c:v>2.5299999999999998</c:v>
                </c:pt>
                <c:pt idx="1">
                  <c:v>5.07</c:v>
                </c:pt>
                <c:pt idx="2">
                  <c:v>10.130000000000001</c:v>
                </c:pt>
                <c:pt idx="3">
                  <c:v>15.2</c:v>
                </c:pt>
                <c:pt idx="4">
                  <c:v>20.27</c:v>
                </c:pt>
                <c:pt idx="5">
                  <c:v>25.33</c:v>
                </c:pt>
                <c:pt idx="6">
                  <c:v>30.4</c:v>
                </c:pt>
                <c:pt idx="7">
                  <c:v>40.53</c:v>
                </c:pt>
                <c:pt idx="8">
                  <c:v>50.66</c:v>
                </c:pt>
                <c:pt idx="9">
                  <c:v>60.8</c:v>
                </c:pt>
              </c:numCache>
            </c:numRef>
          </c:xVal>
          <c:yVal>
            <c:numRef>
              <c:f>Water_Binary!$AR$131:$AR$140</c:f>
              <c:numCache>
                <c:formatCode>0.000</c:formatCode>
                <c:ptCount val="10"/>
                <c:pt idx="0">
                  <c:v>12.826225066446494</c:v>
                </c:pt>
                <c:pt idx="1">
                  <c:v>7.76296282087538</c:v>
                </c:pt>
                <c:pt idx="2">
                  <c:v>6.4623436281502764</c:v>
                </c:pt>
                <c:pt idx="3">
                  <c:v>6.2629778760113721</c:v>
                </c:pt>
                <c:pt idx="4">
                  <c:v>7.4112210951267112</c:v>
                </c:pt>
                <c:pt idx="5">
                  <c:v>8.6024584108964994</c:v>
                </c:pt>
                <c:pt idx="6">
                  <c:v>10.434028278645139</c:v>
                </c:pt>
                <c:pt idx="7">
                  <c:v>10.780326866438193</c:v>
                </c:pt>
                <c:pt idx="8">
                  <c:v>10.991019108986789</c:v>
                </c:pt>
                <c:pt idx="9">
                  <c:v>11.120198521327818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49D-4F00-BC10-0A09240C89F3}"/>
            </c:ext>
          </c:extLst>
        </c:ser>
        <c:ser>
          <c:idx val="9"/>
          <c:order val="9"/>
          <c:tx>
            <c:v>Расчет_100</c:v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Water_Binary!$AM$145:$AM$148</c:f>
              <c:numCache>
                <c:formatCode>General</c:formatCode>
                <c:ptCount val="4"/>
                <c:pt idx="0">
                  <c:v>19.23</c:v>
                </c:pt>
                <c:pt idx="1">
                  <c:v>28.85</c:v>
                </c:pt>
                <c:pt idx="2">
                  <c:v>38.47</c:v>
                </c:pt>
                <c:pt idx="3">
                  <c:v>48.08</c:v>
                </c:pt>
              </c:numCache>
            </c:numRef>
          </c:xVal>
          <c:yVal>
            <c:numRef>
              <c:f>Water_Binary!$AN$145:$AN$148</c:f>
              <c:numCache>
                <c:formatCode>0.000</c:formatCode>
                <c:ptCount val="4"/>
                <c:pt idx="0">
                  <c:v>14.636207256682434</c:v>
                </c:pt>
                <c:pt idx="1">
                  <c:v>16.475128295037589</c:v>
                </c:pt>
                <c:pt idx="2">
                  <c:v>17.513457597578984</c:v>
                </c:pt>
                <c:pt idx="3">
                  <c:v>18.104688430899291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49D-4F00-BC10-0A09240C89F3}"/>
            </c:ext>
          </c:extLst>
        </c:ser>
        <c:ser>
          <c:idx val="10"/>
          <c:order val="10"/>
          <c:tx>
            <c:v>Расчет_150</c:v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Water_Binary!$AM$145:$AM$148</c:f>
              <c:numCache>
                <c:formatCode>General</c:formatCode>
                <c:ptCount val="4"/>
                <c:pt idx="0">
                  <c:v>19.23</c:v>
                </c:pt>
                <c:pt idx="1">
                  <c:v>28.85</c:v>
                </c:pt>
                <c:pt idx="2">
                  <c:v>38.47</c:v>
                </c:pt>
                <c:pt idx="3">
                  <c:v>48.08</c:v>
                </c:pt>
              </c:numCache>
            </c:numRef>
          </c:xVal>
          <c:yVal>
            <c:numRef>
              <c:f>Water_Binary!$AO$145:$AO$148</c:f>
              <c:numCache>
                <c:formatCode>0.000</c:formatCode>
                <c:ptCount val="4"/>
                <c:pt idx="0">
                  <c:v>46.119315871501897</c:v>
                </c:pt>
                <c:pt idx="1">
                  <c:v>45.404134745795787</c:v>
                </c:pt>
                <c:pt idx="2">
                  <c:v>46.166774532355426</c:v>
                </c:pt>
                <c:pt idx="3">
                  <c:v>46.772833256128123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49D-4F00-BC10-0A09240C89F3}"/>
            </c:ext>
          </c:extLst>
        </c:ser>
        <c:ser>
          <c:idx val="11"/>
          <c:order val="11"/>
          <c:tx>
            <c:v>Расчет_200</c:v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Water_Binary!$AM$145:$AM$148</c:f>
              <c:numCache>
                <c:formatCode>General</c:formatCode>
                <c:ptCount val="4"/>
                <c:pt idx="0">
                  <c:v>19.23</c:v>
                </c:pt>
                <c:pt idx="1">
                  <c:v>28.85</c:v>
                </c:pt>
                <c:pt idx="2">
                  <c:v>38.47</c:v>
                </c:pt>
                <c:pt idx="3">
                  <c:v>48.08</c:v>
                </c:pt>
              </c:numCache>
            </c:numRef>
          </c:xVal>
          <c:yVal>
            <c:numRef>
              <c:f>Water_Binary!$AP$145:$AP$148</c:f>
              <c:numCache>
                <c:formatCode>0.000</c:formatCode>
                <c:ptCount val="4"/>
                <c:pt idx="0">
                  <c:v>133.90786362471118</c:v>
                </c:pt>
                <c:pt idx="1">
                  <c:v>118.23660997719966</c:v>
                </c:pt>
                <c:pt idx="2">
                  <c:v>113.52721629476278</c:v>
                </c:pt>
                <c:pt idx="3">
                  <c:v>111.55625952654538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649D-4F00-BC10-0A09240C89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1487616"/>
        <c:axId val="1"/>
      </c:scatterChart>
      <c:scatterChart>
        <c:scatterStyle val="lineMarker"/>
        <c:varyColors val="0"/>
        <c:ser>
          <c:idx val="0"/>
          <c:order val="0"/>
          <c:tx>
            <c:v>Эксперимент_25</c:v>
          </c:tx>
          <c:spPr>
            <a:ln w="28575">
              <a:noFill/>
            </a:ln>
          </c:spPr>
          <c:marker>
            <c:symbol val="circle"/>
            <c:size val="6"/>
            <c:spPr>
              <a:solidFill>
                <a:srgbClr val="0070C0"/>
              </a:solidFill>
              <a:ln w="9525">
                <a:noFill/>
              </a:ln>
            </c:spPr>
          </c:marker>
          <c:xVal>
            <c:numRef>
              <c:f>Water_Binary!$AY$131:$AY$138</c:f>
              <c:numCache>
                <c:formatCode>General</c:formatCode>
                <c:ptCount val="8"/>
                <c:pt idx="0">
                  <c:v>2.5299999999999998</c:v>
                </c:pt>
                <c:pt idx="1">
                  <c:v>5.07</c:v>
                </c:pt>
                <c:pt idx="2">
                  <c:v>10.130000000000001</c:v>
                </c:pt>
                <c:pt idx="3">
                  <c:v>15.2</c:v>
                </c:pt>
                <c:pt idx="4">
                  <c:v>20.27</c:v>
                </c:pt>
                <c:pt idx="5">
                  <c:v>25.33</c:v>
                </c:pt>
                <c:pt idx="6">
                  <c:v>30.4</c:v>
                </c:pt>
                <c:pt idx="7">
                  <c:v>40.53</c:v>
                </c:pt>
              </c:numCache>
            </c:numRef>
          </c:xVal>
          <c:yVal>
            <c:numRef>
              <c:f>Water_Binary!$AZ$131:$AZ$138</c:f>
              <c:numCache>
                <c:formatCode>0.000</c:formatCode>
                <c:ptCount val="8"/>
                <c:pt idx="0">
                  <c:v>1.2279534109816972</c:v>
                </c:pt>
                <c:pt idx="1">
                  <c:v>0.96589018302828611</c:v>
                </c:pt>
                <c:pt idx="2">
                  <c:v>1.7221297836938436</c:v>
                </c:pt>
                <c:pt idx="3">
                  <c:v>2.4858569051580699</c:v>
                </c:pt>
                <c:pt idx="4">
                  <c:v>2.6880199667221296</c:v>
                </c:pt>
                <c:pt idx="5">
                  <c:v>2.8227953410981699</c:v>
                </c:pt>
                <c:pt idx="6">
                  <c:v>2.9575707154742101</c:v>
                </c:pt>
                <c:pt idx="7">
                  <c:v>2.9725457570715474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49D-4F00-BC10-0A09240C89F3}"/>
            </c:ext>
          </c:extLst>
        </c:ser>
        <c:ser>
          <c:idx val="1"/>
          <c:order val="1"/>
          <c:tx>
            <c:v>Эксперимент_50</c:v>
          </c:tx>
          <c:spPr>
            <a:ln w="28575">
              <a:noFill/>
            </a:ln>
          </c:spPr>
          <c:marker>
            <c:symbol val="circle"/>
            <c:size val="6"/>
            <c:spPr>
              <a:solidFill>
                <a:srgbClr val="0070C0"/>
              </a:solidFill>
              <a:ln w="9525">
                <a:noFill/>
              </a:ln>
            </c:spPr>
          </c:marker>
          <c:xVal>
            <c:numRef>
              <c:f>Water_Binary!$AY$131:$AY$140</c:f>
              <c:numCache>
                <c:formatCode>General</c:formatCode>
                <c:ptCount val="10"/>
                <c:pt idx="0">
                  <c:v>2.5299999999999998</c:v>
                </c:pt>
                <c:pt idx="1">
                  <c:v>5.07</c:v>
                </c:pt>
                <c:pt idx="2">
                  <c:v>10.130000000000001</c:v>
                </c:pt>
                <c:pt idx="3">
                  <c:v>15.2</c:v>
                </c:pt>
                <c:pt idx="4">
                  <c:v>20.27</c:v>
                </c:pt>
                <c:pt idx="5">
                  <c:v>25.33</c:v>
                </c:pt>
                <c:pt idx="6">
                  <c:v>30.4</c:v>
                </c:pt>
                <c:pt idx="7">
                  <c:v>40.53</c:v>
                </c:pt>
                <c:pt idx="8">
                  <c:v>50.66</c:v>
                </c:pt>
                <c:pt idx="9">
                  <c:v>60.8</c:v>
                </c:pt>
              </c:numCache>
            </c:numRef>
          </c:xVal>
          <c:yVal>
            <c:numRef>
              <c:f>Water_Binary!$BC$131:$BC$140</c:f>
              <c:numCache>
                <c:formatCode>0.000</c:formatCode>
                <c:ptCount val="10"/>
                <c:pt idx="0">
                  <c:v>4.6347753743760407</c:v>
                </c:pt>
                <c:pt idx="1">
                  <c:v>2.8677204658901831</c:v>
                </c:pt>
                <c:pt idx="2">
                  <c:v>2.6131447587354413</c:v>
                </c:pt>
                <c:pt idx="3">
                  <c:v>3.3618968386023296</c:v>
                </c:pt>
                <c:pt idx="4">
                  <c:v>4.559900166389351</c:v>
                </c:pt>
                <c:pt idx="5">
                  <c:v>5.0615640599001672</c:v>
                </c:pt>
                <c:pt idx="6">
                  <c:v>5.6755407653910153</c:v>
                </c:pt>
                <c:pt idx="8">
                  <c:v>5.9301164725457571</c:v>
                </c:pt>
                <c:pt idx="9">
                  <c:v>5.9975041597337775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49D-4F00-BC10-0A09240C89F3}"/>
            </c:ext>
          </c:extLst>
        </c:ser>
        <c:ser>
          <c:idx val="2"/>
          <c:order val="2"/>
          <c:tx>
            <c:v>Эксперимент_75</c:v>
          </c:tx>
          <c:spPr>
            <a:ln w="28575">
              <a:noFill/>
            </a:ln>
          </c:spPr>
          <c:marker>
            <c:symbol val="circle"/>
            <c:size val="6"/>
            <c:spPr>
              <a:solidFill>
                <a:srgbClr val="0070C0"/>
              </a:solidFill>
              <a:ln w="9525">
                <a:noFill/>
              </a:ln>
            </c:spPr>
          </c:marker>
          <c:xVal>
            <c:numRef>
              <c:f>Water_Binary!$AY$131:$AY$140</c:f>
              <c:numCache>
                <c:formatCode>General</c:formatCode>
                <c:ptCount val="10"/>
                <c:pt idx="0">
                  <c:v>2.5299999999999998</c:v>
                </c:pt>
                <c:pt idx="1">
                  <c:v>5.07</c:v>
                </c:pt>
                <c:pt idx="2">
                  <c:v>10.130000000000001</c:v>
                </c:pt>
                <c:pt idx="3">
                  <c:v>15.2</c:v>
                </c:pt>
                <c:pt idx="4">
                  <c:v>20.27</c:v>
                </c:pt>
                <c:pt idx="5">
                  <c:v>25.33</c:v>
                </c:pt>
                <c:pt idx="6">
                  <c:v>30.4</c:v>
                </c:pt>
                <c:pt idx="7">
                  <c:v>40.53</c:v>
                </c:pt>
                <c:pt idx="8">
                  <c:v>50.66</c:v>
                </c:pt>
                <c:pt idx="9">
                  <c:v>60.8</c:v>
                </c:pt>
              </c:numCache>
            </c:numRef>
          </c:xVal>
          <c:yVal>
            <c:numRef>
              <c:f>Water_Binary!$BD$131:$BD$140</c:f>
              <c:numCache>
                <c:formatCode>0.000</c:formatCode>
                <c:ptCount val="10"/>
                <c:pt idx="0">
                  <c:v>7.9367720465890184</c:v>
                </c:pt>
                <c:pt idx="1">
                  <c:v>7.375207986688852</c:v>
                </c:pt>
                <c:pt idx="2">
                  <c:v>6.7836938435940102</c:v>
                </c:pt>
                <c:pt idx="3">
                  <c:v>6.1996672212978368</c:v>
                </c:pt>
                <c:pt idx="4">
                  <c:v>7.1505823627287857</c:v>
                </c:pt>
                <c:pt idx="5">
                  <c:v>8.4608985024958407</c:v>
                </c:pt>
                <c:pt idx="6">
                  <c:v>9.8835274542429286</c:v>
                </c:pt>
                <c:pt idx="8">
                  <c:v>11.156405990016639</c:v>
                </c:pt>
                <c:pt idx="9">
                  <c:v>11.605657237936773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649D-4F00-BC10-0A09240C89F3}"/>
            </c:ext>
          </c:extLst>
        </c:ser>
        <c:ser>
          <c:idx val="3"/>
          <c:order val="3"/>
          <c:tx>
            <c:v>Эксперимент_100</c:v>
          </c:tx>
          <c:spPr>
            <a:ln w="28575">
              <a:noFill/>
            </a:ln>
          </c:spPr>
          <c:marker>
            <c:symbol val="circle"/>
            <c:size val="6"/>
            <c:spPr>
              <a:solidFill>
                <a:srgbClr val="0070C0"/>
              </a:solidFill>
              <a:ln w="9525">
                <a:noFill/>
              </a:ln>
            </c:spPr>
          </c:marker>
          <c:xVal>
            <c:numRef>
              <c:f>Water_Binary!$AY$145:$AY$148</c:f>
              <c:numCache>
                <c:formatCode>General</c:formatCode>
                <c:ptCount val="4"/>
                <c:pt idx="0">
                  <c:v>19.23</c:v>
                </c:pt>
                <c:pt idx="1">
                  <c:v>28.85</c:v>
                </c:pt>
                <c:pt idx="2">
                  <c:v>38.47</c:v>
                </c:pt>
                <c:pt idx="3">
                  <c:v>48.08</c:v>
                </c:pt>
              </c:numCache>
            </c:numRef>
          </c:xVal>
          <c:yVal>
            <c:numRef>
              <c:f>Water_Binary!$AZ$145:$AZ$148</c:f>
              <c:numCache>
                <c:formatCode>0.000</c:formatCode>
                <c:ptCount val="4"/>
                <c:pt idx="0">
                  <c:v>21.713810316139767</c:v>
                </c:pt>
                <c:pt idx="3">
                  <c:v>22.462562396006657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649D-4F00-BC10-0A09240C89F3}"/>
            </c:ext>
          </c:extLst>
        </c:ser>
        <c:ser>
          <c:idx val="4"/>
          <c:order val="4"/>
          <c:tx>
            <c:v>Эксперимент_150</c:v>
          </c:tx>
          <c:spPr>
            <a:ln w="28575">
              <a:noFill/>
            </a:ln>
          </c:spPr>
          <c:marker>
            <c:symbol val="circle"/>
            <c:size val="6"/>
            <c:spPr>
              <a:solidFill>
                <a:srgbClr val="0070C0"/>
              </a:solidFill>
              <a:ln w="9525">
                <a:noFill/>
              </a:ln>
            </c:spPr>
          </c:marker>
          <c:xVal>
            <c:numRef>
              <c:f>Water_Binary!$AY$145:$AY$148</c:f>
              <c:numCache>
                <c:formatCode>General</c:formatCode>
                <c:ptCount val="4"/>
                <c:pt idx="0">
                  <c:v>19.23</c:v>
                </c:pt>
                <c:pt idx="1">
                  <c:v>28.85</c:v>
                </c:pt>
                <c:pt idx="2">
                  <c:v>38.47</c:v>
                </c:pt>
                <c:pt idx="3">
                  <c:v>48.08</c:v>
                </c:pt>
              </c:numCache>
            </c:numRef>
          </c:xVal>
          <c:yVal>
            <c:numRef>
              <c:f>Water_Binary!$BA$145:$BA$148</c:f>
              <c:numCache>
                <c:formatCode>0.000</c:formatCode>
                <c:ptCount val="4"/>
                <c:pt idx="0">
                  <c:v>44.925124792013314</c:v>
                </c:pt>
                <c:pt idx="3">
                  <c:v>47.171381031613976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649D-4F00-BC10-0A09240C89F3}"/>
            </c:ext>
          </c:extLst>
        </c:ser>
        <c:ser>
          <c:idx val="5"/>
          <c:order val="5"/>
          <c:tx>
            <c:v>Эксперимент_200</c:v>
          </c:tx>
          <c:spPr>
            <a:ln w="28575">
              <a:solidFill>
                <a:srgbClr val="0070C0"/>
              </a:solidFill>
            </a:ln>
          </c:spPr>
          <c:marker>
            <c:symbol val="circle"/>
            <c:size val="6"/>
            <c:spPr>
              <a:solidFill>
                <a:srgbClr val="0070C0"/>
              </a:solidFill>
              <a:ln w="9525">
                <a:solidFill>
                  <a:srgbClr val="0070C0"/>
                </a:solidFill>
              </a:ln>
              <a:effectLst/>
            </c:spPr>
          </c:marker>
          <c:xVal>
            <c:numRef>
              <c:f>Water_Binary!$AY$145:$AY$148</c:f>
              <c:numCache>
                <c:formatCode>General</c:formatCode>
                <c:ptCount val="4"/>
                <c:pt idx="0">
                  <c:v>19.23</c:v>
                </c:pt>
                <c:pt idx="1">
                  <c:v>28.85</c:v>
                </c:pt>
                <c:pt idx="2">
                  <c:v>38.47</c:v>
                </c:pt>
                <c:pt idx="3">
                  <c:v>48.08</c:v>
                </c:pt>
              </c:numCache>
            </c:numRef>
          </c:xVal>
          <c:yVal>
            <c:numRef>
              <c:f>Water_Binary!$BB$145:$BB$148</c:f>
              <c:numCache>
                <c:formatCode>0.000</c:formatCode>
                <c:ptCount val="4"/>
                <c:pt idx="0">
                  <c:v>116.05657237936772</c:v>
                </c:pt>
                <c:pt idx="3">
                  <c:v>104.82529118136442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649D-4F00-BC10-0A09240C89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1487616"/>
        <c:axId val="1"/>
      </c:scatterChart>
      <c:valAx>
        <c:axId val="481487616"/>
        <c:scaling>
          <c:orientation val="minMax"/>
          <c:max val="80"/>
        </c:scaling>
        <c:delete val="0"/>
        <c:axPos val="b"/>
        <c:majorGridlines>
          <c:spPr>
            <a:ln w="9525" cap="flat" cmpd="sng" algn="ctr">
              <a:solidFill>
                <a:sysClr val="windowText" lastClr="000000"/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200" b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Давление, МПа</a:t>
                </a:r>
              </a:p>
            </c:rich>
          </c:tx>
          <c:layout>
            <c:manualLayout>
              <c:xMode val="edge"/>
              <c:yMode val="edge"/>
              <c:x val="0.43567501853432977"/>
              <c:y val="0.9507500109972286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ru-RU"/>
          </a:p>
        </c:txPr>
        <c:crossAx val="1"/>
        <c:crossesAt val="1"/>
        <c:crossBetween val="midCat"/>
      </c:valAx>
      <c:valAx>
        <c:axId val="1"/>
        <c:scaling>
          <c:logBase val="10"/>
          <c:orientation val="minMax"/>
          <c:max val="500"/>
          <c:min val="0.5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ru-RU" sz="1200" b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Влагосодержание, г/м</a:t>
                </a:r>
                <a:r>
                  <a:rPr lang="ru-RU" sz="1200" b="0" baseline="3000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3</a:t>
                </a:r>
              </a:p>
            </c:rich>
          </c:tx>
          <c:layout>
            <c:manualLayout>
              <c:xMode val="edge"/>
              <c:yMode val="edge"/>
              <c:x val="1.6438386968697188E-2"/>
              <c:y val="0.34994648015366797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81487616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1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>
                <a:latin typeface="Times New Roman" pitchFamily="18" charset="0"/>
                <a:cs typeface="Times New Roman" pitchFamily="18" charset="0"/>
              </a:defRPr>
            </a:pPr>
            <a:r>
              <a:rPr lang="ru-RU" sz="1400">
                <a:latin typeface="Times New Roman" pitchFamily="18" charset="0"/>
                <a:cs typeface="Times New Roman" pitchFamily="18" charset="0"/>
              </a:rPr>
              <a:t>Влагосодержание</a:t>
            </a:r>
            <a:r>
              <a:rPr lang="ru-RU" sz="1400" baseline="0">
                <a:latin typeface="Times New Roman" pitchFamily="18" charset="0"/>
                <a:cs typeface="Times New Roman" pitchFamily="18" charset="0"/>
              </a:rPr>
              <a:t> бутана (</a:t>
            </a:r>
            <a:r>
              <a:rPr lang="en-US" sz="1400" baseline="0">
                <a:latin typeface="Times New Roman" pitchFamily="18" charset="0"/>
                <a:cs typeface="Times New Roman" pitchFamily="18" charset="0"/>
              </a:rPr>
              <a:t>n-</a:t>
            </a:r>
            <a:r>
              <a:rPr lang="ru-RU" sz="1400" baseline="0">
                <a:latin typeface="Times New Roman" pitchFamily="18" charset="0"/>
                <a:cs typeface="Times New Roman" pitchFamily="18" charset="0"/>
              </a:rPr>
              <a:t>С4</a:t>
            </a:r>
            <a:r>
              <a:rPr lang="en-US" sz="1400" baseline="0">
                <a:latin typeface="Times New Roman" pitchFamily="18" charset="0"/>
                <a:cs typeface="Times New Roman" pitchFamily="18" charset="0"/>
              </a:rPr>
              <a:t>H</a:t>
            </a:r>
            <a:r>
              <a:rPr lang="ru-RU" sz="1400" baseline="0">
                <a:latin typeface="Times New Roman" pitchFamily="18" charset="0"/>
                <a:cs typeface="Times New Roman" pitchFamily="18" charset="0"/>
              </a:rPr>
              <a:t>10</a:t>
            </a:r>
            <a:r>
              <a:rPr lang="en-US" sz="1400" baseline="0">
                <a:latin typeface="Times New Roman" pitchFamily="18" charset="0"/>
                <a:cs typeface="Times New Roman" pitchFamily="18" charset="0"/>
              </a:rPr>
              <a:t>)</a:t>
            </a:r>
            <a:endParaRPr lang="ru-RU" sz="1400">
              <a:latin typeface="Times New Roman" pitchFamily="18" charset="0"/>
              <a:cs typeface="Times New Roman" pitchFamily="18" charset="0"/>
            </a:endParaRPr>
          </a:p>
        </c:rich>
      </c:tx>
      <c:layout>
        <c:manualLayout>
          <c:xMode val="edge"/>
          <c:yMode val="edge"/>
          <c:x val="0.30273204176326207"/>
          <c:y val="1.8277738010021475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9.4278487562595534E-2"/>
          <c:y val="8.3710882293559455E-2"/>
          <c:w val="0.85626220846907752"/>
          <c:h val="0.8061821118514032"/>
        </c:manualLayout>
      </c:layout>
      <c:scatterChart>
        <c:scatterStyle val="lineMarker"/>
        <c:varyColors val="0"/>
        <c:ser>
          <c:idx val="0"/>
          <c:order val="0"/>
          <c:tx>
            <c:v>Бюкачек_37,8</c:v>
          </c:tx>
          <c:spPr>
            <a:ln w="25400">
              <a:solidFill>
                <a:srgbClr val="92D050"/>
              </a:solidFill>
              <a:prstDash val="dash"/>
            </a:ln>
          </c:spPr>
          <c:marker>
            <c:symbol val="none"/>
          </c:marker>
          <c:xVal>
            <c:numRef>
              <c:f>Water_Binary!$AF$78:$AF$86</c:f>
              <c:numCache>
                <c:formatCode>General</c:formatCode>
                <c:ptCount val="9"/>
                <c:pt idx="0">
                  <c:v>1.01</c:v>
                </c:pt>
                <c:pt idx="1">
                  <c:v>2.0299999999999998</c:v>
                </c:pt>
                <c:pt idx="2">
                  <c:v>5.07</c:v>
                </c:pt>
                <c:pt idx="3">
                  <c:v>10.130000000000001</c:v>
                </c:pt>
                <c:pt idx="4">
                  <c:v>20.27</c:v>
                </c:pt>
                <c:pt idx="5">
                  <c:v>30.4</c:v>
                </c:pt>
                <c:pt idx="6">
                  <c:v>40.53</c:v>
                </c:pt>
                <c:pt idx="7">
                  <c:v>50.66</c:v>
                </c:pt>
                <c:pt idx="8">
                  <c:v>60.8</c:v>
                </c:pt>
              </c:numCache>
            </c:numRef>
          </c:xVal>
          <c:yVal>
            <c:numRef>
              <c:f>Water_Binary!$AG$78:$AG$86</c:f>
              <c:numCache>
                <c:formatCode>0.000</c:formatCode>
                <c:ptCount val="9"/>
                <c:pt idx="0">
                  <c:v>4.4841568125698297</c:v>
                </c:pt>
                <c:pt idx="1">
                  <c:v>2.3374567458540074</c:v>
                </c:pt>
                <c:pt idx="2">
                  <c:v>1.0629028755588728</c:v>
                </c:pt>
                <c:pt idx="3">
                  <c:v>0.63777290579418322</c:v>
                </c:pt>
                <c:pt idx="4">
                  <c:v>0.42468275797152111</c:v>
                </c:pt>
                <c:pt idx="5">
                  <c:v>0.35374610016079444</c:v>
                </c:pt>
                <c:pt idx="6">
                  <c:v>0.3182690201256741</c:v>
                </c:pt>
                <c:pt idx="7">
                  <c:v>0.29697997091391615</c:v>
                </c:pt>
                <c:pt idx="8">
                  <c:v>0.28277442919221457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307-4577-9293-886C84E71651}"/>
            </c:ext>
          </c:extLst>
        </c:ser>
        <c:ser>
          <c:idx val="1"/>
          <c:order val="1"/>
          <c:tx>
            <c:v>Бюкачек_71,1</c:v>
          </c:tx>
          <c:spPr>
            <a:ln w="25400">
              <a:solidFill>
                <a:srgbClr val="92D050"/>
              </a:solidFill>
              <a:prstDash val="dash"/>
            </a:ln>
          </c:spPr>
          <c:marker>
            <c:symbol val="none"/>
          </c:marker>
          <c:xVal>
            <c:numRef>
              <c:f>Water_Binary!$AF$78:$AF$86</c:f>
              <c:numCache>
                <c:formatCode>General</c:formatCode>
                <c:ptCount val="9"/>
                <c:pt idx="0">
                  <c:v>1.01</c:v>
                </c:pt>
                <c:pt idx="1">
                  <c:v>2.0299999999999998</c:v>
                </c:pt>
                <c:pt idx="2">
                  <c:v>5.07</c:v>
                </c:pt>
                <c:pt idx="3">
                  <c:v>10.130000000000001</c:v>
                </c:pt>
                <c:pt idx="4">
                  <c:v>20.27</c:v>
                </c:pt>
                <c:pt idx="5">
                  <c:v>30.4</c:v>
                </c:pt>
                <c:pt idx="6">
                  <c:v>40.53</c:v>
                </c:pt>
                <c:pt idx="7">
                  <c:v>50.66</c:v>
                </c:pt>
                <c:pt idx="8">
                  <c:v>60.8</c:v>
                </c:pt>
              </c:numCache>
            </c:numRef>
          </c:xVal>
          <c:yVal>
            <c:numRef>
              <c:f>Water_Binary!$AH$78:$AH$86</c:f>
              <c:numCache>
                <c:formatCode>0.000</c:formatCode>
                <c:ptCount val="9"/>
                <c:pt idx="0">
                  <c:v>20.717243310209099</c:v>
                </c:pt>
                <c:pt idx="1">
                  <c:v>10.650231965137431</c:v>
                </c:pt>
                <c:pt idx="2">
                  <c:v>4.6731751461120092</c:v>
                </c:pt>
                <c:pt idx="3">
                  <c:v>2.6795159968398723</c:v>
                </c:pt>
                <c:pt idx="4">
                  <c:v>1.6802236555788066</c:v>
                </c:pt>
                <c:pt idx="5">
                  <c:v>1.3475641704302526</c:v>
                </c:pt>
                <c:pt idx="6">
                  <c:v>1.1811933891827522</c:v>
                </c:pt>
                <c:pt idx="7">
                  <c:v>1.0813577841704345</c:v>
                </c:pt>
                <c:pt idx="8">
                  <c:v>1.0147404900767882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307-4577-9293-886C84E71651}"/>
            </c:ext>
          </c:extLst>
        </c:ser>
        <c:ser>
          <c:idx val="2"/>
          <c:order val="2"/>
          <c:tx>
            <c:v>Бюкачек_104,4</c:v>
          </c:tx>
          <c:spPr>
            <a:ln w="25400">
              <a:solidFill>
                <a:srgbClr val="92D050"/>
              </a:solidFill>
              <a:prstDash val="dash"/>
            </a:ln>
          </c:spPr>
          <c:marker>
            <c:symbol val="none"/>
          </c:marker>
          <c:xVal>
            <c:numRef>
              <c:f>Water_Binary!$AF$78:$AF$86</c:f>
              <c:numCache>
                <c:formatCode>General</c:formatCode>
                <c:ptCount val="9"/>
                <c:pt idx="0">
                  <c:v>1.01</c:v>
                </c:pt>
                <c:pt idx="1">
                  <c:v>2.0299999999999998</c:v>
                </c:pt>
                <c:pt idx="2">
                  <c:v>5.07</c:v>
                </c:pt>
                <c:pt idx="3">
                  <c:v>10.130000000000001</c:v>
                </c:pt>
                <c:pt idx="4">
                  <c:v>20.27</c:v>
                </c:pt>
                <c:pt idx="5">
                  <c:v>30.4</c:v>
                </c:pt>
                <c:pt idx="6">
                  <c:v>40.53</c:v>
                </c:pt>
                <c:pt idx="7">
                  <c:v>50.66</c:v>
                </c:pt>
                <c:pt idx="8">
                  <c:v>60.8</c:v>
                </c:pt>
              </c:numCache>
            </c:numRef>
          </c:xVal>
          <c:yVal>
            <c:numRef>
              <c:f>Water_Binary!$AI$78:$AI$86</c:f>
              <c:numCache>
                <c:formatCode>0.000</c:formatCode>
                <c:ptCount val="9"/>
                <c:pt idx="0">
                  <c:v>70.257839455267998</c:v>
                </c:pt>
                <c:pt idx="1">
                  <c:v>35.841376943774257</c:v>
                </c:pt>
                <c:pt idx="2">
                  <c:v>15.407392627092033</c:v>
                </c:pt>
                <c:pt idx="3">
                  <c:v>8.5915966555089174</c:v>
                </c:pt>
                <c:pt idx="4">
                  <c:v>5.1752791187385805</c:v>
                </c:pt>
                <c:pt idx="5">
                  <c:v>4.0380038830935074</c:v>
                </c:pt>
                <c:pt idx="6">
                  <c:v>3.4692259648471304</c:v>
                </c:pt>
                <c:pt idx="7">
                  <c:v>3.1279143044703073</c:v>
                </c:pt>
                <c:pt idx="8">
                  <c:v>2.9001673072531498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307-4577-9293-886C84E71651}"/>
            </c:ext>
          </c:extLst>
        </c:ser>
        <c:ser>
          <c:idx val="3"/>
          <c:order val="3"/>
          <c:tx>
            <c:v>Бюкачек_137,8</c:v>
          </c:tx>
          <c:spPr>
            <a:ln w="25400">
              <a:solidFill>
                <a:srgbClr val="92D050"/>
              </a:solidFill>
              <a:prstDash val="dash"/>
            </a:ln>
          </c:spPr>
          <c:marker>
            <c:symbol val="none"/>
          </c:marker>
          <c:xVal>
            <c:numRef>
              <c:f>Water_Binary!$AF$78:$AF$86</c:f>
              <c:numCache>
                <c:formatCode>General</c:formatCode>
                <c:ptCount val="9"/>
                <c:pt idx="0">
                  <c:v>1.01</c:v>
                </c:pt>
                <c:pt idx="1">
                  <c:v>2.0299999999999998</c:v>
                </c:pt>
                <c:pt idx="2">
                  <c:v>5.07</c:v>
                </c:pt>
                <c:pt idx="3">
                  <c:v>10.130000000000001</c:v>
                </c:pt>
                <c:pt idx="4">
                  <c:v>20.27</c:v>
                </c:pt>
                <c:pt idx="5">
                  <c:v>30.4</c:v>
                </c:pt>
                <c:pt idx="6">
                  <c:v>40.53</c:v>
                </c:pt>
                <c:pt idx="7">
                  <c:v>50.66</c:v>
                </c:pt>
                <c:pt idx="8">
                  <c:v>60.8</c:v>
                </c:pt>
              </c:numCache>
            </c:numRef>
          </c:xVal>
          <c:yVal>
            <c:numRef>
              <c:f>Water_Binary!$AJ$78:$AJ$86</c:f>
              <c:numCache>
                <c:formatCode>0.000</c:formatCode>
                <c:ptCount val="9"/>
                <c:pt idx="0">
                  <c:v>187.84316083959823</c:v>
                </c:pt>
                <c:pt idx="1">
                  <c:v>95.398520670708251</c:v>
                </c:pt>
                <c:pt idx="2">
                  <c:v>40.51163836136071</c:v>
                </c:pt>
                <c:pt idx="3">
                  <c:v>22.204009974301815</c:v>
                </c:pt>
                <c:pt idx="4">
                  <c:v>13.027580372220232</c:v>
                </c:pt>
                <c:pt idx="5">
                  <c:v>9.9727922777992113</c:v>
                </c:pt>
                <c:pt idx="6">
                  <c:v>8.4450213754080412</c:v>
                </c:pt>
                <c:pt idx="7">
                  <c:v>7.528238204608761</c:v>
                </c:pt>
                <c:pt idx="8">
                  <c:v>6.9164963906366221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307-4577-9293-886C84E71651}"/>
            </c:ext>
          </c:extLst>
        </c:ser>
        <c:ser>
          <c:idx val="4"/>
          <c:order val="4"/>
          <c:tx>
            <c:v>Бюкачек_171,1</c:v>
          </c:tx>
          <c:spPr>
            <a:ln w="25400">
              <a:solidFill>
                <a:srgbClr val="92D050"/>
              </a:solidFill>
              <a:prstDash val="dash"/>
            </a:ln>
          </c:spPr>
          <c:marker>
            <c:symbol val="none"/>
          </c:marker>
          <c:xVal>
            <c:numRef>
              <c:f>Water_Binary!$AF$78:$AF$86</c:f>
              <c:numCache>
                <c:formatCode>General</c:formatCode>
                <c:ptCount val="9"/>
                <c:pt idx="0">
                  <c:v>1.01</c:v>
                </c:pt>
                <c:pt idx="1">
                  <c:v>2.0299999999999998</c:v>
                </c:pt>
                <c:pt idx="2">
                  <c:v>5.07</c:v>
                </c:pt>
                <c:pt idx="3">
                  <c:v>10.130000000000001</c:v>
                </c:pt>
                <c:pt idx="4">
                  <c:v>20.27</c:v>
                </c:pt>
                <c:pt idx="5">
                  <c:v>30.4</c:v>
                </c:pt>
                <c:pt idx="6">
                  <c:v>40.53</c:v>
                </c:pt>
                <c:pt idx="7">
                  <c:v>50.66</c:v>
                </c:pt>
                <c:pt idx="8">
                  <c:v>60.8</c:v>
                </c:pt>
              </c:numCache>
            </c:numRef>
          </c:xVal>
          <c:yVal>
            <c:numRef>
              <c:f>Water_Binary!$AK$78:$AK$86</c:f>
              <c:numCache>
                <c:formatCode>0.000</c:formatCode>
                <c:ptCount val="9"/>
                <c:pt idx="0">
                  <c:v>417.78214643101285</c:v>
                </c:pt>
                <c:pt idx="1">
                  <c:v>211.57900432933002</c:v>
                </c:pt>
                <c:pt idx="2">
                  <c:v>89.150623714988228</c:v>
                </c:pt>
                <c:pt idx="3">
                  <c:v>48.314394692465385</c:v>
                </c:pt>
                <c:pt idx="4">
                  <c:v>27.845835198186613</c:v>
                </c:pt>
                <c:pt idx="5">
                  <c:v>21.031952831684567</c:v>
                </c:pt>
                <c:pt idx="6">
                  <c:v>17.624171051053022</c:v>
                </c:pt>
                <c:pt idx="7">
                  <c:v>15.579232911866312</c:v>
                </c:pt>
                <c:pt idx="8">
                  <c:v>14.214707245850583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307-4577-9293-886C84E71651}"/>
            </c:ext>
          </c:extLst>
        </c:ser>
        <c:ser>
          <c:idx val="5"/>
          <c:order val="5"/>
          <c:tx>
            <c:v>Бюкачек_204,4</c:v>
          </c:tx>
          <c:spPr>
            <a:ln w="25400">
              <a:solidFill>
                <a:srgbClr val="92D050"/>
              </a:solidFill>
              <a:prstDash val="dash"/>
            </a:ln>
          </c:spPr>
          <c:marker>
            <c:symbol val="none"/>
          </c:marker>
          <c:xVal>
            <c:numRef>
              <c:f>Water_Binary!$AF$90:$AF$98</c:f>
              <c:numCache>
                <c:formatCode>General</c:formatCode>
                <c:ptCount val="9"/>
                <c:pt idx="0">
                  <c:v>1.01</c:v>
                </c:pt>
                <c:pt idx="1">
                  <c:v>2.0299999999999998</c:v>
                </c:pt>
                <c:pt idx="2">
                  <c:v>5.07</c:v>
                </c:pt>
                <c:pt idx="3">
                  <c:v>10.130000000000001</c:v>
                </c:pt>
                <c:pt idx="4">
                  <c:v>20.27</c:v>
                </c:pt>
                <c:pt idx="5">
                  <c:v>30.4</c:v>
                </c:pt>
                <c:pt idx="6">
                  <c:v>40.53</c:v>
                </c:pt>
                <c:pt idx="7">
                  <c:v>50.66</c:v>
                </c:pt>
                <c:pt idx="8">
                  <c:v>60.8</c:v>
                </c:pt>
              </c:numCache>
            </c:numRef>
          </c:xVal>
          <c:yVal>
            <c:numRef>
              <c:f>Water_Binary!$AG$90:$AG$98</c:f>
              <c:numCache>
                <c:formatCode>0.000</c:formatCode>
                <c:ptCount val="9"/>
                <c:pt idx="0">
                  <c:v>812.13287126357989</c:v>
                </c:pt>
                <c:pt idx="1">
                  <c:v>410.47818202338442</c:v>
                </c:pt>
                <c:pt idx="2">
                  <c:v>172.00493341699215</c:v>
                </c:pt>
                <c:pt idx="3">
                  <c:v>92.461708660045019</c:v>
                </c:pt>
                <c:pt idx="4">
                  <c:v>52.591836556859938</c:v>
                </c:pt>
                <c:pt idx="5">
                  <c:v>39.319353041128423</c:v>
                </c:pt>
                <c:pt idx="6">
                  <c:v>32.681473917914062</c:v>
                </c:pt>
                <c:pt idx="7">
                  <c:v>28.698222331934662</c:v>
                </c:pt>
                <c:pt idx="8">
                  <c:v>26.040318447649753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307-4577-9293-886C84E71651}"/>
            </c:ext>
          </c:extLst>
        </c:ser>
        <c:ser>
          <c:idx val="6"/>
          <c:order val="6"/>
          <c:tx>
            <c:v>расчет_37,8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Water_Binary!$AM$78:$AM$86</c:f>
              <c:numCache>
                <c:formatCode>General</c:formatCode>
                <c:ptCount val="9"/>
                <c:pt idx="0">
                  <c:v>1.01</c:v>
                </c:pt>
                <c:pt idx="1">
                  <c:v>2.0299999999999998</c:v>
                </c:pt>
                <c:pt idx="2">
                  <c:v>5.07</c:v>
                </c:pt>
                <c:pt idx="3">
                  <c:v>10.130000000000001</c:v>
                </c:pt>
                <c:pt idx="4">
                  <c:v>20.27</c:v>
                </c:pt>
                <c:pt idx="5">
                  <c:v>30.4</c:v>
                </c:pt>
                <c:pt idx="6">
                  <c:v>40.53</c:v>
                </c:pt>
                <c:pt idx="7">
                  <c:v>50.66</c:v>
                </c:pt>
                <c:pt idx="8">
                  <c:v>60.8</c:v>
                </c:pt>
              </c:numCache>
            </c:numRef>
          </c:xVal>
          <c:yVal>
            <c:numRef>
              <c:f>Water_Binary!$AN$78:$AN$86</c:f>
              <c:numCache>
                <c:formatCode>0.000</c:formatCode>
                <c:ptCount val="9"/>
                <c:pt idx="0">
                  <c:v>0.47251103300265895</c:v>
                </c:pt>
                <c:pt idx="1">
                  <c:v>0.46647140423424893</c:v>
                </c:pt>
                <c:pt idx="2">
                  <c:v>0.45006291581499103</c:v>
                </c:pt>
                <c:pt idx="3">
                  <c:v>0.42684633316790394</c:v>
                </c:pt>
                <c:pt idx="4">
                  <c:v>0.39048250567377607</c:v>
                </c:pt>
                <c:pt idx="5">
                  <c:v>0.36265693896508233</c:v>
                </c:pt>
                <c:pt idx="6">
                  <c:v>0.34023998502697483</c:v>
                </c:pt>
                <c:pt idx="7">
                  <c:v>0.32158294753324634</c:v>
                </c:pt>
                <c:pt idx="8">
                  <c:v>0.3056790471391076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A307-4577-9293-886C84E71651}"/>
            </c:ext>
          </c:extLst>
        </c:ser>
        <c:ser>
          <c:idx val="7"/>
          <c:order val="7"/>
          <c:tx>
            <c:v>расчет_71,1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Water_Binary!$AM$78:$AM$86</c:f>
              <c:numCache>
                <c:formatCode>General</c:formatCode>
                <c:ptCount val="9"/>
                <c:pt idx="0">
                  <c:v>1.01</c:v>
                </c:pt>
                <c:pt idx="1">
                  <c:v>2.0299999999999998</c:v>
                </c:pt>
                <c:pt idx="2">
                  <c:v>5.07</c:v>
                </c:pt>
                <c:pt idx="3">
                  <c:v>10.130000000000001</c:v>
                </c:pt>
                <c:pt idx="4">
                  <c:v>20.27</c:v>
                </c:pt>
                <c:pt idx="5">
                  <c:v>30.4</c:v>
                </c:pt>
                <c:pt idx="6">
                  <c:v>40.53</c:v>
                </c:pt>
                <c:pt idx="7">
                  <c:v>50.66</c:v>
                </c:pt>
                <c:pt idx="8">
                  <c:v>60.8</c:v>
                </c:pt>
              </c:numCache>
            </c:numRef>
          </c:xVal>
          <c:yVal>
            <c:numRef>
              <c:f>Water_Binary!$AO$78:$AO$86</c:f>
              <c:numCache>
                <c:formatCode>0.000</c:formatCode>
                <c:ptCount val="9"/>
                <c:pt idx="0">
                  <c:v>1.7831489362156556</c:v>
                </c:pt>
                <c:pt idx="1">
                  <c:v>1.7454503959236847</c:v>
                </c:pt>
                <c:pt idx="2">
                  <c:v>1.649969465578575</c:v>
                </c:pt>
                <c:pt idx="3">
                  <c:v>1.5276007538481584</c:v>
                </c:pt>
                <c:pt idx="4">
                  <c:v>1.3556887081323439</c:v>
                </c:pt>
                <c:pt idx="5">
                  <c:v>1.2351975381070919</c:v>
                </c:pt>
                <c:pt idx="6">
                  <c:v>1.1432224552519368</c:v>
                </c:pt>
                <c:pt idx="7">
                  <c:v>1.0694970264642161</c:v>
                </c:pt>
                <c:pt idx="8">
                  <c:v>1.0083966807234048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A307-4577-9293-886C84E71651}"/>
            </c:ext>
          </c:extLst>
        </c:ser>
        <c:ser>
          <c:idx val="8"/>
          <c:order val="8"/>
          <c:tx>
            <c:v>расчет_104,4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Water_Binary!$AM$78:$AM$86</c:f>
              <c:numCache>
                <c:formatCode>General</c:formatCode>
                <c:ptCount val="9"/>
                <c:pt idx="0">
                  <c:v>1.01</c:v>
                </c:pt>
                <c:pt idx="1">
                  <c:v>2.0299999999999998</c:v>
                </c:pt>
                <c:pt idx="2">
                  <c:v>5.07</c:v>
                </c:pt>
                <c:pt idx="3">
                  <c:v>10.130000000000001</c:v>
                </c:pt>
                <c:pt idx="4">
                  <c:v>20.27</c:v>
                </c:pt>
                <c:pt idx="5">
                  <c:v>30.4</c:v>
                </c:pt>
                <c:pt idx="6">
                  <c:v>40.53</c:v>
                </c:pt>
                <c:pt idx="7">
                  <c:v>50.66</c:v>
                </c:pt>
                <c:pt idx="8">
                  <c:v>60.8</c:v>
                </c:pt>
              </c:numCache>
            </c:numRef>
          </c:xVal>
          <c:yVal>
            <c:numRef>
              <c:f>Water_Binary!$AP$78:$AP$86</c:f>
              <c:numCache>
                <c:formatCode>0.000</c:formatCode>
                <c:ptCount val="9"/>
                <c:pt idx="0">
                  <c:v>90.664009608304738</c:v>
                </c:pt>
                <c:pt idx="1">
                  <c:v>6.1794885730582809</c:v>
                </c:pt>
                <c:pt idx="2">
                  <c:v>5.5531977015509577</c:v>
                </c:pt>
                <c:pt idx="3">
                  <c:v>4.9203596864174166</c:v>
                </c:pt>
                <c:pt idx="4">
                  <c:v>4.1814208330948457</c:v>
                </c:pt>
                <c:pt idx="5">
                  <c:v>3.7220994638335223</c:v>
                </c:pt>
                <c:pt idx="6">
                  <c:v>3.3930801634181043</c:v>
                </c:pt>
                <c:pt idx="7">
                  <c:v>3.1399582570424585</c:v>
                </c:pt>
                <c:pt idx="8">
                  <c:v>2.9362533321915101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A307-4577-9293-886C84E71651}"/>
            </c:ext>
          </c:extLst>
        </c:ser>
        <c:ser>
          <c:idx val="9"/>
          <c:order val="9"/>
          <c:tx>
            <c:v>расчет_137,8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Water_Binary!$AM$78:$AM$86</c:f>
              <c:numCache>
                <c:formatCode>General</c:formatCode>
                <c:ptCount val="9"/>
                <c:pt idx="0">
                  <c:v>1.01</c:v>
                </c:pt>
                <c:pt idx="1">
                  <c:v>2.0299999999999998</c:v>
                </c:pt>
                <c:pt idx="2">
                  <c:v>5.07</c:v>
                </c:pt>
                <c:pt idx="3">
                  <c:v>10.130000000000001</c:v>
                </c:pt>
                <c:pt idx="4">
                  <c:v>20.27</c:v>
                </c:pt>
                <c:pt idx="5">
                  <c:v>30.4</c:v>
                </c:pt>
                <c:pt idx="6">
                  <c:v>40.53</c:v>
                </c:pt>
                <c:pt idx="7">
                  <c:v>50.66</c:v>
                </c:pt>
                <c:pt idx="8">
                  <c:v>60.8</c:v>
                </c:pt>
              </c:numCache>
            </c:numRef>
          </c:xVal>
          <c:yVal>
            <c:numRef>
              <c:f>Water_Binary!$AQ$78:$AQ$86</c:f>
              <c:numCache>
                <c:formatCode>0.000</c:formatCode>
                <c:ptCount val="9"/>
                <c:pt idx="0">
                  <c:v>375.94039273108893</c:v>
                </c:pt>
                <c:pt idx="1">
                  <c:v>140.41481787663162</c:v>
                </c:pt>
                <c:pt idx="2">
                  <c:v>18.867403334271234</c:v>
                </c:pt>
                <c:pt idx="3">
                  <c:v>14.896073451298827</c:v>
                </c:pt>
                <c:pt idx="4">
                  <c:v>11.814012403972692</c:v>
                </c:pt>
                <c:pt idx="5">
                  <c:v>10.207361514764063</c:v>
                </c:pt>
                <c:pt idx="6">
                  <c:v>9.141638786313365</c:v>
                </c:pt>
                <c:pt idx="7">
                  <c:v>8.3585568978331342</c:v>
                </c:pt>
                <c:pt idx="8">
                  <c:v>7.7478649057193199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A307-4577-9293-886C84E71651}"/>
            </c:ext>
          </c:extLst>
        </c:ser>
        <c:ser>
          <c:idx val="10"/>
          <c:order val="10"/>
          <c:tx>
            <c:v>расчет_171,1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Water_Binary!$AM$80:$AM$86</c:f>
              <c:numCache>
                <c:formatCode>General</c:formatCode>
                <c:ptCount val="7"/>
                <c:pt idx="0">
                  <c:v>5.07</c:v>
                </c:pt>
                <c:pt idx="1">
                  <c:v>10.130000000000001</c:v>
                </c:pt>
                <c:pt idx="2">
                  <c:v>20.27</c:v>
                </c:pt>
                <c:pt idx="3">
                  <c:v>30.4</c:v>
                </c:pt>
                <c:pt idx="4">
                  <c:v>40.53</c:v>
                </c:pt>
                <c:pt idx="5">
                  <c:v>50.66</c:v>
                </c:pt>
                <c:pt idx="6">
                  <c:v>60.8</c:v>
                </c:pt>
              </c:numCache>
            </c:numRef>
          </c:xVal>
          <c:yVal>
            <c:numRef>
              <c:f>Water_Binary!$AR$80:$AR$86</c:f>
              <c:numCache>
                <c:formatCode>0.000</c:formatCode>
                <c:ptCount val="7"/>
                <c:pt idx="0">
                  <c:v>119.54622824448631</c:v>
                </c:pt>
                <c:pt idx="1">
                  <c:v>44.924885247261365</c:v>
                </c:pt>
                <c:pt idx="2">
                  <c:v>31.399508413362103</c:v>
                </c:pt>
                <c:pt idx="3">
                  <c:v>26.050268831884928</c:v>
                </c:pt>
                <c:pt idx="4">
                  <c:v>22.822160720675395</c:v>
                </c:pt>
                <c:pt idx="5">
                  <c:v>20.571854471378018</c:v>
                </c:pt>
                <c:pt idx="6">
                  <c:v>18.877001416445328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A307-4577-9293-886C84E71651}"/>
            </c:ext>
          </c:extLst>
        </c:ser>
        <c:ser>
          <c:idx val="11"/>
          <c:order val="11"/>
          <c:tx>
            <c:v>расчет_204,4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Water_Binary!$AM$93:$AM$98</c:f>
              <c:numCache>
                <c:formatCode>General</c:formatCode>
                <c:ptCount val="6"/>
                <c:pt idx="0">
                  <c:v>10.130000000000001</c:v>
                </c:pt>
                <c:pt idx="1">
                  <c:v>20.27</c:v>
                </c:pt>
                <c:pt idx="2">
                  <c:v>30.4</c:v>
                </c:pt>
                <c:pt idx="3">
                  <c:v>40.53</c:v>
                </c:pt>
                <c:pt idx="4">
                  <c:v>50.66</c:v>
                </c:pt>
                <c:pt idx="5">
                  <c:v>60.8</c:v>
                </c:pt>
              </c:numCache>
            </c:numRef>
          </c:xVal>
          <c:yVal>
            <c:numRef>
              <c:f>Water_Binary!$AN$93:$AN$98</c:f>
              <c:numCache>
                <c:formatCode>0.000</c:formatCode>
                <c:ptCount val="6"/>
                <c:pt idx="0">
                  <c:v>148.27767039781671</c:v>
                </c:pt>
                <c:pt idx="1">
                  <c:v>82.044943846980445</c:v>
                </c:pt>
                <c:pt idx="2">
                  <c:v>64.167674671122853</c:v>
                </c:pt>
                <c:pt idx="3">
                  <c:v>54.562868161402754</c:v>
                </c:pt>
                <c:pt idx="4">
                  <c:v>48.273406232413137</c:v>
                </c:pt>
                <c:pt idx="5">
                  <c:v>43.725771818179936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A307-4577-9293-886C84E71651}"/>
            </c:ext>
          </c:extLst>
        </c:ser>
        <c:ser>
          <c:idx val="12"/>
          <c:order val="12"/>
          <c:tx>
            <c:v>Эксперимент_37,8</c:v>
          </c:tx>
          <c:spPr>
            <a:ln>
              <a:noFill/>
            </a:ln>
          </c:spPr>
          <c:marker>
            <c:symbol val="circle"/>
            <c:size val="7"/>
            <c:spPr>
              <a:solidFill>
                <a:srgbClr val="0070C0"/>
              </a:solidFill>
              <a:ln>
                <a:noFill/>
              </a:ln>
            </c:spPr>
          </c:marker>
          <c:xVal>
            <c:numRef>
              <c:f>Water_Binary!$AT$78:$AT$86</c:f>
              <c:numCache>
                <c:formatCode>General</c:formatCode>
                <c:ptCount val="9"/>
                <c:pt idx="0">
                  <c:v>1.01</c:v>
                </c:pt>
                <c:pt idx="1">
                  <c:v>2.0299999999999998</c:v>
                </c:pt>
                <c:pt idx="2">
                  <c:v>5.07</c:v>
                </c:pt>
                <c:pt idx="3">
                  <c:v>10.130000000000001</c:v>
                </c:pt>
                <c:pt idx="4">
                  <c:v>20.27</c:v>
                </c:pt>
                <c:pt idx="5">
                  <c:v>30.4</c:v>
                </c:pt>
                <c:pt idx="6">
                  <c:v>40.53</c:v>
                </c:pt>
                <c:pt idx="7">
                  <c:v>50.66</c:v>
                </c:pt>
                <c:pt idx="8">
                  <c:v>60.8</c:v>
                </c:pt>
              </c:numCache>
            </c:numRef>
          </c:xVal>
          <c:yVal>
            <c:numRef>
              <c:f>Water_Binary!$AU$78:$AU$86</c:f>
              <c:numCache>
                <c:formatCode>0.000</c:formatCode>
                <c:ptCount val="9"/>
                <c:pt idx="0">
                  <c:v>0.37437603993344432</c:v>
                </c:pt>
                <c:pt idx="1">
                  <c:v>0.37437603993344432</c:v>
                </c:pt>
                <c:pt idx="2">
                  <c:v>0.37437603993344432</c:v>
                </c:pt>
                <c:pt idx="3">
                  <c:v>0.37437603993344432</c:v>
                </c:pt>
                <c:pt idx="4">
                  <c:v>0.37437603993344432</c:v>
                </c:pt>
                <c:pt idx="5">
                  <c:v>0.37437603993344432</c:v>
                </c:pt>
                <c:pt idx="6">
                  <c:v>0.37437603993344432</c:v>
                </c:pt>
                <c:pt idx="7">
                  <c:v>0.37437603993344432</c:v>
                </c:pt>
                <c:pt idx="8">
                  <c:v>0.37437603993344432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A307-4577-9293-886C84E71651}"/>
            </c:ext>
          </c:extLst>
        </c:ser>
        <c:ser>
          <c:idx val="13"/>
          <c:order val="13"/>
          <c:tx>
            <c:v>Эксперимент_71,1</c:v>
          </c:tx>
          <c:spPr>
            <a:ln>
              <a:noFill/>
            </a:ln>
          </c:spPr>
          <c:marker>
            <c:symbol val="circle"/>
            <c:size val="7"/>
            <c:spPr>
              <a:solidFill>
                <a:srgbClr val="0070C0"/>
              </a:solidFill>
              <a:ln>
                <a:noFill/>
              </a:ln>
            </c:spPr>
          </c:marker>
          <c:xVal>
            <c:numRef>
              <c:f>Water_Binary!$AT$78:$AT$86</c:f>
              <c:numCache>
                <c:formatCode>General</c:formatCode>
                <c:ptCount val="9"/>
                <c:pt idx="0">
                  <c:v>1.01</c:v>
                </c:pt>
                <c:pt idx="1">
                  <c:v>2.0299999999999998</c:v>
                </c:pt>
                <c:pt idx="2">
                  <c:v>5.07</c:v>
                </c:pt>
                <c:pt idx="3">
                  <c:v>10.130000000000001</c:v>
                </c:pt>
                <c:pt idx="4">
                  <c:v>20.27</c:v>
                </c:pt>
                <c:pt idx="5">
                  <c:v>30.4</c:v>
                </c:pt>
                <c:pt idx="6">
                  <c:v>40.53</c:v>
                </c:pt>
                <c:pt idx="7">
                  <c:v>50.66</c:v>
                </c:pt>
                <c:pt idx="8">
                  <c:v>60.8</c:v>
                </c:pt>
              </c:numCache>
            </c:numRef>
          </c:xVal>
          <c:yVal>
            <c:numRef>
              <c:f>Water_Binary!$AV$78:$AV$86</c:f>
              <c:numCache>
                <c:formatCode>0.000</c:formatCode>
                <c:ptCount val="9"/>
                <c:pt idx="0">
                  <c:v>1.4975041597337773</c:v>
                </c:pt>
                <c:pt idx="1">
                  <c:v>1.4975041597337773</c:v>
                </c:pt>
                <c:pt idx="2">
                  <c:v>1.4975041597337773</c:v>
                </c:pt>
                <c:pt idx="3">
                  <c:v>1.4975041597337773</c:v>
                </c:pt>
                <c:pt idx="4">
                  <c:v>1.4975041597337773</c:v>
                </c:pt>
                <c:pt idx="5">
                  <c:v>1.4975041597337773</c:v>
                </c:pt>
                <c:pt idx="6">
                  <c:v>1.4975041597337773</c:v>
                </c:pt>
                <c:pt idx="7">
                  <c:v>1.4975041597337773</c:v>
                </c:pt>
                <c:pt idx="8">
                  <c:v>1.4975041597337773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A307-4577-9293-886C84E71651}"/>
            </c:ext>
          </c:extLst>
        </c:ser>
        <c:ser>
          <c:idx val="14"/>
          <c:order val="14"/>
          <c:tx>
            <c:v>Эксперимент_104,4</c:v>
          </c:tx>
          <c:spPr>
            <a:ln>
              <a:noFill/>
            </a:ln>
          </c:spPr>
          <c:marker>
            <c:symbol val="circle"/>
            <c:size val="7"/>
            <c:spPr>
              <a:solidFill>
                <a:srgbClr val="0070C0"/>
              </a:solidFill>
              <a:ln>
                <a:noFill/>
              </a:ln>
            </c:spPr>
          </c:marker>
          <c:xVal>
            <c:numRef>
              <c:f>Water_Binary!$AT$78:$AT$86</c:f>
              <c:numCache>
                <c:formatCode>General</c:formatCode>
                <c:ptCount val="9"/>
                <c:pt idx="0">
                  <c:v>1.01</c:v>
                </c:pt>
                <c:pt idx="1">
                  <c:v>2.0299999999999998</c:v>
                </c:pt>
                <c:pt idx="2">
                  <c:v>5.07</c:v>
                </c:pt>
                <c:pt idx="3">
                  <c:v>10.130000000000001</c:v>
                </c:pt>
                <c:pt idx="4">
                  <c:v>20.27</c:v>
                </c:pt>
                <c:pt idx="5">
                  <c:v>30.4</c:v>
                </c:pt>
                <c:pt idx="6">
                  <c:v>40.53</c:v>
                </c:pt>
                <c:pt idx="7">
                  <c:v>50.66</c:v>
                </c:pt>
                <c:pt idx="8">
                  <c:v>60.8</c:v>
                </c:pt>
              </c:numCache>
            </c:numRef>
          </c:xVal>
          <c:yVal>
            <c:numRef>
              <c:f>Water_Binary!$AW$78:$AW$86</c:f>
              <c:numCache>
                <c:formatCode>0.000</c:formatCode>
                <c:ptCount val="9"/>
                <c:pt idx="0">
                  <c:v>8.2362728785357735</c:v>
                </c:pt>
                <c:pt idx="1">
                  <c:v>6.1846921797004999</c:v>
                </c:pt>
                <c:pt idx="2">
                  <c:v>5.6455906821963397</c:v>
                </c:pt>
                <c:pt idx="3">
                  <c:v>5.1813643926788693</c:v>
                </c:pt>
                <c:pt idx="4">
                  <c:v>4.3727121464226286</c:v>
                </c:pt>
                <c:pt idx="5">
                  <c:v>3.7662229617304495</c:v>
                </c:pt>
                <c:pt idx="6">
                  <c:v>3.369384359400998</c:v>
                </c:pt>
                <c:pt idx="7">
                  <c:v>3.1747088186356076</c:v>
                </c:pt>
                <c:pt idx="8">
                  <c:v>3.0099833610648923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A307-4577-9293-886C84E71651}"/>
            </c:ext>
          </c:extLst>
        </c:ser>
        <c:ser>
          <c:idx val="15"/>
          <c:order val="15"/>
          <c:tx>
            <c:v>Эксперимент_137,8</c:v>
          </c:tx>
          <c:spPr>
            <a:ln>
              <a:noFill/>
            </a:ln>
          </c:spPr>
          <c:marker>
            <c:symbol val="circle"/>
            <c:size val="7"/>
            <c:spPr>
              <a:solidFill>
                <a:srgbClr val="0070C0"/>
              </a:solidFill>
              <a:ln>
                <a:noFill/>
              </a:ln>
            </c:spPr>
          </c:marker>
          <c:xVal>
            <c:numRef>
              <c:f>Water_Binary!$AT$78:$AT$86</c:f>
              <c:numCache>
                <c:formatCode>General</c:formatCode>
                <c:ptCount val="9"/>
                <c:pt idx="0">
                  <c:v>1.01</c:v>
                </c:pt>
                <c:pt idx="1">
                  <c:v>2.0299999999999998</c:v>
                </c:pt>
                <c:pt idx="2">
                  <c:v>5.07</c:v>
                </c:pt>
                <c:pt idx="3">
                  <c:v>10.130000000000001</c:v>
                </c:pt>
                <c:pt idx="4">
                  <c:v>20.27</c:v>
                </c:pt>
                <c:pt idx="5">
                  <c:v>30.4</c:v>
                </c:pt>
                <c:pt idx="6">
                  <c:v>40.53</c:v>
                </c:pt>
                <c:pt idx="7">
                  <c:v>50.66</c:v>
                </c:pt>
                <c:pt idx="8">
                  <c:v>60.8</c:v>
                </c:pt>
              </c:numCache>
            </c:numRef>
          </c:xVal>
          <c:yVal>
            <c:numRef>
              <c:f>Water_Binary!$AX$78:$AX$86</c:f>
              <c:numCache>
                <c:formatCode>0.000</c:formatCode>
                <c:ptCount val="9"/>
                <c:pt idx="0">
                  <c:v>262.063227953411</c:v>
                </c:pt>
                <c:pt idx="1">
                  <c:v>113.06156405990016</c:v>
                </c:pt>
                <c:pt idx="2">
                  <c:v>18.569051580698833</c:v>
                </c:pt>
                <c:pt idx="3">
                  <c:v>14.750415973377704</c:v>
                </c:pt>
                <c:pt idx="4">
                  <c:v>11.530782029950084</c:v>
                </c:pt>
                <c:pt idx="5">
                  <c:v>10.033277870216306</c:v>
                </c:pt>
                <c:pt idx="6">
                  <c:v>9.1347753743760407</c:v>
                </c:pt>
                <c:pt idx="7">
                  <c:v>8.9850249584026631</c:v>
                </c:pt>
                <c:pt idx="8">
                  <c:v>7.5623960066555735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A307-4577-9293-886C84E71651}"/>
            </c:ext>
          </c:extLst>
        </c:ser>
        <c:ser>
          <c:idx val="16"/>
          <c:order val="16"/>
          <c:tx>
            <c:v>Эксперимент_171,1</c:v>
          </c:tx>
          <c:spPr>
            <a:ln>
              <a:noFill/>
            </a:ln>
          </c:spPr>
          <c:marker>
            <c:symbol val="circle"/>
            <c:size val="7"/>
            <c:spPr>
              <a:solidFill>
                <a:srgbClr val="0070C0"/>
              </a:solidFill>
              <a:ln>
                <a:noFill/>
              </a:ln>
            </c:spPr>
          </c:marker>
          <c:xVal>
            <c:numRef>
              <c:f>Water_Binary!$AT$79:$AT$86</c:f>
              <c:numCache>
                <c:formatCode>General</c:formatCode>
                <c:ptCount val="8"/>
                <c:pt idx="0">
                  <c:v>2.0299999999999998</c:v>
                </c:pt>
                <c:pt idx="1">
                  <c:v>5.07</c:v>
                </c:pt>
                <c:pt idx="2">
                  <c:v>10.130000000000001</c:v>
                </c:pt>
                <c:pt idx="3">
                  <c:v>20.27</c:v>
                </c:pt>
                <c:pt idx="4">
                  <c:v>30.4</c:v>
                </c:pt>
                <c:pt idx="5">
                  <c:v>40.53</c:v>
                </c:pt>
                <c:pt idx="6">
                  <c:v>50.66</c:v>
                </c:pt>
                <c:pt idx="7">
                  <c:v>60.8</c:v>
                </c:pt>
              </c:numCache>
            </c:numRef>
          </c:xVal>
          <c:yVal>
            <c:numRef>
              <c:f>Water_Binary!$AY$79:$AY$86</c:f>
              <c:numCache>
                <c:formatCode>0.000</c:formatCode>
                <c:ptCount val="8"/>
                <c:pt idx="0">
                  <c:v>299.50083194675545</c:v>
                </c:pt>
                <c:pt idx="1">
                  <c:v>76.372712146422629</c:v>
                </c:pt>
                <c:pt idx="2">
                  <c:v>37.587354409317811</c:v>
                </c:pt>
                <c:pt idx="3">
                  <c:v>27.853577371048253</c:v>
                </c:pt>
                <c:pt idx="4">
                  <c:v>23.960066555740436</c:v>
                </c:pt>
                <c:pt idx="5">
                  <c:v>21.564059900166388</c:v>
                </c:pt>
                <c:pt idx="6">
                  <c:v>19.317803660565723</c:v>
                </c:pt>
                <c:pt idx="7">
                  <c:v>17.670549084858571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A307-4577-9293-886C84E71651}"/>
            </c:ext>
          </c:extLst>
        </c:ser>
        <c:ser>
          <c:idx val="17"/>
          <c:order val="17"/>
          <c:tx>
            <c:v>Эксперимент_204,4</c:v>
          </c:tx>
          <c:spPr>
            <a:ln>
              <a:noFill/>
            </a:ln>
          </c:spPr>
          <c:marker>
            <c:symbol val="circle"/>
            <c:size val="7"/>
            <c:spPr>
              <a:solidFill>
                <a:srgbClr val="0070C0"/>
              </a:solidFill>
              <a:ln>
                <a:noFill/>
              </a:ln>
            </c:spPr>
          </c:marker>
          <c:xVal>
            <c:numRef>
              <c:f>Water_Binary!$AT$92:$AT$98</c:f>
              <c:numCache>
                <c:formatCode>General</c:formatCode>
                <c:ptCount val="7"/>
                <c:pt idx="0">
                  <c:v>5.07</c:v>
                </c:pt>
                <c:pt idx="1">
                  <c:v>10.130000000000001</c:v>
                </c:pt>
                <c:pt idx="2">
                  <c:v>20.27</c:v>
                </c:pt>
                <c:pt idx="3">
                  <c:v>30.4</c:v>
                </c:pt>
                <c:pt idx="4">
                  <c:v>40.53</c:v>
                </c:pt>
                <c:pt idx="5">
                  <c:v>50.66</c:v>
                </c:pt>
                <c:pt idx="6">
                  <c:v>60.8</c:v>
                </c:pt>
              </c:numCache>
            </c:numRef>
          </c:xVal>
          <c:yVal>
            <c:numRef>
              <c:f>Water_Binary!$AU$92:$AU$98</c:f>
              <c:numCache>
                <c:formatCode>0.000</c:formatCode>
                <c:ptCount val="7"/>
                <c:pt idx="0">
                  <c:v>253.07820299500835</c:v>
                </c:pt>
                <c:pt idx="1">
                  <c:v>106.32279534109816</c:v>
                </c:pt>
                <c:pt idx="2">
                  <c:v>64.31780366056573</c:v>
                </c:pt>
                <c:pt idx="3">
                  <c:v>52.637271214642269</c:v>
                </c:pt>
                <c:pt idx="4">
                  <c:v>46.123128119800334</c:v>
                </c:pt>
                <c:pt idx="5">
                  <c:v>42.304492512479207</c:v>
                </c:pt>
                <c:pt idx="6">
                  <c:v>39.084858569051583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A307-4577-9293-886C84E716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1483680"/>
        <c:axId val="1"/>
      </c:scatterChart>
      <c:valAx>
        <c:axId val="481483680"/>
        <c:scaling>
          <c:orientation val="minMax"/>
          <c:max val="8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1200" b="0">
                    <a:latin typeface="Times New Roman" pitchFamily="18" charset="0"/>
                    <a:cs typeface="Times New Roman" pitchFamily="18" charset="0"/>
                  </a:defRPr>
                </a:pPr>
                <a:r>
                  <a:rPr lang="ru-RU" sz="1200" b="0">
                    <a:latin typeface="Times New Roman" pitchFamily="18" charset="0"/>
                    <a:cs typeface="Times New Roman" pitchFamily="18" charset="0"/>
                  </a:rPr>
                  <a:t>Давление, МПа</a:t>
                </a:r>
              </a:p>
            </c:rich>
          </c:tx>
          <c:layout>
            <c:manualLayout>
              <c:xMode val="edge"/>
              <c:yMode val="edge"/>
              <c:x val="0.45206355042195601"/>
              <c:y val="0.93147769028871386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ru-RU"/>
          </a:p>
        </c:txPr>
        <c:crossAx val="1"/>
        <c:crossesAt val="0.1"/>
        <c:crossBetween val="midCat"/>
      </c:valAx>
      <c:valAx>
        <c:axId val="1"/>
        <c:scaling>
          <c:logBase val="10"/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ru-RU" sz="1200" b="0">
                    <a:latin typeface="Times New Roman" pitchFamily="18" charset="0"/>
                    <a:cs typeface="Times New Roman" pitchFamily="18" charset="0"/>
                  </a:rPr>
                  <a:t>Влагосодержание</a:t>
                </a:r>
                <a:r>
                  <a:rPr lang="ru-RU" sz="1200" b="0" baseline="0">
                    <a:latin typeface="Times New Roman" pitchFamily="18" charset="0"/>
                    <a:cs typeface="Times New Roman" pitchFamily="18" charset="0"/>
                  </a:rPr>
                  <a:t>, г/м3</a:t>
                </a:r>
                <a:endParaRPr lang="ru-RU" sz="1200" b="0">
                  <a:latin typeface="Times New Roman" pitchFamily="18" charset="0"/>
                  <a:cs typeface="Times New Roman" pitchFamily="18" charset="0"/>
                </a:endParaRPr>
              </a:p>
            </c:rich>
          </c:tx>
          <c:layout>
            <c:manualLayout>
              <c:xMode val="edge"/>
              <c:yMode val="edge"/>
              <c:x val="3.8617740875775742E-3"/>
              <c:y val="0.27794679074206635"/>
            </c:manualLayout>
          </c:layout>
          <c:overlay val="0"/>
        </c:title>
        <c:numFmt formatCode="0.0" sourceLinked="0"/>
        <c:majorTickMark val="out"/>
        <c:minorTickMark val="none"/>
        <c:tickLblPos val="nextTo"/>
        <c:crossAx val="4814836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  <c:userShapes r:id="rId1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 sz="1800" b="1" i="0" baseline="0">
                <a:effectLst/>
              </a:rPr>
              <a:t>Влагосодержание азота (</a:t>
            </a:r>
            <a:r>
              <a:rPr lang="en-US" sz="1800" b="1" i="0" baseline="0">
                <a:effectLst/>
              </a:rPr>
              <a:t>N2)</a:t>
            </a:r>
            <a:endParaRPr lang="ru-RU">
              <a:effectLst/>
            </a:endParaRP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9.7313486499119112E-2"/>
          <c:y val="9.1893820535002974E-2"/>
          <c:w val="0.87243993815841525"/>
          <c:h val="0.83105167719956796"/>
        </c:manualLayout>
      </c:layout>
      <c:scatterChart>
        <c:scatterStyle val="lineMarker"/>
        <c:varyColors val="0"/>
        <c:ser>
          <c:idx val="1"/>
          <c:order val="0"/>
          <c:tx>
            <c:v>Эксперимент_25</c:v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0070C0"/>
              </a:solidFill>
              <a:ln>
                <a:noFill/>
              </a:ln>
            </c:spPr>
          </c:marker>
          <c:xVal>
            <c:numRef>
              <c:f>Water_Binary!$AF$105:$AF$106</c:f>
              <c:numCache>
                <c:formatCode>General</c:formatCode>
                <c:ptCount val="2"/>
                <c:pt idx="0">
                  <c:v>5.07</c:v>
                </c:pt>
                <c:pt idx="1">
                  <c:v>10.130000000000001</c:v>
                </c:pt>
              </c:numCache>
            </c:numRef>
          </c:xVal>
          <c:yVal>
            <c:numRef>
              <c:f>Water_Binary!$AG$105:$AG$106</c:f>
              <c:numCache>
                <c:formatCode>0.000</c:formatCode>
                <c:ptCount val="2"/>
                <c:pt idx="0">
                  <c:v>0.49417637271214643</c:v>
                </c:pt>
                <c:pt idx="1">
                  <c:v>0.33693843594009981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17-4E45-B3DD-43D17765B472}"/>
            </c:ext>
          </c:extLst>
        </c:ser>
        <c:ser>
          <c:idx val="0"/>
          <c:order val="1"/>
          <c:tx>
            <c:v>Эксперимент_50</c:v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0070C0"/>
              </a:solidFill>
              <a:ln>
                <a:noFill/>
              </a:ln>
            </c:spPr>
          </c:marker>
          <c:xVal>
            <c:numRef>
              <c:f>Water_Binary!$AF$105:$AF$111</c:f>
              <c:numCache>
                <c:formatCode>General</c:formatCode>
                <c:ptCount val="7"/>
                <c:pt idx="0">
                  <c:v>5.07</c:v>
                </c:pt>
                <c:pt idx="1">
                  <c:v>10.130000000000001</c:v>
                </c:pt>
                <c:pt idx="2">
                  <c:v>15.2</c:v>
                </c:pt>
                <c:pt idx="3">
                  <c:v>20.27</c:v>
                </c:pt>
                <c:pt idx="4">
                  <c:v>30.4</c:v>
                </c:pt>
                <c:pt idx="5">
                  <c:v>40.53</c:v>
                </c:pt>
                <c:pt idx="6">
                  <c:v>50.66</c:v>
                </c:pt>
              </c:numCache>
            </c:numRef>
          </c:xVal>
          <c:yVal>
            <c:numRef>
              <c:f>Water_Binary!$AH$105:$AH$111</c:f>
              <c:numCache>
                <c:formatCode>0.000</c:formatCode>
                <c:ptCount val="7"/>
                <c:pt idx="0">
                  <c:v>2.0590682196339434</c:v>
                </c:pt>
                <c:pt idx="1">
                  <c:v>1.1830282861896839</c:v>
                </c:pt>
                <c:pt idx="2">
                  <c:v>0.97337770382695499</c:v>
                </c:pt>
                <c:pt idx="3">
                  <c:v>0.84608985024958394</c:v>
                </c:pt>
                <c:pt idx="4">
                  <c:v>0.67387687188019962</c:v>
                </c:pt>
                <c:pt idx="5">
                  <c:v>0.52412645590682194</c:v>
                </c:pt>
                <c:pt idx="6">
                  <c:v>0.46422628951747091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A17-4E45-B3DD-43D17765B472}"/>
            </c:ext>
          </c:extLst>
        </c:ser>
        <c:ser>
          <c:idx val="2"/>
          <c:order val="2"/>
          <c:tx>
            <c:v>Эксперимент_75</c:v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0070C0"/>
              </a:solidFill>
              <a:ln>
                <a:noFill/>
              </a:ln>
            </c:spPr>
          </c:marker>
          <c:xVal>
            <c:numRef>
              <c:f>Water_Binary!$AF$105:$AF$111</c:f>
              <c:numCache>
                <c:formatCode>General</c:formatCode>
                <c:ptCount val="7"/>
                <c:pt idx="0">
                  <c:v>5.07</c:v>
                </c:pt>
                <c:pt idx="1">
                  <c:v>10.130000000000001</c:v>
                </c:pt>
                <c:pt idx="2">
                  <c:v>15.2</c:v>
                </c:pt>
                <c:pt idx="3">
                  <c:v>20.27</c:v>
                </c:pt>
                <c:pt idx="4">
                  <c:v>30.4</c:v>
                </c:pt>
                <c:pt idx="5">
                  <c:v>40.53</c:v>
                </c:pt>
                <c:pt idx="6">
                  <c:v>50.66</c:v>
                </c:pt>
              </c:numCache>
            </c:numRef>
          </c:xVal>
          <c:yVal>
            <c:numRef>
              <c:f>Water_Binary!$AI$105:$AI$111</c:f>
              <c:numCache>
                <c:formatCode>0.000</c:formatCode>
                <c:ptCount val="7"/>
                <c:pt idx="0">
                  <c:v>6.2520798668885194</c:v>
                </c:pt>
                <c:pt idx="1">
                  <c:v>3.7437603993344428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A17-4E45-B3DD-43D17765B472}"/>
            </c:ext>
          </c:extLst>
        </c:ser>
        <c:ser>
          <c:idx val="3"/>
          <c:order val="3"/>
          <c:tx>
            <c:v>Эксперимент_100</c:v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0070C0"/>
              </a:solidFill>
              <a:ln>
                <a:noFill/>
              </a:ln>
            </c:spPr>
          </c:marker>
          <c:xVal>
            <c:numRef>
              <c:f>Water_Binary!$AF$105:$AF$111</c:f>
              <c:numCache>
                <c:formatCode>General</c:formatCode>
                <c:ptCount val="7"/>
                <c:pt idx="0">
                  <c:v>5.07</c:v>
                </c:pt>
                <c:pt idx="1">
                  <c:v>10.130000000000001</c:v>
                </c:pt>
                <c:pt idx="2">
                  <c:v>15.2</c:v>
                </c:pt>
                <c:pt idx="3">
                  <c:v>20.27</c:v>
                </c:pt>
                <c:pt idx="4">
                  <c:v>30.4</c:v>
                </c:pt>
                <c:pt idx="5">
                  <c:v>40.53</c:v>
                </c:pt>
                <c:pt idx="6">
                  <c:v>50.66</c:v>
                </c:pt>
              </c:numCache>
            </c:numRef>
          </c:xVal>
          <c:yVal>
            <c:numRef>
              <c:f>Water_Binary!$AJ$105:$AJ$111</c:f>
              <c:numCache>
                <c:formatCode>0.000</c:formatCode>
                <c:ptCount val="7"/>
                <c:pt idx="0">
                  <c:v>16.098169717138102</c:v>
                </c:pt>
                <c:pt idx="1">
                  <c:v>8.7603993344425959</c:v>
                </c:pt>
                <c:pt idx="2">
                  <c:v>6.4916805324459244</c:v>
                </c:pt>
                <c:pt idx="3">
                  <c:v>5.1289517470881867</c:v>
                </c:pt>
                <c:pt idx="4">
                  <c:v>3.9384359400998337</c:v>
                </c:pt>
                <c:pt idx="5">
                  <c:v>3.3319467554076541</c:v>
                </c:pt>
                <c:pt idx="6">
                  <c:v>3.1821963394342769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A17-4E45-B3DD-43D17765B472}"/>
            </c:ext>
          </c:extLst>
        </c:ser>
        <c:ser>
          <c:idx val="4"/>
          <c:order val="4"/>
          <c:tx>
            <c:v>Эксперимент_150</c:v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0070C0"/>
              </a:solidFill>
              <a:ln>
                <a:noFill/>
              </a:ln>
            </c:spPr>
          </c:marker>
          <c:xVal>
            <c:numRef>
              <c:f>Water_Binary!$AF$105:$AF$111</c:f>
              <c:numCache>
                <c:formatCode>General</c:formatCode>
                <c:ptCount val="7"/>
                <c:pt idx="0">
                  <c:v>5.07</c:v>
                </c:pt>
                <c:pt idx="1">
                  <c:v>10.130000000000001</c:v>
                </c:pt>
                <c:pt idx="2">
                  <c:v>15.2</c:v>
                </c:pt>
                <c:pt idx="3">
                  <c:v>20.27</c:v>
                </c:pt>
                <c:pt idx="4">
                  <c:v>30.4</c:v>
                </c:pt>
                <c:pt idx="5">
                  <c:v>40.53</c:v>
                </c:pt>
                <c:pt idx="6">
                  <c:v>50.66</c:v>
                </c:pt>
              </c:numCache>
            </c:numRef>
          </c:xVal>
          <c:yVal>
            <c:numRef>
              <c:f>Water_Binary!$AK$105:$AK$111</c:f>
              <c:numCache>
                <c:formatCode>0.000</c:formatCode>
                <c:ptCount val="7"/>
                <c:pt idx="0">
                  <c:v>66.638935108153078</c:v>
                </c:pt>
                <c:pt idx="1">
                  <c:v>38.186356073211314</c:v>
                </c:pt>
                <c:pt idx="2">
                  <c:v>26.955074875207984</c:v>
                </c:pt>
                <c:pt idx="3">
                  <c:v>22.462562396006657</c:v>
                </c:pt>
                <c:pt idx="4">
                  <c:v>18.718801996672216</c:v>
                </c:pt>
                <c:pt idx="5">
                  <c:v>15.723793677204659</c:v>
                </c:pt>
                <c:pt idx="6">
                  <c:v>14.226289517470882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A17-4E45-B3DD-43D17765B472}"/>
            </c:ext>
          </c:extLst>
        </c:ser>
        <c:ser>
          <c:idx val="5"/>
          <c:order val="5"/>
          <c:tx>
            <c:v>Эксперимент_200</c:v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0070C0"/>
              </a:solidFill>
              <a:ln>
                <a:noFill/>
              </a:ln>
            </c:spPr>
          </c:marker>
          <c:xVal>
            <c:numRef>
              <c:f>Water_Binary!$AF$114:$AF$120</c:f>
              <c:numCache>
                <c:formatCode>General</c:formatCode>
                <c:ptCount val="7"/>
                <c:pt idx="0">
                  <c:v>5.07</c:v>
                </c:pt>
                <c:pt idx="1">
                  <c:v>10.130000000000001</c:v>
                </c:pt>
                <c:pt idx="2">
                  <c:v>15.2</c:v>
                </c:pt>
                <c:pt idx="3">
                  <c:v>20.27</c:v>
                </c:pt>
                <c:pt idx="4">
                  <c:v>30.4</c:v>
                </c:pt>
                <c:pt idx="5">
                  <c:v>40.53</c:v>
                </c:pt>
                <c:pt idx="6">
                  <c:v>50.66</c:v>
                </c:pt>
              </c:numCache>
            </c:numRef>
          </c:xVal>
          <c:yVal>
            <c:numRef>
              <c:f>Water_Binary!$AG$114:$AG$120</c:f>
              <c:numCache>
                <c:formatCode>0.000</c:formatCode>
                <c:ptCount val="7"/>
                <c:pt idx="0">
                  <c:v>165.47420965058237</c:v>
                </c:pt>
                <c:pt idx="1">
                  <c:v>107.07154742096506</c:v>
                </c:pt>
                <c:pt idx="2">
                  <c:v>91.347753743760393</c:v>
                </c:pt>
                <c:pt idx="3">
                  <c:v>78.618968386023298</c:v>
                </c:pt>
                <c:pt idx="4">
                  <c:v>61.397670549084857</c:v>
                </c:pt>
                <c:pt idx="5">
                  <c:v>50.915141430948431</c:v>
                </c:pt>
                <c:pt idx="6">
                  <c:v>44.176372712146417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A17-4E45-B3DD-43D17765B472}"/>
            </c:ext>
          </c:extLst>
        </c:ser>
        <c:ser>
          <c:idx val="6"/>
          <c:order val="6"/>
          <c:tx>
            <c:v>расчет_25</c:v>
          </c:tx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Water_Binary!$AM$105:$AM$111</c:f>
              <c:numCache>
                <c:formatCode>General</c:formatCode>
                <c:ptCount val="7"/>
                <c:pt idx="0">
                  <c:v>5.07</c:v>
                </c:pt>
                <c:pt idx="1">
                  <c:v>10.130000000000001</c:v>
                </c:pt>
                <c:pt idx="2">
                  <c:v>15.2</c:v>
                </c:pt>
                <c:pt idx="3">
                  <c:v>20.27</c:v>
                </c:pt>
                <c:pt idx="4">
                  <c:v>30.4</c:v>
                </c:pt>
                <c:pt idx="5">
                  <c:v>40.53</c:v>
                </c:pt>
                <c:pt idx="6">
                  <c:v>50.66</c:v>
                </c:pt>
              </c:numCache>
            </c:numRef>
          </c:xVal>
          <c:yVal>
            <c:numRef>
              <c:f>Water_Binary!$AN$105:$AN$111</c:f>
              <c:numCache>
                <c:formatCode>0.000</c:formatCode>
                <c:ptCount val="7"/>
                <c:pt idx="0">
                  <c:v>0.50341055620315234</c:v>
                </c:pt>
                <c:pt idx="1">
                  <c:v>0.31384430374449057</c:v>
                </c:pt>
                <c:pt idx="2">
                  <c:v>0.25466529601981902</c:v>
                </c:pt>
                <c:pt idx="3">
                  <c:v>0.22723783231343803</c:v>
                </c:pt>
                <c:pt idx="4">
                  <c:v>0.20204544396330379</c:v>
                </c:pt>
                <c:pt idx="5">
                  <c:v>0.18999287049247188</c:v>
                </c:pt>
                <c:pt idx="6">
                  <c:v>0.18234981415003054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9A17-4E45-B3DD-43D17765B472}"/>
            </c:ext>
          </c:extLst>
        </c:ser>
        <c:ser>
          <c:idx val="7"/>
          <c:order val="7"/>
          <c:tx>
            <c:v>расчет_50</c:v>
          </c:tx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Water_Binary!$AM$105:$AM$111</c:f>
              <c:numCache>
                <c:formatCode>General</c:formatCode>
                <c:ptCount val="7"/>
                <c:pt idx="0">
                  <c:v>5.07</c:v>
                </c:pt>
                <c:pt idx="1">
                  <c:v>10.130000000000001</c:v>
                </c:pt>
                <c:pt idx="2">
                  <c:v>15.2</c:v>
                </c:pt>
                <c:pt idx="3">
                  <c:v>20.27</c:v>
                </c:pt>
                <c:pt idx="4">
                  <c:v>30.4</c:v>
                </c:pt>
                <c:pt idx="5">
                  <c:v>40.53</c:v>
                </c:pt>
                <c:pt idx="6">
                  <c:v>50.66</c:v>
                </c:pt>
              </c:numCache>
            </c:numRef>
          </c:xVal>
          <c:yVal>
            <c:numRef>
              <c:f>Water_Binary!$AO$105:$AO$111</c:f>
              <c:numCache>
                <c:formatCode>0.000</c:formatCode>
                <c:ptCount val="7"/>
                <c:pt idx="0">
                  <c:v>1.9536153614315357</c:v>
                </c:pt>
                <c:pt idx="1">
                  <c:v>1.1556957324223875</c:v>
                </c:pt>
                <c:pt idx="2">
                  <c:v>0.89598378168374881</c:v>
                </c:pt>
                <c:pt idx="3">
                  <c:v>0.76915298950660538</c:v>
                </c:pt>
                <c:pt idx="4">
                  <c:v>0.64431092286427394</c:v>
                </c:pt>
                <c:pt idx="5">
                  <c:v>0.58075031078186912</c:v>
                </c:pt>
                <c:pt idx="6">
                  <c:v>0.54031043140192259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9A17-4E45-B3DD-43D17765B472}"/>
            </c:ext>
          </c:extLst>
        </c:ser>
        <c:ser>
          <c:idx val="8"/>
          <c:order val="8"/>
          <c:tx>
            <c:v>расчет_75</c:v>
          </c:tx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Water_Binary!$AM$105:$AM$111</c:f>
              <c:numCache>
                <c:formatCode>General</c:formatCode>
                <c:ptCount val="7"/>
                <c:pt idx="0">
                  <c:v>5.07</c:v>
                </c:pt>
                <c:pt idx="1">
                  <c:v>10.130000000000001</c:v>
                </c:pt>
                <c:pt idx="2">
                  <c:v>15.2</c:v>
                </c:pt>
                <c:pt idx="3">
                  <c:v>20.27</c:v>
                </c:pt>
                <c:pt idx="4">
                  <c:v>30.4</c:v>
                </c:pt>
                <c:pt idx="5">
                  <c:v>40.53</c:v>
                </c:pt>
                <c:pt idx="6">
                  <c:v>50.66</c:v>
                </c:pt>
              </c:numCache>
            </c:numRef>
          </c:xVal>
          <c:yVal>
            <c:numRef>
              <c:f>Water_Binary!$AP$105:$AP$111</c:f>
              <c:numCache>
                <c:formatCode>0.000</c:formatCode>
                <c:ptCount val="7"/>
                <c:pt idx="0">
                  <c:v>6.126998179478</c:v>
                </c:pt>
                <c:pt idx="1">
                  <c:v>3.4833186442837971</c:v>
                </c:pt>
                <c:pt idx="2">
                  <c:v>2.610847976128635</c:v>
                </c:pt>
                <c:pt idx="3">
                  <c:v>2.177374763251235</c:v>
                </c:pt>
                <c:pt idx="4">
                  <c:v>1.7423043204808584</c:v>
                </c:pt>
                <c:pt idx="5">
                  <c:v>1.5181994188158274</c:v>
                </c:pt>
                <c:pt idx="6">
                  <c:v>1.3767364523394012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9A17-4E45-B3DD-43D17765B472}"/>
            </c:ext>
          </c:extLst>
        </c:ser>
        <c:ser>
          <c:idx val="9"/>
          <c:order val="9"/>
          <c:tx>
            <c:v>расчет_100</c:v>
          </c:tx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Water_Binary!$AM$105:$AM$111</c:f>
              <c:numCache>
                <c:formatCode>General</c:formatCode>
                <c:ptCount val="7"/>
                <c:pt idx="0">
                  <c:v>5.07</c:v>
                </c:pt>
                <c:pt idx="1">
                  <c:v>10.130000000000001</c:v>
                </c:pt>
                <c:pt idx="2">
                  <c:v>15.2</c:v>
                </c:pt>
                <c:pt idx="3">
                  <c:v>20.27</c:v>
                </c:pt>
                <c:pt idx="4">
                  <c:v>30.4</c:v>
                </c:pt>
                <c:pt idx="5">
                  <c:v>40.53</c:v>
                </c:pt>
                <c:pt idx="6">
                  <c:v>50.66</c:v>
                </c:pt>
              </c:numCache>
            </c:numRef>
          </c:xVal>
          <c:yVal>
            <c:numRef>
              <c:f>Water_Binary!$AQ$105:$AQ$111</c:f>
              <c:numCache>
                <c:formatCode>0.000</c:formatCode>
                <c:ptCount val="7"/>
                <c:pt idx="0">
                  <c:v>16.330564520801865</c:v>
                </c:pt>
                <c:pt idx="1">
                  <c:v>8.9773652741222723</c:v>
                </c:pt>
                <c:pt idx="2">
                  <c:v>6.5528510344139148</c:v>
                </c:pt>
                <c:pt idx="3">
                  <c:v>5.3435518867245317</c:v>
                </c:pt>
                <c:pt idx="4">
                  <c:v>4.1248146638746999</c:v>
                </c:pt>
                <c:pt idx="5">
                  <c:v>3.4977502744104974</c:v>
                </c:pt>
                <c:pt idx="6">
                  <c:v>3.1055661178842402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9A17-4E45-B3DD-43D17765B472}"/>
            </c:ext>
          </c:extLst>
        </c:ser>
        <c:ser>
          <c:idx val="10"/>
          <c:order val="10"/>
          <c:tx>
            <c:v>расчет_150</c:v>
          </c:tx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Water_Binary!$AM$105:$AM$111</c:f>
              <c:numCache>
                <c:formatCode>General</c:formatCode>
                <c:ptCount val="7"/>
                <c:pt idx="0">
                  <c:v>5.07</c:v>
                </c:pt>
                <c:pt idx="1">
                  <c:v>10.130000000000001</c:v>
                </c:pt>
                <c:pt idx="2">
                  <c:v>15.2</c:v>
                </c:pt>
                <c:pt idx="3">
                  <c:v>20.27</c:v>
                </c:pt>
                <c:pt idx="4">
                  <c:v>30.4</c:v>
                </c:pt>
                <c:pt idx="5">
                  <c:v>40.53</c:v>
                </c:pt>
                <c:pt idx="6">
                  <c:v>50.66</c:v>
                </c:pt>
              </c:numCache>
            </c:numRef>
          </c:xVal>
          <c:yVal>
            <c:numRef>
              <c:f>Water_Binary!$AR$105:$AR$111</c:f>
              <c:numCache>
                <c:formatCode>0.000</c:formatCode>
                <c:ptCount val="7"/>
                <c:pt idx="0">
                  <c:v>84.143518826575928</c:v>
                </c:pt>
                <c:pt idx="1">
                  <c:v>42.843107472519208</c:v>
                </c:pt>
                <c:pt idx="2">
                  <c:v>29.873966501820142</c:v>
                </c:pt>
                <c:pt idx="3">
                  <c:v>23.509289045346193</c:v>
                </c:pt>
                <c:pt idx="4">
                  <c:v>17.173143696726708</c:v>
                </c:pt>
                <c:pt idx="5">
                  <c:v>13.965796660443194</c:v>
                </c:pt>
                <c:pt idx="6">
                  <c:v>11.997667014600479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9A17-4E45-B3DD-43D17765B472}"/>
            </c:ext>
          </c:extLst>
        </c:ser>
        <c:ser>
          <c:idx val="11"/>
          <c:order val="11"/>
          <c:tx>
            <c:v>расчет_200</c:v>
          </c:tx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Water_Binary!$AM$114:$AM$120</c:f>
              <c:numCache>
                <c:formatCode>General</c:formatCode>
                <c:ptCount val="7"/>
                <c:pt idx="0">
                  <c:v>5.07</c:v>
                </c:pt>
                <c:pt idx="1">
                  <c:v>10.130000000000001</c:v>
                </c:pt>
                <c:pt idx="2">
                  <c:v>15.2</c:v>
                </c:pt>
                <c:pt idx="3">
                  <c:v>20.27</c:v>
                </c:pt>
                <c:pt idx="4">
                  <c:v>30.4</c:v>
                </c:pt>
                <c:pt idx="5">
                  <c:v>40.53</c:v>
                </c:pt>
                <c:pt idx="6">
                  <c:v>50.66</c:v>
                </c:pt>
              </c:numCache>
            </c:numRef>
          </c:xVal>
          <c:yVal>
            <c:numRef>
              <c:f>Water_Binary!$AN$114:$AN$120</c:f>
              <c:numCache>
                <c:formatCode>0.000</c:formatCode>
                <c:ptCount val="7"/>
                <c:pt idx="0">
                  <c:v>374.59008222756376</c:v>
                </c:pt>
                <c:pt idx="1">
                  <c:v>160.30963737286879</c:v>
                </c:pt>
                <c:pt idx="2">
                  <c:v>104.87051273073331</c:v>
                </c:pt>
                <c:pt idx="3">
                  <c:v>79.352949731899969</c:v>
                </c:pt>
                <c:pt idx="4">
                  <c:v>55.020536671096735</c:v>
                </c:pt>
                <c:pt idx="5">
                  <c:v>43.148651467051153</c:v>
                </c:pt>
                <c:pt idx="6">
                  <c:v>36.048156649352229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9A17-4E45-B3DD-43D17765B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1479744"/>
        <c:axId val="1"/>
      </c:scatterChart>
      <c:valAx>
        <c:axId val="4814797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ysClr val="windowText" lastClr="000000"/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200" b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Давление, МПа</a:t>
                </a:r>
              </a:p>
            </c:rich>
          </c:tx>
          <c:layout>
            <c:manualLayout>
              <c:xMode val="edge"/>
              <c:yMode val="edge"/>
              <c:x val="0.43567501853432977"/>
              <c:y val="0.9507500109972286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ru-RU"/>
          </a:p>
        </c:txPr>
        <c:crossAx val="1"/>
        <c:crossesAt val="0.1"/>
        <c:crossBetween val="midCat"/>
      </c:valAx>
      <c:valAx>
        <c:axId val="1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ru-RU" sz="1200" b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Влагосодержание, г/м</a:t>
                </a:r>
                <a:r>
                  <a:rPr lang="ru-RU" sz="1200" b="0" baseline="3000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3</a:t>
                </a:r>
              </a:p>
            </c:rich>
          </c:tx>
          <c:layout>
            <c:manualLayout>
              <c:xMode val="edge"/>
              <c:yMode val="edge"/>
              <c:x val="1.6438386968697188E-2"/>
              <c:y val="0.34994648015366797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81479744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1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869072301214147"/>
          <c:y val="3.2303516325054731E-2"/>
          <c:w val="0.85722585396249928"/>
          <c:h val="0.83663009898576679"/>
        </c:manualLayout>
      </c:layout>
      <c:scatterChart>
        <c:scatterStyle val="lineMarker"/>
        <c:varyColors val="0"/>
        <c:ser>
          <c:idx val="0"/>
          <c:order val="0"/>
          <c:tx>
            <c:v>Эксперимент_37,8</c:v>
          </c:tx>
          <c:spPr>
            <a:ln>
              <a:noFill/>
            </a:ln>
          </c:spPr>
          <c:marker>
            <c:symbol val="circle"/>
            <c:size val="7"/>
            <c:spPr>
              <a:solidFill>
                <a:srgbClr val="0070C0"/>
              </a:solidFill>
              <a:ln>
                <a:noFill/>
              </a:ln>
            </c:spPr>
          </c:marker>
          <c:xVal>
            <c:numRef>
              <c:f>Water_Binary!$AF$161:$AF$163</c:f>
              <c:numCache>
                <c:formatCode>General</c:formatCode>
                <c:ptCount val="3"/>
                <c:pt idx="0">
                  <c:v>1.01</c:v>
                </c:pt>
                <c:pt idx="1">
                  <c:v>2.0299999999999998</c:v>
                </c:pt>
                <c:pt idx="2">
                  <c:v>2.09</c:v>
                </c:pt>
              </c:numCache>
            </c:numRef>
          </c:xVal>
          <c:yVal>
            <c:numRef>
              <c:f>Water_Binary!$AG$161:$AG$163</c:f>
              <c:numCache>
                <c:formatCode>0.000</c:formatCode>
                <c:ptCount val="3"/>
                <c:pt idx="0">
                  <c:v>5.690515806988353</c:v>
                </c:pt>
                <c:pt idx="1">
                  <c:v>3.4742096505823628</c:v>
                </c:pt>
                <c:pt idx="2">
                  <c:v>2.9950083194675545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D2-4CFD-AE79-E4363E584355}"/>
            </c:ext>
          </c:extLst>
        </c:ser>
        <c:ser>
          <c:idx val="1"/>
          <c:order val="1"/>
          <c:tx>
            <c:v>Эксперимент_71,1</c:v>
          </c:tx>
          <c:spPr>
            <a:ln>
              <a:noFill/>
            </a:ln>
          </c:spPr>
          <c:marker>
            <c:symbol val="circle"/>
            <c:size val="7"/>
            <c:spPr>
              <a:solidFill>
                <a:srgbClr val="0070C0"/>
              </a:solidFill>
              <a:ln>
                <a:noFill/>
              </a:ln>
            </c:spPr>
          </c:marker>
          <c:xVal>
            <c:numRef>
              <c:f>Water_Binary!$AF$161:$AF$167</c:f>
              <c:numCache>
                <c:formatCode>General</c:formatCode>
                <c:ptCount val="7"/>
                <c:pt idx="0">
                  <c:v>1.01</c:v>
                </c:pt>
                <c:pt idx="1">
                  <c:v>2.0299999999999998</c:v>
                </c:pt>
                <c:pt idx="2">
                  <c:v>2.09</c:v>
                </c:pt>
                <c:pt idx="3">
                  <c:v>3.04</c:v>
                </c:pt>
                <c:pt idx="4">
                  <c:v>4.05</c:v>
                </c:pt>
                <c:pt idx="5">
                  <c:v>5.07</c:v>
                </c:pt>
                <c:pt idx="6">
                  <c:v>5.24</c:v>
                </c:pt>
              </c:numCache>
            </c:numRef>
          </c:xVal>
          <c:yVal>
            <c:numRef>
              <c:f>Water_Binary!$AH$161:$AH$167</c:f>
              <c:numCache>
                <c:formatCode>0.000</c:formatCode>
                <c:ptCount val="7"/>
                <c:pt idx="0">
                  <c:v>27.404326123128122</c:v>
                </c:pt>
                <c:pt idx="1">
                  <c:v>15.049916805324461</c:v>
                </c:pt>
                <c:pt idx="3">
                  <c:v>11.530782029950084</c:v>
                </c:pt>
                <c:pt idx="4">
                  <c:v>10.183028286189684</c:v>
                </c:pt>
                <c:pt idx="5">
                  <c:v>9.8835274542429286</c:v>
                </c:pt>
                <c:pt idx="6">
                  <c:v>9.8086522462562407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DD2-4CFD-AE79-E4363E584355}"/>
            </c:ext>
          </c:extLst>
        </c:ser>
        <c:ser>
          <c:idx val="2"/>
          <c:order val="2"/>
          <c:tx>
            <c:v>Эксперимент_104,4</c:v>
          </c:tx>
          <c:spPr>
            <a:ln>
              <a:noFill/>
            </a:ln>
          </c:spPr>
          <c:marker>
            <c:symbol val="circle"/>
            <c:size val="7"/>
            <c:spPr>
              <a:solidFill>
                <a:srgbClr val="0070C0"/>
              </a:solidFill>
              <a:ln>
                <a:noFill/>
              </a:ln>
            </c:spPr>
          </c:marker>
          <c:xVal>
            <c:numRef>
              <c:f>Water_Binary!$AF$162:$AF$173</c:f>
              <c:numCache>
                <c:formatCode>General</c:formatCode>
                <c:ptCount val="12"/>
                <c:pt idx="0">
                  <c:v>2.0299999999999998</c:v>
                </c:pt>
                <c:pt idx="1">
                  <c:v>2.09</c:v>
                </c:pt>
                <c:pt idx="2">
                  <c:v>3.04</c:v>
                </c:pt>
                <c:pt idx="3">
                  <c:v>4.05</c:v>
                </c:pt>
                <c:pt idx="4">
                  <c:v>5.07</c:v>
                </c:pt>
                <c:pt idx="5">
                  <c:v>5.24</c:v>
                </c:pt>
                <c:pt idx="6">
                  <c:v>7.6</c:v>
                </c:pt>
                <c:pt idx="7">
                  <c:v>10.130000000000001</c:v>
                </c:pt>
                <c:pt idx="8">
                  <c:v>12.66</c:v>
                </c:pt>
                <c:pt idx="9">
                  <c:v>15.2</c:v>
                </c:pt>
                <c:pt idx="10">
                  <c:v>17.73</c:v>
                </c:pt>
                <c:pt idx="11">
                  <c:v>20.27</c:v>
                </c:pt>
              </c:numCache>
            </c:numRef>
          </c:xVal>
          <c:yVal>
            <c:numRef>
              <c:f>Water_Binary!$AI$162:$AI$173</c:f>
              <c:numCache>
                <c:formatCode>0.000</c:formatCode>
                <c:ptCount val="12"/>
                <c:pt idx="0">
                  <c:v>55.856905158069885</c:v>
                </c:pt>
                <c:pt idx="2">
                  <c:v>35.940099833610653</c:v>
                </c:pt>
                <c:pt idx="3">
                  <c:v>30.249584026622294</c:v>
                </c:pt>
                <c:pt idx="4">
                  <c:v>27.329450915141429</c:v>
                </c:pt>
                <c:pt idx="6">
                  <c:v>24.933444259567391</c:v>
                </c:pt>
                <c:pt idx="7">
                  <c:v>25.757071547420963</c:v>
                </c:pt>
                <c:pt idx="8">
                  <c:v>28.153078202995012</c:v>
                </c:pt>
                <c:pt idx="9">
                  <c:v>31.821963394342763</c:v>
                </c:pt>
                <c:pt idx="10">
                  <c:v>36.089850249584032</c:v>
                </c:pt>
                <c:pt idx="11">
                  <c:v>40.432612312811983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DD2-4CFD-AE79-E4363E584355}"/>
            </c:ext>
          </c:extLst>
        </c:ser>
        <c:ser>
          <c:idx val="3"/>
          <c:order val="3"/>
          <c:tx>
            <c:v>Эксперимент_137,8</c:v>
          </c:tx>
          <c:spPr>
            <a:ln>
              <a:noFill/>
            </a:ln>
          </c:spPr>
          <c:marker>
            <c:symbol val="circle"/>
            <c:size val="7"/>
            <c:spPr>
              <a:solidFill>
                <a:srgbClr val="0070C0"/>
              </a:solidFill>
              <a:ln>
                <a:noFill/>
              </a:ln>
            </c:spPr>
          </c:marker>
          <c:xVal>
            <c:numRef>
              <c:f>Water_Binary!$AF$162:$AF$173</c:f>
              <c:numCache>
                <c:formatCode>General</c:formatCode>
                <c:ptCount val="12"/>
                <c:pt idx="0">
                  <c:v>2.0299999999999998</c:v>
                </c:pt>
                <c:pt idx="1">
                  <c:v>2.09</c:v>
                </c:pt>
                <c:pt idx="2">
                  <c:v>3.04</c:v>
                </c:pt>
                <c:pt idx="3">
                  <c:v>4.05</c:v>
                </c:pt>
                <c:pt idx="4">
                  <c:v>5.07</c:v>
                </c:pt>
                <c:pt idx="5">
                  <c:v>5.24</c:v>
                </c:pt>
                <c:pt idx="6">
                  <c:v>7.6</c:v>
                </c:pt>
                <c:pt idx="7">
                  <c:v>10.130000000000001</c:v>
                </c:pt>
                <c:pt idx="8">
                  <c:v>12.66</c:v>
                </c:pt>
                <c:pt idx="9">
                  <c:v>15.2</c:v>
                </c:pt>
                <c:pt idx="10">
                  <c:v>17.73</c:v>
                </c:pt>
                <c:pt idx="11">
                  <c:v>20.27</c:v>
                </c:pt>
              </c:numCache>
            </c:numRef>
          </c:xVal>
          <c:yVal>
            <c:numRef>
              <c:f>Water_Binary!$AJ$162:$AJ$173</c:f>
              <c:numCache>
                <c:formatCode>0.000</c:formatCode>
                <c:ptCount val="12"/>
                <c:pt idx="0">
                  <c:v>137.77038269550749</c:v>
                </c:pt>
                <c:pt idx="2">
                  <c:v>96.963394342762072</c:v>
                </c:pt>
                <c:pt idx="3">
                  <c:v>76.372712146422629</c:v>
                </c:pt>
                <c:pt idx="4">
                  <c:v>65.890183028286188</c:v>
                </c:pt>
                <c:pt idx="6">
                  <c:v>54.28452579034942</c:v>
                </c:pt>
                <c:pt idx="7">
                  <c:v>50.166389351081534</c:v>
                </c:pt>
                <c:pt idx="8">
                  <c:v>50.540765391014979</c:v>
                </c:pt>
                <c:pt idx="9">
                  <c:v>54.28452579034942</c:v>
                </c:pt>
                <c:pt idx="10">
                  <c:v>61.397670549084857</c:v>
                </c:pt>
                <c:pt idx="11">
                  <c:v>66.26455906821964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DD2-4CFD-AE79-E4363E584355}"/>
            </c:ext>
          </c:extLst>
        </c:ser>
        <c:ser>
          <c:idx val="4"/>
          <c:order val="4"/>
          <c:tx>
            <c:v>Эксперимент_171,1</c:v>
          </c:tx>
          <c:spPr>
            <a:ln>
              <a:noFill/>
            </a:ln>
          </c:spPr>
          <c:marker>
            <c:symbol val="circle"/>
            <c:size val="7"/>
            <c:spPr>
              <a:solidFill>
                <a:srgbClr val="0070C0"/>
              </a:solidFill>
              <a:ln>
                <a:noFill/>
              </a:ln>
            </c:spPr>
          </c:marker>
          <c:xVal>
            <c:numRef>
              <c:f>Water_Binary!$AF$162:$AF$173</c:f>
              <c:numCache>
                <c:formatCode>General</c:formatCode>
                <c:ptCount val="12"/>
                <c:pt idx="0">
                  <c:v>2.0299999999999998</c:v>
                </c:pt>
                <c:pt idx="1">
                  <c:v>2.09</c:v>
                </c:pt>
                <c:pt idx="2">
                  <c:v>3.04</c:v>
                </c:pt>
                <c:pt idx="3">
                  <c:v>4.05</c:v>
                </c:pt>
                <c:pt idx="4">
                  <c:v>5.07</c:v>
                </c:pt>
                <c:pt idx="5">
                  <c:v>5.24</c:v>
                </c:pt>
                <c:pt idx="6">
                  <c:v>7.6</c:v>
                </c:pt>
                <c:pt idx="7">
                  <c:v>10.130000000000001</c:v>
                </c:pt>
                <c:pt idx="8">
                  <c:v>12.66</c:v>
                </c:pt>
                <c:pt idx="9">
                  <c:v>15.2</c:v>
                </c:pt>
                <c:pt idx="10">
                  <c:v>17.73</c:v>
                </c:pt>
                <c:pt idx="11">
                  <c:v>20.27</c:v>
                </c:pt>
              </c:numCache>
            </c:numRef>
          </c:xVal>
          <c:yVal>
            <c:numRef>
              <c:f>Water_Binary!$AK$162:$AK$173</c:f>
              <c:numCache>
                <c:formatCode>0.000</c:formatCode>
                <c:ptCount val="12"/>
                <c:pt idx="0">
                  <c:v>309.98336106489188</c:v>
                </c:pt>
                <c:pt idx="2">
                  <c:v>217.13810316139768</c:v>
                </c:pt>
                <c:pt idx="3">
                  <c:v>169.21797004991683</c:v>
                </c:pt>
                <c:pt idx="4">
                  <c:v>141.13976705490848</c:v>
                </c:pt>
                <c:pt idx="6">
                  <c:v>106.32279534109816</c:v>
                </c:pt>
                <c:pt idx="7">
                  <c:v>94.342762063227951</c:v>
                </c:pt>
                <c:pt idx="8">
                  <c:v>90.599001663893517</c:v>
                </c:pt>
                <c:pt idx="9">
                  <c:v>91.347753743760393</c:v>
                </c:pt>
                <c:pt idx="10">
                  <c:v>95.840266222961745</c:v>
                </c:pt>
                <c:pt idx="11">
                  <c:v>140.01663893510818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DD2-4CFD-AE79-E4363E584355}"/>
            </c:ext>
          </c:extLst>
        </c:ser>
        <c:ser>
          <c:idx val="5"/>
          <c:order val="5"/>
          <c:tx>
            <c:v>расчет_37,8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Water_Binary!$AM$161:$AM$173</c:f>
              <c:numCache>
                <c:formatCode>General</c:formatCode>
                <c:ptCount val="13"/>
                <c:pt idx="0">
                  <c:v>1.01</c:v>
                </c:pt>
                <c:pt idx="1">
                  <c:v>2.0299999999999998</c:v>
                </c:pt>
                <c:pt idx="2">
                  <c:v>2.09</c:v>
                </c:pt>
                <c:pt idx="3">
                  <c:v>3.04</c:v>
                </c:pt>
                <c:pt idx="4">
                  <c:v>4.05</c:v>
                </c:pt>
                <c:pt idx="5">
                  <c:v>5.07</c:v>
                </c:pt>
                <c:pt idx="6">
                  <c:v>5.24</c:v>
                </c:pt>
                <c:pt idx="7">
                  <c:v>7.6</c:v>
                </c:pt>
                <c:pt idx="8">
                  <c:v>10.130000000000001</c:v>
                </c:pt>
                <c:pt idx="9">
                  <c:v>12.66</c:v>
                </c:pt>
                <c:pt idx="10">
                  <c:v>15.2</c:v>
                </c:pt>
                <c:pt idx="11">
                  <c:v>17.73</c:v>
                </c:pt>
                <c:pt idx="12">
                  <c:v>20.27</c:v>
                </c:pt>
              </c:numCache>
            </c:numRef>
          </c:xVal>
          <c:yVal>
            <c:numRef>
              <c:f>Water_Binary!$AN$161:$AN$173</c:f>
              <c:numCache>
                <c:formatCode>0.000</c:formatCode>
                <c:ptCount val="13"/>
                <c:pt idx="0">
                  <c:v>4.7445901405337434</c:v>
                </c:pt>
                <c:pt idx="1">
                  <c:v>2.6637455674291877</c:v>
                </c:pt>
                <c:pt idx="2">
                  <c:v>2.6071521786061047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7DD2-4CFD-AE79-E4363E584355}"/>
            </c:ext>
          </c:extLst>
        </c:ser>
        <c:ser>
          <c:idx val="6"/>
          <c:order val="6"/>
          <c:tx>
            <c:v>расчет_71,1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Water_Binary!$AM$161:$AM$173</c:f>
              <c:numCache>
                <c:formatCode>General</c:formatCode>
                <c:ptCount val="13"/>
                <c:pt idx="0">
                  <c:v>1.01</c:v>
                </c:pt>
                <c:pt idx="1">
                  <c:v>2.0299999999999998</c:v>
                </c:pt>
                <c:pt idx="2">
                  <c:v>2.09</c:v>
                </c:pt>
                <c:pt idx="3">
                  <c:v>3.04</c:v>
                </c:pt>
                <c:pt idx="4">
                  <c:v>4.05</c:v>
                </c:pt>
                <c:pt idx="5">
                  <c:v>5.07</c:v>
                </c:pt>
                <c:pt idx="6">
                  <c:v>5.24</c:v>
                </c:pt>
                <c:pt idx="7">
                  <c:v>7.6</c:v>
                </c:pt>
                <c:pt idx="8">
                  <c:v>10.130000000000001</c:v>
                </c:pt>
                <c:pt idx="9">
                  <c:v>12.66</c:v>
                </c:pt>
                <c:pt idx="10">
                  <c:v>15.2</c:v>
                </c:pt>
                <c:pt idx="11">
                  <c:v>17.73</c:v>
                </c:pt>
                <c:pt idx="12">
                  <c:v>20.27</c:v>
                </c:pt>
              </c:numCache>
            </c:numRef>
          </c:xVal>
          <c:yVal>
            <c:numRef>
              <c:f>Water_Binary!$AO$161:$AO$173</c:f>
              <c:numCache>
                <c:formatCode>0.000</c:formatCode>
                <c:ptCount val="13"/>
                <c:pt idx="0">
                  <c:v>24.901559864469355</c:v>
                </c:pt>
                <c:pt idx="1">
                  <c:v>13.324580635131559</c:v>
                </c:pt>
                <c:pt idx="2">
                  <c:v>13.006195437735085</c:v>
                </c:pt>
                <c:pt idx="3">
                  <c:v>9.7264773809874114</c:v>
                </c:pt>
                <c:pt idx="4">
                  <c:v>8.0798800867863356</c:v>
                </c:pt>
                <c:pt idx="5">
                  <c:v>7.2795140831241802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7DD2-4CFD-AE79-E4363E584355}"/>
            </c:ext>
          </c:extLst>
        </c:ser>
        <c:ser>
          <c:idx val="7"/>
          <c:order val="7"/>
          <c:tx>
            <c:v>расчет_104,4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Water_Binary!$AM$161:$AM$173</c:f>
              <c:numCache>
                <c:formatCode>General</c:formatCode>
                <c:ptCount val="13"/>
                <c:pt idx="0">
                  <c:v>1.01</c:v>
                </c:pt>
                <c:pt idx="1">
                  <c:v>2.0299999999999998</c:v>
                </c:pt>
                <c:pt idx="2">
                  <c:v>2.09</c:v>
                </c:pt>
                <c:pt idx="3">
                  <c:v>3.04</c:v>
                </c:pt>
                <c:pt idx="4">
                  <c:v>4.05</c:v>
                </c:pt>
                <c:pt idx="5">
                  <c:v>5.07</c:v>
                </c:pt>
                <c:pt idx="6">
                  <c:v>5.24</c:v>
                </c:pt>
                <c:pt idx="7">
                  <c:v>7.6</c:v>
                </c:pt>
                <c:pt idx="8">
                  <c:v>10.130000000000001</c:v>
                </c:pt>
                <c:pt idx="9">
                  <c:v>12.66</c:v>
                </c:pt>
                <c:pt idx="10">
                  <c:v>15.2</c:v>
                </c:pt>
                <c:pt idx="11">
                  <c:v>17.73</c:v>
                </c:pt>
                <c:pt idx="12">
                  <c:v>20.27</c:v>
                </c:pt>
              </c:numCache>
            </c:numRef>
          </c:xVal>
          <c:yVal>
            <c:numRef>
              <c:f>Water_Binary!$AP$161:$AP$173</c:f>
              <c:numCache>
                <c:formatCode>0.000</c:formatCode>
                <c:ptCount val="13"/>
                <c:pt idx="0">
                  <c:v>100.46875307566786</c:v>
                </c:pt>
                <c:pt idx="1">
                  <c:v>50.185048943801291</c:v>
                </c:pt>
                <c:pt idx="2">
                  <c:v>48.853816372832753</c:v>
                </c:pt>
                <c:pt idx="3">
                  <c:v>35.17439179646162</c:v>
                </c:pt>
                <c:pt idx="4">
                  <c:v>28.09582148489007</c:v>
                </c:pt>
                <c:pt idx="5">
                  <c:v>24.115357748135597</c:v>
                </c:pt>
                <c:pt idx="6">
                  <c:v>23.634022766545229</c:v>
                </c:pt>
                <c:pt idx="7">
                  <c:v>20.149814664820195</c:v>
                </c:pt>
                <c:pt idx="8">
                  <c:v>31.039430504969634</c:v>
                </c:pt>
                <c:pt idx="9">
                  <c:v>34.191285565425986</c:v>
                </c:pt>
                <c:pt idx="10">
                  <c:v>35.83484354139906</c:v>
                </c:pt>
                <c:pt idx="11">
                  <c:v>36.946980424410128</c:v>
                </c:pt>
                <c:pt idx="12">
                  <c:v>37.77972524862269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7DD2-4CFD-AE79-E4363E584355}"/>
            </c:ext>
          </c:extLst>
        </c:ser>
        <c:ser>
          <c:idx val="8"/>
          <c:order val="8"/>
          <c:tx>
            <c:v>расчет_137,8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Water_Binary!$AM$161:$AM$173</c:f>
              <c:numCache>
                <c:formatCode>General</c:formatCode>
                <c:ptCount val="13"/>
                <c:pt idx="0">
                  <c:v>1.01</c:v>
                </c:pt>
                <c:pt idx="1">
                  <c:v>2.0299999999999998</c:v>
                </c:pt>
                <c:pt idx="2">
                  <c:v>2.09</c:v>
                </c:pt>
                <c:pt idx="3">
                  <c:v>3.04</c:v>
                </c:pt>
                <c:pt idx="4">
                  <c:v>4.05</c:v>
                </c:pt>
                <c:pt idx="5">
                  <c:v>5.07</c:v>
                </c:pt>
                <c:pt idx="6">
                  <c:v>5.24</c:v>
                </c:pt>
                <c:pt idx="7">
                  <c:v>7.6</c:v>
                </c:pt>
                <c:pt idx="8">
                  <c:v>10.130000000000001</c:v>
                </c:pt>
                <c:pt idx="9">
                  <c:v>12.66</c:v>
                </c:pt>
                <c:pt idx="10">
                  <c:v>15.2</c:v>
                </c:pt>
                <c:pt idx="11">
                  <c:v>17.73</c:v>
                </c:pt>
                <c:pt idx="12">
                  <c:v>20.27</c:v>
                </c:pt>
              </c:numCache>
            </c:numRef>
          </c:xVal>
          <c:yVal>
            <c:numRef>
              <c:f>Water_Binary!$AQ$161:$AQ$173</c:f>
              <c:numCache>
                <c:formatCode>0.000</c:formatCode>
                <c:ptCount val="13"/>
                <c:pt idx="0">
                  <c:v>387.69105227645287</c:v>
                </c:pt>
                <c:pt idx="1">
                  <c:v>162.73514659231745</c:v>
                </c:pt>
                <c:pt idx="2">
                  <c:v>157.65126147185794</c:v>
                </c:pt>
                <c:pt idx="3">
                  <c:v>107.38944657071106</c:v>
                </c:pt>
                <c:pt idx="4">
                  <c:v>82.475131323137887</c:v>
                </c:pt>
                <c:pt idx="5">
                  <c:v>68.433753822653159</c:v>
                </c:pt>
                <c:pt idx="6">
                  <c:v>66.697205529798751</c:v>
                </c:pt>
                <c:pt idx="7">
                  <c:v>51.897286042462945</c:v>
                </c:pt>
                <c:pt idx="8">
                  <c:v>46.102173017205637</c:v>
                </c:pt>
                <c:pt idx="9">
                  <c:v>46.527511891770466</c:v>
                </c:pt>
                <c:pt idx="10">
                  <c:v>51.490709055440909</c:v>
                </c:pt>
                <c:pt idx="11">
                  <c:v>55.259233924600579</c:v>
                </c:pt>
                <c:pt idx="12">
                  <c:v>57.60597551584636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7DD2-4CFD-AE79-E4363E584355}"/>
            </c:ext>
          </c:extLst>
        </c:ser>
        <c:ser>
          <c:idx val="9"/>
          <c:order val="9"/>
          <c:tx>
            <c:v>расчет_171,1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Water_Binary!$AM$162:$AM$173</c:f>
              <c:numCache>
                <c:formatCode>General</c:formatCode>
                <c:ptCount val="12"/>
                <c:pt idx="0">
                  <c:v>2.0299999999999998</c:v>
                </c:pt>
                <c:pt idx="1">
                  <c:v>2.09</c:v>
                </c:pt>
                <c:pt idx="2">
                  <c:v>3.04</c:v>
                </c:pt>
                <c:pt idx="3">
                  <c:v>4.05</c:v>
                </c:pt>
                <c:pt idx="4">
                  <c:v>5.07</c:v>
                </c:pt>
                <c:pt idx="5">
                  <c:v>5.24</c:v>
                </c:pt>
                <c:pt idx="6">
                  <c:v>7.6</c:v>
                </c:pt>
                <c:pt idx="7">
                  <c:v>10.130000000000001</c:v>
                </c:pt>
                <c:pt idx="8">
                  <c:v>12.66</c:v>
                </c:pt>
                <c:pt idx="9">
                  <c:v>15.2</c:v>
                </c:pt>
                <c:pt idx="10">
                  <c:v>17.73</c:v>
                </c:pt>
                <c:pt idx="11">
                  <c:v>20.27</c:v>
                </c:pt>
              </c:numCache>
            </c:numRef>
          </c:xVal>
          <c:yVal>
            <c:numRef>
              <c:f>Water_Binary!$AR$162:$AR$173</c:f>
              <c:numCache>
                <c:formatCode>0.000</c:formatCode>
                <c:ptCount val="12"/>
                <c:pt idx="0">
                  <c:v>545.42662365694662</c:v>
                </c:pt>
                <c:pt idx="1">
                  <c:v>521.1131531799432</c:v>
                </c:pt>
                <c:pt idx="2">
                  <c:v>310.74463391051944</c:v>
                </c:pt>
                <c:pt idx="3">
                  <c:v>222.88597000227506</c:v>
                </c:pt>
                <c:pt idx="4">
                  <c:v>176.92712342285819</c:v>
                </c:pt>
                <c:pt idx="5">
                  <c:v>171.37568214242006</c:v>
                </c:pt>
                <c:pt idx="6">
                  <c:v>124.16551676349974</c:v>
                </c:pt>
                <c:pt idx="7">
                  <c:v>102.27900582735529</c:v>
                </c:pt>
                <c:pt idx="8">
                  <c:v>92.236855406578897</c:v>
                </c:pt>
                <c:pt idx="9">
                  <c:v>88.568375964794598</c:v>
                </c:pt>
                <c:pt idx="10">
                  <c:v>88.729957981507951</c:v>
                </c:pt>
                <c:pt idx="11">
                  <c:v>90.515703627942912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7DD2-4CFD-AE79-E4363E5843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1489584"/>
        <c:axId val="1"/>
      </c:scatterChart>
      <c:valAx>
        <c:axId val="4814895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ysClr val="windowText" lastClr="000000"/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200" b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Давление, МПа</a:t>
                </a:r>
              </a:p>
            </c:rich>
          </c:tx>
          <c:layout>
            <c:manualLayout>
              <c:xMode val="edge"/>
              <c:yMode val="edge"/>
              <c:x val="0.43567499386317715"/>
              <c:y val="0.9291139869345984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ru-RU"/>
          </a:p>
        </c:txPr>
        <c:crossAx val="1"/>
        <c:crossesAt val="1"/>
        <c:crossBetween val="midCat"/>
      </c:valAx>
      <c:valAx>
        <c:axId val="1"/>
        <c:scaling>
          <c:logBase val="10"/>
          <c:orientation val="minMax"/>
          <c:max val="10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ru-RU" sz="1200" b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Влагосодержание, г/м</a:t>
                </a:r>
                <a:r>
                  <a:rPr lang="ru-RU" sz="1200" b="0" baseline="3000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3</a:t>
                </a:r>
              </a:p>
            </c:rich>
          </c:tx>
          <c:layout>
            <c:manualLayout>
              <c:xMode val="edge"/>
              <c:yMode val="edge"/>
              <c:x val="1.0682981174115825E-2"/>
              <c:y val="0.18590857530821264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81489584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1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Содержание стабильного конденсата в добываемом газе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305425231950018E-2"/>
          <c:y val="0.12284643270766088"/>
          <c:w val="0.86169562385682474"/>
          <c:h val="0.79163394392933262"/>
        </c:manualLayout>
      </c:layout>
      <c:scatterChart>
        <c:scatterStyle val="smoothMarker"/>
        <c:varyColors val="0"/>
        <c:ser>
          <c:idx val="0"/>
          <c:order val="0"/>
          <c:tx>
            <c:v>Без воды</c:v>
          </c:tx>
          <c:spPr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Пеляткинское_75.4!$BJ$8:$BJ$20</c:f>
              <c:numCache>
                <c:formatCode>General</c:formatCode>
                <c:ptCount val="13"/>
                <c:pt idx="0">
                  <c:v>25.72</c:v>
                </c:pt>
                <c:pt idx="1">
                  <c:v>23.271999999999998</c:v>
                </c:pt>
                <c:pt idx="2">
                  <c:v>22.61</c:v>
                </c:pt>
                <c:pt idx="3">
                  <c:v>20.741</c:v>
                </c:pt>
                <c:pt idx="4">
                  <c:v>18.21</c:v>
                </c:pt>
                <c:pt idx="5">
                  <c:v>15.678000000000001</c:v>
                </c:pt>
                <c:pt idx="6">
                  <c:v>13.147</c:v>
                </c:pt>
                <c:pt idx="7">
                  <c:v>10.616</c:v>
                </c:pt>
                <c:pt idx="8">
                  <c:v>8.0849999999999991</c:v>
                </c:pt>
                <c:pt idx="9">
                  <c:v>5.5540000000000003</c:v>
                </c:pt>
                <c:pt idx="10">
                  <c:v>2.883</c:v>
                </c:pt>
                <c:pt idx="11">
                  <c:v>0.49199999999999999</c:v>
                </c:pt>
              </c:numCache>
            </c:numRef>
          </c:xVal>
          <c:yVal>
            <c:numRef>
              <c:f>Пеляткинское_75.4!$BI$8:$BI$20</c:f>
              <c:numCache>
                <c:formatCode>General</c:formatCode>
                <c:ptCount val="13"/>
                <c:pt idx="0">
                  <c:v>75.415379341422209</c:v>
                </c:pt>
                <c:pt idx="1">
                  <c:v>75.415379341422209</c:v>
                </c:pt>
                <c:pt idx="2">
                  <c:v>75.415379341422209</c:v>
                </c:pt>
                <c:pt idx="3">
                  <c:v>69.56404671582041</c:v>
                </c:pt>
                <c:pt idx="4">
                  <c:v>62.706464820344358</c:v>
                </c:pt>
                <c:pt idx="5">
                  <c:v>56.802441777321405</c:v>
                </c:pt>
                <c:pt idx="6">
                  <c:v>51.923723046322266</c:v>
                </c:pt>
                <c:pt idx="7">
                  <c:v>48.340533334829303</c:v>
                </c:pt>
                <c:pt idx="8">
                  <c:v>46.201938636559206</c:v>
                </c:pt>
                <c:pt idx="9">
                  <c:v>45.43923515352251</c:v>
                </c:pt>
                <c:pt idx="10">
                  <c:v>46.187264547729143</c:v>
                </c:pt>
                <c:pt idx="11">
                  <c:v>51.543610278226964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6DD-4285-B2C1-2173806330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3945152"/>
        <c:axId val="1"/>
      </c:scatterChart>
      <c:scatterChart>
        <c:scatterStyle val="lineMarker"/>
        <c:varyColors val="0"/>
        <c:ser>
          <c:idx val="1"/>
          <c:order val="1"/>
          <c:tx>
            <c:v>Мольня доля воды - 0.4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Пеляткинское_75.4!$BJ$45:$BJ$57</c:f>
              <c:numCache>
                <c:formatCode>General</c:formatCode>
                <c:ptCount val="13"/>
                <c:pt idx="0">
                  <c:v>25.72</c:v>
                </c:pt>
                <c:pt idx="1">
                  <c:v>23.271999999999998</c:v>
                </c:pt>
                <c:pt idx="2">
                  <c:v>22.61</c:v>
                </c:pt>
                <c:pt idx="3">
                  <c:v>20.741</c:v>
                </c:pt>
                <c:pt idx="4">
                  <c:v>18.21</c:v>
                </c:pt>
                <c:pt idx="5">
                  <c:v>15.678000000000001</c:v>
                </c:pt>
                <c:pt idx="6">
                  <c:v>13.147</c:v>
                </c:pt>
                <c:pt idx="7">
                  <c:v>10.616</c:v>
                </c:pt>
                <c:pt idx="8">
                  <c:v>8.0849999999999991</c:v>
                </c:pt>
                <c:pt idx="9">
                  <c:v>5.5540000000000003</c:v>
                </c:pt>
                <c:pt idx="10">
                  <c:v>2.883</c:v>
                </c:pt>
                <c:pt idx="11">
                  <c:v>0.49199999999999999</c:v>
                </c:pt>
              </c:numCache>
            </c:numRef>
          </c:xVal>
          <c:yVal>
            <c:numRef>
              <c:f>Пеляткинское_75.4!$BI$45:$BI$57</c:f>
              <c:numCache>
                <c:formatCode>General</c:formatCode>
                <c:ptCount val="13"/>
                <c:pt idx="0">
                  <c:v>75.403379807298563</c:v>
                </c:pt>
                <c:pt idx="1">
                  <c:v>75.401029275006906</c:v>
                </c:pt>
                <c:pt idx="2">
                  <c:v>75.400894853677059</c:v>
                </c:pt>
                <c:pt idx="3">
                  <c:v>69.522706314921265</c:v>
                </c:pt>
                <c:pt idx="4">
                  <c:v>62.679863065220893</c:v>
                </c:pt>
                <c:pt idx="5">
                  <c:v>56.787427167787897</c:v>
                </c:pt>
                <c:pt idx="6">
                  <c:v>51.917705200584763</c:v>
                </c:pt>
                <c:pt idx="7">
                  <c:v>48.341896420438573</c:v>
                </c:pt>
                <c:pt idx="8">
                  <c:v>46.209078205042118</c:v>
                </c:pt>
                <c:pt idx="9">
                  <c:v>45.45243303097871</c:v>
                </c:pt>
                <c:pt idx="10">
                  <c:v>46.21139103551441</c:v>
                </c:pt>
                <c:pt idx="11">
                  <c:v>51.690796025607945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6DD-4285-B2C1-217380633089}"/>
            </c:ext>
          </c:extLst>
        </c:ser>
        <c:ser>
          <c:idx val="2"/>
          <c:order val="2"/>
          <c:tx>
            <c:v>Мольная долы воды - 0.8</c:v>
          </c:tx>
          <c:spPr>
            <a:ln w="28575">
              <a:noFill/>
            </a:ln>
          </c:spPr>
          <c:xVal>
            <c:numRef>
              <c:f>Пеляткинское_75.4!$BJ$88:$BJ$100</c:f>
              <c:numCache>
                <c:formatCode>General</c:formatCode>
                <c:ptCount val="13"/>
                <c:pt idx="0">
                  <c:v>25.72</c:v>
                </c:pt>
                <c:pt idx="1">
                  <c:v>23.271999999999998</c:v>
                </c:pt>
                <c:pt idx="2">
                  <c:v>22.61</c:v>
                </c:pt>
                <c:pt idx="3">
                  <c:v>20.741</c:v>
                </c:pt>
                <c:pt idx="4">
                  <c:v>18.21</c:v>
                </c:pt>
                <c:pt idx="5">
                  <c:v>15.678000000000001</c:v>
                </c:pt>
                <c:pt idx="6">
                  <c:v>13.147</c:v>
                </c:pt>
                <c:pt idx="7">
                  <c:v>10.616</c:v>
                </c:pt>
                <c:pt idx="8">
                  <c:v>8.0849999999999991</c:v>
                </c:pt>
                <c:pt idx="9">
                  <c:v>5.5540000000000003</c:v>
                </c:pt>
                <c:pt idx="10">
                  <c:v>2.883</c:v>
                </c:pt>
                <c:pt idx="11">
                  <c:v>0.49199999999999999</c:v>
                </c:pt>
              </c:numCache>
            </c:numRef>
          </c:xVal>
          <c:yVal>
            <c:numRef>
              <c:f>Пеляткинское_75.4!$BI$88:$BI$100</c:f>
              <c:numCache>
                <c:formatCode>General</c:formatCode>
                <c:ptCount val="13"/>
                <c:pt idx="0">
                  <c:v>75.34134850680266</c:v>
                </c:pt>
                <c:pt idx="1">
                  <c:v>75.326663320103222</c:v>
                </c:pt>
                <c:pt idx="2">
                  <c:v>75.323066821344312</c:v>
                </c:pt>
                <c:pt idx="3">
                  <c:v>69.353811025963523</c:v>
                </c:pt>
                <c:pt idx="4">
                  <c:v>62.526741245265313</c:v>
                </c:pt>
                <c:pt idx="5">
                  <c:v>56.647370287372098</c:v>
                </c:pt>
                <c:pt idx="6">
                  <c:v>51.791233168175538</c:v>
                </c:pt>
                <c:pt idx="7">
                  <c:v>48.227325927521889</c:v>
                </c:pt>
                <c:pt idx="8">
                  <c:v>46.102976464045653</c:v>
                </c:pt>
                <c:pt idx="9">
                  <c:v>45.350483539884451</c:v>
                </c:pt>
                <c:pt idx="10">
                  <c:v>46.11031555939276</c:v>
                </c:pt>
                <c:pt idx="11">
                  <c:v>51.585476627365978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6DD-4285-B2C1-2173806330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3945152"/>
        <c:axId val="1"/>
      </c:scatterChart>
      <c:valAx>
        <c:axId val="4039451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Давление, МПа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ru-RU"/>
          </a:p>
        </c:txPr>
        <c:crossAx val="1"/>
        <c:crosses val="autoZero"/>
        <c:crossBetween val="midCat"/>
      </c:valAx>
      <c:valAx>
        <c:axId val="1"/>
        <c:scaling>
          <c:orientation val="minMax"/>
          <c:max val="80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Содержание</a:t>
                </a:r>
                <a:r>
                  <a:rPr lang="ru-RU" baseline="0"/>
                  <a:t> С5+ в добываемом газе, г/м3 </a:t>
                </a:r>
                <a:endParaRPr lang="ru-RU"/>
              </a:p>
            </c:rich>
          </c:tx>
          <c:layout>
            <c:manualLayout>
              <c:xMode val="edge"/>
              <c:yMode val="edge"/>
              <c:x val="2.3367925963192194E-2"/>
              <c:y val="0.16294182548330283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3945152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64030700471504953"/>
          <c:y val="0.48510707702007227"/>
          <c:w val="0.30223881004473252"/>
          <c:h val="0.36180177216751297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Коэффициент извлечения конденсата</a:t>
            </a:r>
          </a:p>
        </c:rich>
      </c:tx>
      <c:layout>
        <c:manualLayout>
          <c:xMode val="edge"/>
          <c:yMode val="edge"/>
          <c:x val="0.14207096411573308"/>
          <c:y val="2.431610942249240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1479707893656151"/>
          <c:y val="0.15031408308004052"/>
          <c:w val="0.83126490141113307"/>
          <c:h val="0.73135453812954232"/>
        </c:manualLayout>
      </c:layout>
      <c:scatterChart>
        <c:scatterStyle val="smoothMarker"/>
        <c:varyColors val="0"/>
        <c:ser>
          <c:idx val="0"/>
          <c:order val="0"/>
          <c:tx>
            <c:v>Без воды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Пеляткинское_75.4!$BJ$25:$BJ$34</c:f>
              <c:numCache>
                <c:formatCode>General</c:formatCode>
                <c:ptCount val="10"/>
                <c:pt idx="0">
                  <c:v>25.72</c:v>
                </c:pt>
                <c:pt idx="1">
                  <c:v>23.271999999999998</c:v>
                </c:pt>
                <c:pt idx="2">
                  <c:v>20.741</c:v>
                </c:pt>
                <c:pt idx="3">
                  <c:v>18.21</c:v>
                </c:pt>
                <c:pt idx="4">
                  <c:v>15.678000000000001</c:v>
                </c:pt>
                <c:pt idx="5">
                  <c:v>13.147</c:v>
                </c:pt>
                <c:pt idx="6">
                  <c:v>10.616</c:v>
                </c:pt>
                <c:pt idx="7">
                  <c:v>8.0849999999999991</c:v>
                </c:pt>
                <c:pt idx="8">
                  <c:v>5.5540000000000003</c:v>
                </c:pt>
                <c:pt idx="9">
                  <c:v>2.883</c:v>
                </c:pt>
              </c:numCache>
            </c:numRef>
          </c:xVal>
          <c:yVal>
            <c:numRef>
              <c:f>Пеляткинское_75.4!$BL$25:$BL$34</c:f>
              <c:numCache>
                <c:formatCode>General</c:formatCode>
                <c:ptCount val="10"/>
                <c:pt idx="0">
                  <c:v>0</c:v>
                </c:pt>
                <c:pt idx="1">
                  <c:v>7.2552804846030439</c:v>
                </c:pt>
                <c:pt idx="2">
                  <c:v>15.009575650469346</c:v>
                </c:pt>
                <c:pt idx="3">
                  <c:v>22.554454033992311</c:v>
                </c:pt>
                <c:pt idx="4">
                  <c:v>29.646199689153335</c:v>
                </c:pt>
                <c:pt idx="5">
                  <c:v>36.066128983539677</c:v>
                </c:pt>
                <c:pt idx="6">
                  <c:v>41.687539999956499</c:v>
                </c:pt>
                <c:pt idx="7">
                  <c:v>46.557197691926994</c:v>
                </c:pt>
                <c:pt idx="8">
                  <c:v>50.929802339050056</c:v>
                </c:pt>
                <c:pt idx="9">
                  <c:v>55.777382984981962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07D-4506-87B0-2479AEC8D8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4251800"/>
        <c:axId val="1"/>
      </c:scatterChart>
      <c:scatterChart>
        <c:scatterStyle val="lineMarker"/>
        <c:varyColors val="0"/>
        <c:ser>
          <c:idx val="1"/>
          <c:order val="1"/>
          <c:tx>
            <c:v>Мольная доля воды - 0.4</c:v>
          </c:tx>
          <c:spPr>
            <a:ln w="28575">
              <a:noFill/>
            </a:ln>
          </c:spPr>
          <c:xVal>
            <c:numRef>
              <c:f>Пеляткинское_75.4!$BJ$62:$BJ$71</c:f>
              <c:numCache>
                <c:formatCode>General</c:formatCode>
                <c:ptCount val="10"/>
                <c:pt idx="0">
                  <c:v>25.72</c:v>
                </c:pt>
                <c:pt idx="1">
                  <c:v>23.271999999999998</c:v>
                </c:pt>
                <c:pt idx="2">
                  <c:v>20.741</c:v>
                </c:pt>
                <c:pt idx="3">
                  <c:v>18.21</c:v>
                </c:pt>
                <c:pt idx="4">
                  <c:v>15.678000000000001</c:v>
                </c:pt>
                <c:pt idx="5">
                  <c:v>13.147</c:v>
                </c:pt>
                <c:pt idx="6">
                  <c:v>10.616</c:v>
                </c:pt>
                <c:pt idx="7">
                  <c:v>8.0849999999999991</c:v>
                </c:pt>
                <c:pt idx="8">
                  <c:v>5.5540000000000003</c:v>
                </c:pt>
                <c:pt idx="9">
                  <c:v>2.883</c:v>
                </c:pt>
              </c:numCache>
            </c:numRef>
          </c:xVal>
          <c:yVal>
            <c:numRef>
              <c:f>Пеляткинское_75.4!$BL$62:$BL$71</c:f>
              <c:numCache>
                <c:formatCode>General</c:formatCode>
                <c:ptCount val="10"/>
                <c:pt idx="0">
                  <c:v>0</c:v>
                </c:pt>
                <c:pt idx="1">
                  <c:v>7.2643020151520856</c:v>
                </c:pt>
                <c:pt idx="2">
                  <c:v>15.028288394881169</c:v>
                </c:pt>
                <c:pt idx="3">
                  <c:v>22.577685124034776</c:v>
                </c:pt>
                <c:pt idx="4">
                  <c:v>29.673733425086706</c:v>
                </c:pt>
                <c:pt idx="5">
                  <c:v>36.097647180392045</c:v>
                </c:pt>
                <c:pt idx="6">
                  <c:v>41.722929007806769</c:v>
                </c:pt>
                <c:pt idx="7">
                  <c:v>46.596450749724845</c:v>
                </c:pt>
                <c:pt idx="8">
                  <c:v>50.974301240445882</c:v>
                </c:pt>
                <c:pt idx="9">
                  <c:v>55.834872912914946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07D-4506-87B0-2479AEC8D8E7}"/>
            </c:ext>
          </c:extLst>
        </c:ser>
        <c:ser>
          <c:idx val="2"/>
          <c:order val="2"/>
          <c:tx>
            <c:v>Мольная доля воды - 0.8</c:v>
          </c:tx>
          <c:spPr>
            <a:ln w="28575">
              <a:noFill/>
            </a:ln>
          </c:spPr>
          <c:xVal>
            <c:numRef>
              <c:f>Пеляткинское_75.4!$BJ$103:$BJ$112</c:f>
              <c:numCache>
                <c:formatCode>General</c:formatCode>
                <c:ptCount val="10"/>
                <c:pt idx="0">
                  <c:v>25.72</c:v>
                </c:pt>
                <c:pt idx="1">
                  <c:v>23.271999999999998</c:v>
                </c:pt>
                <c:pt idx="2">
                  <c:v>20.741</c:v>
                </c:pt>
                <c:pt idx="3">
                  <c:v>18.21</c:v>
                </c:pt>
                <c:pt idx="4">
                  <c:v>15.678000000000001</c:v>
                </c:pt>
                <c:pt idx="5">
                  <c:v>13.147</c:v>
                </c:pt>
                <c:pt idx="6">
                  <c:v>10.616</c:v>
                </c:pt>
                <c:pt idx="7">
                  <c:v>8.0849999999999991</c:v>
                </c:pt>
                <c:pt idx="8">
                  <c:v>5.5540000000000003</c:v>
                </c:pt>
                <c:pt idx="9">
                  <c:v>2.883</c:v>
                </c:pt>
              </c:numCache>
            </c:numRef>
          </c:xVal>
          <c:yVal>
            <c:numRef>
              <c:f>Пеляткинское_75.4!$BL$103:$BL$112</c:f>
              <c:numCache>
                <c:formatCode>General</c:formatCode>
                <c:ptCount val="10"/>
                <c:pt idx="0">
                  <c:v>0</c:v>
                </c:pt>
                <c:pt idx="1">
                  <c:v>7.2863735475235156</c:v>
                </c:pt>
                <c:pt idx="2">
                  <c:v>15.061200674698688</c:v>
                </c:pt>
                <c:pt idx="3">
                  <c:v>22.612454360574798</c:v>
                </c:pt>
                <c:pt idx="4">
                  <c:v>29.703650658132354</c:v>
                </c:pt>
                <c:pt idx="5">
                  <c:v>36.118015360231048</c:v>
                </c:pt>
                <c:pt idx="6">
                  <c:v>41.731152834202938</c:v>
                </c:pt>
                <c:pt idx="7">
                  <c:v>46.591834349313274</c:v>
                </c:pt>
                <c:pt idx="8">
                  <c:v>50.956533235532454</c:v>
                </c:pt>
                <c:pt idx="9">
                  <c:v>55.802727857257807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07D-4506-87B0-2479AEC8D8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4251800"/>
        <c:axId val="1"/>
      </c:scatterChart>
      <c:valAx>
        <c:axId val="4042518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Давление, МПа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ru-RU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КИК, %</a:t>
                </a:r>
              </a:p>
            </c:rich>
          </c:tx>
          <c:layout>
            <c:manualLayout>
              <c:xMode val="edge"/>
              <c:yMode val="edge"/>
              <c:x val="1.4497264462767301E-2"/>
              <c:y val="0.44540347350198251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4251800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54832583058748297"/>
          <c:y val="0.16685414323209596"/>
          <c:w val="0.38234322870741355"/>
          <c:h val="0.3181255534547543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Кривая пластовых потерь насыщенного конденсата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371087051618548"/>
          <c:y val="0.17440222459923371"/>
          <c:w val="0.81966907261592292"/>
          <c:h val="0.71819843136930628"/>
        </c:manualLayout>
      </c:layout>
      <c:scatterChart>
        <c:scatterStyle val="lineMarker"/>
        <c:varyColors val="0"/>
        <c:ser>
          <c:idx val="0"/>
          <c:order val="0"/>
          <c:tx>
            <c:v>без воды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Пеляткинское_75.4!$BA$8:$BA$18</c:f>
              <c:numCache>
                <c:formatCode>General</c:formatCode>
                <c:ptCount val="11"/>
                <c:pt idx="0">
                  <c:v>25.72</c:v>
                </c:pt>
                <c:pt idx="1">
                  <c:v>23.271999999999998</c:v>
                </c:pt>
                <c:pt idx="2">
                  <c:v>20.741</c:v>
                </c:pt>
                <c:pt idx="3">
                  <c:v>18.21</c:v>
                </c:pt>
                <c:pt idx="4">
                  <c:v>15.678000000000001</c:v>
                </c:pt>
                <c:pt idx="5">
                  <c:v>13.147</c:v>
                </c:pt>
                <c:pt idx="6">
                  <c:v>10.616</c:v>
                </c:pt>
                <c:pt idx="7">
                  <c:v>8.0849999999999991</c:v>
                </c:pt>
                <c:pt idx="8">
                  <c:v>5.5540000000000003</c:v>
                </c:pt>
                <c:pt idx="9">
                  <c:v>2.883</c:v>
                </c:pt>
                <c:pt idx="10">
                  <c:v>0.49199999999999999</c:v>
                </c:pt>
              </c:numCache>
            </c:numRef>
          </c:xVal>
          <c:yVal>
            <c:numRef>
              <c:f>Пеляткинское_75.4!$BC$8:$BC$18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2.3147666184331925E-3</c:v>
                </c:pt>
                <c:pt idx="3">
                  <c:v>5.0314898663721599E-3</c:v>
                </c:pt>
                <c:pt idx="4">
                  <c:v>7.3565626030086765E-3</c:v>
                </c:pt>
                <c:pt idx="5">
                  <c:v>9.1871698730471227E-3</c:v>
                </c:pt>
                <c:pt idx="6">
                  <c:v>1.0342644248279832E-2</c:v>
                </c:pt>
                <c:pt idx="7">
                  <c:v>1.0761745027361248E-2</c:v>
                </c:pt>
                <c:pt idx="8">
                  <c:v>1.0528496235092546E-2</c:v>
                </c:pt>
                <c:pt idx="9">
                  <c:v>9.6366779736030399E-3</c:v>
                </c:pt>
                <c:pt idx="10">
                  <c:v>7.2090373430834138E-3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664-46EA-A72A-69E92F9D47EF}"/>
            </c:ext>
          </c:extLst>
        </c:ser>
        <c:ser>
          <c:idx val="1"/>
          <c:order val="1"/>
          <c:tx>
            <c:v>Объемная доля раствора воды - 0.1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Пеляткинское_75.4!$BA$47:$BA$57</c:f>
              <c:numCache>
                <c:formatCode>General</c:formatCode>
                <c:ptCount val="11"/>
                <c:pt idx="0">
                  <c:v>25.72</c:v>
                </c:pt>
                <c:pt idx="1">
                  <c:v>23.271999999999998</c:v>
                </c:pt>
                <c:pt idx="2">
                  <c:v>20.741</c:v>
                </c:pt>
                <c:pt idx="3">
                  <c:v>18.21</c:v>
                </c:pt>
                <c:pt idx="4">
                  <c:v>15.678000000000001</c:v>
                </c:pt>
                <c:pt idx="5">
                  <c:v>13.147</c:v>
                </c:pt>
                <c:pt idx="6">
                  <c:v>10.616</c:v>
                </c:pt>
                <c:pt idx="7">
                  <c:v>8.0849999999999991</c:v>
                </c:pt>
                <c:pt idx="8">
                  <c:v>5.5540000000000003</c:v>
                </c:pt>
                <c:pt idx="9">
                  <c:v>2.883</c:v>
                </c:pt>
                <c:pt idx="10">
                  <c:v>0.49199999999999999</c:v>
                </c:pt>
              </c:numCache>
            </c:numRef>
          </c:xVal>
          <c:yVal>
            <c:numRef>
              <c:f>Пеляткинское_75.4!$BD$47:$BD$57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2.3200389625315531E-3</c:v>
                </c:pt>
                <c:pt idx="3">
                  <c:v>5.0305663667744331E-3</c:v>
                </c:pt>
                <c:pt idx="4">
                  <c:v>7.3508110232659981E-3</c:v>
                </c:pt>
                <c:pt idx="5">
                  <c:v>9.1782370061406163E-3</c:v>
                </c:pt>
                <c:pt idx="6">
                  <c:v>1.0331620167965317E-2</c:v>
                </c:pt>
                <c:pt idx="7">
                  <c:v>1.074982777268817E-2</c:v>
                </c:pt>
                <c:pt idx="8">
                  <c:v>1.0515252010085102E-2</c:v>
                </c:pt>
                <c:pt idx="9">
                  <c:v>9.6201291204715805E-3</c:v>
                </c:pt>
                <c:pt idx="10">
                  <c:v>7.1509303558766387E-3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664-46EA-A72A-69E92F9D47EF}"/>
            </c:ext>
          </c:extLst>
        </c:ser>
        <c:ser>
          <c:idx val="2"/>
          <c:order val="2"/>
          <c:tx>
            <c:v>Объемная доля раствора воды - 0.4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Пеляткинское_75.4!$BA$89:$BA$99</c:f>
              <c:numCache>
                <c:formatCode>General</c:formatCode>
                <c:ptCount val="11"/>
                <c:pt idx="0">
                  <c:v>25.72</c:v>
                </c:pt>
                <c:pt idx="1">
                  <c:v>23.271999999999998</c:v>
                </c:pt>
                <c:pt idx="2">
                  <c:v>20.741</c:v>
                </c:pt>
                <c:pt idx="3">
                  <c:v>18.21</c:v>
                </c:pt>
                <c:pt idx="4">
                  <c:v>15.678000000000001</c:v>
                </c:pt>
                <c:pt idx="5">
                  <c:v>13.147</c:v>
                </c:pt>
                <c:pt idx="6">
                  <c:v>10.616</c:v>
                </c:pt>
                <c:pt idx="7">
                  <c:v>8.0849999999999991</c:v>
                </c:pt>
                <c:pt idx="8">
                  <c:v>5.5540000000000003</c:v>
                </c:pt>
                <c:pt idx="9">
                  <c:v>2.883</c:v>
                </c:pt>
                <c:pt idx="10">
                  <c:v>0.49199999999999999</c:v>
                </c:pt>
              </c:numCache>
            </c:numRef>
          </c:xVal>
          <c:yVal>
            <c:numRef>
              <c:f>Пеляткинское_75.4!$BD$89:$BD$99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2.3425438696867106E-3</c:v>
                </c:pt>
                <c:pt idx="3">
                  <c:v>5.0576336979764576E-3</c:v>
                </c:pt>
                <c:pt idx="4">
                  <c:v>7.3806451888555908E-3</c:v>
                </c:pt>
                <c:pt idx="5">
                  <c:v>9.2072547882926029E-3</c:v>
                </c:pt>
                <c:pt idx="6">
                  <c:v>1.0357682710313202E-2</c:v>
                </c:pt>
                <c:pt idx="7">
                  <c:v>1.0771481802147275E-2</c:v>
                </c:pt>
                <c:pt idx="8">
                  <c:v>1.0531940788922561E-2</c:v>
                </c:pt>
                <c:pt idx="9">
                  <c:v>9.6302405945350878E-3</c:v>
                </c:pt>
                <c:pt idx="10">
                  <c:v>7.1531367837092122E-3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664-46EA-A72A-69E92F9D47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4245896"/>
        <c:axId val="1"/>
      </c:scatterChart>
      <c:valAx>
        <c:axId val="4042458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МПа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ru-RU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</a:t>
                </a:r>
                <a:r>
                  <a:rPr lang="ru-RU"/>
                  <a:t>конд/(сист-</a:t>
                </a:r>
                <a:r>
                  <a:rPr lang="en-US"/>
                  <a:t>V</a:t>
                </a:r>
                <a:r>
                  <a:rPr lang="ru-RU"/>
                  <a:t>воды)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4245896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59077777777777785"/>
          <c:y val="0.17356660473620575"/>
          <c:w val="0.35922222222222222"/>
          <c:h val="0.31223893361644406"/>
        </c:manualLayout>
      </c:layout>
      <c:overlay val="0"/>
      <c:spPr>
        <a:solidFill>
          <a:schemeClr val="bg1"/>
        </a:solidFill>
        <a:ln>
          <a:solidFill>
            <a:sysClr val="windowText" lastClr="000000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799759405074366"/>
          <c:y val="5.0925925925925923E-2"/>
          <c:w val="0.83322462817147858"/>
          <c:h val="0.79772783610382036"/>
        </c:manualLayout>
      </c:layout>
      <c:scatterChart>
        <c:scatterStyle val="smoothMarker"/>
        <c:varyColors val="0"/>
        <c:ser>
          <c:idx val="0"/>
          <c:order val="0"/>
          <c:tx>
            <c:v>метод Бюкачека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Пеляткинское_75.4!$BO$92:$BO$102</c:f>
              <c:numCache>
                <c:formatCode>General</c:formatCode>
                <c:ptCount val="11"/>
                <c:pt idx="0">
                  <c:v>25.72</c:v>
                </c:pt>
                <c:pt idx="1">
                  <c:v>23.271999999999998</c:v>
                </c:pt>
                <c:pt idx="2">
                  <c:v>20.741</c:v>
                </c:pt>
                <c:pt idx="3">
                  <c:v>18.21</c:v>
                </c:pt>
                <c:pt idx="4">
                  <c:v>15.678000000000001</c:v>
                </c:pt>
                <c:pt idx="5">
                  <c:v>13.147</c:v>
                </c:pt>
                <c:pt idx="6">
                  <c:v>10.616</c:v>
                </c:pt>
                <c:pt idx="7">
                  <c:v>8.0849999999999991</c:v>
                </c:pt>
                <c:pt idx="8">
                  <c:v>5.5540000000000003</c:v>
                </c:pt>
                <c:pt idx="9">
                  <c:v>2.883</c:v>
                </c:pt>
                <c:pt idx="10">
                  <c:v>0.49199999999999999</c:v>
                </c:pt>
              </c:numCache>
            </c:numRef>
          </c:xVal>
          <c:yVal>
            <c:numRef>
              <c:f>Пеляткинское_75.4!$BP$92:$BP$102</c:f>
              <c:numCache>
                <c:formatCode>0.000</c:formatCode>
                <c:ptCount val="11"/>
                <c:pt idx="0">
                  <c:v>0.95219786967941855</c:v>
                </c:pt>
                <c:pt idx="1">
                  <c:v>1.0017208294428832</c:v>
                </c:pt>
                <c:pt idx="2">
                  <c:v>1.0652507381529455</c:v>
                </c:pt>
                <c:pt idx="3">
                  <c:v>1.1464409664975879</c:v>
                </c:pt>
                <c:pt idx="4">
                  <c:v>1.2538785017795275</c:v>
                </c:pt>
                <c:pt idx="5">
                  <c:v>1.4026172332912401</c:v>
                </c:pt>
                <c:pt idx="6">
                  <c:v>1.6222612056284724</c:v>
                </c:pt>
                <c:pt idx="7">
                  <c:v>1.9794037888421987</c:v>
                </c:pt>
                <c:pt idx="8">
                  <c:v>2.662027234769234</c:v>
                </c:pt>
                <c:pt idx="9">
                  <c:v>4.6821738187338067</c:v>
                </c:pt>
                <c:pt idx="10">
                  <c:v>25.09071019692864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929-4D22-86C5-57DA4FEEAA45}"/>
            </c:ext>
          </c:extLst>
        </c:ser>
        <c:ser>
          <c:idx val="1"/>
          <c:order val="1"/>
          <c:tx>
            <c:v>PVT-моделирование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Пеляткинское_75.4!$BO$92:$BO$102</c:f>
              <c:numCache>
                <c:formatCode>General</c:formatCode>
                <c:ptCount val="11"/>
                <c:pt idx="0">
                  <c:v>25.72</c:v>
                </c:pt>
                <c:pt idx="1">
                  <c:v>23.271999999999998</c:v>
                </c:pt>
                <c:pt idx="2">
                  <c:v>20.741</c:v>
                </c:pt>
                <c:pt idx="3">
                  <c:v>18.21</c:v>
                </c:pt>
                <c:pt idx="4">
                  <c:v>15.678000000000001</c:v>
                </c:pt>
                <c:pt idx="5">
                  <c:v>13.147</c:v>
                </c:pt>
                <c:pt idx="6">
                  <c:v>10.616</c:v>
                </c:pt>
                <c:pt idx="7">
                  <c:v>8.0849999999999991</c:v>
                </c:pt>
                <c:pt idx="8">
                  <c:v>5.5540000000000003</c:v>
                </c:pt>
                <c:pt idx="9">
                  <c:v>2.883</c:v>
                </c:pt>
                <c:pt idx="10">
                  <c:v>0.49199999999999999</c:v>
                </c:pt>
              </c:numCache>
            </c:numRef>
          </c:xVal>
          <c:yVal>
            <c:numRef>
              <c:f>Пеляткинское_75.4!$BR$92:$BR$102</c:f>
              <c:numCache>
                <c:formatCode>General</c:formatCode>
                <c:ptCount val="11"/>
                <c:pt idx="0">
                  <c:v>0.88192275348688975</c:v>
                </c:pt>
                <c:pt idx="1">
                  <c:v>0.92221233649836654</c:v>
                </c:pt>
                <c:pt idx="2">
                  <c:v>0.97540680727555318</c:v>
                </c:pt>
                <c:pt idx="3">
                  <c:v>1.0429342614357344</c:v>
                </c:pt>
                <c:pt idx="4">
                  <c:v>1.1315828830326629</c:v>
                </c:pt>
                <c:pt idx="5">
                  <c:v>1.2550261890076719</c:v>
                </c:pt>
                <c:pt idx="6">
                  <c:v>1.4398681178407746</c:v>
                </c:pt>
                <c:pt idx="7">
                  <c:v>1.7461071863454123</c:v>
                </c:pt>
                <c:pt idx="8">
                  <c:v>2.3420321963885149</c:v>
                </c:pt>
                <c:pt idx="9">
                  <c:v>4.1343627891500025</c:v>
                </c:pt>
                <c:pt idx="10">
                  <c:v>22.407040818070801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929-4D22-86C5-57DA4FEEAA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4246224"/>
        <c:axId val="1"/>
      </c:scatterChart>
      <c:valAx>
        <c:axId val="4042462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МПа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ru-RU"/>
          </a:p>
        </c:txPr>
        <c:crossAx val="1"/>
        <c:crosses val="autoZero"/>
        <c:crossBetween val="midCat"/>
      </c:valAx>
      <c:valAx>
        <c:axId val="1"/>
        <c:scaling>
          <c:orientation val="minMax"/>
          <c:max val="3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Влагосодержание, г/м3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4246224"/>
        <c:crossesAt val="0.1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65084711286089236"/>
          <c:y val="0.14872630504520268"/>
          <c:w val="0.30259733158355206"/>
          <c:h val="0.15625109361329831"/>
        </c:manualLayout>
      </c:layout>
      <c:overlay val="0"/>
      <c:spPr>
        <a:noFill/>
        <a:ln w="25400">
          <a:noFill/>
        </a:ln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Содержание стабильного конденсата в добываемом газе</a:t>
            </a:r>
          </a:p>
        </c:rich>
      </c:tx>
      <c:layout>
        <c:manualLayout>
          <c:xMode val="edge"/>
          <c:yMode val="edge"/>
          <c:x val="0.11184813845896104"/>
          <c:y val="2.24719101123595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1880586869087408"/>
          <c:y val="0.1383309820192013"/>
          <c:w val="0.85232274023301058"/>
          <c:h val="0.74827674712820558"/>
        </c:manualLayout>
      </c:layout>
      <c:scatterChart>
        <c:scatterStyle val="smoothMarker"/>
        <c:varyColors val="0"/>
        <c:ser>
          <c:idx val="0"/>
          <c:order val="0"/>
          <c:tx>
            <c:v>без воды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Астраханское_269!$BD$11:$BD$21</c:f>
              <c:numCache>
                <c:formatCode>General</c:formatCode>
                <c:ptCount val="11"/>
                <c:pt idx="0">
                  <c:v>61.2</c:v>
                </c:pt>
                <c:pt idx="1">
                  <c:v>55.08</c:v>
                </c:pt>
                <c:pt idx="2">
                  <c:v>48.96</c:v>
                </c:pt>
                <c:pt idx="3">
                  <c:v>42.839999999999996</c:v>
                </c:pt>
                <c:pt idx="4">
                  <c:v>38.56</c:v>
                </c:pt>
                <c:pt idx="5">
                  <c:v>36.72</c:v>
                </c:pt>
                <c:pt idx="6">
                  <c:v>30.6</c:v>
                </c:pt>
                <c:pt idx="7">
                  <c:v>24.48</c:v>
                </c:pt>
                <c:pt idx="8">
                  <c:v>18.36</c:v>
                </c:pt>
                <c:pt idx="9">
                  <c:v>12.24</c:v>
                </c:pt>
                <c:pt idx="10">
                  <c:v>6.12</c:v>
                </c:pt>
              </c:numCache>
            </c:numRef>
          </c:xVal>
          <c:yVal>
            <c:numRef>
              <c:f>Астраханское_269!$BF$11:$BF$21</c:f>
              <c:numCache>
                <c:formatCode>General</c:formatCode>
                <c:ptCount val="11"/>
                <c:pt idx="0">
                  <c:v>269.53978161749791</c:v>
                </c:pt>
                <c:pt idx="1">
                  <c:v>269.53978161749797</c:v>
                </c:pt>
                <c:pt idx="2">
                  <c:v>269.53978161749797</c:v>
                </c:pt>
                <c:pt idx="3">
                  <c:v>269.53978161749797</c:v>
                </c:pt>
                <c:pt idx="4">
                  <c:v>269.53978161749797</c:v>
                </c:pt>
                <c:pt idx="5">
                  <c:v>261.81130941209221</c:v>
                </c:pt>
                <c:pt idx="6">
                  <c:v>239.24909894704427</c:v>
                </c:pt>
                <c:pt idx="7">
                  <c:v>218.70824044050354</c:v>
                </c:pt>
                <c:pt idx="8">
                  <c:v>204.58519121967871</c:v>
                </c:pt>
                <c:pt idx="9">
                  <c:v>197.08221074311734</c:v>
                </c:pt>
                <c:pt idx="10">
                  <c:v>196.10597200042338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AD2-46C8-8E33-ACF6E75110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3975816"/>
        <c:axId val="1"/>
      </c:scatterChart>
      <c:scatterChart>
        <c:scatterStyle val="lineMarker"/>
        <c:varyColors val="0"/>
        <c:ser>
          <c:idx val="1"/>
          <c:order val="1"/>
          <c:tx>
            <c:v>Мольная доля воды - 0.3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Астраханское_269!$AZ$49:$AZ$59</c:f>
              <c:numCache>
                <c:formatCode>General</c:formatCode>
                <c:ptCount val="11"/>
                <c:pt idx="0">
                  <c:v>61.2</c:v>
                </c:pt>
                <c:pt idx="1">
                  <c:v>55.08</c:v>
                </c:pt>
                <c:pt idx="2">
                  <c:v>48.96</c:v>
                </c:pt>
                <c:pt idx="3">
                  <c:v>42.839999999999996</c:v>
                </c:pt>
                <c:pt idx="4">
                  <c:v>38.46</c:v>
                </c:pt>
                <c:pt idx="5">
                  <c:v>36.72</c:v>
                </c:pt>
                <c:pt idx="6">
                  <c:v>30.6</c:v>
                </c:pt>
                <c:pt idx="7">
                  <c:v>24.48</c:v>
                </c:pt>
                <c:pt idx="8">
                  <c:v>18.36</c:v>
                </c:pt>
                <c:pt idx="9">
                  <c:v>12.24</c:v>
                </c:pt>
                <c:pt idx="10">
                  <c:v>6.12</c:v>
                </c:pt>
              </c:numCache>
            </c:numRef>
          </c:xVal>
          <c:yVal>
            <c:numRef>
              <c:f>Астраханское_269!$BB$49:$BB$59</c:f>
              <c:numCache>
                <c:formatCode>General</c:formatCode>
                <c:ptCount val="11"/>
                <c:pt idx="0">
                  <c:v>269.53907031691642</c:v>
                </c:pt>
                <c:pt idx="1">
                  <c:v>269.53905465015515</c:v>
                </c:pt>
                <c:pt idx="2">
                  <c:v>269.53903522622517</c:v>
                </c:pt>
                <c:pt idx="3">
                  <c:v>269.53900989786825</c:v>
                </c:pt>
                <c:pt idx="4">
                  <c:v>269.53695843292149</c:v>
                </c:pt>
                <c:pt idx="5">
                  <c:v>262.76393354008923</c:v>
                </c:pt>
                <c:pt idx="6">
                  <c:v>241.43649378674309</c:v>
                </c:pt>
                <c:pt idx="7">
                  <c:v>221.20349074874298</c:v>
                </c:pt>
                <c:pt idx="8">
                  <c:v>206.62727995713612</c:v>
                </c:pt>
                <c:pt idx="9">
                  <c:v>198.97741540691663</c:v>
                </c:pt>
                <c:pt idx="10">
                  <c:v>197.89367277139962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AD2-46C8-8E33-ACF6E75110F2}"/>
            </c:ext>
          </c:extLst>
        </c:ser>
        <c:ser>
          <c:idx val="2"/>
          <c:order val="2"/>
          <c:tx>
            <c:v>Мольная доля воды - 0.71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Астраханское_269!$AV$86:$AV$96</c:f>
              <c:numCache>
                <c:formatCode>General</c:formatCode>
                <c:ptCount val="11"/>
                <c:pt idx="0">
                  <c:v>61.2</c:v>
                </c:pt>
                <c:pt idx="1">
                  <c:v>55.08</c:v>
                </c:pt>
                <c:pt idx="2">
                  <c:v>48.96</c:v>
                </c:pt>
                <c:pt idx="3">
                  <c:v>42.839999999999996</c:v>
                </c:pt>
                <c:pt idx="4">
                  <c:v>39.01</c:v>
                </c:pt>
                <c:pt idx="5">
                  <c:v>36.72</c:v>
                </c:pt>
                <c:pt idx="6">
                  <c:v>30.6</c:v>
                </c:pt>
                <c:pt idx="7">
                  <c:v>24.48</c:v>
                </c:pt>
                <c:pt idx="8">
                  <c:v>18.36</c:v>
                </c:pt>
                <c:pt idx="9">
                  <c:v>12.24</c:v>
                </c:pt>
                <c:pt idx="10">
                  <c:v>6.12</c:v>
                </c:pt>
              </c:numCache>
            </c:numRef>
          </c:xVal>
          <c:yVal>
            <c:numRef>
              <c:f>Астраханское_269!$AX$86:$AX$96</c:f>
              <c:numCache>
                <c:formatCode>General</c:formatCode>
                <c:ptCount val="11"/>
                <c:pt idx="0">
                  <c:v>269.53745712778397</c:v>
                </c:pt>
                <c:pt idx="1">
                  <c:v>269.53734615085364</c:v>
                </c:pt>
                <c:pt idx="2">
                  <c:v>269.53709369153103</c:v>
                </c:pt>
                <c:pt idx="3">
                  <c:v>269.536932525483</c:v>
                </c:pt>
                <c:pt idx="4">
                  <c:v>269.52484212002582</c:v>
                </c:pt>
                <c:pt idx="5">
                  <c:v>260.91166703895499</c:v>
                </c:pt>
                <c:pt idx="6">
                  <c:v>240.17928958657853</c:v>
                </c:pt>
                <c:pt idx="7">
                  <c:v>220.46148410401858</c:v>
                </c:pt>
                <c:pt idx="8">
                  <c:v>206.40361361120102</c:v>
                </c:pt>
                <c:pt idx="9">
                  <c:v>198.95808356921171</c:v>
                </c:pt>
                <c:pt idx="10">
                  <c:v>198.05316506708556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AD2-46C8-8E33-ACF6E75110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3975816"/>
        <c:axId val="1"/>
      </c:scatterChart>
      <c:valAx>
        <c:axId val="403975816"/>
        <c:scaling>
          <c:orientation val="minMax"/>
          <c:max val="65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Мпа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ru-RU"/>
          </a:p>
        </c:txPr>
        <c:crossAx val="1"/>
        <c:crosses val="autoZero"/>
        <c:crossBetween val="midCat"/>
      </c:valAx>
      <c:valAx>
        <c:axId val="1"/>
        <c:scaling>
          <c:orientation val="minMax"/>
          <c:min val="19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Содержание С5+</a:t>
                </a:r>
                <a:r>
                  <a:rPr lang="ru-RU" baseline="0"/>
                  <a:t> в добываемом газе, г/м3</a:t>
                </a:r>
                <a:endParaRPr lang="ru-RU"/>
              </a:p>
            </c:rich>
          </c:tx>
          <c:layout>
            <c:manualLayout>
              <c:xMode val="edge"/>
              <c:yMode val="edge"/>
              <c:x val="1.5462797101262506E-3"/>
              <c:y val="0.1181155445456958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3975816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60698411880184377"/>
          <c:y val="0.43186853047863399"/>
          <c:w val="0.34052244287794631"/>
          <c:h val="0.35519655548674395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Коэффициент извлечения конденсата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1380314960629923"/>
          <c:y val="0.17171296296296298"/>
          <c:w val="0.85686351706036756"/>
          <c:h val="0.72088764946048411"/>
        </c:manualLayout>
      </c:layout>
      <c:scatterChart>
        <c:scatterStyle val="smoothMarker"/>
        <c:varyColors val="0"/>
        <c:ser>
          <c:idx val="0"/>
          <c:order val="0"/>
          <c:tx>
            <c:v>без воды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Астраханское_269!$BC$27:$BC$35</c:f>
              <c:numCache>
                <c:formatCode>General</c:formatCode>
                <c:ptCount val="9"/>
                <c:pt idx="0">
                  <c:v>61.2</c:v>
                </c:pt>
                <c:pt idx="1">
                  <c:v>55.08</c:v>
                </c:pt>
                <c:pt idx="2">
                  <c:v>48.96</c:v>
                </c:pt>
                <c:pt idx="3">
                  <c:v>42.839999999999996</c:v>
                </c:pt>
                <c:pt idx="4">
                  <c:v>36.72</c:v>
                </c:pt>
                <c:pt idx="5">
                  <c:v>30.6</c:v>
                </c:pt>
                <c:pt idx="6">
                  <c:v>24.48</c:v>
                </c:pt>
                <c:pt idx="7">
                  <c:v>18.36</c:v>
                </c:pt>
                <c:pt idx="8">
                  <c:v>12.24</c:v>
                </c:pt>
              </c:numCache>
            </c:numRef>
          </c:xVal>
          <c:yVal>
            <c:numRef>
              <c:f>Астраханское_269!$BG$27:$BG$35</c:f>
              <c:numCache>
                <c:formatCode>General</c:formatCode>
                <c:ptCount val="9"/>
                <c:pt idx="0">
                  <c:v>0</c:v>
                </c:pt>
                <c:pt idx="1">
                  <c:v>4.116777495041724</c:v>
                </c:pt>
                <c:pt idx="2">
                  <c:v>8.8524699894621968</c:v>
                </c:pt>
                <c:pt idx="3">
                  <c:v>14.397219040027432</c:v>
                </c:pt>
                <c:pt idx="4">
                  <c:v>20.939510207262458</c:v>
                </c:pt>
                <c:pt idx="5">
                  <c:v>28.448776010034049</c:v>
                </c:pt>
                <c:pt idx="6">
                  <c:v>36.801241870071024</c:v>
                </c:pt>
                <c:pt idx="7">
                  <c:v>45.956130449504954</c:v>
                </c:pt>
                <c:pt idx="8">
                  <c:v>55.361949039832993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11F-4FDF-862A-8E05DEB788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3972208"/>
        <c:axId val="1"/>
      </c:scatterChart>
      <c:scatterChart>
        <c:scatterStyle val="lineMarker"/>
        <c:varyColors val="0"/>
        <c:ser>
          <c:idx val="2"/>
          <c:order val="1"/>
          <c:tx>
            <c:v>Мольная доля воды - 0.3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FFC000"/>
              </a:solidFill>
            </c:spPr>
          </c:marker>
          <c:xVal>
            <c:numRef>
              <c:f>Астраханское_269!$BC$64:$BC$72</c:f>
              <c:numCache>
                <c:formatCode>General</c:formatCode>
                <c:ptCount val="9"/>
                <c:pt idx="0">
                  <c:v>61.2</c:v>
                </c:pt>
                <c:pt idx="1">
                  <c:v>55.08</c:v>
                </c:pt>
                <c:pt idx="2">
                  <c:v>48.96</c:v>
                </c:pt>
                <c:pt idx="3">
                  <c:v>42.839999999999996</c:v>
                </c:pt>
                <c:pt idx="4">
                  <c:v>36.72</c:v>
                </c:pt>
                <c:pt idx="5">
                  <c:v>30.6</c:v>
                </c:pt>
                <c:pt idx="6">
                  <c:v>24.48</c:v>
                </c:pt>
                <c:pt idx="7">
                  <c:v>18.36</c:v>
                </c:pt>
                <c:pt idx="8">
                  <c:v>12.24</c:v>
                </c:pt>
              </c:numCache>
            </c:numRef>
          </c:xVal>
          <c:yVal>
            <c:numRef>
              <c:f>Астраханское_269!$BG$64:$BG$72</c:f>
              <c:numCache>
                <c:formatCode>General</c:formatCode>
                <c:ptCount val="9"/>
                <c:pt idx="0">
                  <c:v>0</c:v>
                </c:pt>
                <c:pt idx="1">
                  <c:v>4.1919280188252639</c:v>
                </c:pt>
                <c:pt idx="2">
                  <c:v>9.0074090165392438</c:v>
                </c:pt>
                <c:pt idx="3">
                  <c:v>14.63864440921377</c:v>
                </c:pt>
                <c:pt idx="4">
                  <c:v>21.289956502922909</c:v>
                </c:pt>
                <c:pt idx="5">
                  <c:v>28.95891279641048</c:v>
                </c:pt>
                <c:pt idx="6">
                  <c:v>37.541659070507286</c:v>
                </c:pt>
                <c:pt idx="7">
                  <c:v>46.989000120829573</c:v>
                </c:pt>
                <c:pt idx="8">
                  <c:v>56.706406411408352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1F-4FDF-862A-8E05DEB78811}"/>
            </c:ext>
          </c:extLst>
        </c:ser>
        <c:ser>
          <c:idx val="1"/>
          <c:order val="2"/>
          <c:tx>
            <c:v>Мольня доля воды -0.71</c:v>
          </c:tx>
          <c:spPr>
            <a:ln w="28575">
              <a:noFill/>
            </a:ln>
          </c:spPr>
          <c:marker>
            <c:symbol val="triangle"/>
            <c:size val="5"/>
            <c:spPr>
              <a:solidFill>
                <a:srgbClr val="00B050"/>
              </a:solidFill>
            </c:spPr>
          </c:marker>
          <c:dPt>
            <c:idx val="5"/>
            <c:marker>
              <c:spPr>
                <a:solidFill>
                  <a:srgbClr val="00B050"/>
                </a:solid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611F-4FDF-862A-8E05DEB78811}"/>
              </c:ext>
            </c:extLst>
          </c:dPt>
          <c:xVal>
            <c:numRef>
              <c:f>Астраханское_269!$BA$88:$BA$96</c:f>
              <c:numCache>
                <c:formatCode>General</c:formatCode>
                <c:ptCount val="9"/>
                <c:pt idx="0">
                  <c:v>61.2</c:v>
                </c:pt>
                <c:pt idx="1">
                  <c:v>55.08</c:v>
                </c:pt>
                <c:pt idx="2">
                  <c:v>48.96</c:v>
                </c:pt>
                <c:pt idx="3">
                  <c:v>42.839999999999996</c:v>
                </c:pt>
                <c:pt idx="4">
                  <c:v>36.72</c:v>
                </c:pt>
                <c:pt idx="5">
                  <c:v>30.6</c:v>
                </c:pt>
                <c:pt idx="6">
                  <c:v>24.48</c:v>
                </c:pt>
                <c:pt idx="7">
                  <c:v>18.36</c:v>
                </c:pt>
                <c:pt idx="8">
                  <c:v>12.24</c:v>
                </c:pt>
              </c:numCache>
            </c:numRef>
          </c:xVal>
          <c:yVal>
            <c:numRef>
              <c:f>Астраханское_269!$BE$88:$BE$96</c:f>
              <c:numCache>
                <c:formatCode>General</c:formatCode>
                <c:ptCount val="9"/>
                <c:pt idx="0">
                  <c:v>0</c:v>
                </c:pt>
                <c:pt idx="1">
                  <c:v>4.2834662361263094</c:v>
                </c:pt>
                <c:pt idx="2">
                  <c:v>9.1738805322325572</c:v>
                </c:pt>
                <c:pt idx="3">
                  <c:v>14.856968650204076</c:v>
                </c:pt>
                <c:pt idx="4">
                  <c:v>21.502428730026306</c:v>
                </c:pt>
                <c:pt idx="5">
                  <c:v>29.079068549108644</c:v>
                </c:pt>
                <c:pt idx="6">
                  <c:v>37.520678269907769</c:v>
                </c:pt>
                <c:pt idx="7">
                  <c:v>46.758627081842313</c:v>
                </c:pt>
                <c:pt idx="8">
                  <c:v>56.237569452704292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11F-4FDF-862A-8E05DEB788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3972208"/>
        <c:axId val="1"/>
      </c:scatterChart>
      <c:valAx>
        <c:axId val="403972208"/>
        <c:scaling>
          <c:orientation val="minMax"/>
          <c:max val="65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Давление, МПа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ru-RU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ru-RU"/>
                  <a:t>КИК, %</a:t>
                </a:r>
              </a:p>
            </c:rich>
          </c:tx>
          <c:layout>
            <c:manualLayout>
              <c:xMode val="edge"/>
              <c:yMode val="edge"/>
              <c:x val="1.0541557305336832E-2"/>
              <c:y val="0.42468234948892258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3972208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54070822397200347"/>
          <c:y val="0.19350092108051711"/>
          <c:w val="0.39262510936132988"/>
          <c:h val="0.41896969400564066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Кривая пластовых потерь насыщенного конденсата</a:t>
            </a:r>
          </a:p>
        </c:rich>
      </c:tx>
      <c:layout>
        <c:manualLayout>
          <c:xMode val="edge"/>
          <c:yMode val="edge"/>
          <c:x val="2.7777777777778173E-4"/>
          <c:y val="0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371087051618548"/>
          <c:y val="0.17440222459923371"/>
          <c:w val="0.81966907261592292"/>
          <c:h val="0.71819843136930628"/>
        </c:manualLayout>
      </c:layout>
      <c:scatterChart>
        <c:scatterStyle val="lineMarker"/>
        <c:varyColors val="0"/>
        <c:ser>
          <c:idx val="0"/>
          <c:order val="0"/>
          <c:tx>
            <c:v>без воды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Астраханское_269!$AX$14:$AX$23</c:f>
              <c:numCache>
                <c:formatCode>General</c:formatCode>
                <c:ptCount val="10"/>
                <c:pt idx="0">
                  <c:v>61.2</c:v>
                </c:pt>
                <c:pt idx="1">
                  <c:v>55.08</c:v>
                </c:pt>
                <c:pt idx="2">
                  <c:v>48.96</c:v>
                </c:pt>
                <c:pt idx="3">
                  <c:v>38.56</c:v>
                </c:pt>
                <c:pt idx="4">
                  <c:v>36.72</c:v>
                </c:pt>
                <c:pt idx="5">
                  <c:v>30.6</c:v>
                </c:pt>
                <c:pt idx="6">
                  <c:v>24.48</c:v>
                </c:pt>
                <c:pt idx="7">
                  <c:v>18.36</c:v>
                </c:pt>
                <c:pt idx="8">
                  <c:v>12.24</c:v>
                </c:pt>
                <c:pt idx="9">
                  <c:v>6.12</c:v>
                </c:pt>
              </c:numCache>
            </c:numRef>
          </c:xVal>
          <c:yVal>
            <c:numRef>
              <c:f>Астраханское_269!$AZ$14:$AZ$23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4.7772635252381892E-3</c:v>
                </c:pt>
                <c:pt idx="5">
                  <c:v>1.8634956105085459E-2</c:v>
                </c:pt>
                <c:pt idx="6">
                  <c:v>3.0877943807825711E-2</c:v>
                </c:pt>
                <c:pt idx="7">
                  <c:v>3.7395056756682359E-2</c:v>
                </c:pt>
                <c:pt idx="8">
                  <c:v>3.8179500885858218E-2</c:v>
                </c:pt>
                <c:pt idx="9">
                  <c:v>3.3783470259247439E-2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7DC-4B83-8A1D-4DE6DAB65541}"/>
            </c:ext>
          </c:extLst>
        </c:ser>
        <c:ser>
          <c:idx val="1"/>
          <c:order val="1"/>
          <c:tx>
            <c:v>Объемная доля раствора воды - 0.1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Астраханское_269!$AS$49:$AS$58</c:f>
              <c:numCache>
                <c:formatCode>General</c:formatCode>
                <c:ptCount val="10"/>
                <c:pt idx="0">
                  <c:v>61.2</c:v>
                </c:pt>
                <c:pt idx="1">
                  <c:v>55.08</c:v>
                </c:pt>
                <c:pt idx="2">
                  <c:v>48.96</c:v>
                </c:pt>
                <c:pt idx="3">
                  <c:v>38.1</c:v>
                </c:pt>
                <c:pt idx="4">
                  <c:v>36.72</c:v>
                </c:pt>
                <c:pt idx="5">
                  <c:v>30.6</c:v>
                </c:pt>
                <c:pt idx="6">
                  <c:v>24.48</c:v>
                </c:pt>
                <c:pt idx="7">
                  <c:v>18.36</c:v>
                </c:pt>
                <c:pt idx="8">
                  <c:v>12.24</c:v>
                </c:pt>
                <c:pt idx="9">
                  <c:v>6.12</c:v>
                </c:pt>
              </c:numCache>
            </c:numRef>
          </c:xVal>
          <c:yVal>
            <c:numRef>
              <c:f>Астраханское_269!$AV$49:$AV$58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3.8911988003735372E-3</c:v>
                </c:pt>
                <c:pt idx="5">
                  <c:v>1.6190368793194538E-2</c:v>
                </c:pt>
                <c:pt idx="6">
                  <c:v>2.7876544068975342E-2</c:v>
                </c:pt>
                <c:pt idx="7">
                  <c:v>3.4902634257961938E-2</c:v>
                </c:pt>
                <c:pt idx="8">
                  <c:v>3.6271662413854898E-2</c:v>
                </c:pt>
                <c:pt idx="9">
                  <c:v>3.2477944331096228E-2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7DC-4B83-8A1D-4DE6DAB65541}"/>
            </c:ext>
          </c:extLst>
        </c:ser>
        <c:ser>
          <c:idx val="2"/>
          <c:order val="2"/>
          <c:tx>
            <c:v>Объемная доля раствора воды - 0.4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Астраханское_269!$AR$91:$AR$100</c:f>
              <c:numCache>
                <c:formatCode>General</c:formatCode>
                <c:ptCount val="10"/>
                <c:pt idx="0">
                  <c:v>61.2</c:v>
                </c:pt>
                <c:pt idx="1">
                  <c:v>55.08</c:v>
                </c:pt>
                <c:pt idx="2">
                  <c:v>48.96</c:v>
                </c:pt>
                <c:pt idx="3">
                  <c:v>38.409999999999997</c:v>
                </c:pt>
                <c:pt idx="4">
                  <c:v>36.72</c:v>
                </c:pt>
                <c:pt idx="5">
                  <c:v>30.6</c:v>
                </c:pt>
                <c:pt idx="6">
                  <c:v>24.48</c:v>
                </c:pt>
                <c:pt idx="7">
                  <c:v>18.36</c:v>
                </c:pt>
                <c:pt idx="8">
                  <c:v>12.24</c:v>
                </c:pt>
                <c:pt idx="9">
                  <c:v>6.12</c:v>
                </c:pt>
              </c:numCache>
            </c:numRef>
          </c:xVal>
          <c:yVal>
            <c:numRef>
              <c:f>Астраханское_269!$AU$91:$AU$100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4.9822331445167414E-3</c:v>
                </c:pt>
                <c:pt idx="5">
                  <c:v>1.7025131364567982E-2</c:v>
                </c:pt>
                <c:pt idx="6">
                  <c:v>2.8440544525191541E-2</c:v>
                </c:pt>
                <c:pt idx="7">
                  <c:v>3.5188612944821479E-2</c:v>
                </c:pt>
                <c:pt idx="8">
                  <c:v>3.6491058967233377E-2</c:v>
                </c:pt>
                <c:pt idx="9">
                  <c:v>3.263672904970983E-2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7DC-4B83-8A1D-4DE6DAB655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3947120"/>
        <c:axId val="1"/>
      </c:scatterChart>
      <c:valAx>
        <c:axId val="403947120"/>
        <c:scaling>
          <c:orientation val="minMax"/>
          <c:max val="65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МПа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ru-RU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Пластовые</a:t>
                </a:r>
                <a:r>
                  <a:rPr lang="ru-RU" baseline="0"/>
                  <a:t> потери насыщенного конденсата</a:t>
                </a:r>
                <a:endParaRPr lang="ru-RU"/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3947120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59077777777777785"/>
          <c:y val="0.17356630982924887"/>
          <c:w val="0.35922222222222222"/>
          <c:h val="0.312238933616444"/>
        </c:manualLayout>
      </c:layout>
      <c:overlay val="0"/>
      <c:spPr>
        <a:solidFill>
          <a:schemeClr val="bg1"/>
        </a:solidFill>
        <a:ln>
          <a:solidFill>
            <a:sysClr val="windowText" lastClr="000000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421981627296587"/>
          <c:y val="6.0185185185185182E-2"/>
          <c:w val="0.82644685039370069"/>
          <c:h val="0.75834135316418783"/>
        </c:manualLayout>
      </c:layout>
      <c:scatterChart>
        <c:scatterStyle val="smoothMarker"/>
        <c:varyColors val="0"/>
        <c:ser>
          <c:idx val="0"/>
          <c:order val="0"/>
          <c:tx>
            <c:v>метод Бюкачека</c:v>
          </c:tx>
          <c:spPr>
            <a:ln w="28575" cap="rnd">
              <a:solidFill>
                <a:srgbClr val="92D05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Астраханское_269!$BG$42:$BG$51</c:f>
              <c:numCache>
                <c:formatCode>General</c:formatCode>
                <c:ptCount val="10"/>
                <c:pt idx="0">
                  <c:v>61.2</c:v>
                </c:pt>
                <c:pt idx="1">
                  <c:v>55.08</c:v>
                </c:pt>
                <c:pt idx="2">
                  <c:v>48.96</c:v>
                </c:pt>
                <c:pt idx="3">
                  <c:v>42.839999999999996</c:v>
                </c:pt>
                <c:pt idx="4">
                  <c:v>36.72</c:v>
                </c:pt>
                <c:pt idx="5">
                  <c:v>30.6</c:v>
                </c:pt>
                <c:pt idx="6">
                  <c:v>24.48</c:v>
                </c:pt>
                <c:pt idx="7">
                  <c:v>18.36</c:v>
                </c:pt>
                <c:pt idx="8">
                  <c:v>12.24</c:v>
                </c:pt>
                <c:pt idx="9">
                  <c:v>6.12</c:v>
                </c:pt>
              </c:numCache>
            </c:numRef>
          </c:xVal>
          <c:yVal>
            <c:numRef>
              <c:f>Астраханское_269!$BH$42:$BH$51</c:f>
              <c:numCache>
                <c:formatCode>0.000</c:formatCode>
                <c:ptCount val="10"/>
                <c:pt idx="0">
                  <c:v>13.203526046985678</c:v>
                </c:pt>
                <c:pt idx="1">
                  <c:v>13.334285188368611</c:v>
                </c:pt>
                <c:pt idx="2">
                  <c:v>13.500913812331124</c:v>
                </c:pt>
                <c:pt idx="3">
                  <c:v>13.711575801318455</c:v>
                </c:pt>
                <c:pt idx="4">
                  <c:v>13.996655056594122</c:v>
                </c:pt>
                <c:pt idx="5">
                  <c:v>14.40448104365035</c:v>
                </c:pt>
                <c:pt idx="6">
                  <c:v>15.012850676450737</c:v>
                </c:pt>
                <c:pt idx="7">
                  <c:v>15.027580577822341</c:v>
                </c:pt>
                <c:pt idx="8">
                  <c:v>14.990406561816386</c:v>
                </c:pt>
                <c:pt idx="9">
                  <c:v>20.773256088632639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1DB-4665-A2B3-3CE8BC084E8B}"/>
            </c:ext>
          </c:extLst>
        </c:ser>
        <c:ser>
          <c:idx val="1"/>
          <c:order val="1"/>
          <c:tx>
            <c:v>PVT-моделирование</c:v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Астраханское_269!$BG$42:$BG$51</c:f>
              <c:numCache>
                <c:formatCode>General</c:formatCode>
                <c:ptCount val="10"/>
                <c:pt idx="0">
                  <c:v>61.2</c:v>
                </c:pt>
                <c:pt idx="1">
                  <c:v>55.08</c:v>
                </c:pt>
                <c:pt idx="2">
                  <c:v>48.96</c:v>
                </c:pt>
                <c:pt idx="3">
                  <c:v>42.839999999999996</c:v>
                </c:pt>
                <c:pt idx="4">
                  <c:v>36.72</c:v>
                </c:pt>
                <c:pt idx="5">
                  <c:v>30.6</c:v>
                </c:pt>
                <c:pt idx="6">
                  <c:v>24.48</c:v>
                </c:pt>
                <c:pt idx="7">
                  <c:v>18.36</c:v>
                </c:pt>
                <c:pt idx="8">
                  <c:v>12.24</c:v>
                </c:pt>
                <c:pt idx="9">
                  <c:v>6.12</c:v>
                </c:pt>
              </c:numCache>
            </c:numRef>
          </c:xVal>
          <c:yVal>
            <c:numRef>
              <c:f>Астраханское_269!$BJ$42:$BJ$51</c:f>
              <c:numCache>
                <c:formatCode>General</c:formatCode>
                <c:ptCount val="10"/>
                <c:pt idx="0">
                  <c:v>11.309756746913909</c:v>
                </c:pt>
                <c:pt idx="1">
                  <c:v>11.501598299962584</c:v>
                </c:pt>
                <c:pt idx="2">
                  <c:v>11.704684979671075</c:v>
                </c:pt>
                <c:pt idx="3">
                  <c:v>11.921044190785622</c:v>
                </c:pt>
                <c:pt idx="4">
                  <c:v>12.168661530040403</c:v>
                </c:pt>
                <c:pt idx="5">
                  <c:v>12.445006980972227</c:v>
                </c:pt>
                <c:pt idx="6">
                  <c:v>12.73290030476551</c:v>
                </c:pt>
                <c:pt idx="7">
                  <c:v>13.228254888629785</c:v>
                </c:pt>
                <c:pt idx="8">
                  <c:v>14.818596151909583</c:v>
                </c:pt>
                <c:pt idx="9">
                  <c:v>21.823027116510929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1DB-4665-A2B3-3CE8BC084E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3940560"/>
        <c:axId val="1"/>
      </c:scatterChart>
      <c:valAx>
        <c:axId val="4039405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Давление, МПа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ru-RU"/>
          </a:p>
        </c:txPr>
        <c:crossAx val="1"/>
        <c:crosses val="autoZero"/>
        <c:crossBetween val="midCat"/>
      </c:valAx>
      <c:valAx>
        <c:axId val="1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 sz="1400"/>
                </a:pPr>
                <a:r>
                  <a:rPr lang="ru-RU" sz="1400" b="0" i="0" baseline="0">
                    <a:effectLst/>
                  </a:rPr>
                  <a:t>Влагосодержание, г/м</a:t>
                </a:r>
                <a:r>
                  <a:rPr lang="ru-RU" sz="1400" b="0" i="0" baseline="30000">
                    <a:effectLst/>
                  </a:rPr>
                  <a:t>3</a:t>
                </a:r>
                <a:endParaRPr lang="ru-RU" sz="1400">
                  <a:effectLst/>
                </a:endParaRPr>
              </a:p>
            </c:rich>
          </c:tx>
          <c:overlay val="0"/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3940560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51993044619422568"/>
          <c:y val="6.4430956547098281E-2"/>
          <c:w val="0.42594444444444446"/>
          <c:h val="0.27931321084864391"/>
        </c:manualLayout>
      </c:layout>
      <c:overlay val="0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 sz="1400" b="0"/>
              <a:t>Содержание стабильного конденсата в добываемом газе</a:t>
            </a:r>
          </a:p>
        </c:rich>
      </c:tx>
      <c:layout>
        <c:manualLayout>
          <c:xMode val="edge"/>
          <c:yMode val="edge"/>
          <c:x val="0.12764805414551608"/>
          <c:y val="2.7705627705627706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50014835102134"/>
          <c:y val="0.11720134983127109"/>
          <c:w val="0.83556384799726136"/>
          <c:h val="0.76681869311790585"/>
        </c:manualLayout>
      </c:layout>
      <c:scatterChart>
        <c:scatterStyle val="smoothMarker"/>
        <c:varyColors val="0"/>
        <c:ser>
          <c:idx val="0"/>
          <c:order val="0"/>
          <c:tx>
            <c:v>без воды</c:v>
          </c:tx>
          <c:xVal>
            <c:numRef>
              <c:f>Уренгойское_430!$BU$6:$BU$20</c:f>
              <c:numCache>
                <c:formatCode>General</c:formatCode>
                <c:ptCount val="15"/>
                <c:pt idx="0">
                  <c:v>65.400000000000006</c:v>
                </c:pt>
                <c:pt idx="1">
                  <c:v>50.64</c:v>
                </c:pt>
                <c:pt idx="2">
                  <c:v>49.04</c:v>
                </c:pt>
                <c:pt idx="3">
                  <c:v>47.06</c:v>
                </c:pt>
                <c:pt idx="4">
                  <c:v>43.480000000000004</c:v>
                </c:pt>
                <c:pt idx="5">
                  <c:v>39.9</c:v>
                </c:pt>
                <c:pt idx="6">
                  <c:v>36.32</c:v>
                </c:pt>
                <c:pt idx="7">
                  <c:v>32.739999999999995</c:v>
                </c:pt>
                <c:pt idx="8">
                  <c:v>29.160000000000004</c:v>
                </c:pt>
                <c:pt idx="9">
                  <c:v>25.580000000000002</c:v>
                </c:pt>
                <c:pt idx="10">
                  <c:v>22</c:v>
                </c:pt>
                <c:pt idx="11">
                  <c:v>18.419999999999998</c:v>
                </c:pt>
                <c:pt idx="12">
                  <c:v>11.26</c:v>
                </c:pt>
                <c:pt idx="13">
                  <c:v>7.68</c:v>
                </c:pt>
                <c:pt idx="14">
                  <c:v>4.0999999999999996</c:v>
                </c:pt>
              </c:numCache>
            </c:numRef>
          </c:xVal>
          <c:yVal>
            <c:numRef>
              <c:f>Уренгойское_430!$BT$6:$BT$21</c:f>
              <c:numCache>
                <c:formatCode>General</c:formatCode>
                <c:ptCount val="16"/>
                <c:pt idx="0">
                  <c:v>430.34939519940252</c:v>
                </c:pt>
                <c:pt idx="1">
                  <c:v>430.34939519940252</c:v>
                </c:pt>
                <c:pt idx="2">
                  <c:v>430.34939519940252</c:v>
                </c:pt>
                <c:pt idx="3">
                  <c:v>406.21419918776905</c:v>
                </c:pt>
                <c:pt idx="4">
                  <c:v>358.90071125195067</c:v>
                </c:pt>
                <c:pt idx="5">
                  <c:v>321.44067849090897</c:v>
                </c:pt>
                <c:pt idx="6">
                  <c:v>290.57004021260525</c:v>
                </c:pt>
                <c:pt idx="7">
                  <c:v>264.48442441678486</c:v>
                </c:pt>
                <c:pt idx="8">
                  <c:v>242.2559098169601</c:v>
                </c:pt>
                <c:pt idx="9">
                  <c:v>223.54733673537029</c:v>
                </c:pt>
                <c:pt idx="10">
                  <c:v>208.37299872791075</c:v>
                </c:pt>
                <c:pt idx="11">
                  <c:v>196.8584658151641</c:v>
                </c:pt>
                <c:pt idx="12">
                  <c:v>183.56772237092969</c:v>
                </c:pt>
                <c:pt idx="13">
                  <c:v>182.51546840339802</c:v>
                </c:pt>
                <c:pt idx="14">
                  <c:v>185.14372263442479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41E-43B9-AA27-9CD5A2FF2A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4249504"/>
        <c:axId val="1"/>
      </c:scatterChart>
      <c:scatterChart>
        <c:scatterStyle val="lineMarker"/>
        <c:varyColors val="0"/>
        <c:ser>
          <c:idx val="1"/>
          <c:order val="1"/>
          <c:tx>
            <c:v>Объемная доля воды - 0,1</c:v>
          </c:tx>
          <c:spPr>
            <a:ln w="28575">
              <a:noFill/>
            </a:ln>
          </c:spPr>
          <c:xVal>
            <c:numRef>
              <c:f>Уренгойское_430!$BU$47:$BU$61</c:f>
              <c:numCache>
                <c:formatCode>General</c:formatCode>
                <c:ptCount val="15"/>
                <c:pt idx="0">
                  <c:v>65.400000000000006</c:v>
                </c:pt>
                <c:pt idx="1">
                  <c:v>50.64</c:v>
                </c:pt>
                <c:pt idx="2">
                  <c:v>50.28</c:v>
                </c:pt>
                <c:pt idx="3">
                  <c:v>47.06</c:v>
                </c:pt>
                <c:pt idx="4">
                  <c:v>43.480000000000004</c:v>
                </c:pt>
                <c:pt idx="5">
                  <c:v>39.9</c:v>
                </c:pt>
                <c:pt idx="6">
                  <c:v>36.32</c:v>
                </c:pt>
                <c:pt idx="7">
                  <c:v>32.739999999999995</c:v>
                </c:pt>
                <c:pt idx="8">
                  <c:v>29.160000000000004</c:v>
                </c:pt>
                <c:pt idx="9">
                  <c:v>25.580000000000002</c:v>
                </c:pt>
                <c:pt idx="10">
                  <c:v>22</c:v>
                </c:pt>
                <c:pt idx="11">
                  <c:v>18.419999999999998</c:v>
                </c:pt>
                <c:pt idx="12">
                  <c:v>11.26</c:v>
                </c:pt>
                <c:pt idx="13">
                  <c:v>7.68</c:v>
                </c:pt>
                <c:pt idx="14">
                  <c:v>4.0999999999999996</c:v>
                </c:pt>
              </c:numCache>
            </c:numRef>
          </c:xVal>
          <c:yVal>
            <c:numRef>
              <c:f>Уренгойское_430!$BT$47:$BT$62</c:f>
              <c:numCache>
                <c:formatCode>General</c:formatCode>
                <c:ptCount val="16"/>
                <c:pt idx="0">
                  <c:v>430.34932935116711</c:v>
                </c:pt>
                <c:pt idx="1">
                  <c:v>430.34931979957781</c:v>
                </c:pt>
                <c:pt idx="2">
                  <c:v>430.34887235936537</c:v>
                </c:pt>
                <c:pt idx="3">
                  <c:v>391.40136114512762</c:v>
                </c:pt>
                <c:pt idx="4">
                  <c:v>348.67444962212011</c:v>
                </c:pt>
                <c:pt idx="5">
                  <c:v>314.53600261283293</c:v>
                </c:pt>
                <c:pt idx="6">
                  <c:v>285.7410580513976</c:v>
                </c:pt>
                <c:pt idx="7">
                  <c:v>260.99625811203634</c:v>
                </c:pt>
                <c:pt idx="8">
                  <c:v>239.70139058118002</c:v>
                </c:pt>
                <c:pt idx="9">
                  <c:v>221.65434743502681</c:v>
                </c:pt>
                <c:pt idx="10">
                  <c:v>206.92379538528476</c:v>
                </c:pt>
                <c:pt idx="11">
                  <c:v>195.68287677394454</c:v>
                </c:pt>
                <c:pt idx="12">
                  <c:v>182.76346713163477</c:v>
                </c:pt>
                <c:pt idx="13">
                  <c:v>181.83007844655796</c:v>
                </c:pt>
                <c:pt idx="14">
                  <c:v>184.63813026727539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41E-43B9-AA27-9CD5A2FF2A46}"/>
            </c:ext>
          </c:extLst>
        </c:ser>
        <c:ser>
          <c:idx val="2"/>
          <c:order val="2"/>
          <c:tx>
            <c:v>Объемная доля воды - 0,4</c:v>
          </c:tx>
          <c:spPr>
            <a:ln w="28575">
              <a:noFill/>
            </a:ln>
          </c:spPr>
          <c:xVal>
            <c:numRef>
              <c:f>Уренгойское_430!$BU$47:$BU$61</c:f>
              <c:numCache>
                <c:formatCode>General</c:formatCode>
                <c:ptCount val="15"/>
                <c:pt idx="0">
                  <c:v>65.400000000000006</c:v>
                </c:pt>
                <c:pt idx="1">
                  <c:v>50.64</c:v>
                </c:pt>
                <c:pt idx="2">
                  <c:v>50.28</c:v>
                </c:pt>
                <c:pt idx="3">
                  <c:v>47.06</c:v>
                </c:pt>
                <c:pt idx="4">
                  <c:v>43.480000000000004</c:v>
                </c:pt>
                <c:pt idx="5">
                  <c:v>39.9</c:v>
                </c:pt>
                <c:pt idx="6">
                  <c:v>36.32</c:v>
                </c:pt>
                <c:pt idx="7">
                  <c:v>32.739999999999995</c:v>
                </c:pt>
                <c:pt idx="8">
                  <c:v>29.160000000000004</c:v>
                </c:pt>
                <c:pt idx="9">
                  <c:v>25.580000000000002</c:v>
                </c:pt>
                <c:pt idx="10">
                  <c:v>22</c:v>
                </c:pt>
                <c:pt idx="11">
                  <c:v>18.419999999999998</c:v>
                </c:pt>
                <c:pt idx="12">
                  <c:v>11.26</c:v>
                </c:pt>
                <c:pt idx="13">
                  <c:v>7.68</c:v>
                </c:pt>
                <c:pt idx="14">
                  <c:v>4.0999999999999996</c:v>
                </c:pt>
              </c:numCache>
            </c:numRef>
          </c:xVal>
          <c:yVal>
            <c:numRef>
              <c:f>Уренгойское_430!$BT$47:$BT$62</c:f>
              <c:numCache>
                <c:formatCode>General</c:formatCode>
                <c:ptCount val="16"/>
                <c:pt idx="0">
                  <c:v>430.34932935116711</c:v>
                </c:pt>
                <c:pt idx="1">
                  <c:v>430.34931979957781</c:v>
                </c:pt>
                <c:pt idx="2">
                  <c:v>430.34887235936537</c:v>
                </c:pt>
                <c:pt idx="3">
                  <c:v>391.40136114512762</c:v>
                </c:pt>
                <c:pt idx="4">
                  <c:v>348.67444962212011</c:v>
                </c:pt>
                <c:pt idx="5">
                  <c:v>314.53600261283293</c:v>
                </c:pt>
                <c:pt idx="6">
                  <c:v>285.7410580513976</c:v>
                </c:pt>
                <c:pt idx="7">
                  <c:v>260.99625811203634</c:v>
                </c:pt>
                <c:pt idx="8">
                  <c:v>239.70139058118002</c:v>
                </c:pt>
                <c:pt idx="9">
                  <c:v>221.65434743502681</c:v>
                </c:pt>
                <c:pt idx="10">
                  <c:v>206.92379538528476</c:v>
                </c:pt>
                <c:pt idx="11">
                  <c:v>195.68287677394454</c:v>
                </c:pt>
                <c:pt idx="12">
                  <c:v>182.76346713163477</c:v>
                </c:pt>
                <c:pt idx="13">
                  <c:v>181.83007844655796</c:v>
                </c:pt>
                <c:pt idx="14">
                  <c:v>184.63813026727539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41E-43B9-AA27-9CD5A2FF2A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4249504"/>
        <c:axId val="1"/>
      </c:scatterChart>
      <c:valAx>
        <c:axId val="40424950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Давление, МПа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ru-RU"/>
          </a:p>
        </c:txPr>
        <c:crossAx val="1"/>
        <c:crosses val="autoZero"/>
        <c:crossBetween val="midCat"/>
      </c:valAx>
      <c:valAx>
        <c:axId val="1"/>
        <c:scaling>
          <c:orientation val="minMax"/>
          <c:min val="150"/>
        </c:scaling>
        <c:delete val="0"/>
        <c:axPos val="l"/>
        <c:majorGridlines>
          <c:spPr>
            <a:ln>
              <a:solidFill>
                <a:schemeClr val="tx1"/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Содержание</a:t>
                </a:r>
                <a:r>
                  <a:rPr lang="ru-RU" baseline="0"/>
                  <a:t> С5+ в добываемом газе г/м3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042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2017275759311807"/>
          <c:y val="0.50801377100589706"/>
          <c:w val="0.3198657020664295"/>
          <c:h val="0.29177052868391451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Кривая пластовых потерь насыщенного конденсата</a:t>
            </a:r>
          </a:p>
        </c:rich>
      </c:tx>
      <c:layout>
        <c:manualLayout>
          <c:xMode val="edge"/>
          <c:yMode val="edge"/>
          <c:x val="0.14147717330788198"/>
          <c:y val="8.2689354233197628E-3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224648055356717"/>
          <c:y val="9.1578165728187236E-2"/>
          <c:w val="0.82064244810307807"/>
          <c:h val="0.79478894060282967"/>
        </c:manualLayout>
      </c:layout>
      <c:scatterChart>
        <c:scatterStyle val="lineMarker"/>
        <c:varyColors val="0"/>
        <c:ser>
          <c:idx val="0"/>
          <c:order val="0"/>
          <c:tx>
            <c:v>без воды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Уренгойское_430!$BO$18:$BO$31</c:f>
              <c:numCache>
                <c:formatCode>General</c:formatCode>
                <c:ptCount val="14"/>
                <c:pt idx="0">
                  <c:v>65.400000000000006</c:v>
                </c:pt>
                <c:pt idx="1">
                  <c:v>49.04</c:v>
                </c:pt>
                <c:pt idx="2">
                  <c:v>47.06</c:v>
                </c:pt>
                <c:pt idx="3">
                  <c:v>43.480000000000004</c:v>
                </c:pt>
                <c:pt idx="4">
                  <c:v>39.9</c:v>
                </c:pt>
                <c:pt idx="5">
                  <c:v>36.32</c:v>
                </c:pt>
                <c:pt idx="6">
                  <c:v>32.739999999999995</c:v>
                </c:pt>
                <c:pt idx="7">
                  <c:v>29.160000000000004</c:v>
                </c:pt>
                <c:pt idx="8">
                  <c:v>25.580000000000002</c:v>
                </c:pt>
                <c:pt idx="9">
                  <c:v>22</c:v>
                </c:pt>
                <c:pt idx="10">
                  <c:v>18.419999999999998</c:v>
                </c:pt>
                <c:pt idx="11">
                  <c:v>11.26</c:v>
                </c:pt>
                <c:pt idx="12">
                  <c:v>7.68</c:v>
                </c:pt>
                <c:pt idx="13">
                  <c:v>4.0999999999999996</c:v>
                </c:pt>
              </c:numCache>
            </c:numRef>
          </c:xVal>
          <c:yVal>
            <c:numRef>
              <c:f>Уренгойское_430!$BQ$18:$BQ$31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1.8152226346619778E-2</c:v>
                </c:pt>
                <c:pt idx="3">
                  <c:v>5.1300939225693135E-2</c:v>
                </c:pt>
                <c:pt idx="4">
                  <c:v>7.5192976216373816E-2</c:v>
                </c:pt>
                <c:pt idx="5">
                  <c:v>9.3261859545560932E-2</c:v>
                </c:pt>
                <c:pt idx="6">
                  <c:v>0.10725955748331101</c:v>
                </c:pt>
                <c:pt idx="7">
                  <c:v>0.11798281619065047</c:v>
                </c:pt>
                <c:pt idx="8">
                  <c:v>0.12564995321888925</c:v>
                </c:pt>
                <c:pt idx="9">
                  <c:v>0.1302048464146929</c:v>
                </c:pt>
                <c:pt idx="10">
                  <c:v>0.13158901360209813</c:v>
                </c:pt>
                <c:pt idx="11">
                  <c:v>0.12626977332561071</c:v>
                </c:pt>
                <c:pt idx="12">
                  <c:v>0.11965742083646604</c:v>
                </c:pt>
                <c:pt idx="13">
                  <c:v>0.11079859809925452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463-4160-BE2F-4FB9C516C7AB}"/>
            </c:ext>
          </c:extLst>
        </c:ser>
        <c:ser>
          <c:idx val="1"/>
          <c:order val="1"/>
          <c:tx>
            <c:v>Объемная доля раствора воды - 0,1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Уренгойское_430!$BL$48:$BL$62</c:f>
              <c:numCache>
                <c:formatCode>General</c:formatCode>
                <c:ptCount val="15"/>
                <c:pt idx="0">
                  <c:v>65.400000000000006</c:v>
                </c:pt>
                <c:pt idx="1">
                  <c:v>50.28</c:v>
                </c:pt>
                <c:pt idx="2">
                  <c:v>47.06</c:v>
                </c:pt>
                <c:pt idx="3">
                  <c:v>43.480000000000004</c:v>
                </c:pt>
                <c:pt idx="4">
                  <c:v>39.9</c:v>
                </c:pt>
                <c:pt idx="5">
                  <c:v>36.32</c:v>
                </c:pt>
                <c:pt idx="6">
                  <c:v>32.739999999999995</c:v>
                </c:pt>
                <c:pt idx="7">
                  <c:v>29.160000000000004</c:v>
                </c:pt>
                <c:pt idx="8">
                  <c:v>25.580000000000002</c:v>
                </c:pt>
                <c:pt idx="9">
                  <c:v>22</c:v>
                </c:pt>
                <c:pt idx="10">
                  <c:v>18.419999999999998</c:v>
                </c:pt>
                <c:pt idx="11">
                  <c:v>11.26</c:v>
                </c:pt>
                <c:pt idx="12">
                  <c:v>7.68</c:v>
                </c:pt>
                <c:pt idx="13">
                  <c:v>4.0999999999999996</c:v>
                </c:pt>
                <c:pt idx="14">
                  <c:v>0.52</c:v>
                </c:pt>
              </c:numCache>
            </c:numRef>
          </c:xVal>
          <c:yVal>
            <c:numRef>
              <c:f>Уренгойское_430!$BO$48:$BO$62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2.8558857632690653E-2</c:v>
                </c:pt>
                <c:pt idx="3">
                  <c:v>5.7544593712218414E-2</c:v>
                </c:pt>
                <c:pt idx="4">
                  <c:v>7.859707595421174E-2</c:v>
                </c:pt>
                <c:pt idx="5">
                  <c:v>9.5011013226107194E-2</c:v>
                </c:pt>
                <c:pt idx="6">
                  <c:v>0.10803797229833484</c:v>
                </c:pt>
                <c:pt idx="7">
                  <c:v>0.11813758919369244</c:v>
                </c:pt>
                <c:pt idx="8">
                  <c:v>0.12541711195142122</c:v>
                </c:pt>
                <c:pt idx="9">
                  <c:v>0.12979126698818369</c:v>
                </c:pt>
                <c:pt idx="10">
                  <c:v>0.13118498600156861</c:v>
                </c:pt>
                <c:pt idx="11">
                  <c:v>0.12595055215488979</c:v>
                </c:pt>
                <c:pt idx="12">
                  <c:v>0.11940828771675888</c:v>
                </c:pt>
                <c:pt idx="13">
                  <c:v>0.11056599103067978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463-4160-BE2F-4FB9C516C7AB}"/>
            </c:ext>
          </c:extLst>
        </c:ser>
        <c:ser>
          <c:idx val="2"/>
          <c:order val="2"/>
          <c:tx>
            <c:v>Объемная доля раствора воды - 0,4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Уренгойское_430!$BL$88:$BL$101</c:f>
              <c:numCache>
                <c:formatCode>General</c:formatCode>
                <c:ptCount val="14"/>
                <c:pt idx="0">
                  <c:v>65.400000000000006</c:v>
                </c:pt>
                <c:pt idx="1">
                  <c:v>49.730000000000004</c:v>
                </c:pt>
                <c:pt idx="2">
                  <c:v>47.06</c:v>
                </c:pt>
                <c:pt idx="3">
                  <c:v>43.480000000000004</c:v>
                </c:pt>
                <c:pt idx="4">
                  <c:v>39.9</c:v>
                </c:pt>
                <c:pt idx="5">
                  <c:v>36.32</c:v>
                </c:pt>
                <c:pt idx="6">
                  <c:v>32.739999999999995</c:v>
                </c:pt>
                <c:pt idx="7">
                  <c:v>29.160000000000004</c:v>
                </c:pt>
                <c:pt idx="8">
                  <c:v>25.580000000000002</c:v>
                </c:pt>
                <c:pt idx="9">
                  <c:v>22</c:v>
                </c:pt>
                <c:pt idx="10">
                  <c:v>18.419999999999998</c:v>
                </c:pt>
                <c:pt idx="11">
                  <c:v>11.26</c:v>
                </c:pt>
                <c:pt idx="12">
                  <c:v>7.68</c:v>
                </c:pt>
                <c:pt idx="13">
                  <c:v>4.0999999999999996</c:v>
                </c:pt>
              </c:numCache>
            </c:numRef>
          </c:xVal>
          <c:yVal>
            <c:numRef>
              <c:f>Уренгойское_430!$BO$88:$BO$101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2.8627342551091148E-2</c:v>
                </c:pt>
                <c:pt idx="3">
                  <c:v>5.7350244792046222E-2</c:v>
                </c:pt>
                <c:pt idx="4">
                  <c:v>7.820280391668348E-2</c:v>
                </c:pt>
                <c:pt idx="5">
                  <c:v>9.4575495485360137E-2</c:v>
                </c:pt>
                <c:pt idx="6">
                  <c:v>0.10756390574117393</c:v>
                </c:pt>
                <c:pt idx="7">
                  <c:v>0.11753854625322707</c:v>
                </c:pt>
                <c:pt idx="8">
                  <c:v>0.12474515705063109</c:v>
                </c:pt>
                <c:pt idx="9">
                  <c:v>0.12905891577242426</c:v>
                </c:pt>
                <c:pt idx="10">
                  <c:v>0.13033802213012582</c:v>
                </c:pt>
                <c:pt idx="11">
                  <c:v>0.12508955049427545</c:v>
                </c:pt>
                <c:pt idx="12">
                  <c:v>0.11861674299193532</c:v>
                </c:pt>
                <c:pt idx="13">
                  <c:v>0.10985079687027957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463-4160-BE2F-4FB9C516C7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4256720"/>
        <c:axId val="1"/>
      </c:scatterChart>
      <c:valAx>
        <c:axId val="4042567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ysClr val="windowText" lastClr="000000"/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МПа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ru-RU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0" i="0" baseline="0">
                    <a:effectLst/>
                  </a:rPr>
                  <a:t>V</a:t>
                </a:r>
                <a:r>
                  <a:rPr lang="ru-RU" sz="1200" b="0" i="0" baseline="-25000">
                    <a:effectLst/>
                  </a:rPr>
                  <a:t>конд</a:t>
                </a:r>
                <a:r>
                  <a:rPr lang="ru-RU" sz="1200" b="0" i="0" baseline="0">
                    <a:effectLst/>
                  </a:rPr>
                  <a:t>/(</a:t>
                </a:r>
                <a:r>
                  <a:rPr lang="en-US" sz="1200" b="0" i="0" baseline="0">
                    <a:effectLst/>
                  </a:rPr>
                  <a:t>V</a:t>
                </a:r>
                <a:r>
                  <a:rPr lang="ru-RU" sz="1200" b="0" i="0" baseline="-25000">
                    <a:effectLst/>
                  </a:rPr>
                  <a:t>сист</a:t>
                </a:r>
                <a:r>
                  <a:rPr lang="ru-RU" sz="1200" b="0" i="0" baseline="0">
                    <a:effectLst/>
                  </a:rPr>
                  <a:t>-</a:t>
                </a:r>
                <a:r>
                  <a:rPr lang="en-US" sz="1200" b="0" i="0" baseline="0">
                    <a:effectLst/>
                  </a:rPr>
                  <a:t>V</a:t>
                </a:r>
                <a:r>
                  <a:rPr lang="ru-RU" sz="1200" b="0" i="0" baseline="-25000">
                    <a:effectLst/>
                  </a:rPr>
                  <a:t>воды</a:t>
                </a:r>
                <a:r>
                  <a:rPr lang="ru-RU" sz="1200" b="0" i="0" baseline="0">
                    <a:effectLst/>
                  </a:rPr>
                  <a:t>)</a:t>
                </a:r>
                <a:endParaRPr lang="ru-RU" sz="1200">
                  <a:effectLst/>
                </a:endParaRP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4256720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60767676767676759"/>
          <c:y val="0.19295027750014221"/>
          <c:w val="0.32876262626262631"/>
          <c:h val="0.25064722946783358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1"/>
    </c:title>
    <c:autoTitleDeleted val="0"/>
    <c:plotArea>
      <c:layout>
        <c:manualLayout>
          <c:layoutTarget val="inner"/>
          <c:xMode val="edge"/>
          <c:yMode val="edge"/>
          <c:x val="7.2182852143482065E-2"/>
          <c:y val="0.14938947848910192"/>
          <c:w val="0.86902537182852135"/>
          <c:h val="0.72203224596925386"/>
        </c:manualLayout>
      </c:layout>
      <c:scatterChart>
        <c:scatterStyle val="smoothMarker"/>
        <c:varyColors val="0"/>
        <c:ser>
          <c:idx val="0"/>
          <c:order val="0"/>
          <c:tx>
            <c:v>без воды</c:v>
          </c:tx>
          <c:xVal>
            <c:numRef>
              <c:f>Уренгойское_430!$BV$27:$BV$40</c:f>
              <c:numCache>
                <c:formatCode>General</c:formatCode>
                <c:ptCount val="14"/>
                <c:pt idx="0">
                  <c:v>65.400000000000006</c:v>
                </c:pt>
                <c:pt idx="1">
                  <c:v>50.64</c:v>
                </c:pt>
                <c:pt idx="2">
                  <c:v>47.06</c:v>
                </c:pt>
                <c:pt idx="3">
                  <c:v>43.480000000000004</c:v>
                </c:pt>
                <c:pt idx="4">
                  <c:v>39.9</c:v>
                </c:pt>
                <c:pt idx="5">
                  <c:v>36.32</c:v>
                </c:pt>
                <c:pt idx="6">
                  <c:v>32.739999999999995</c:v>
                </c:pt>
                <c:pt idx="7">
                  <c:v>29.160000000000004</c:v>
                </c:pt>
                <c:pt idx="8">
                  <c:v>25.580000000000002</c:v>
                </c:pt>
                <c:pt idx="9">
                  <c:v>22</c:v>
                </c:pt>
                <c:pt idx="10">
                  <c:v>18.419999999999998</c:v>
                </c:pt>
                <c:pt idx="11">
                  <c:v>11.26</c:v>
                </c:pt>
                <c:pt idx="12">
                  <c:v>7.68</c:v>
                </c:pt>
                <c:pt idx="13">
                  <c:v>4.0999999999999996</c:v>
                </c:pt>
              </c:numCache>
            </c:numRef>
          </c:xVal>
          <c:yVal>
            <c:numRef>
              <c:f>Уренгойское_430!$BX$27:$BX$40</c:f>
              <c:numCache>
                <c:formatCode>General</c:formatCode>
                <c:ptCount val="14"/>
                <c:pt idx="0">
                  <c:v>0</c:v>
                </c:pt>
                <c:pt idx="1">
                  <c:v>8.560203606295282</c:v>
                </c:pt>
                <c:pt idx="2">
                  <c:v>11.124580800143931</c:v>
                </c:pt>
                <c:pt idx="3">
                  <c:v>13.80336066444729</c:v>
                </c:pt>
                <c:pt idx="4">
                  <c:v>16.451792550302706</c:v>
                </c:pt>
                <c:pt idx="5">
                  <c:v>19.075314526289024</c:v>
                </c:pt>
                <c:pt idx="6">
                  <c:v>21.668407392019382</c:v>
                </c:pt>
                <c:pt idx="7">
                  <c:v>24.212132173929927</c:v>
                </c:pt>
                <c:pt idx="8">
                  <c:v>26.673284259539148</c:v>
                </c:pt>
                <c:pt idx="9">
                  <c:v>29.008178421978094</c:v>
                </c:pt>
                <c:pt idx="10">
                  <c:v>31.17343300068789</c:v>
                </c:pt>
                <c:pt idx="11">
                  <c:v>34.665434537062573</c:v>
                </c:pt>
                <c:pt idx="12">
                  <c:v>36.362331864651857</c:v>
                </c:pt>
                <c:pt idx="13">
                  <c:v>38.6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81B-4898-99B0-807090D913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4260328"/>
        <c:axId val="1"/>
      </c:scatterChart>
      <c:scatterChart>
        <c:scatterStyle val="lineMarker"/>
        <c:varyColors val="0"/>
        <c:ser>
          <c:idx val="1"/>
          <c:order val="1"/>
          <c:tx>
            <c:v>Мольная доля воды - 0.33</c:v>
          </c:tx>
          <c:spPr>
            <a:ln w="28575">
              <a:noFill/>
            </a:ln>
          </c:spPr>
          <c:xVal>
            <c:numRef>
              <c:f>Уренгойское_430!$BY$67:$BY$80</c:f>
              <c:numCache>
                <c:formatCode>General</c:formatCode>
                <c:ptCount val="14"/>
                <c:pt idx="0">
                  <c:v>65.400000000000006</c:v>
                </c:pt>
                <c:pt idx="1">
                  <c:v>50.64</c:v>
                </c:pt>
                <c:pt idx="2">
                  <c:v>47.06</c:v>
                </c:pt>
                <c:pt idx="3">
                  <c:v>43.480000000000004</c:v>
                </c:pt>
                <c:pt idx="4">
                  <c:v>39.9</c:v>
                </c:pt>
                <c:pt idx="5">
                  <c:v>36.32</c:v>
                </c:pt>
                <c:pt idx="6">
                  <c:v>32.739999999999995</c:v>
                </c:pt>
                <c:pt idx="7">
                  <c:v>29.160000000000004</c:v>
                </c:pt>
                <c:pt idx="8">
                  <c:v>25.580000000000002</c:v>
                </c:pt>
                <c:pt idx="9">
                  <c:v>22</c:v>
                </c:pt>
                <c:pt idx="10">
                  <c:v>18.419999999999998</c:v>
                </c:pt>
                <c:pt idx="11">
                  <c:v>11.26</c:v>
                </c:pt>
                <c:pt idx="12">
                  <c:v>7.68</c:v>
                </c:pt>
                <c:pt idx="13">
                  <c:v>4.0999999999999996</c:v>
                </c:pt>
              </c:numCache>
            </c:numRef>
          </c:xVal>
          <c:yVal>
            <c:numRef>
              <c:f>Уренгойское_430!$CA$67:$CA$80</c:f>
              <c:numCache>
                <c:formatCode>General</c:formatCode>
                <c:ptCount val="14"/>
                <c:pt idx="0">
                  <c:v>0</c:v>
                </c:pt>
                <c:pt idx="1">
                  <c:v>8.6595551174854535</c:v>
                </c:pt>
                <c:pt idx="2">
                  <c:v>11.243876931053162</c:v>
                </c:pt>
                <c:pt idx="3">
                  <c:v>13.862874821827681</c:v>
                </c:pt>
                <c:pt idx="4">
                  <c:v>16.462035378440216</c:v>
                </c:pt>
                <c:pt idx="5">
                  <c:v>19.045434608216198</c:v>
                </c:pt>
                <c:pt idx="6">
                  <c:v>21.605790777858509</c:v>
                </c:pt>
                <c:pt idx="7">
                  <c:v>24.122728947156311</c:v>
                </c:pt>
                <c:pt idx="8">
                  <c:v>26.56231820314725</c:v>
                </c:pt>
                <c:pt idx="9">
                  <c:v>28.88052253771966</c:v>
                </c:pt>
                <c:pt idx="10">
                  <c:v>31.032261942345574</c:v>
                </c:pt>
                <c:pt idx="11">
                  <c:v>34.519046455253928</c:v>
                </c:pt>
                <c:pt idx="12">
                  <c:v>36.22052760166266</c:v>
                </c:pt>
                <c:pt idx="13">
                  <c:v>38.144035141593129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81B-4898-99B0-807090D91327}"/>
            </c:ext>
          </c:extLst>
        </c:ser>
        <c:ser>
          <c:idx val="2"/>
          <c:order val="2"/>
          <c:tx>
            <c:v>Мольная доля воды - 0.75</c:v>
          </c:tx>
          <c:spPr>
            <a:ln w="28575">
              <a:noFill/>
            </a:ln>
          </c:spPr>
          <c:xVal>
            <c:numRef>
              <c:f>Уренгойское_430!$BY$67:$BY$80</c:f>
              <c:numCache>
                <c:formatCode>General</c:formatCode>
                <c:ptCount val="14"/>
                <c:pt idx="0">
                  <c:v>65.400000000000006</c:v>
                </c:pt>
                <c:pt idx="1">
                  <c:v>50.64</c:v>
                </c:pt>
                <c:pt idx="2">
                  <c:v>47.06</c:v>
                </c:pt>
                <c:pt idx="3">
                  <c:v>43.480000000000004</c:v>
                </c:pt>
                <c:pt idx="4">
                  <c:v>39.9</c:v>
                </c:pt>
                <c:pt idx="5">
                  <c:v>36.32</c:v>
                </c:pt>
                <c:pt idx="6">
                  <c:v>32.739999999999995</c:v>
                </c:pt>
                <c:pt idx="7">
                  <c:v>29.160000000000004</c:v>
                </c:pt>
                <c:pt idx="8">
                  <c:v>25.580000000000002</c:v>
                </c:pt>
                <c:pt idx="9">
                  <c:v>22</c:v>
                </c:pt>
                <c:pt idx="10">
                  <c:v>18.419999999999998</c:v>
                </c:pt>
                <c:pt idx="11">
                  <c:v>11.26</c:v>
                </c:pt>
                <c:pt idx="12">
                  <c:v>7.68</c:v>
                </c:pt>
                <c:pt idx="13">
                  <c:v>4.0999999999999996</c:v>
                </c:pt>
              </c:numCache>
            </c:numRef>
          </c:xVal>
          <c:yVal>
            <c:numRef>
              <c:f>Уренгойское_430!$CA$67:$CA$80</c:f>
              <c:numCache>
                <c:formatCode>General</c:formatCode>
                <c:ptCount val="14"/>
                <c:pt idx="0">
                  <c:v>0</c:v>
                </c:pt>
                <c:pt idx="1">
                  <c:v>8.6595551174854535</c:v>
                </c:pt>
                <c:pt idx="2">
                  <c:v>11.243876931053162</c:v>
                </c:pt>
                <c:pt idx="3">
                  <c:v>13.862874821827681</c:v>
                </c:pt>
                <c:pt idx="4">
                  <c:v>16.462035378440216</c:v>
                </c:pt>
                <c:pt idx="5">
                  <c:v>19.045434608216198</c:v>
                </c:pt>
                <c:pt idx="6">
                  <c:v>21.605790777858509</c:v>
                </c:pt>
                <c:pt idx="7">
                  <c:v>24.122728947156311</c:v>
                </c:pt>
                <c:pt idx="8">
                  <c:v>26.56231820314725</c:v>
                </c:pt>
                <c:pt idx="9">
                  <c:v>28.88052253771966</c:v>
                </c:pt>
                <c:pt idx="10">
                  <c:v>31.032261942345574</c:v>
                </c:pt>
                <c:pt idx="11">
                  <c:v>34.519046455253928</c:v>
                </c:pt>
                <c:pt idx="12">
                  <c:v>36.22052760166266</c:v>
                </c:pt>
                <c:pt idx="13">
                  <c:v>38.144035141593129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81B-4898-99B0-807090D913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4260328"/>
        <c:axId val="1"/>
      </c:scatterChart>
      <c:valAx>
        <c:axId val="404260328"/>
        <c:scaling>
          <c:orientation val="minMax"/>
        </c:scaling>
        <c:delete val="0"/>
        <c:axPos val="b"/>
        <c:majorGridlines/>
        <c:title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ru-RU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/>
        <c:title>
          <c:overlay val="0"/>
          <c:txPr>
            <a:bodyPr rot="-5400000" vert="horz"/>
            <a:lstStyle/>
            <a:p>
              <a:pPr>
                <a:defRPr/>
              </a:pPr>
              <a:endParaRPr lang="ru-RU"/>
            </a:p>
          </c:txPr>
        </c:title>
        <c:numFmt formatCode="General" sourceLinked="1"/>
        <c:majorTickMark val="out"/>
        <c:minorTickMark val="none"/>
        <c:tickLblPos val="nextTo"/>
        <c:crossAx val="40426032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580693350831146"/>
          <c:y val="0.30723007450155687"/>
          <c:w val="0.3370695538057743"/>
          <c:h val="0.37473076734973348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5330927384077"/>
          <c:y val="7.407407407407407E-2"/>
          <c:w val="0.83755796150481165"/>
          <c:h val="0.80463764946048411"/>
        </c:manualLayout>
      </c:layout>
      <c:scatterChart>
        <c:scatterStyle val="smoothMarker"/>
        <c:varyColors val="0"/>
        <c:ser>
          <c:idx val="0"/>
          <c:order val="0"/>
          <c:tx>
            <c:v>метод Бюкачека</c:v>
          </c:tx>
          <c:spPr>
            <a:ln w="28575" cap="rnd">
              <a:solidFill>
                <a:srgbClr val="92D05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Уренгойское_430!$CG$91:$CG$104</c:f>
              <c:numCache>
                <c:formatCode>General</c:formatCode>
                <c:ptCount val="14"/>
                <c:pt idx="0">
                  <c:v>65.400000000000006</c:v>
                </c:pt>
                <c:pt idx="1">
                  <c:v>50.64</c:v>
                </c:pt>
                <c:pt idx="2">
                  <c:v>47.06</c:v>
                </c:pt>
                <c:pt idx="3">
                  <c:v>43.480000000000004</c:v>
                </c:pt>
                <c:pt idx="4">
                  <c:v>39.9</c:v>
                </c:pt>
                <c:pt idx="5">
                  <c:v>36.32</c:v>
                </c:pt>
                <c:pt idx="6">
                  <c:v>32.739999999999995</c:v>
                </c:pt>
                <c:pt idx="7">
                  <c:v>29.160000000000004</c:v>
                </c:pt>
                <c:pt idx="8">
                  <c:v>25.580000000000002</c:v>
                </c:pt>
                <c:pt idx="9">
                  <c:v>22</c:v>
                </c:pt>
                <c:pt idx="10">
                  <c:v>18.419999999999998</c:v>
                </c:pt>
                <c:pt idx="11">
                  <c:v>11.26</c:v>
                </c:pt>
                <c:pt idx="12">
                  <c:v>7.68</c:v>
                </c:pt>
                <c:pt idx="13">
                  <c:v>4.0999999999999996</c:v>
                </c:pt>
              </c:numCache>
            </c:numRef>
          </c:xVal>
          <c:yVal>
            <c:numRef>
              <c:f>Уренгойское_430!$CH$91:$CH$104</c:f>
              <c:numCache>
                <c:formatCode>0.000</c:formatCode>
                <c:ptCount val="14"/>
                <c:pt idx="0">
                  <c:v>3.7241302406528853</c:v>
                </c:pt>
                <c:pt idx="1">
                  <c:v>4.1378530732791248</c:v>
                </c:pt>
                <c:pt idx="2">
                  <c:v>4.2909428811408352</c:v>
                </c:pt>
                <c:pt idx="3">
                  <c:v>4.4700513493314942</c:v>
                </c:pt>
                <c:pt idx="4">
                  <c:v>4.6770515021663916</c:v>
                </c:pt>
                <c:pt idx="5">
                  <c:v>4.9216628350807108</c:v>
                </c:pt>
                <c:pt idx="6">
                  <c:v>5.2169002546867498</c:v>
                </c:pt>
                <c:pt idx="7">
                  <c:v>5.5819256407222761</c:v>
                </c:pt>
                <c:pt idx="8">
                  <c:v>6.0464068196857506</c:v>
                </c:pt>
                <c:pt idx="9">
                  <c:v>6.6590575389285656</c:v>
                </c:pt>
                <c:pt idx="10">
                  <c:v>7.5063392130586859</c:v>
                </c:pt>
                <c:pt idx="11">
                  <c:v>10.800050240398532</c:v>
                </c:pt>
                <c:pt idx="12">
                  <c:v>14.735772295279627</c:v>
                </c:pt>
                <c:pt idx="13">
                  <c:v>25.513165870635262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51B-4BCD-AEC0-FA93688E0135}"/>
            </c:ext>
          </c:extLst>
        </c:ser>
        <c:ser>
          <c:idx val="1"/>
          <c:order val="1"/>
          <c:tx>
            <c:v>PVT-моделирование</c:v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Уренгойское_430!$CG$91:$CG$104</c:f>
              <c:numCache>
                <c:formatCode>General</c:formatCode>
                <c:ptCount val="14"/>
                <c:pt idx="0">
                  <c:v>65.400000000000006</c:v>
                </c:pt>
                <c:pt idx="1">
                  <c:v>50.64</c:v>
                </c:pt>
                <c:pt idx="2">
                  <c:v>47.06</c:v>
                </c:pt>
                <c:pt idx="3">
                  <c:v>43.480000000000004</c:v>
                </c:pt>
                <c:pt idx="4">
                  <c:v>39.9</c:v>
                </c:pt>
                <c:pt idx="5">
                  <c:v>36.32</c:v>
                </c:pt>
                <c:pt idx="6">
                  <c:v>32.739999999999995</c:v>
                </c:pt>
                <c:pt idx="7">
                  <c:v>29.160000000000004</c:v>
                </c:pt>
                <c:pt idx="8">
                  <c:v>25.580000000000002</c:v>
                </c:pt>
                <c:pt idx="9">
                  <c:v>22</c:v>
                </c:pt>
                <c:pt idx="10">
                  <c:v>18.419999999999998</c:v>
                </c:pt>
                <c:pt idx="11">
                  <c:v>11.26</c:v>
                </c:pt>
                <c:pt idx="12">
                  <c:v>7.68</c:v>
                </c:pt>
                <c:pt idx="13">
                  <c:v>4.0999999999999996</c:v>
                </c:pt>
              </c:numCache>
            </c:numRef>
          </c:xVal>
          <c:yVal>
            <c:numRef>
              <c:f>Уренгойское_430!$CJ$91:$CJ$104</c:f>
              <c:numCache>
                <c:formatCode>General</c:formatCode>
                <c:ptCount val="14"/>
                <c:pt idx="0">
                  <c:v>2.5456868188328792</c:v>
                </c:pt>
                <c:pt idx="1">
                  <c:v>2.9712531411950183</c:v>
                </c:pt>
                <c:pt idx="2">
                  <c:v>3.2175607110419855</c:v>
                </c:pt>
                <c:pt idx="3">
                  <c:v>3.5162754325099916</c:v>
                </c:pt>
                <c:pt idx="4">
                  <c:v>3.8301784200613516</c:v>
                </c:pt>
                <c:pt idx="5">
                  <c:v>4.1839586823835848</c:v>
                </c:pt>
                <c:pt idx="6">
                  <c:v>4.5842742924041202</c:v>
                </c:pt>
                <c:pt idx="7">
                  <c:v>5.0489826046039701</c:v>
                </c:pt>
                <c:pt idx="8">
                  <c:v>5.6039442393832362</c:v>
                </c:pt>
                <c:pt idx="9">
                  <c:v>6.2919633958061993</c:v>
                </c:pt>
                <c:pt idx="10">
                  <c:v>7.1914615742533545</c:v>
                </c:pt>
                <c:pt idx="11">
                  <c:v>10.483894241650047</c:v>
                </c:pt>
                <c:pt idx="12">
                  <c:v>14.343992043489173</c:v>
                </c:pt>
                <c:pt idx="13">
                  <c:v>24.995802864430566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51B-4BCD-AEC0-FA93688E01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4256064"/>
        <c:axId val="1"/>
      </c:scatterChart>
      <c:valAx>
        <c:axId val="404256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МПа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ru-RU"/>
          </a:p>
        </c:txPr>
        <c:crossAx val="1"/>
        <c:crosses val="autoZero"/>
        <c:crossBetween val="midCat"/>
      </c:valAx>
      <c:valAx>
        <c:axId val="1"/>
        <c:scaling>
          <c:orientation val="minMax"/>
          <c:max val="3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Влагосодержание, г/м3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4256064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6661248906386702"/>
          <c:y val="0.13020778652668416"/>
          <c:w val="0.24498622047244101"/>
          <c:h val="0.2488436862058909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Содержание стабильного конденсата в добываемом газе</a:t>
            </a:r>
          </a:p>
        </c:rich>
      </c:tx>
      <c:layout>
        <c:manualLayout>
          <c:xMode val="edge"/>
          <c:yMode val="edge"/>
          <c:x val="0.11184812953657175"/>
          <c:y val="2.24719101123595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1880586869087408"/>
          <c:y val="0.1383309820192013"/>
          <c:w val="0.85232274023301058"/>
          <c:h val="0.74827674712820558"/>
        </c:manualLayout>
      </c:layout>
      <c:scatterChart>
        <c:scatterStyle val="smoothMarker"/>
        <c:varyColors val="0"/>
        <c:ser>
          <c:idx val="0"/>
          <c:order val="0"/>
          <c:tx>
            <c:v>без воды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Астраханское_269!$BD$11:$BD$21</c:f>
              <c:numCache>
                <c:formatCode>General</c:formatCode>
                <c:ptCount val="11"/>
                <c:pt idx="0">
                  <c:v>61.2</c:v>
                </c:pt>
                <c:pt idx="1">
                  <c:v>55.08</c:v>
                </c:pt>
                <c:pt idx="2">
                  <c:v>48.96</c:v>
                </c:pt>
                <c:pt idx="3">
                  <c:v>42.839999999999996</c:v>
                </c:pt>
                <c:pt idx="4">
                  <c:v>38.56</c:v>
                </c:pt>
                <c:pt idx="5">
                  <c:v>36.72</c:v>
                </c:pt>
                <c:pt idx="6">
                  <c:v>30.6</c:v>
                </c:pt>
                <c:pt idx="7">
                  <c:v>24.48</c:v>
                </c:pt>
                <c:pt idx="8">
                  <c:v>18.36</c:v>
                </c:pt>
                <c:pt idx="9">
                  <c:v>12.24</c:v>
                </c:pt>
                <c:pt idx="10">
                  <c:v>6.12</c:v>
                </c:pt>
              </c:numCache>
            </c:numRef>
          </c:xVal>
          <c:yVal>
            <c:numRef>
              <c:f>Астраханское_269!$BF$11:$BF$21</c:f>
              <c:numCache>
                <c:formatCode>General</c:formatCode>
                <c:ptCount val="11"/>
                <c:pt idx="0">
                  <c:v>269.53978161749791</c:v>
                </c:pt>
                <c:pt idx="1">
                  <c:v>269.53978161749797</c:v>
                </c:pt>
                <c:pt idx="2">
                  <c:v>269.53978161749797</c:v>
                </c:pt>
                <c:pt idx="3">
                  <c:v>269.53978161749797</c:v>
                </c:pt>
                <c:pt idx="4">
                  <c:v>269.53978161749797</c:v>
                </c:pt>
                <c:pt idx="5">
                  <c:v>261.81130941209221</c:v>
                </c:pt>
                <c:pt idx="6">
                  <c:v>239.24909894704427</c:v>
                </c:pt>
                <c:pt idx="7">
                  <c:v>218.70824044050354</c:v>
                </c:pt>
                <c:pt idx="8">
                  <c:v>204.58519121967871</c:v>
                </c:pt>
                <c:pt idx="9">
                  <c:v>197.08221074311734</c:v>
                </c:pt>
                <c:pt idx="10">
                  <c:v>196.10597200042338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D3A-42B1-A76D-B9A0631652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1490568"/>
        <c:axId val="1"/>
      </c:scatterChart>
      <c:scatterChart>
        <c:scatterStyle val="lineMarker"/>
        <c:varyColors val="0"/>
        <c:ser>
          <c:idx val="1"/>
          <c:order val="1"/>
          <c:tx>
            <c:v>Мольная доля воды - 0.3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Астраханское_269!$AZ$49:$AZ$59</c:f>
              <c:numCache>
                <c:formatCode>General</c:formatCode>
                <c:ptCount val="11"/>
                <c:pt idx="0">
                  <c:v>61.2</c:v>
                </c:pt>
                <c:pt idx="1">
                  <c:v>55.08</c:v>
                </c:pt>
                <c:pt idx="2">
                  <c:v>48.96</c:v>
                </c:pt>
                <c:pt idx="3">
                  <c:v>42.839999999999996</c:v>
                </c:pt>
                <c:pt idx="4">
                  <c:v>38.46</c:v>
                </c:pt>
                <c:pt idx="5">
                  <c:v>36.72</c:v>
                </c:pt>
                <c:pt idx="6">
                  <c:v>30.6</c:v>
                </c:pt>
                <c:pt idx="7">
                  <c:v>24.48</c:v>
                </c:pt>
                <c:pt idx="8">
                  <c:v>18.36</c:v>
                </c:pt>
                <c:pt idx="9">
                  <c:v>12.24</c:v>
                </c:pt>
                <c:pt idx="10">
                  <c:v>6.12</c:v>
                </c:pt>
              </c:numCache>
            </c:numRef>
          </c:xVal>
          <c:yVal>
            <c:numRef>
              <c:f>Астраханское_269!$BB$49:$BB$59</c:f>
              <c:numCache>
                <c:formatCode>General</c:formatCode>
                <c:ptCount val="11"/>
                <c:pt idx="0">
                  <c:v>269.53907031691642</c:v>
                </c:pt>
                <c:pt idx="1">
                  <c:v>269.53905465015515</c:v>
                </c:pt>
                <c:pt idx="2">
                  <c:v>269.53903522622517</c:v>
                </c:pt>
                <c:pt idx="3">
                  <c:v>269.53900989786825</c:v>
                </c:pt>
                <c:pt idx="4">
                  <c:v>269.53695843292149</c:v>
                </c:pt>
                <c:pt idx="5">
                  <c:v>262.76393354008923</c:v>
                </c:pt>
                <c:pt idx="6">
                  <c:v>241.43649378674309</c:v>
                </c:pt>
                <c:pt idx="7">
                  <c:v>221.20349074874298</c:v>
                </c:pt>
                <c:pt idx="8">
                  <c:v>206.62727995713612</c:v>
                </c:pt>
                <c:pt idx="9">
                  <c:v>198.97741540691663</c:v>
                </c:pt>
                <c:pt idx="10">
                  <c:v>197.89367277139962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D3A-42B1-A76D-B9A0631652A7}"/>
            </c:ext>
          </c:extLst>
        </c:ser>
        <c:ser>
          <c:idx val="2"/>
          <c:order val="2"/>
          <c:tx>
            <c:v>Мольная доля воды - 0.71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Астраханское_269!$AV$86:$AV$96</c:f>
              <c:numCache>
                <c:formatCode>General</c:formatCode>
                <c:ptCount val="11"/>
                <c:pt idx="0">
                  <c:v>61.2</c:v>
                </c:pt>
                <c:pt idx="1">
                  <c:v>55.08</c:v>
                </c:pt>
                <c:pt idx="2">
                  <c:v>48.96</c:v>
                </c:pt>
                <c:pt idx="3">
                  <c:v>42.839999999999996</c:v>
                </c:pt>
                <c:pt idx="4">
                  <c:v>39.01</c:v>
                </c:pt>
                <c:pt idx="5">
                  <c:v>36.72</c:v>
                </c:pt>
                <c:pt idx="6">
                  <c:v>30.6</c:v>
                </c:pt>
                <c:pt idx="7">
                  <c:v>24.48</c:v>
                </c:pt>
                <c:pt idx="8">
                  <c:v>18.36</c:v>
                </c:pt>
                <c:pt idx="9">
                  <c:v>12.24</c:v>
                </c:pt>
                <c:pt idx="10">
                  <c:v>6.12</c:v>
                </c:pt>
              </c:numCache>
            </c:numRef>
          </c:xVal>
          <c:yVal>
            <c:numRef>
              <c:f>Астраханское_269!$AX$86:$AX$96</c:f>
              <c:numCache>
                <c:formatCode>General</c:formatCode>
                <c:ptCount val="11"/>
                <c:pt idx="0">
                  <c:v>269.53745712778397</c:v>
                </c:pt>
                <c:pt idx="1">
                  <c:v>269.53734615085364</c:v>
                </c:pt>
                <c:pt idx="2">
                  <c:v>269.53709369153103</c:v>
                </c:pt>
                <c:pt idx="3">
                  <c:v>269.536932525483</c:v>
                </c:pt>
                <c:pt idx="4">
                  <c:v>269.52484212002582</c:v>
                </c:pt>
                <c:pt idx="5">
                  <c:v>260.91166703895499</c:v>
                </c:pt>
                <c:pt idx="6">
                  <c:v>240.17928958657853</c:v>
                </c:pt>
                <c:pt idx="7">
                  <c:v>220.46148410401858</c:v>
                </c:pt>
                <c:pt idx="8">
                  <c:v>206.40361361120102</c:v>
                </c:pt>
                <c:pt idx="9">
                  <c:v>198.95808356921171</c:v>
                </c:pt>
                <c:pt idx="10">
                  <c:v>198.05316506708556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D3A-42B1-A76D-B9A0631652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1490568"/>
        <c:axId val="1"/>
      </c:scatterChart>
      <c:valAx>
        <c:axId val="481490568"/>
        <c:scaling>
          <c:orientation val="minMax"/>
          <c:max val="65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Мпа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ru-RU"/>
          </a:p>
        </c:txPr>
        <c:crossAx val="1"/>
        <c:crosses val="autoZero"/>
        <c:crossBetween val="midCat"/>
      </c:valAx>
      <c:valAx>
        <c:axId val="1"/>
        <c:scaling>
          <c:orientation val="minMax"/>
          <c:min val="19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Содержание С5+</a:t>
                </a:r>
                <a:r>
                  <a:rPr lang="ru-RU" baseline="0"/>
                  <a:t> в добываемом газе, г/м3</a:t>
                </a:r>
                <a:endParaRPr lang="ru-RU"/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81490568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60698417722910258"/>
          <c:y val="0.43186853047863399"/>
          <c:w val="0.34052238445068739"/>
          <c:h val="0.35519655548674395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Коэффициент извлечения конденсата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1380314960629923"/>
          <c:y val="0.17171296296296298"/>
          <c:w val="0.85686351706036756"/>
          <c:h val="0.72088764946048411"/>
        </c:manualLayout>
      </c:layout>
      <c:scatterChart>
        <c:scatterStyle val="smoothMarker"/>
        <c:varyColors val="0"/>
        <c:ser>
          <c:idx val="0"/>
          <c:order val="0"/>
          <c:tx>
            <c:v>без воды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Астраханское_269!$BC$27:$BC$35</c:f>
              <c:numCache>
                <c:formatCode>General</c:formatCode>
                <c:ptCount val="9"/>
                <c:pt idx="0">
                  <c:v>61.2</c:v>
                </c:pt>
                <c:pt idx="1">
                  <c:v>55.08</c:v>
                </c:pt>
                <c:pt idx="2">
                  <c:v>48.96</c:v>
                </c:pt>
                <c:pt idx="3">
                  <c:v>42.839999999999996</c:v>
                </c:pt>
                <c:pt idx="4">
                  <c:v>36.72</c:v>
                </c:pt>
                <c:pt idx="5">
                  <c:v>30.6</c:v>
                </c:pt>
                <c:pt idx="6">
                  <c:v>24.48</c:v>
                </c:pt>
                <c:pt idx="7">
                  <c:v>18.36</c:v>
                </c:pt>
                <c:pt idx="8">
                  <c:v>12.24</c:v>
                </c:pt>
              </c:numCache>
            </c:numRef>
          </c:xVal>
          <c:yVal>
            <c:numRef>
              <c:f>Астраханское_269!$BG$27:$BG$35</c:f>
              <c:numCache>
                <c:formatCode>General</c:formatCode>
                <c:ptCount val="9"/>
                <c:pt idx="0">
                  <c:v>0</c:v>
                </c:pt>
                <c:pt idx="1">
                  <c:v>4.116777495041724</c:v>
                </c:pt>
                <c:pt idx="2">
                  <c:v>8.8524699894621968</c:v>
                </c:pt>
                <c:pt idx="3">
                  <c:v>14.397219040027432</c:v>
                </c:pt>
                <c:pt idx="4">
                  <c:v>20.939510207262458</c:v>
                </c:pt>
                <c:pt idx="5">
                  <c:v>28.448776010034049</c:v>
                </c:pt>
                <c:pt idx="6">
                  <c:v>36.801241870071024</c:v>
                </c:pt>
                <c:pt idx="7">
                  <c:v>45.956130449504954</c:v>
                </c:pt>
                <c:pt idx="8">
                  <c:v>55.361949039832993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BC7-40BE-B614-809FD23ED2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3059136"/>
        <c:axId val="1"/>
      </c:scatterChart>
      <c:scatterChart>
        <c:scatterStyle val="lineMarker"/>
        <c:varyColors val="0"/>
        <c:ser>
          <c:idx val="2"/>
          <c:order val="1"/>
          <c:tx>
            <c:v>Мольная доля воды - 0.3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FFC000"/>
              </a:solidFill>
            </c:spPr>
          </c:marker>
          <c:xVal>
            <c:numRef>
              <c:f>Астраханское_269!$BC$64:$BC$72</c:f>
              <c:numCache>
                <c:formatCode>General</c:formatCode>
                <c:ptCount val="9"/>
                <c:pt idx="0">
                  <c:v>61.2</c:v>
                </c:pt>
                <c:pt idx="1">
                  <c:v>55.08</c:v>
                </c:pt>
                <c:pt idx="2">
                  <c:v>48.96</c:v>
                </c:pt>
                <c:pt idx="3">
                  <c:v>42.839999999999996</c:v>
                </c:pt>
                <c:pt idx="4">
                  <c:v>36.72</c:v>
                </c:pt>
                <c:pt idx="5">
                  <c:v>30.6</c:v>
                </c:pt>
                <c:pt idx="6">
                  <c:v>24.48</c:v>
                </c:pt>
                <c:pt idx="7">
                  <c:v>18.36</c:v>
                </c:pt>
                <c:pt idx="8">
                  <c:v>12.24</c:v>
                </c:pt>
              </c:numCache>
            </c:numRef>
          </c:xVal>
          <c:yVal>
            <c:numRef>
              <c:f>Астраханское_269!$BG$64:$BG$72</c:f>
              <c:numCache>
                <c:formatCode>General</c:formatCode>
                <c:ptCount val="9"/>
                <c:pt idx="0">
                  <c:v>0</c:v>
                </c:pt>
                <c:pt idx="1">
                  <c:v>4.1919280188252639</c:v>
                </c:pt>
                <c:pt idx="2">
                  <c:v>9.0074090165392438</c:v>
                </c:pt>
                <c:pt idx="3">
                  <c:v>14.63864440921377</c:v>
                </c:pt>
                <c:pt idx="4">
                  <c:v>21.289956502922909</c:v>
                </c:pt>
                <c:pt idx="5">
                  <c:v>28.95891279641048</c:v>
                </c:pt>
                <c:pt idx="6">
                  <c:v>37.541659070507286</c:v>
                </c:pt>
                <c:pt idx="7">
                  <c:v>46.989000120829573</c:v>
                </c:pt>
                <c:pt idx="8">
                  <c:v>56.706406411408352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BC7-40BE-B614-809FD23ED22C}"/>
            </c:ext>
          </c:extLst>
        </c:ser>
        <c:ser>
          <c:idx val="1"/>
          <c:order val="2"/>
          <c:tx>
            <c:v>Мольня доля воды -0.71</c:v>
          </c:tx>
          <c:spPr>
            <a:ln w="28575">
              <a:noFill/>
            </a:ln>
          </c:spPr>
          <c:marker>
            <c:symbol val="triangle"/>
            <c:size val="5"/>
            <c:spPr>
              <a:solidFill>
                <a:srgbClr val="00B050"/>
              </a:solidFill>
            </c:spPr>
          </c:marker>
          <c:dPt>
            <c:idx val="5"/>
            <c:marker>
              <c:spPr>
                <a:solidFill>
                  <a:srgbClr val="00B050"/>
                </a:solid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3BC7-40BE-B614-809FD23ED22C}"/>
              </c:ext>
            </c:extLst>
          </c:dPt>
          <c:xVal>
            <c:numRef>
              <c:f>Астраханское_269!$BA$88:$BA$96</c:f>
              <c:numCache>
                <c:formatCode>General</c:formatCode>
                <c:ptCount val="9"/>
                <c:pt idx="0">
                  <c:v>61.2</c:v>
                </c:pt>
                <c:pt idx="1">
                  <c:v>55.08</c:v>
                </c:pt>
                <c:pt idx="2">
                  <c:v>48.96</c:v>
                </c:pt>
                <c:pt idx="3">
                  <c:v>42.839999999999996</c:v>
                </c:pt>
                <c:pt idx="4">
                  <c:v>36.72</c:v>
                </c:pt>
                <c:pt idx="5">
                  <c:v>30.6</c:v>
                </c:pt>
                <c:pt idx="6">
                  <c:v>24.48</c:v>
                </c:pt>
                <c:pt idx="7">
                  <c:v>18.36</c:v>
                </c:pt>
                <c:pt idx="8">
                  <c:v>12.24</c:v>
                </c:pt>
              </c:numCache>
            </c:numRef>
          </c:xVal>
          <c:yVal>
            <c:numRef>
              <c:f>Астраханское_269!$BE$88:$BE$96</c:f>
              <c:numCache>
                <c:formatCode>General</c:formatCode>
                <c:ptCount val="9"/>
                <c:pt idx="0">
                  <c:v>0</c:v>
                </c:pt>
                <c:pt idx="1">
                  <c:v>4.2834662361263094</c:v>
                </c:pt>
                <c:pt idx="2">
                  <c:v>9.1738805322325572</c:v>
                </c:pt>
                <c:pt idx="3">
                  <c:v>14.856968650204076</c:v>
                </c:pt>
                <c:pt idx="4">
                  <c:v>21.502428730026306</c:v>
                </c:pt>
                <c:pt idx="5">
                  <c:v>29.079068549108644</c:v>
                </c:pt>
                <c:pt idx="6">
                  <c:v>37.520678269907769</c:v>
                </c:pt>
                <c:pt idx="7">
                  <c:v>46.758627081842313</c:v>
                </c:pt>
                <c:pt idx="8">
                  <c:v>56.237569452704292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BC7-40BE-B614-809FD23ED2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3059136"/>
        <c:axId val="1"/>
      </c:scatterChart>
      <c:valAx>
        <c:axId val="403059136"/>
        <c:scaling>
          <c:orientation val="minMax"/>
          <c:max val="65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Давление, МПа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ru-RU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ru-RU"/>
                  <a:t>КИК, %</a:t>
                </a:r>
              </a:p>
            </c:rich>
          </c:tx>
          <c:layout>
            <c:manualLayout>
              <c:xMode val="edge"/>
              <c:yMode val="edge"/>
              <c:x val="1.0541557305336832E-2"/>
              <c:y val="0.42468234948892258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3059136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54070822397200347"/>
          <c:y val="0.19350092108051711"/>
          <c:w val="0.39262510936132988"/>
          <c:h val="0.41896969400564066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Кривая пластовых потерь насыщенного конденсата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371087051618548"/>
          <c:y val="0.17440222459923371"/>
          <c:w val="0.81966907261592292"/>
          <c:h val="0.71819843136930628"/>
        </c:manualLayout>
      </c:layout>
      <c:scatterChart>
        <c:scatterStyle val="lineMarker"/>
        <c:varyColors val="0"/>
        <c:ser>
          <c:idx val="0"/>
          <c:order val="0"/>
          <c:tx>
            <c:v>без воды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Астраханское_269!$AX$14:$AX$23</c:f>
              <c:numCache>
                <c:formatCode>General</c:formatCode>
                <c:ptCount val="10"/>
                <c:pt idx="0">
                  <c:v>61.2</c:v>
                </c:pt>
                <c:pt idx="1">
                  <c:v>55.08</c:v>
                </c:pt>
                <c:pt idx="2">
                  <c:v>48.96</c:v>
                </c:pt>
                <c:pt idx="3">
                  <c:v>38.56</c:v>
                </c:pt>
                <c:pt idx="4">
                  <c:v>36.72</c:v>
                </c:pt>
                <c:pt idx="5">
                  <c:v>30.6</c:v>
                </c:pt>
                <c:pt idx="6">
                  <c:v>24.48</c:v>
                </c:pt>
                <c:pt idx="7">
                  <c:v>18.36</c:v>
                </c:pt>
                <c:pt idx="8">
                  <c:v>12.24</c:v>
                </c:pt>
                <c:pt idx="9">
                  <c:v>6.12</c:v>
                </c:pt>
              </c:numCache>
            </c:numRef>
          </c:xVal>
          <c:yVal>
            <c:numRef>
              <c:f>Астраханское_269!$AZ$14:$AZ$23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4.7772635252381892E-3</c:v>
                </c:pt>
                <c:pt idx="5">
                  <c:v>1.8634956105085459E-2</c:v>
                </c:pt>
                <c:pt idx="6">
                  <c:v>3.0877943807825711E-2</c:v>
                </c:pt>
                <c:pt idx="7">
                  <c:v>3.7395056756682359E-2</c:v>
                </c:pt>
                <c:pt idx="8">
                  <c:v>3.8179500885858218E-2</c:v>
                </c:pt>
                <c:pt idx="9">
                  <c:v>3.3783470259247439E-2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72-4A95-8030-5ECA725E1468}"/>
            </c:ext>
          </c:extLst>
        </c:ser>
        <c:ser>
          <c:idx val="1"/>
          <c:order val="1"/>
          <c:tx>
            <c:v>Мольная доля воды - 0.31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Астраханское_269!$AS$49:$AS$58</c:f>
              <c:numCache>
                <c:formatCode>General</c:formatCode>
                <c:ptCount val="10"/>
                <c:pt idx="0">
                  <c:v>61.2</c:v>
                </c:pt>
                <c:pt idx="1">
                  <c:v>55.08</c:v>
                </c:pt>
                <c:pt idx="2">
                  <c:v>48.96</c:v>
                </c:pt>
                <c:pt idx="3">
                  <c:v>38.1</c:v>
                </c:pt>
                <c:pt idx="4">
                  <c:v>36.72</c:v>
                </c:pt>
                <c:pt idx="5">
                  <c:v>30.6</c:v>
                </c:pt>
                <c:pt idx="6">
                  <c:v>24.48</c:v>
                </c:pt>
                <c:pt idx="7">
                  <c:v>18.36</c:v>
                </c:pt>
                <c:pt idx="8">
                  <c:v>12.24</c:v>
                </c:pt>
                <c:pt idx="9">
                  <c:v>6.12</c:v>
                </c:pt>
              </c:numCache>
            </c:numRef>
          </c:xVal>
          <c:yVal>
            <c:numRef>
              <c:f>Астраханское_269!$AV$49:$AV$58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3.8911988003735372E-3</c:v>
                </c:pt>
                <c:pt idx="5">
                  <c:v>1.6190368793194538E-2</c:v>
                </c:pt>
                <c:pt idx="6">
                  <c:v>2.7876544068975342E-2</c:v>
                </c:pt>
                <c:pt idx="7">
                  <c:v>3.4902634257961938E-2</c:v>
                </c:pt>
                <c:pt idx="8">
                  <c:v>3.6271662413854898E-2</c:v>
                </c:pt>
                <c:pt idx="9">
                  <c:v>3.2477944331096228E-2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972-4A95-8030-5ECA725E1468}"/>
            </c:ext>
          </c:extLst>
        </c:ser>
        <c:ser>
          <c:idx val="2"/>
          <c:order val="2"/>
          <c:tx>
            <c:v>Мольня доля воды - 0.71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Астраханское_269!$AR$91:$AR$100</c:f>
              <c:numCache>
                <c:formatCode>General</c:formatCode>
                <c:ptCount val="10"/>
                <c:pt idx="0">
                  <c:v>61.2</c:v>
                </c:pt>
                <c:pt idx="1">
                  <c:v>55.08</c:v>
                </c:pt>
                <c:pt idx="2">
                  <c:v>48.96</c:v>
                </c:pt>
                <c:pt idx="3">
                  <c:v>38.409999999999997</c:v>
                </c:pt>
                <c:pt idx="4">
                  <c:v>36.72</c:v>
                </c:pt>
                <c:pt idx="5">
                  <c:v>30.6</c:v>
                </c:pt>
                <c:pt idx="6">
                  <c:v>24.48</c:v>
                </c:pt>
                <c:pt idx="7">
                  <c:v>18.36</c:v>
                </c:pt>
                <c:pt idx="8">
                  <c:v>12.24</c:v>
                </c:pt>
                <c:pt idx="9">
                  <c:v>6.12</c:v>
                </c:pt>
              </c:numCache>
            </c:numRef>
          </c:xVal>
          <c:yVal>
            <c:numRef>
              <c:f>Астраханское_269!$AU$91:$AU$100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4.9822331445167414E-3</c:v>
                </c:pt>
                <c:pt idx="5">
                  <c:v>1.7025131364567982E-2</c:v>
                </c:pt>
                <c:pt idx="6">
                  <c:v>2.8440544525191541E-2</c:v>
                </c:pt>
                <c:pt idx="7">
                  <c:v>3.5188612944821479E-2</c:v>
                </c:pt>
                <c:pt idx="8">
                  <c:v>3.6491058967233377E-2</c:v>
                </c:pt>
                <c:pt idx="9">
                  <c:v>3.263672904970983E-2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972-4A95-8030-5ECA725E14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3974504"/>
        <c:axId val="1"/>
      </c:scatterChart>
      <c:valAx>
        <c:axId val="403974504"/>
        <c:scaling>
          <c:orientation val="minMax"/>
          <c:max val="65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МПа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ru-RU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Пластовые</a:t>
                </a:r>
                <a:r>
                  <a:rPr lang="ru-RU" baseline="0"/>
                  <a:t> потери насыщенного конденсата</a:t>
                </a:r>
                <a:endParaRPr lang="ru-RU"/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3974504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59077777777777785"/>
          <c:y val="0.17356630982924887"/>
          <c:w val="0.35922222222222222"/>
          <c:h val="0.312238933616444"/>
        </c:manualLayout>
      </c:layout>
      <c:overlay val="0"/>
      <c:spPr>
        <a:solidFill>
          <a:schemeClr val="bg1"/>
        </a:solidFill>
        <a:ln>
          <a:solidFill>
            <a:sysClr val="windowText" lastClr="000000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0.xml"/><Relationship Id="rId13" Type="http://schemas.openxmlformats.org/officeDocument/2006/relationships/chart" Target="../charts/chart15.xml"/><Relationship Id="rId3" Type="http://schemas.openxmlformats.org/officeDocument/2006/relationships/chart" Target="../charts/chart5.xml"/><Relationship Id="rId7" Type="http://schemas.openxmlformats.org/officeDocument/2006/relationships/chart" Target="../charts/chart9.xml"/><Relationship Id="rId12" Type="http://schemas.openxmlformats.org/officeDocument/2006/relationships/chart" Target="../charts/chart14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6" Type="http://schemas.openxmlformats.org/officeDocument/2006/relationships/chart" Target="../charts/chart8.xml"/><Relationship Id="rId11" Type="http://schemas.openxmlformats.org/officeDocument/2006/relationships/chart" Target="../charts/chart13.xml"/><Relationship Id="rId5" Type="http://schemas.openxmlformats.org/officeDocument/2006/relationships/chart" Target="../charts/chart7.xml"/><Relationship Id="rId10" Type="http://schemas.openxmlformats.org/officeDocument/2006/relationships/chart" Target="../charts/chart12.xml"/><Relationship Id="rId4" Type="http://schemas.openxmlformats.org/officeDocument/2006/relationships/chart" Target="../charts/chart6.xml"/><Relationship Id="rId9" Type="http://schemas.openxmlformats.org/officeDocument/2006/relationships/chart" Target="../charts/chart11.xml"/><Relationship Id="rId14" Type="http://schemas.openxmlformats.org/officeDocument/2006/relationships/chart" Target="../charts/chart16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4" Type="http://schemas.openxmlformats.org/officeDocument/2006/relationships/chart" Target="../charts/chart20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4" Type="http://schemas.openxmlformats.org/officeDocument/2006/relationships/chart" Target="../charts/chart24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4" Type="http://schemas.openxmlformats.org/officeDocument/2006/relationships/chart" Target="../charts/chart28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1.xml"/><Relationship Id="rId2" Type="http://schemas.openxmlformats.org/officeDocument/2006/relationships/chart" Target="../charts/chart30.xml"/><Relationship Id="rId1" Type="http://schemas.openxmlformats.org/officeDocument/2006/relationships/chart" Target="../charts/chart29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98425</xdr:colOff>
      <xdr:row>2</xdr:row>
      <xdr:rowOff>6350</xdr:rowOff>
    </xdr:from>
    <xdr:to>
      <xdr:col>18</xdr:col>
      <xdr:colOff>28575</xdr:colOff>
      <xdr:row>18</xdr:row>
      <xdr:rowOff>69850</xdr:rowOff>
    </xdr:to>
    <xdr:graphicFrame macro="">
      <xdr:nvGraphicFramePr>
        <xdr:cNvPr id="3495731" name="Chart 4">
          <a:extLst>
            <a:ext uri="{FF2B5EF4-FFF2-40B4-BE49-F238E27FC236}">
              <a16:creationId xmlns:a16="http://schemas.microsoft.com/office/drawing/2014/main" id="{00000000-0008-0000-0000-0000335735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34925</xdr:colOff>
      <xdr:row>18</xdr:row>
      <xdr:rowOff>149225</xdr:rowOff>
    </xdr:from>
    <xdr:to>
      <xdr:col>18</xdr:col>
      <xdr:colOff>3175</xdr:colOff>
      <xdr:row>29</xdr:row>
      <xdr:rowOff>139700</xdr:rowOff>
    </xdr:to>
    <xdr:graphicFrame macro="">
      <xdr:nvGraphicFramePr>
        <xdr:cNvPr id="3495732" name="Chart 14">
          <a:extLst>
            <a:ext uri="{FF2B5EF4-FFF2-40B4-BE49-F238E27FC236}">
              <a16:creationId xmlns:a16="http://schemas.microsoft.com/office/drawing/2014/main" id="{00000000-0008-0000-0000-0000345735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180975</xdr:colOff>
          <xdr:row>0</xdr:row>
          <xdr:rowOff>19050</xdr:rowOff>
        </xdr:from>
        <xdr:to>
          <xdr:col>19</xdr:col>
          <xdr:colOff>285750</xdr:colOff>
          <xdr:row>2</xdr:row>
          <xdr:rowOff>9525</xdr:rowOff>
        </xdr:to>
        <xdr:sp macro="" textlink="">
          <xdr:nvSpPr>
            <xdr:cNvPr id="1025" name="Кнопка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200" b="1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Критическая точка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0</xdr:rowOff>
        </xdr:from>
        <xdr:to>
          <xdr:col>17</xdr:col>
          <xdr:colOff>180975</xdr:colOff>
          <xdr:row>2</xdr:row>
          <xdr:rowOff>0</xdr:rowOff>
        </xdr:to>
        <xdr:sp macro="" textlink="">
          <xdr:nvSpPr>
            <xdr:cNvPr id="1027" name="Кнопка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200" b="1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Фазовая диаграмма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46</xdr:row>
          <xdr:rowOff>9525</xdr:rowOff>
        </xdr:from>
        <xdr:to>
          <xdr:col>2</xdr:col>
          <xdr:colOff>647700</xdr:colOff>
          <xdr:row>47</xdr:row>
          <xdr:rowOff>123825</xdr:rowOff>
        </xdr:to>
        <xdr:sp macro="" textlink="">
          <xdr:nvSpPr>
            <xdr:cNvPr id="1037" name="Кнопка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200" b="1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 дифф. конденсация. Контактная кривая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9525</xdr:colOff>
          <xdr:row>0</xdr:row>
          <xdr:rowOff>0</xdr:rowOff>
        </xdr:from>
        <xdr:to>
          <xdr:col>28</xdr:col>
          <xdr:colOff>247650</xdr:colOff>
          <xdr:row>3</xdr:row>
          <xdr:rowOff>0</xdr:rowOff>
        </xdr:to>
        <xdr:sp macro="" textlink="">
          <xdr:nvSpPr>
            <xdr:cNvPr id="1041" name="Кнопка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альтернативный метод построения фазовой диаграммы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3</xdr:row>
          <xdr:rowOff>19050</xdr:rowOff>
        </xdr:from>
        <xdr:to>
          <xdr:col>23</xdr:col>
          <xdr:colOff>590550</xdr:colOff>
          <xdr:row>6</xdr:row>
          <xdr:rowOff>0</xdr:rowOff>
        </xdr:to>
        <xdr:sp macro="" textlink="">
          <xdr:nvSpPr>
            <xdr:cNvPr id="1070" name="Кнопка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0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1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flash calculation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19050</xdr:rowOff>
        </xdr:from>
        <xdr:to>
          <xdr:col>11</xdr:col>
          <xdr:colOff>9525</xdr:colOff>
          <xdr:row>1</xdr:row>
          <xdr:rowOff>200025</xdr:rowOff>
        </xdr:to>
        <xdr:sp macro="" textlink="">
          <xdr:nvSpPr>
            <xdr:cNvPr id="1073" name="Кнопка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0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200" b="1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Расчитать свойства Cn+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21</xdr:row>
          <xdr:rowOff>152400</xdr:rowOff>
        </xdr:from>
        <xdr:to>
          <xdr:col>10</xdr:col>
          <xdr:colOff>552450</xdr:colOff>
          <xdr:row>23</xdr:row>
          <xdr:rowOff>171450</xdr:rowOff>
        </xdr:to>
        <xdr:sp macro="" textlink="">
          <xdr:nvSpPr>
            <xdr:cNvPr id="1076" name="Кнопка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0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Давление начала конденс.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19050</xdr:colOff>
          <xdr:row>2</xdr:row>
          <xdr:rowOff>190500</xdr:rowOff>
        </xdr:from>
        <xdr:to>
          <xdr:col>28</xdr:col>
          <xdr:colOff>247650</xdr:colOff>
          <xdr:row>4</xdr:row>
          <xdr:rowOff>161925</xdr:rowOff>
        </xdr:to>
        <xdr:sp macro="" textlink="">
          <xdr:nvSpPr>
            <xdr:cNvPr id="1078" name="Кнопка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0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Alt Pres._sat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28</xdr:row>
          <xdr:rowOff>9525</xdr:rowOff>
        </xdr:from>
        <xdr:to>
          <xdr:col>3</xdr:col>
          <xdr:colOff>19050</xdr:colOff>
          <xdr:row>28</xdr:row>
          <xdr:rowOff>628650</xdr:rowOff>
        </xdr:to>
        <xdr:sp macro="" textlink="">
          <xdr:nvSpPr>
            <xdr:cNvPr id="1081" name="Кнопка 57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0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200" b="1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дифф. конденсация. Дифф. кривая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28575</xdr:rowOff>
        </xdr:from>
        <xdr:to>
          <xdr:col>11</xdr:col>
          <xdr:colOff>0</xdr:colOff>
          <xdr:row>28</xdr:row>
          <xdr:rowOff>9525</xdr:rowOff>
        </xdr:to>
        <xdr:sp macro="" textlink="">
          <xdr:nvSpPr>
            <xdr:cNvPr id="1094" name="Кнопка 70" hidden="1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00000000-0008-0000-0000-00004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400" b="1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Автоматическая настройка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37</xdr:row>
          <xdr:rowOff>28575</xdr:rowOff>
        </xdr:from>
        <xdr:to>
          <xdr:col>10</xdr:col>
          <xdr:colOff>552450</xdr:colOff>
          <xdr:row>40</xdr:row>
          <xdr:rowOff>76200</xdr:rowOff>
        </xdr:to>
        <xdr:sp macro="" textlink="">
          <xdr:nvSpPr>
            <xdr:cNvPr id="1097" name="Кнопка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0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200" b="1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Вставить параметры настройки в модель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9</xdr:row>
          <xdr:rowOff>19050</xdr:rowOff>
        </xdr:from>
        <xdr:to>
          <xdr:col>11</xdr:col>
          <xdr:colOff>47625</xdr:colOff>
          <xdr:row>10</xdr:row>
          <xdr:rowOff>142875</xdr:rowOff>
        </xdr:to>
        <xdr:sp macro="" textlink="">
          <xdr:nvSpPr>
            <xdr:cNvPr id="1109" name="ComboBox2" hidden="1">
              <a:extLst>
                <a:ext uri="{63B3BB69-23CF-44E3-9099-C40C66FF867C}">
                  <a14:compatExt spid="_x0000_s1109"/>
                </a:ext>
                <a:ext uri="{FF2B5EF4-FFF2-40B4-BE49-F238E27FC236}">
                  <a16:creationId xmlns:a16="http://schemas.microsoft.com/office/drawing/2014/main" id="{00000000-0008-0000-0000-00005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16</xdr:row>
          <xdr:rowOff>114300</xdr:rowOff>
        </xdr:from>
        <xdr:to>
          <xdr:col>11</xdr:col>
          <xdr:colOff>19050</xdr:colOff>
          <xdr:row>19</xdr:row>
          <xdr:rowOff>161925</xdr:rowOff>
        </xdr:to>
        <xdr:sp macro="" textlink="">
          <xdr:nvSpPr>
            <xdr:cNvPr id="1110" name="Кнопка 86" hidden="1">
              <a:extLst>
                <a:ext uri="{63B3BB69-23CF-44E3-9099-C40C66FF867C}">
                  <a14:compatExt spid="_x0000_s1110"/>
                </a:ext>
                <a:ext uri="{FF2B5EF4-FFF2-40B4-BE49-F238E27FC236}">
                  <a16:creationId xmlns:a16="http://schemas.microsoft.com/office/drawing/2014/main" id="{00000000-0008-0000-0000-00005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1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Задать свойства из Library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6</xdr:row>
          <xdr:rowOff>0</xdr:rowOff>
        </xdr:from>
        <xdr:to>
          <xdr:col>11</xdr:col>
          <xdr:colOff>28575</xdr:colOff>
          <xdr:row>7</xdr:row>
          <xdr:rowOff>123825</xdr:rowOff>
        </xdr:to>
        <xdr:sp macro="" textlink="">
          <xdr:nvSpPr>
            <xdr:cNvPr id="1111" name="ComboBox1" hidden="1">
              <a:extLst>
                <a:ext uri="{63B3BB69-23CF-44E3-9099-C40C66FF867C}">
                  <a14:compatExt spid="_x0000_s1111"/>
                </a:ext>
                <a:ext uri="{FF2B5EF4-FFF2-40B4-BE49-F238E27FC236}">
                  <a16:creationId xmlns:a16="http://schemas.microsoft.com/office/drawing/2014/main" id="{00000000-0008-0000-0000-00005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12</xdr:row>
          <xdr:rowOff>19050</xdr:rowOff>
        </xdr:from>
        <xdr:to>
          <xdr:col>11</xdr:col>
          <xdr:colOff>38100</xdr:colOff>
          <xdr:row>14</xdr:row>
          <xdr:rowOff>0</xdr:rowOff>
        </xdr:to>
        <xdr:sp macro="" textlink="">
          <xdr:nvSpPr>
            <xdr:cNvPr id="1113" name="ComboBox3" hidden="1">
              <a:extLst>
                <a:ext uri="{63B3BB69-23CF-44E3-9099-C40C66FF867C}">
                  <a14:compatExt spid="_x0000_s1113"/>
                </a:ext>
                <a:ext uri="{FF2B5EF4-FFF2-40B4-BE49-F238E27FC236}">
                  <a16:creationId xmlns:a16="http://schemas.microsoft.com/office/drawing/2014/main" id="{00000000-0008-0000-0000-00005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15</xdr:row>
          <xdr:rowOff>19050</xdr:rowOff>
        </xdr:from>
        <xdr:to>
          <xdr:col>11</xdr:col>
          <xdr:colOff>66675</xdr:colOff>
          <xdr:row>16</xdr:row>
          <xdr:rowOff>133350</xdr:rowOff>
        </xdr:to>
        <xdr:sp macro="" textlink="">
          <xdr:nvSpPr>
            <xdr:cNvPr id="1121" name="ComboBox4" hidden="1">
              <a:extLst>
                <a:ext uri="{63B3BB69-23CF-44E3-9099-C40C66FF867C}">
                  <a14:compatExt spid="_x0000_s1121"/>
                </a:ext>
                <a:ext uri="{FF2B5EF4-FFF2-40B4-BE49-F238E27FC236}">
                  <a16:creationId xmlns:a16="http://schemas.microsoft.com/office/drawing/2014/main" id="{00000000-0008-0000-0000-00006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38</xdr:row>
          <xdr:rowOff>152400</xdr:rowOff>
        </xdr:from>
        <xdr:to>
          <xdr:col>2</xdr:col>
          <xdr:colOff>676275</xdr:colOff>
          <xdr:row>41</xdr:row>
          <xdr:rowOff>142875</xdr:rowOff>
        </xdr:to>
        <xdr:sp macro="" textlink="">
          <xdr:nvSpPr>
            <xdr:cNvPr id="1127" name="Кнопка 103" hidden="1">
              <a:extLst>
                <a:ext uri="{63B3BB69-23CF-44E3-9099-C40C66FF867C}">
                  <a14:compatExt spid="_x0000_s1127"/>
                </a:ext>
                <a:ext uri="{FF2B5EF4-FFF2-40B4-BE49-F238E27FC236}">
                  <a16:creationId xmlns:a16="http://schemas.microsoft.com/office/drawing/2014/main" id="{00000000-0008-0000-0000-00006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1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Если вдруг выдает ошибку: Can’t find project or library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85725</xdr:colOff>
          <xdr:row>2</xdr:row>
          <xdr:rowOff>66675</xdr:rowOff>
        </xdr:from>
        <xdr:to>
          <xdr:col>31</xdr:col>
          <xdr:colOff>171450</xdr:colOff>
          <xdr:row>5</xdr:row>
          <xdr:rowOff>28575</xdr:rowOff>
        </xdr:to>
        <xdr:sp macro="" textlink="">
          <xdr:nvSpPr>
            <xdr:cNvPr id="1248" name="Кнопка 224" hidden="1">
              <a:extLst>
                <a:ext uri="{63B3BB69-23CF-44E3-9099-C40C66FF867C}">
                  <a14:compatExt spid="_x0000_s1248"/>
                </a:ext>
                <a:ext uri="{FF2B5EF4-FFF2-40B4-BE49-F238E27FC236}">
                  <a16:creationId xmlns:a16="http://schemas.microsoft.com/office/drawing/2014/main" id="{00000000-0008-0000-0000-0000E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1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one-phase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9525</xdr:colOff>
          <xdr:row>19</xdr:row>
          <xdr:rowOff>19050</xdr:rowOff>
        </xdr:from>
        <xdr:to>
          <xdr:col>31</xdr:col>
          <xdr:colOff>276225</xdr:colOff>
          <xdr:row>22</xdr:row>
          <xdr:rowOff>66675</xdr:rowOff>
        </xdr:to>
        <xdr:sp macro="" textlink="">
          <xdr:nvSpPr>
            <xdr:cNvPr id="986622" name="Кнопка 1534" hidden="1">
              <a:extLst>
                <a:ext uri="{63B3BB69-23CF-44E3-9099-C40C66FF867C}">
                  <a14:compatExt spid="_x0000_s986622"/>
                </a:ext>
                <a:ext uri="{FF2B5EF4-FFF2-40B4-BE49-F238E27FC236}">
                  <a16:creationId xmlns:a16="http://schemas.microsoft.com/office/drawing/2014/main" id="{00000000-0008-0000-0000-0000FE0D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1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flash calculation_3phase with water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0.51888</cdr:x>
      <cdr:y>0.44607</cdr:y>
    </cdr:from>
    <cdr:to>
      <cdr:x>0.54014</cdr:x>
      <cdr:y>0.5093</cdr:y>
    </cdr:to>
    <cdr:sp macro="" textlink="">
      <cdr:nvSpPr>
        <cdr:cNvPr id="5222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120040" y="1832316"/>
          <a:ext cx="102093" cy="20659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ru-RU" sz="975" b="1" i="0" u="none" strike="noStrike" baseline="0">
              <a:solidFill>
                <a:srgbClr val="000000"/>
              </a:solidFill>
              <a:latin typeface="Arial Cyr"/>
              <a:cs typeface="Arial Cyr"/>
            </a:rPr>
            <a:t>.</a:t>
          </a:r>
        </a:p>
      </cdr:txBody>
    </cdr:sp>
  </cdr:relSizeAnchor>
  <cdr:relSizeAnchor xmlns:cdr="http://schemas.openxmlformats.org/drawingml/2006/chartDrawing">
    <cdr:from>
      <cdr:x>0.96103</cdr:x>
      <cdr:y>0.51876</cdr:y>
    </cdr:from>
    <cdr:to>
      <cdr:x>0.98718</cdr:x>
      <cdr:y>0.57956</cdr:y>
    </cdr:to>
    <cdr:sp macro="" textlink="">
      <cdr:nvSpPr>
        <cdr:cNvPr id="5222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120040" y="1865162"/>
          <a:ext cx="102093" cy="20054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ru-RU" sz="975" b="1" i="0" u="none" strike="noStrike" baseline="0">
              <a:solidFill>
                <a:srgbClr val="000000"/>
              </a:solidFill>
              <a:latin typeface="Arial Cyr"/>
              <a:cs typeface="Arial Cyr"/>
            </a:rPr>
            <a:t>.</a:t>
          </a: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200025</xdr:colOff>
      <xdr:row>2</xdr:row>
      <xdr:rowOff>152400</xdr:rowOff>
    </xdr:from>
    <xdr:to>
      <xdr:col>12</xdr:col>
      <xdr:colOff>38100</xdr:colOff>
      <xdr:row>24</xdr:row>
      <xdr:rowOff>47625</xdr:rowOff>
    </xdr:to>
    <xdr:graphicFrame macro="">
      <xdr:nvGraphicFramePr>
        <xdr:cNvPr id="8969810" name="Диаграмма 8">
          <a:extLst>
            <a:ext uri="{FF2B5EF4-FFF2-40B4-BE49-F238E27FC236}">
              <a16:creationId xmlns:a16="http://schemas.microsoft.com/office/drawing/2014/main" id="{00000000-0008-0000-0300-000052DE88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190500</xdr:colOff>
      <xdr:row>23</xdr:row>
      <xdr:rowOff>142875</xdr:rowOff>
    </xdr:from>
    <xdr:to>
      <xdr:col>15</xdr:col>
      <xdr:colOff>47625</xdr:colOff>
      <xdr:row>44</xdr:row>
      <xdr:rowOff>142875</xdr:rowOff>
    </xdr:to>
    <xdr:graphicFrame macro="">
      <xdr:nvGraphicFramePr>
        <xdr:cNvPr id="8969811" name="Диаграмма 8">
          <a:extLst>
            <a:ext uri="{FF2B5EF4-FFF2-40B4-BE49-F238E27FC236}">
              <a16:creationId xmlns:a16="http://schemas.microsoft.com/office/drawing/2014/main" id="{00000000-0008-0000-0300-000053DE88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142875</xdr:colOff>
      <xdr:row>49</xdr:row>
      <xdr:rowOff>152400</xdr:rowOff>
    </xdr:from>
    <xdr:to>
      <xdr:col>13</xdr:col>
      <xdr:colOff>0</xdr:colOff>
      <xdr:row>71</xdr:row>
      <xdr:rowOff>66675</xdr:rowOff>
    </xdr:to>
    <xdr:graphicFrame macro="">
      <xdr:nvGraphicFramePr>
        <xdr:cNvPr id="8969812" name="Диаграмма 8">
          <a:extLst>
            <a:ext uri="{FF2B5EF4-FFF2-40B4-BE49-F238E27FC236}">
              <a16:creationId xmlns:a16="http://schemas.microsoft.com/office/drawing/2014/main" id="{00000000-0008-0000-0300-000054DE88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590550</xdr:colOff>
      <xdr:row>73</xdr:row>
      <xdr:rowOff>76200</xdr:rowOff>
    </xdr:from>
    <xdr:to>
      <xdr:col>13</xdr:col>
      <xdr:colOff>419100</xdr:colOff>
      <xdr:row>93</xdr:row>
      <xdr:rowOff>161925</xdr:rowOff>
    </xdr:to>
    <xdr:graphicFrame macro="">
      <xdr:nvGraphicFramePr>
        <xdr:cNvPr id="8969813" name="Диаграмма 8">
          <a:extLst>
            <a:ext uri="{FF2B5EF4-FFF2-40B4-BE49-F238E27FC236}">
              <a16:creationId xmlns:a16="http://schemas.microsoft.com/office/drawing/2014/main" id="{00000000-0008-0000-0300-000055DE88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</xdr:col>
      <xdr:colOff>419100</xdr:colOff>
      <xdr:row>101</xdr:row>
      <xdr:rowOff>228600</xdr:rowOff>
    </xdr:from>
    <xdr:to>
      <xdr:col>13</xdr:col>
      <xdr:colOff>180975</xdr:colOff>
      <xdr:row>121</xdr:row>
      <xdr:rowOff>133350</xdr:rowOff>
    </xdr:to>
    <xdr:graphicFrame macro="">
      <xdr:nvGraphicFramePr>
        <xdr:cNvPr id="8969814" name="Диаграмма 8">
          <a:extLst>
            <a:ext uri="{FF2B5EF4-FFF2-40B4-BE49-F238E27FC236}">
              <a16:creationId xmlns:a16="http://schemas.microsoft.com/office/drawing/2014/main" id="{00000000-0008-0000-0300-000056DE88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</xdr:col>
      <xdr:colOff>190500</xdr:colOff>
      <xdr:row>125</xdr:row>
      <xdr:rowOff>190500</xdr:rowOff>
    </xdr:from>
    <xdr:to>
      <xdr:col>12</xdr:col>
      <xdr:colOff>514350</xdr:colOff>
      <xdr:row>146</xdr:row>
      <xdr:rowOff>152400</xdr:rowOff>
    </xdr:to>
    <xdr:graphicFrame macro="">
      <xdr:nvGraphicFramePr>
        <xdr:cNvPr id="8969815" name="Диаграмма 8">
          <a:extLst>
            <a:ext uri="{FF2B5EF4-FFF2-40B4-BE49-F238E27FC236}">
              <a16:creationId xmlns:a16="http://schemas.microsoft.com/office/drawing/2014/main" id="{00000000-0008-0000-0300-000057DE88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161925</xdr:colOff>
      <xdr:row>151</xdr:row>
      <xdr:rowOff>76200</xdr:rowOff>
    </xdr:from>
    <xdr:to>
      <xdr:col>16</xdr:col>
      <xdr:colOff>323850</xdr:colOff>
      <xdr:row>173</xdr:row>
      <xdr:rowOff>9525</xdr:rowOff>
    </xdr:to>
    <xdr:graphicFrame macro="">
      <xdr:nvGraphicFramePr>
        <xdr:cNvPr id="8969816" name="Диаграмма 8">
          <a:extLst>
            <a:ext uri="{FF2B5EF4-FFF2-40B4-BE49-F238E27FC236}">
              <a16:creationId xmlns:a16="http://schemas.microsoft.com/office/drawing/2014/main" id="{00000000-0008-0000-0300-000058DE88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19</xdr:col>
      <xdr:colOff>190500</xdr:colOff>
      <xdr:row>1</xdr:row>
      <xdr:rowOff>123825</xdr:rowOff>
    </xdr:from>
    <xdr:to>
      <xdr:col>30</xdr:col>
      <xdr:colOff>390525</xdr:colOff>
      <xdr:row>27</xdr:row>
      <xdr:rowOff>104775</xdr:rowOff>
    </xdr:to>
    <xdr:graphicFrame macro="">
      <xdr:nvGraphicFramePr>
        <xdr:cNvPr id="8969817" name="Диаграмма 8">
          <a:extLst>
            <a:ext uri="{FF2B5EF4-FFF2-40B4-BE49-F238E27FC236}">
              <a16:creationId xmlns:a16="http://schemas.microsoft.com/office/drawing/2014/main" id="{00000000-0008-0000-0300-000059DE88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19</xdr:col>
      <xdr:colOff>257175</xdr:colOff>
      <xdr:row>29</xdr:row>
      <xdr:rowOff>38100</xdr:rowOff>
    </xdr:from>
    <xdr:to>
      <xdr:col>30</xdr:col>
      <xdr:colOff>400050</xdr:colOff>
      <xdr:row>50</xdr:row>
      <xdr:rowOff>161925</xdr:rowOff>
    </xdr:to>
    <xdr:graphicFrame macro="">
      <xdr:nvGraphicFramePr>
        <xdr:cNvPr id="8969818" name="Диаграмма 9">
          <a:extLst>
            <a:ext uri="{FF2B5EF4-FFF2-40B4-BE49-F238E27FC236}">
              <a16:creationId xmlns:a16="http://schemas.microsoft.com/office/drawing/2014/main" id="{00000000-0008-0000-0300-00005ADE88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19</xdr:col>
      <xdr:colOff>266700</xdr:colOff>
      <xdr:row>52</xdr:row>
      <xdr:rowOff>152400</xdr:rowOff>
    </xdr:from>
    <xdr:to>
      <xdr:col>30</xdr:col>
      <xdr:colOff>400050</xdr:colOff>
      <xdr:row>73</xdr:row>
      <xdr:rowOff>0</xdr:rowOff>
    </xdr:to>
    <xdr:graphicFrame macro="">
      <xdr:nvGraphicFramePr>
        <xdr:cNvPr id="8969819" name="Диаграмма 10">
          <a:extLst>
            <a:ext uri="{FF2B5EF4-FFF2-40B4-BE49-F238E27FC236}">
              <a16:creationId xmlns:a16="http://schemas.microsoft.com/office/drawing/2014/main" id="{00000000-0008-0000-0300-00005BDE88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19</xdr:col>
      <xdr:colOff>209550</xdr:colOff>
      <xdr:row>124</xdr:row>
      <xdr:rowOff>85725</xdr:rowOff>
    </xdr:from>
    <xdr:to>
      <xdr:col>30</xdr:col>
      <xdr:colOff>114300</xdr:colOff>
      <xdr:row>150</xdr:row>
      <xdr:rowOff>161925</xdr:rowOff>
    </xdr:to>
    <xdr:graphicFrame macro="">
      <xdr:nvGraphicFramePr>
        <xdr:cNvPr id="8969820" name="Диаграмма 1">
          <a:extLst>
            <a:ext uri="{FF2B5EF4-FFF2-40B4-BE49-F238E27FC236}">
              <a16:creationId xmlns:a16="http://schemas.microsoft.com/office/drawing/2014/main" id="{00000000-0008-0000-0300-00005CDE88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19</xdr:col>
      <xdr:colOff>209550</xdr:colOff>
      <xdr:row>73</xdr:row>
      <xdr:rowOff>209550</xdr:rowOff>
    </xdr:from>
    <xdr:to>
      <xdr:col>30</xdr:col>
      <xdr:colOff>342900</xdr:colOff>
      <xdr:row>95</xdr:row>
      <xdr:rowOff>95250</xdr:rowOff>
    </xdr:to>
    <xdr:graphicFrame macro="">
      <xdr:nvGraphicFramePr>
        <xdr:cNvPr id="8969821" name="Диаграмма 10">
          <a:extLst>
            <a:ext uri="{FF2B5EF4-FFF2-40B4-BE49-F238E27FC236}">
              <a16:creationId xmlns:a16="http://schemas.microsoft.com/office/drawing/2014/main" id="{00000000-0008-0000-0300-00005DDE88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19</xdr:col>
      <xdr:colOff>266700</xdr:colOff>
      <xdr:row>96</xdr:row>
      <xdr:rowOff>57150</xdr:rowOff>
    </xdr:from>
    <xdr:to>
      <xdr:col>30</xdr:col>
      <xdr:colOff>171450</xdr:colOff>
      <xdr:row>123</xdr:row>
      <xdr:rowOff>47625</xdr:rowOff>
    </xdr:to>
    <xdr:graphicFrame macro="">
      <xdr:nvGraphicFramePr>
        <xdr:cNvPr id="8969822" name="Диаграмма 1">
          <a:extLst>
            <a:ext uri="{FF2B5EF4-FFF2-40B4-BE49-F238E27FC236}">
              <a16:creationId xmlns:a16="http://schemas.microsoft.com/office/drawing/2014/main" id="{00000000-0008-0000-0300-00005EDE88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19</xdr:col>
      <xdr:colOff>28575</xdr:colOff>
      <xdr:row>164</xdr:row>
      <xdr:rowOff>9525</xdr:rowOff>
    </xdr:from>
    <xdr:to>
      <xdr:col>29</xdr:col>
      <xdr:colOff>47625</xdr:colOff>
      <xdr:row>181</xdr:row>
      <xdr:rowOff>19050</xdr:rowOff>
    </xdr:to>
    <xdr:graphicFrame macro="">
      <xdr:nvGraphicFramePr>
        <xdr:cNvPr id="8969823" name="Диаграмма 1">
          <a:extLst>
            <a:ext uri="{FF2B5EF4-FFF2-40B4-BE49-F238E27FC236}">
              <a16:creationId xmlns:a16="http://schemas.microsoft.com/office/drawing/2014/main" id="{00000000-0008-0000-0300-00005FDE88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0.36093</cdr:x>
      <cdr:y>0.09506</cdr:y>
    </cdr:from>
    <cdr:to>
      <cdr:x>0.94696</cdr:x>
      <cdr:y>0.14829</cdr:y>
    </cdr:to>
    <cdr:sp macro="" textlink="">
      <cdr:nvSpPr>
        <cdr:cNvPr id="2" name="Прямоугольник 1"/>
        <cdr:cNvSpPr/>
      </cdr:nvSpPr>
      <cdr:spPr>
        <a:xfrm xmlns:a="http://schemas.openxmlformats.org/drawingml/2006/main">
          <a:off x="1925201" y="476265"/>
          <a:ext cx="3125884" cy="266690"/>
        </a:xfrm>
        <a:prstGeom xmlns:a="http://schemas.openxmlformats.org/drawingml/2006/main" prst="rect">
          <a:avLst/>
        </a:prstGeom>
        <a:ln xmlns:a="http://schemas.openxmlformats.org/drawingml/2006/main" w="12700">
          <a:solidFill>
            <a:schemeClr val="tx1"/>
          </a:solidFill>
        </a:ln>
      </cdr:spPr>
      <cdr:style>
        <a:lnRef xmlns:a="http://schemas.openxmlformats.org/drawingml/2006/main" idx="2">
          <a:schemeClr val="accent6"/>
        </a:lnRef>
        <a:fillRef xmlns:a="http://schemas.openxmlformats.org/drawingml/2006/main" idx="1">
          <a:schemeClr val="lt1"/>
        </a:fillRef>
        <a:effectRef xmlns:a="http://schemas.openxmlformats.org/drawingml/2006/main" idx="0">
          <a:schemeClr val="accent6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r>
            <a:rPr lang="ru-RU"/>
            <a:t>     </a:t>
          </a:r>
          <a:r>
            <a:rPr lang="ru-RU" sz="1200">
              <a:latin typeface="Times New Roman" panose="02020603050405020304" pitchFamily="18" charset="0"/>
              <a:cs typeface="Times New Roman" panose="02020603050405020304" pitchFamily="18" charset="0"/>
            </a:rPr>
            <a:t>Эксперимент                Бюкачек             </a:t>
          </a:r>
          <a:r>
            <a:rPr lang="en-US" sz="1200">
              <a:latin typeface="Times New Roman" panose="02020603050405020304" pitchFamily="18" charset="0"/>
              <a:cs typeface="Times New Roman" panose="02020603050405020304" pitchFamily="18" charset="0"/>
            </a:rPr>
            <a:t>PVT</a:t>
          </a:r>
          <a:r>
            <a:rPr lang="ru-RU" sz="1200">
              <a:latin typeface="Times New Roman" panose="02020603050405020304" pitchFamily="18" charset="0"/>
              <a:cs typeface="Times New Roman" panose="02020603050405020304" pitchFamily="18" charset="0"/>
            </a:rPr>
            <a:t>-моделирование</a:t>
          </a:r>
          <a:endParaRPr lang="ru-RU" sz="1200"/>
        </a:p>
      </cdr:txBody>
    </cdr:sp>
  </cdr:relSizeAnchor>
  <cdr:relSizeAnchor xmlns:cdr="http://schemas.openxmlformats.org/drawingml/2006/chartDrawing">
    <cdr:from>
      <cdr:x>0.37128</cdr:x>
      <cdr:y>0.11977</cdr:y>
    </cdr:from>
    <cdr:to>
      <cdr:x>0.38034</cdr:x>
      <cdr:y>0.1289</cdr:y>
    </cdr:to>
    <cdr:sp macro="" textlink="">
      <cdr:nvSpPr>
        <cdr:cNvPr id="3" name="Овал 2"/>
        <cdr:cNvSpPr/>
      </cdr:nvSpPr>
      <cdr:spPr>
        <a:xfrm xmlns:a="http://schemas.openxmlformats.org/drawingml/2006/main">
          <a:off x="2164303" y="600066"/>
          <a:ext cx="52813" cy="45742"/>
        </a:xfrm>
        <a:prstGeom xmlns:a="http://schemas.openxmlformats.org/drawingml/2006/main" prst="ellipse">
          <a:avLst/>
        </a:prstGeom>
        <a:solidFill xmlns:a="http://schemas.openxmlformats.org/drawingml/2006/main">
          <a:srgbClr val="0070C0"/>
        </a:solidFill>
        <a:ln xmlns:a="http://schemas.openxmlformats.org/drawingml/2006/main">
          <a:solidFill>
            <a:srgbClr val="0070C0"/>
          </a:solidFill>
        </a:ln>
      </cdr:spPr>
      <cdr:style>
        <a:lnRef xmlns:a="http://schemas.openxmlformats.org/drawingml/2006/main" idx="2">
          <a:schemeClr val="dk1">
            <a:shade val="50000"/>
          </a:schemeClr>
        </a:lnRef>
        <a:fillRef xmlns:a="http://schemas.openxmlformats.org/drawingml/2006/main" idx="1">
          <a:schemeClr val="dk1"/>
        </a:fillRef>
        <a:effectRef xmlns:a="http://schemas.openxmlformats.org/drawingml/2006/main" idx="0">
          <a:schemeClr val="dk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0.79706</cdr:x>
      <cdr:y>0.72884</cdr:y>
    </cdr:from>
    <cdr:to>
      <cdr:x>0.93247</cdr:x>
      <cdr:y>0.77827</cdr:y>
    </cdr:to>
    <cdr:sp macro="" textlink="">
      <cdr:nvSpPr>
        <cdr:cNvPr id="2" name="Прямоугольник 1"/>
        <cdr:cNvSpPr/>
      </cdr:nvSpPr>
      <cdr:spPr>
        <a:xfrm xmlns:a="http://schemas.openxmlformats.org/drawingml/2006/main">
          <a:off x="5861050" y="3089275"/>
          <a:ext cx="995668" cy="209524"/>
        </a:xfrm>
        <a:prstGeom xmlns:a="http://schemas.openxmlformats.org/drawingml/2006/main" prst="rect">
          <a:avLst/>
        </a:prstGeom>
        <a:ln xmlns:a="http://schemas.openxmlformats.org/drawingml/2006/main">
          <a:solidFill>
            <a:schemeClr val="bg1"/>
          </a:solidFill>
        </a:ln>
      </cdr:spPr>
      <cdr:style>
        <a:lnRef xmlns:a="http://schemas.openxmlformats.org/drawingml/2006/main" idx="2">
          <a:schemeClr val="accent6"/>
        </a:lnRef>
        <a:fillRef xmlns:a="http://schemas.openxmlformats.org/drawingml/2006/main" idx="1">
          <a:schemeClr val="lt1"/>
        </a:fillRef>
        <a:effectRef xmlns:a="http://schemas.openxmlformats.org/drawingml/2006/main" idx="0">
          <a:schemeClr val="accent6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latin typeface="Times New Roman" panose="02020603050405020304" pitchFamily="18" charset="0"/>
              <a:cs typeface="Times New Roman" panose="02020603050405020304" pitchFamily="18" charset="0"/>
            </a:rPr>
            <a:t>T=37,8 </a:t>
          </a:r>
          <a:r>
            <a:rPr lang="ru-RU" sz="1200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°С</a:t>
          </a:r>
          <a:endParaRPr lang="ru-RU" sz="1200">
            <a:latin typeface="Times New Roman" panose="02020603050405020304" pitchFamily="18" charset="0"/>
            <a:cs typeface="Times New Roman" panose="02020603050405020304" pitchFamily="18" charset="0"/>
          </a:endParaRPr>
        </a:p>
      </cdr:txBody>
    </cdr:sp>
  </cdr:relSizeAnchor>
  <cdr:relSizeAnchor xmlns:cdr="http://schemas.openxmlformats.org/drawingml/2006/chartDrawing">
    <cdr:from>
      <cdr:x>0.79836</cdr:x>
      <cdr:y>0.62322</cdr:y>
    </cdr:from>
    <cdr:to>
      <cdr:x>0.93377</cdr:x>
      <cdr:y>0.67266</cdr:y>
    </cdr:to>
    <cdr:sp macro="" textlink="">
      <cdr:nvSpPr>
        <cdr:cNvPr id="3" name="Прямоугольник 2"/>
        <cdr:cNvSpPr/>
      </cdr:nvSpPr>
      <cdr:spPr>
        <a:xfrm xmlns:a="http://schemas.openxmlformats.org/drawingml/2006/main">
          <a:off x="5870575" y="2641600"/>
          <a:ext cx="995742" cy="209574"/>
        </a:xfrm>
        <a:prstGeom xmlns:a="http://schemas.openxmlformats.org/drawingml/2006/main" prst="rect">
          <a:avLst/>
        </a:prstGeom>
        <a:ln xmlns:a="http://schemas.openxmlformats.org/drawingml/2006/main">
          <a:solidFill>
            <a:schemeClr val="bg1"/>
          </a:solidFill>
        </a:ln>
      </cdr:spPr>
      <cdr:style>
        <a:lnRef xmlns:a="http://schemas.openxmlformats.org/drawingml/2006/main" idx="2">
          <a:schemeClr val="accent6"/>
        </a:lnRef>
        <a:fillRef xmlns:a="http://schemas.openxmlformats.org/drawingml/2006/main" idx="1">
          <a:schemeClr val="lt1"/>
        </a:fillRef>
        <a:effectRef xmlns:a="http://schemas.openxmlformats.org/drawingml/2006/main" idx="0">
          <a:schemeClr val="accent6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latin typeface="Times New Roman" panose="02020603050405020304" pitchFamily="18" charset="0"/>
              <a:cs typeface="Times New Roman" panose="02020603050405020304" pitchFamily="18" charset="0"/>
            </a:rPr>
            <a:t>T=71,1 </a:t>
          </a:r>
          <a:r>
            <a:rPr lang="ru-RU" sz="1200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°С</a:t>
          </a:r>
          <a:endParaRPr lang="ru-RU" sz="1200">
            <a:latin typeface="Times New Roman" panose="02020603050405020304" pitchFamily="18" charset="0"/>
            <a:cs typeface="Times New Roman" panose="02020603050405020304" pitchFamily="18" charset="0"/>
          </a:endParaRPr>
        </a:p>
      </cdr:txBody>
    </cdr:sp>
  </cdr:relSizeAnchor>
  <cdr:relSizeAnchor xmlns:cdr="http://schemas.openxmlformats.org/drawingml/2006/chartDrawing">
    <cdr:from>
      <cdr:x>0.79836</cdr:x>
      <cdr:y>0.53783</cdr:y>
    </cdr:from>
    <cdr:to>
      <cdr:x>0.93377</cdr:x>
      <cdr:y>0.58726</cdr:y>
    </cdr:to>
    <cdr:sp macro="" textlink="">
      <cdr:nvSpPr>
        <cdr:cNvPr id="4" name="Прямоугольник 3"/>
        <cdr:cNvSpPr/>
      </cdr:nvSpPr>
      <cdr:spPr>
        <a:xfrm xmlns:a="http://schemas.openxmlformats.org/drawingml/2006/main">
          <a:off x="5870575" y="2279650"/>
          <a:ext cx="995742" cy="209525"/>
        </a:xfrm>
        <a:prstGeom xmlns:a="http://schemas.openxmlformats.org/drawingml/2006/main" prst="rect">
          <a:avLst/>
        </a:prstGeom>
        <a:ln xmlns:a="http://schemas.openxmlformats.org/drawingml/2006/main">
          <a:solidFill>
            <a:schemeClr val="bg1"/>
          </a:solidFill>
        </a:ln>
      </cdr:spPr>
      <cdr:style>
        <a:lnRef xmlns:a="http://schemas.openxmlformats.org/drawingml/2006/main" idx="2">
          <a:schemeClr val="accent6"/>
        </a:lnRef>
        <a:fillRef xmlns:a="http://schemas.openxmlformats.org/drawingml/2006/main" idx="1">
          <a:schemeClr val="lt1"/>
        </a:fillRef>
        <a:effectRef xmlns:a="http://schemas.openxmlformats.org/drawingml/2006/main" idx="0">
          <a:schemeClr val="accent6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latin typeface="Times New Roman" panose="02020603050405020304" pitchFamily="18" charset="0"/>
              <a:cs typeface="Times New Roman" panose="02020603050405020304" pitchFamily="18" charset="0"/>
            </a:rPr>
            <a:t>T=104,4 </a:t>
          </a:r>
          <a:r>
            <a:rPr lang="ru-RU" sz="1200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°С</a:t>
          </a:r>
          <a:endParaRPr lang="ru-RU" sz="1200">
            <a:latin typeface="Times New Roman" panose="02020603050405020304" pitchFamily="18" charset="0"/>
            <a:cs typeface="Times New Roman" panose="02020603050405020304" pitchFamily="18" charset="0"/>
          </a:endParaRPr>
        </a:p>
      </cdr:txBody>
    </cdr:sp>
  </cdr:relSizeAnchor>
  <cdr:relSizeAnchor xmlns:cdr="http://schemas.openxmlformats.org/drawingml/2006/chartDrawing">
    <cdr:from>
      <cdr:x>0.79836</cdr:x>
      <cdr:y>0.45918</cdr:y>
    </cdr:from>
    <cdr:to>
      <cdr:x>0.93377</cdr:x>
      <cdr:y>0.50862</cdr:y>
    </cdr:to>
    <cdr:sp macro="" textlink="">
      <cdr:nvSpPr>
        <cdr:cNvPr id="6" name="Прямоугольник 5"/>
        <cdr:cNvSpPr/>
      </cdr:nvSpPr>
      <cdr:spPr>
        <a:xfrm xmlns:a="http://schemas.openxmlformats.org/drawingml/2006/main">
          <a:off x="5870575" y="1946275"/>
          <a:ext cx="995742" cy="209574"/>
        </a:xfrm>
        <a:prstGeom xmlns:a="http://schemas.openxmlformats.org/drawingml/2006/main" prst="rect">
          <a:avLst/>
        </a:prstGeom>
        <a:ln xmlns:a="http://schemas.openxmlformats.org/drawingml/2006/main">
          <a:solidFill>
            <a:schemeClr val="bg1"/>
          </a:solidFill>
        </a:ln>
      </cdr:spPr>
      <cdr:style>
        <a:lnRef xmlns:a="http://schemas.openxmlformats.org/drawingml/2006/main" idx="2">
          <a:schemeClr val="accent6"/>
        </a:lnRef>
        <a:fillRef xmlns:a="http://schemas.openxmlformats.org/drawingml/2006/main" idx="1">
          <a:schemeClr val="lt1"/>
        </a:fillRef>
        <a:effectRef xmlns:a="http://schemas.openxmlformats.org/drawingml/2006/main" idx="0">
          <a:schemeClr val="accent6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latin typeface="Times New Roman" panose="02020603050405020304" pitchFamily="18" charset="0"/>
              <a:cs typeface="Times New Roman" panose="02020603050405020304" pitchFamily="18" charset="0"/>
            </a:rPr>
            <a:t>T=137,8 </a:t>
          </a:r>
          <a:r>
            <a:rPr lang="ru-RU" sz="1200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°С</a:t>
          </a:r>
          <a:endParaRPr lang="ru-RU" sz="1200">
            <a:latin typeface="Times New Roman" panose="02020603050405020304" pitchFamily="18" charset="0"/>
            <a:cs typeface="Times New Roman" panose="02020603050405020304" pitchFamily="18" charset="0"/>
          </a:endParaRPr>
        </a:p>
      </cdr:txBody>
    </cdr:sp>
  </cdr:relSizeAnchor>
  <cdr:relSizeAnchor xmlns:cdr="http://schemas.openxmlformats.org/drawingml/2006/chartDrawing">
    <cdr:from>
      <cdr:x>0.79965</cdr:x>
      <cdr:y>0.39401</cdr:y>
    </cdr:from>
    <cdr:to>
      <cdr:x>0.93523</cdr:x>
      <cdr:y>0.44494</cdr:y>
    </cdr:to>
    <cdr:sp macro="" textlink="">
      <cdr:nvSpPr>
        <cdr:cNvPr id="7" name="Прямоугольник 6"/>
        <cdr:cNvSpPr/>
      </cdr:nvSpPr>
      <cdr:spPr>
        <a:xfrm xmlns:a="http://schemas.openxmlformats.org/drawingml/2006/main">
          <a:off x="5880100" y="1670050"/>
          <a:ext cx="996928" cy="215887"/>
        </a:xfrm>
        <a:prstGeom xmlns:a="http://schemas.openxmlformats.org/drawingml/2006/main" prst="rect">
          <a:avLst/>
        </a:prstGeom>
        <a:ln xmlns:a="http://schemas.openxmlformats.org/drawingml/2006/main">
          <a:solidFill>
            <a:schemeClr val="bg1"/>
          </a:solidFill>
        </a:ln>
      </cdr:spPr>
      <cdr:style>
        <a:lnRef xmlns:a="http://schemas.openxmlformats.org/drawingml/2006/main" idx="2">
          <a:schemeClr val="accent6"/>
        </a:lnRef>
        <a:fillRef xmlns:a="http://schemas.openxmlformats.org/drawingml/2006/main" idx="1">
          <a:schemeClr val="lt1"/>
        </a:fillRef>
        <a:effectRef xmlns:a="http://schemas.openxmlformats.org/drawingml/2006/main" idx="0">
          <a:schemeClr val="accent6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latin typeface="Times New Roman" panose="02020603050405020304" pitchFamily="18" charset="0"/>
              <a:cs typeface="Times New Roman" panose="02020603050405020304" pitchFamily="18" charset="0"/>
            </a:rPr>
            <a:t>T=171,1 </a:t>
          </a:r>
          <a:r>
            <a:rPr lang="ru-RU" sz="1200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°С</a:t>
          </a:r>
          <a:endParaRPr lang="ru-RU" sz="1200">
            <a:latin typeface="Times New Roman" panose="02020603050405020304" pitchFamily="18" charset="0"/>
            <a:cs typeface="Times New Roman" panose="02020603050405020304" pitchFamily="18" charset="0"/>
          </a:endParaRPr>
        </a:p>
      </cdr:txBody>
    </cdr:sp>
  </cdr:relSizeAnchor>
  <cdr:relSizeAnchor xmlns:cdr="http://schemas.openxmlformats.org/drawingml/2006/chartDrawing">
    <cdr:from>
      <cdr:x>0.58981</cdr:x>
      <cdr:y>0.3176</cdr:y>
    </cdr:from>
    <cdr:to>
      <cdr:x>0.69949</cdr:x>
      <cdr:y>0.36404</cdr:y>
    </cdr:to>
    <cdr:sp macro="" textlink="">
      <cdr:nvSpPr>
        <cdr:cNvPr id="8" name="Прямоугольник 7"/>
        <cdr:cNvSpPr/>
      </cdr:nvSpPr>
      <cdr:spPr>
        <a:xfrm xmlns:a="http://schemas.openxmlformats.org/drawingml/2006/main">
          <a:off x="4337050" y="1346200"/>
          <a:ext cx="806479" cy="196848"/>
        </a:xfrm>
        <a:prstGeom xmlns:a="http://schemas.openxmlformats.org/drawingml/2006/main" prst="rect">
          <a:avLst/>
        </a:prstGeom>
        <a:ln xmlns:a="http://schemas.openxmlformats.org/drawingml/2006/main">
          <a:solidFill>
            <a:schemeClr val="bg1"/>
          </a:solidFill>
        </a:ln>
      </cdr:spPr>
      <cdr:style>
        <a:lnRef xmlns:a="http://schemas.openxmlformats.org/drawingml/2006/main" idx="2">
          <a:schemeClr val="accent6"/>
        </a:lnRef>
        <a:fillRef xmlns:a="http://schemas.openxmlformats.org/drawingml/2006/main" idx="1">
          <a:schemeClr val="lt1"/>
        </a:fillRef>
        <a:effectRef xmlns:a="http://schemas.openxmlformats.org/drawingml/2006/main" idx="0">
          <a:schemeClr val="accent6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latin typeface="Times New Roman" panose="02020603050405020304" pitchFamily="18" charset="0"/>
              <a:cs typeface="Times New Roman" panose="02020603050405020304" pitchFamily="18" charset="0"/>
            </a:rPr>
            <a:t>T=200 </a:t>
          </a:r>
          <a:r>
            <a:rPr lang="ru-RU" sz="1200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°С</a:t>
          </a:r>
          <a:endParaRPr lang="ru-RU" sz="1200">
            <a:latin typeface="Times New Roman" panose="02020603050405020304" pitchFamily="18" charset="0"/>
            <a:cs typeface="Times New Roman" panose="02020603050405020304" pitchFamily="18" charset="0"/>
          </a:endParaRPr>
        </a:p>
      </cdr:txBody>
    </cdr:sp>
  </cdr:relSizeAnchor>
  <cdr:relSizeAnchor xmlns:cdr="http://schemas.openxmlformats.org/drawingml/2006/chartDrawing">
    <cdr:from>
      <cdr:x>0.36572</cdr:x>
      <cdr:y>0.1176</cdr:y>
    </cdr:from>
    <cdr:to>
      <cdr:x>0.9563</cdr:x>
      <cdr:y>0.18052</cdr:y>
    </cdr:to>
    <cdr:sp macro="" textlink="">
      <cdr:nvSpPr>
        <cdr:cNvPr id="9" name="Прямоугольник 8"/>
        <cdr:cNvSpPr/>
      </cdr:nvSpPr>
      <cdr:spPr>
        <a:xfrm xmlns:a="http://schemas.openxmlformats.org/drawingml/2006/main">
          <a:off x="2689225" y="498475"/>
          <a:ext cx="4342746" cy="266690"/>
        </a:xfrm>
        <a:prstGeom xmlns:a="http://schemas.openxmlformats.org/drawingml/2006/main" prst="rect">
          <a:avLst/>
        </a:prstGeom>
        <a:ln xmlns:a="http://schemas.openxmlformats.org/drawingml/2006/main" w="12700">
          <a:solidFill>
            <a:schemeClr val="tx1"/>
          </a:solidFill>
        </a:ln>
      </cdr:spPr>
      <cdr:style>
        <a:lnRef xmlns:a="http://schemas.openxmlformats.org/drawingml/2006/main" idx="2">
          <a:schemeClr val="accent6"/>
        </a:lnRef>
        <a:fillRef xmlns:a="http://schemas.openxmlformats.org/drawingml/2006/main" idx="1">
          <a:schemeClr val="lt1"/>
        </a:fillRef>
        <a:effectRef xmlns:a="http://schemas.openxmlformats.org/drawingml/2006/main" idx="0">
          <a:schemeClr val="accent6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ru-RU"/>
            <a:t>     </a:t>
          </a:r>
          <a:r>
            <a:rPr lang="ru-RU" sz="1200">
              <a:latin typeface="Times New Roman" panose="02020603050405020304" pitchFamily="18" charset="0"/>
              <a:cs typeface="Times New Roman" panose="02020603050405020304" pitchFamily="18" charset="0"/>
            </a:rPr>
            <a:t>Эксперимент                Бюкачек             </a:t>
          </a:r>
          <a:r>
            <a:rPr lang="en-US" sz="1200">
              <a:latin typeface="Times New Roman" panose="02020603050405020304" pitchFamily="18" charset="0"/>
              <a:cs typeface="Times New Roman" panose="02020603050405020304" pitchFamily="18" charset="0"/>
            </a:rPr>
            <a:t>PVT</a:t>
          </a:r>
          <a:r>
            <a:rPr lang="ru-RU" sz="1200">
              <a:latin typeface="Times New Roman" panose="02020603050405020304" pitchFamily="18" charset="0"/>
              <a:cs typeface="Times New Roman" panose="02020603050405020304" pitchFamily="18" charset="0"/>
            </a:rPr>
            <a:t>-моделирование</a:t>
          </a:r>
          <a:endParaRPr lang="ru-RU" sz="1200"/>
        </a:p>
      </cdr:txBody>
    </cdr:sp>
  </cdr:relSizeAnchor>
  <cdr:relSizeAnchor xmlns:cdr="http://schemas.openxmlformats.org/drawingml/2006/chartDrawing">
    <cdr:from>
      <cdr:x>0.37615</cdr:x>
      <cdr:y>0.14681</cdr:y>
    </cdr:from>
    <cdr:to>
      <cdr:x>0.38528</cdr:x>
      <cdr:y>0.1576</cdr:y>
    </cdr:to>
    <cdr:sp macro="" textlink="">
      <cdr:nvSpPr>
        <cdr:cNvPr id="10" name="Овал 9"/>
        <cdr:cNvSpPr/>
      </cdr:nvSpPr>
      <cdr:spPr>
        <a:xfrm xmlns:a="http://schemas.openxmlformats.org/drawingml/2006/main">
          <a:off x="2765923" y="622276"/>
          <a:ext cx="67139" cy="45742"/>
        </a:xfrm>
        <a:prstGeom xmlns:a="http://schemas.openxmlformats.org/drawingml/2006/main" prst="ellipse">
          <a:avLst/>
        </a:prstGeom>
        <a:solidFill xmlns:a="http://schemas.openxmlformats.org/drawingml/2006/main">
          <a:srgbClr val="0070C0"/>
        </a:solidFill>
        <a:ln xmlns:a="http://schemas.openxmlformats.org/drawingml/2006/main">
          <a:solidFill>
            <a:srgbClr val="0070C0"/>
          </a:solidFill>
        </a:ln>
      </cdr:spPr>
      <cdr:style>
        <a:lnRef xmlns:a="http://schemas.openxmlformats.org/drawingml/2006/main" idx="2">
          <a:schemeClr val="dk1">
            <a:shade val="50000"/>
          </a:schemeClr>
        </a:lnRef>
        <a:fillRef xmlns:a="http://schemas.openxmlformats.org/drawingml/2006/main" idx="1">
          <a:schemeClr val="dk1"/>
        </a:fillRef>
        <a:effectRef xmlns:a="http://schemas.openxmlformats.org/drawingml/2006/main" idx="0">
          <a:schemeClr val="dk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ru-RU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0.34544</cdr:x>
      <cdr:y>0.09696</cdr:y>
    </cdr:from>
    <cdr:to>
      <cdr:x>0.93679</cdr:x>
      <cdr:y>0.16426</cdr:y>
    </cdr:to>
    <cdr:sp macro="" textlink="">
      <cdr:nvSpPr>
        <cdr:cNvPr id="2" name="Прямоугольник 1"/>
        <cdr:cNvSpPr/>
      </cdr:nvSpPr>
      <cdr:spPr>
        <a:xfrm xmlns:a="http://schemas.openxmlformats.org/drawingml/2006/main">
          <a:off x="2536825" y="384175"/>
          <a:ext cx="4342746" cy="266690"/>
        </a:xfrm>
        <a:prstGeom xmlns:a="http://schemas.openxmlformats.org/drawingml/2006/main" prst="rect">
          <a:avLst/>
        </a:prstGeom>
        <a:ln xmlns:a="http://schemas.openxmlformats.org/drawingml/2006/main" w="12700">
          <a:solidFill>
            <a:schemeClr val="tx1"/>
          </a:solidFill>
        </a:ln>
      </cdr:spPr>
      <cdr:style>
        <a:lnRef xmlns:a="http://schemas.openxmlformats.org/drawingml/2006/main" idx="2">
          <a:schemeClr val="accent6"/>
        </a:lnRef>
        <a:fillRef xmlns:a="http://schemas.openxmlformats.org/drawingml/2006/main" idx="1">
          <a:schemeClr val="lt1"/>
        </a:fillRef>
        <a:effectRef xmlns:a="http://schemas.openxmlformats.org/drawingml/2006/main" idx="0">
          <a:schemeClr val="accent6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ru-RU"/>
            <a:t>     </a:t>
          </a:r>
          <a:r>
            <a:rPr lang="ru-RU" sz="1200">
              <a:latin typeface="Times New Roman" panose="02020603050405020304" pitchFamily="18" charset="0"/>
              <a:cs typeface="Times New Roman" panose="02020603050405020304" pitchFamily="18" charset="0"/>
            </a:rPr>
            <a:t>Эксперимент                Бюкачек             </a:t>
          </a:r>
          <a:r>
            <a:rPr lang="en-US" sz="1200">
              <a:latin typeface="Times New Roman" panose="02020603050405020304" pitchFamily="18" charset="0"/>
              <a:cs typeface="Times New Roman" panose="02020603050405020304" pitchFamily="18" charset="0"/>
            </a:rPr>
            <a:t>PVT</a:t>
          </a:r>
          <a:r>
            <a:rPr lang="ru-RU" sz="1200">
              <a:latin typeface="Times New Roman" panose="02020603050405020304" pitchFamily="18" charset="0"/>
              <a:cs typeface="Times New Roman" panose="02020603050405020304" pitchFamily="18" charset="0"/>
            </a:rPr>
            <a:t>-моделирование</a:t>
          </a:r>
          <a:endParaRPr lang="ru-RU" sz="1200"/>
        </a:p>
      </cdr:txBody>
    </cdr:sp>
  </cdr:relSizeAnchor>
  <cdr:relSizeAnchor xmlns:cdr="http://schemas.openxmlformats.org/drawingml/2006/chartDrawing">
    <cdr:from>
      <cdr:x>0.35588</cdr:x>
      <cdr:y>0.1282</cdr:y>
    </cdr:from>
    <cdr:to>
      <cdr:x>0.36503</cdr:x>
      <cdr:y>0.13974</cdr:y>
    </cdr:to>
    <cdr:sp macro="" textlink="">
      <cdr:nvSpPr>
        <cdr:cNvPr id="3" name="Овал 2"/>
        <cdr:cNvSpPr/>
      </cdr:nvSpPr>
      <cdr:spPr>
        <a:xfrm xmlns:a="http://schemas.openxmlformats.org/drawingml/2006/main">
          <a:off x="2613523" y="507976"/>
          <a:ext cx="67139" cy="45742"/>
        </a:xfrm>
        <a:prstGeom xmlns:a="http://schemas.openxmlformats.org/drawingml/2006/main" prst="ellipse">
          <a:avLst/>
        </a:prstGeom>
        <a:solidFill xmlns:a="http://schemas.openxmlformats.org/drawingml/2006/main">
          <a:srgbClr val="0070C0"/>
        </a:solidFill>
        <a:ln xmlns:a="http://schemas.openxmlformats.org/drawingml/2006/main">
          <a:solidFill>
            <a:srgbClr val="0070C0"/>
          </a:solidFill>
        </a:ln>
      </cdr:spPr>
      <cdr:style>
        <a:lnRef xmlns:a="http://schemas.openxmlformats.org/drawingml/2006/main" idx="2">
          <a:schemeClr val="dk1">
            <a:shade val="50000"/>
          </a:schemeClr>
        </a:lnRef>
        <a:fillRef xmlns:a="http://schemas.openxmlformats.org/drawingml/2006/main" idx="1">
          <a:schemeClr val="dk1"/>
        </a:fillRef>
        <a:effectRef xmlns:a="http://schemas.openxmlformats.org/drawingml/2006/main" idx="0">
          <a:schemeClr val="dk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ru-RU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0.35635</cdr:x>
      <cdr:y>0.12476</cdr:y>
    </cdr:from>
    <cdr:to>
      <cdr:x>0.94402</cdr:x>
      <cdr:y>0.18063</cdr:y>
    </cdr:to>
    <cdr:sp macro="" textlink="">
      <cdr:nvSpPr>
        <cdr:cNvPr id="2" name="Прямоугольник 1"/>
        <cdr:cNvSpPr/>
      </cdr:nvSpPr>
      <cdr:spPr>
        <a:xfrm xmlns:a="http://schemas.openxmlformats.org/drawingml/2006/main">
          <a:off x="2535493" y="638138"/>
          <a:ext cx="4181375" cy="285771"/>
        </a:xfrm>
        <a:prstGeom xmlns:a="http://schemas.openxmlformats.org/drawingml/2006/main" prst="rect">
          <a:avLst/>
        </a:prstGeom>
        <a:ln xmlns:a="http://schemas.openxmlformats.org/drawingml/2006/main" w="12700">
          <a:solidFill>
            <a:schemeClr val="tx1"/>
          </a:solidFill>
        </a:ln>
      </cdr:spPr>
      <cdr:style>
        <a:lnRef xmlns:a="http://schemas.openxmlformats.org/drawingml/2006/main" idx="2">
          <a:schemeClr val="accent6"/>
        </a:lnRef>
        <a:fillRef xmlns:a="http://schemas.openxmlformats.org/drawingml/2006/main" idx="1">
          <a:schemeClr val="lt1"/>
        </a:fillRef>
        <a:effectRef xmlns:a="http://schemas.openxmlformats.org/drawingml/2006/main" idx="0">
          <a:schemeClr val="accent6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r>
            <a:rPr lang="en-US"/>
            <a:t>          </a:t>
          </a:r>
          <a:r>
            <a:rPr lang="ru-RU" sz="1200">
              <a:latin typeface="Times New Roman" panose="02020603050405020304" pitchFamily="18" charset="0"/>
              <a:cs typeface="Times New Roman" panose="02020603050405020304" pitchFamily="18" charset="0"/>
            </a:rPr>
            <a:t>Эксперимент</a:t>
          </a:r>
          <a:r>
            <a:rPr lang="ru-RU" sz="1200" baseline="0">
              <a:latin typeface="Times New Roman" panose="02020603050405020304" pitchFamily="18" charset="0"/>
              <a:cs typeface="Times New Roman" panose="02020603050405020304" pitchFamily="18" charset="0"/>
            </a:rPr>
            <a:t>                   </a:t>
          </a:r>
          <a:r>
            <a:rPr lang="en-US" sz="1200" baseline="0">
              <a:latin typeface="Times New Roman" panose="02020603050405020304" pitchFamily="18" charset="0"/>
              <a:cs typeface="Times New Roman" panose="02020603050405020304" pitchFamily="18" charset="0"/>
            </a:rPr>
            <a:t>PVT</a:t>
          </a:r>
          <a:r>
            <a:rPr lang="ru-RU" sz="1200" baseline="0">
              <a:latin typeface="Times New Roman" panose="02020603050405020304" pitchFamily="18" charset="0"/>
              <a:cs typeface="Times New Roman" panose="02020603050405020304" pitchFamily="18" charset="0"/>
            </a:rPr>
            <a:t>-моделирование</a:t>
          </a:r>
          <a:endParaRPr lang="ru-RU"/>
        </a:p>
      </cdr:txBody>
    </cdr:sp>
  </cdr:relSizeAnchor>
  <cdr:relSizeAnchor xmlns:cdr="http://schemas.openxmlformats.org/drawingml/2006/chartDrawing">
    <cdr:from>
      <cdr:x>0.38293</cdr:x>
      <cdr:y>0.1496</cdr:y>
    </cdr:from>
    <cdr:to>
      <cdr:x>0.39258</cdr:x>
      <cdr:y>0.15854</cdr:y>
    </cdr:to>
    <cdr:sp macro="" textlink="">
      <cdr:nvSpPr>
        <cdr:cNvPr id="3" name="Овал 2"/>
        <cdr:cNvSpPr/>
      </cdr:nvSpPr>
      <cdr:spPr>
        <a:xfrm xmlns:a="http://schemas.openxmlformats.org/drawingml/2006/main">
          <a:off x="2724614" y="765193"/>
          <a:ext cx="68661" cy="45727"/>
        </a:xfrm>
        <a:prstGeom xmlns:a="http://schemas.openxmlformats.org/drawingml/2006/main" prst="ellipse">
          <a:avLst/>
        </a:prstGeom>
        <a:solidFill xmlns:a="http://schemas.openxmlformats.org/drawingml/2006/main">
          <a:srgbClr val="0070C0"/>
        </a:solidFill>
        <a:ln xmlns:a="http://schemas.openxmlformats.org/drawingml/2006/main">
          <a:solidFill>
            <a:srgbClr val="0070C0"/>
          </a:solidFill>
        </a:ln>
      </cdr:spPr>
      <cdr:style>
        <a:lnRef xmlns:a="http://schemas.openxmlformats.org/drawingml/2006/main" idx="2">
          <a:schemeClr val="dk1">
            <a:shade val="50000"/>
          </a:schemeClr>
        </a:lnRef>
        <a:fillRef xmlns:a="http://schemas.openxmlformats.org/drawingml/2006/main" idx="1">
          <a:schemeClr val="dk1"/>
        </a:fillRef>
        <a:effectRef xmlns:a="http://schemas.openxmlformats.org/drawingml/2006/main" idx="0">
          <a:schemeClr val="dk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ru-RU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0.34544</cdr:x>
      <cdr:y>0.09696</cdr:y>
    </cdr:from>
    <cdr:to>
      <cdr:x>0.93679</cdr:x>
      <cdr:y>0.16426</cdr:y>
    </cdr:to>
    <cdr:sp macro="" textlink="">
      <cdr:nvSpPr>
        <cdr:cNvPr id="2" name="Прямоугольник 1"/>
        <cdr:cNvSpPr/>
      </cdr:nvSpPr>
      <cdr:spPr>
        <a:xfrm xmlns:a="http://schemas.openxmlformats.org/drawingml/2006/main">
          <a:off x="2536825" y="384175"/>
          <a:ext cx="4342746" cy="266690"/>
        </a:xfrm>
        <a:prstGeom xmlns:a="http://schemas.openxmlformats.org/drawingml/2006/main" prst="rect">
          <a:avLst/>
        </a:prstGeom>
        <a:ln xmlns:a="http://schemas.openxmlformats.org/drawingml/2006/main" w="12700">
          <a:solidFill>
            <a:schemeClr val="tx1"/>
          </a:solidFill>
        </a:ln>
      </cdr:spPr>
      <cdr:style>
        <a:lnRef xmlns:a="http://schemas.openxmlformats.org/drawingml/2006/main" idx="2">
          <a:schemeClr val="accent6"/>
        </a:lnRef>
        <a:fillRef xmlns:a="http://schemas.openxmlformats.org/drawingml/2006/main" idx="1">
          <a:schemeClr val="lt1"/>
        </a:fillRef>
        <a:effectRef xmlns:a="http://schemas.openxmlformats.org/drawingml/2006/main" idx="0">
          <a:schemeClr val="accent6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ru-RU"/>
            <a:t>     </a:t>
          </a:r>
          <a:r>
            <a:rPr lang="ru-RU" sz="1200">
              <a:latin typeface="Times New Roman" panose="02020603050405020304" pitchFamily="18" charset="0"/>
              <a:cs typeface="Times New Roman" panose="02020603050405020304" pitchFamily="18" charset="0"/>
            </a:rPr>
            <a:t>Эксперимент                Бюкачек             </a:t>
          </a:r>
          <a:r>
            <a:rPr lang="en-US" sz="1200">
              <a:latin typeface="Times New Roman" panose="02020603050405020304" pitchFamily="18" charset="0"/>
              <a:cs typeface="Times New Roman" panose="02020603050405020304" pitchFamily="18" charset="0"/>
            </a:rPr>
            <a:t>PVT</a:t>
          </a:r>
          <a:r>
            <a:rPr lang="ru-RU" sz="1200">
              <a:latin typeface="Times New Roman" panose="02020603050405020304" pitchFamily="18" charset="0"/>
              <a:cs typeface="Times New Roman" panose="02020603050405020304" pitchFamily="18" charset="0"/>
            </a:rPr>
            <a:t>-моделирование</a:t>
          </a:r>
          <a:endParaRPr lang="ru-RU" sz="1200"/>
        </a:p>
      </cdr:txBody>
    </cdr:sp>
  </cdr:relSizeAnchor>
  <cdr:relSizeAnchor xmlns:cdr="http://schemas.openxmlformats.org/drawingml/2006/chartDrawing">
    <cdr:from>
      <cdr:x>0.35588</cdr:x>
      <cdr:y>0.1282</cdr:y>
    </cdr:from>
    <cdr:to>
      <cdr:x>0.36503</cdr:x>
      <cdr:y>0.13974</cdr:y>
    </cdr:to>
    <cdr:sp macro="" textlink="">
      <cdr:nvSpPr>
        <cdr:cNvPr id="3" name="Овал 2"/>
        <cdr:cNvSpPr/>
      </cdr:nvSpPr>
      <cdr:spPr>
        <a:xfrm xmlns:a="http://schemas.openxmlformats.org/drawingml/2006/main">
          <a:off x="2613523" y="507976"/>
          <a:ext cx="67139" cy="45742"/>
        </a:xfrm>
        <a:prstGeom xmlns:a="http://schemas.openxmlformats.org/drawingml/2006/main" prst="ellipse">
          <a:avLst/>
        </a:prstGeom>
        <a:solidFill xmlns:a="http://schemas.openxmlformats.org/drawingml/2006/main">
          <a:srgbClr val="0070C0"/>
        </a:solidFill>
        <a:ln xmlns:a="http://schemas.openxmlformats.org/drawingml/2006/main">
          <a:solidFill>
            <a:srgbClr val="0070C0"/>
          </a:solidFill>
        </a:ln>
      </cdr:spPr>
      <cdr:style>
        <a:lnRef xmlns:a="http://schemas.openxmlformats.org/drawingml/2006/main" idx="2">
          <a:schemeClr val="dk1">
            <a:shade val="50000"/>
          </a:schemeClr>
        </a:lnRef>
        <a:fillRef xmlns:a="http://schemas.openxmlformats.org/drawingml/2006/main" idx="1">
          <a:schemeClr val="dk1"/>
        </a:fillRef>
        <a:effectRef xmlns:a="http://schemas.openxmlformats.org/drawingml/2006/main" idx="0">
          <a:schemeClr val="dk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ru-RU"/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0.35367</cdr:x>
      <cdr:y>0.13594</cdr:y>
    </cdr:from>
    <cdr:to>
      <cdr:x>0.94134</cdr:x>
      <cdr:y>0.19181</cdr:y>
    </cdr:to>
    <cdr:sp macro="" textlink="">
      <cdr:nvSpPr>
        <cdr:cNvPr id="2" name="Прямоугольник 1"/>
        <cdr:cNvSpPr/>
      </cdr:nvSpPr>
      <cdr:spPr>
        <a:xfrm xmlns:a="http://schemas.openxmlformats.org/drawingml/2006/main">
          <a:off x="2516427" y="695311"/>
          <a:ext cx="4181375" cy="285771"/>
        </a:xfrm>
        <a:prstGeom xmlns:a="http://schemas.openxmlformats.org/drawingml/2006/main" prst="rect">
          <a:avLst/>
        </a:prstGeom>
        <a:ln xmlns:a="http://schemas.openxmlformats.org/drawingml/2006/main" w="12700">
          <a:solidFill>
            <a:schemeClr val="tx1"/>
          </a:solidFill>
        </a:ln>
      </cdr:spPr>
      <cdr:style>
        <a:lnRef xmlns:a="http://schemas.openxmlformats.org/drawingml/2006/main" idx="2">
          <a:schemeClr val="accent6"/>
        </a:lnRef>
        <a:fillRef xmlns:a="http://schemas.openxmlformats.org/drawingml/2006/main" idx="1">
          <a:schemeClr val="lt1"/>
        </a:fillRef>
        <a:effectRef xmlns:a="http://schemas.openxmlformats.org/drawingml/2006/main" idx="0">
          <a:schemeClr val="accent6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r>
            <a:rPr lang="en-US"/>
            <a:t>          </a:t>
          </a:r>
          <a:r>
            <a:rPr lang="ru-RU" sz="1200">
              <a:latin typeface="Times New Roman" panose="02020603050405020304" pitchFamily="18" charset="0"/>
              <a:cs typeface="Times New Roman" panose="02020603050405020304" pitchFamily="18" charset="0"/>
            </a:rPr>
            <a:t>Эксперимент</a:t>
          </a:r>
          <a:r>
            <a:rPr lang="ru-RU" sz="1200" baseline="0">
              <a:latin typeface="Times New Roman" panose="02020603050405020304" pitchFamily="18" charset="0"/>
              <a:cs typeface="Times New Roman" panose="02020603050405020304" pitchFamily="18" charset="0"/>
            </a:rPr>
            <a:t>                   </a:t>
          </a:r>
          <a:r>
            <a:rPr lang="en-US" sz="1200" baseline="0">
              <a:latin typeface="Times New Roman" panose="02020603050405020304" pitchFamily="18" charset="0"/>
              <a:cs typeface="Times New Roman" panose="02020603050405020304" pitchFamily="18" charset="0"/>
            </a:rPr>
            <a:t>PVT</a:t>
          </a:r>
          <a:r>
            <a:rPr lang="ru-RU" sz="1200" baseline="0">
              <a:latin typeface="Times New Roman" panose="02020603050405020304" pitchFamily="18" charset="0"/>
              <a:cs typeface="Times New Roman" panose="02020603050405020304" pitchFamily="18" charset="0"/>
            </a:rPr>
            <a:t>-моделирование</a:t>
          </a:r>
          <a:endParaRPr lang="ru-RU"/>
        </a:p>
      </cdr:txBody>
    </cdr:sp>
  </cdr:relSizeAnchor>
  <cdr:relSizeAnchor xmlns:cdr="http://schemas.openxmlformats.org/drawingml/2006/chartDrawing">
    <cdr:from>
      <cdr:x>0.37222</cdr:x>
      <cdr:y>0.16263</cdr:y>
    </cdr:from>
    <cdr:to>
      <cdr:x>0.38187</cdr:x>
      <cdr:y>0.17157</cdr:y>
    </cdr:to>
    <cdr:sp macro="" textlink="">
      <cdr:nvSpPr>
        <cdr:cNvPr id="3" name="Овал 2"/>
        <cdr:cNvSpPr/>
      </cdr:nvSpPr>
      <cdr:spPr>
        <a:xfrm xmlns:a="http://schemas.openxmlformats.org/drawingml/2006/main">
          <a:off x="2648427" y="831851"/>
          <a:ext cx="68661" cy="45727"/>
        </a:xfrm>
        <a:prstGeom xmlns:a="http://schemas.openxmlformats.org/drawingml/2006/main" prst="ellipse">
          <a:avLst/>
        </a:prstGeom>
        <a:solidFill xmlns:a="http://schemas.openxmlformats.org/drawingml/2006/main">
          <a:srgbClr val="0070C0"/>
        </a:solidFill>
        <a:ln xmlns:a="http://schemas.openxmlformats.org/drawingml/2006/main">
          <a:solidFill>
            <a:srgbClr val="0070C0"/>
          </a:solidFill>
        </a:ln>
      </cdr:spPr>
      <cdr:style>
        <a:lnRef xmlns:a="http://schemas.openxmlformats.org/drawingml/2006/main" idx="2">
          <a:schemeClr val="dk1">
            <a:shade val="50000"/>
          </a:schemeClr>
        </a:lnRef>
        <a:fillRef xmlns:a="http://schemas.openxmlformats.org/drawingml/2006/main" idx="1">
          <a:schemeClr val="dk1"/>
        </a:fillRef>
        <a:effectRef xmlns:a="http://schemas.openxmlformats.org/drawingml/2006/main" idx="0">
          <a:schemeClr val="dk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ru-RU"/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0.37643</cdr:x>
      <cdr:y>0.0391</cdr:y>
    </cdr:from>
    <cdr:to>
      <cdr:x>0.9641</cdr:x>
      <cdr:y>0.13565</cdr:y>
    </cdr:to>
    <cdr:sp macro="" textlink="">
      <cdr:nvSpPr>
        <cdr:cNvPr id="2" name="Прямоугольник 1"/>
        <cdr:cNvSpPr/>
      </cdr:nvSpPr>
      <cdr:spPr>
        <a:xfrm xmlns:a="http://schemas.openxmlformats.org/drawingml/2006/main">
          <a:off x="2491922" y="118057"/>
          <a:ext cx="3890302" cy="291518"/>
        </a:xfrm>
        <a:prstGeom xmlns:a="http://schemas.openxmlformats.org/drawingml/2006/main" prst="rect">
          <a:avLst/>
        </a:prstGeom>
        <a:ln xmlns:a="http://schemas.openxmlformats.org/drawingml/2006/main" w="12700">
          <a:solidFill>
            <a:schemeClr val="tx1"/>
          </a:solidFill>
        </a:ln>
      </cdr:spPr>
      <cdr:style>
        <a:lnRef xmlns:a="http://schemas.openxmlformats.org/drawingml/2006/main" idx="2">
          <a:schemeClr val="accent6"/>
        </a:lnRef>
        <a:fillRef xmlns:a="http://schemas.openxmlformats.org/drawingml/2006/main" idx="1">
          <a:schemeClr val="lt1"/>
        </a:fillRef>
        <a:effectRef xmlns:a="http://schemas.openxmlformats.org/drawingml/2006/main" idx="0">
          <a:schemeClr val="accent6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r>
            <a:rPr lang="en-US"/>
            <a:t>          </a:t>
          </a:r>
          <a:r>
            <a:rPr lang="ru-RU" sz="1200">
              <a:latin typeface="Times New Roman" panose="02020603050405020304" pitchFamily="18" charset="0"/>
              <a:cs typeface="Times New Roman" panose="02020603050405020304" pitchFamily="18" charset="0"/>
            </a:rPr>
            <a:t>Эксперимент</a:t>
          </a:r>
          <a:r>
            <a:rPr lang="ru-RU" sz="1200" baseline="0">
              <a:latin typeface="Times New Roman" panose="02020603050405020304" pitchFamily="18" charset="0"/>
              <a:cs typeface="Times New Roman" panose="02020603050405020304" pitchFamily="18" charset="0"/>
            </a:rPr>
            <a:t>                   </a:t>
          </a:r>
          <a:r>
            <a:rPr lang="en-US" sz="1200" baseline="0">
              <a:latin typeface="Times New Roman" panose="02020603050405020304" pitchFamily="18" charset="0"/>
              <a:cs typeface="Times New Roman" panose="02020603050405020304" pitchFamily="18" charset="0"/>
            </a:rPr>
            <a:t>PVT</a:t>
          </a:r>
          <a:r>
            <a:rPr lang="ru-RU" sz="1200" baseline="0">
              <a:latin typeface="Times New Roman" panose="02020603050405020304" pitchFamily="18" charset="0"/>
              <a:cs typeface="Times New Roman" panose="02020603050405020304" pitchFamily="18" charset="0"/>
            </a:rPr>
            <a:t>-моделирование</a:t>
          </a:r>
          <a:endParaRPr lang="ru-RU"/>
        </a:p>
      </cdr:txBody>
    </cdr:sp>
  </cdr:relSizeAnchor>
  <cdr:relSizeAnchor xmlns:cdr="http://schemas.openxmlformats.org/drawingml/2006/chartDrawing">
    <cdr:from>
      <cdr:x>0.40703</cdr:x>
      <cdr:y>0.07738</cdr:y>
    </cdr:from>
    <cdr:to>
      <cdr:x>0.41668</cdr:x>
      <cdr:y>0.08632</cdr:y>
    </cdr:to>
    <cdr:sp macro="" textlink="">
      <cdr:nvSpPr>
        <cdr:cNvPr id="3" name="Овал 2"/>
        <cdr:cNvSpPr/>
      </cdr:nvSpPr>
      <cdr:spPr>
        <a:xfrm xmlns:a="http://schemas.openxmlformats.org/drawingml/2006/main">
          <a:off x="2694464" y="288932"/>
          <a:ext cx="63881" cy="33380"/>
        </a:xfrm>
        <a:prstGeom xmlns:a="http://schemas.openxmlformats.org/drawingml/2006/main" prst="ellipse">
          <a:avLst/>
        </a:prstGeom>
        <a:solidFill xmlns:a="http://schemas.openxmlformats.org/drawingml/2006/main">
          <a:srgbClr val="0070C0"/>
        </a:solidFill>
        <a:ln xmlns:a="http://schemas.openxmlformats.org/drawingml/2006/main">
          <a:solidFill>
            <a:srgbClr val="0070C0"/>
          </a:solidFill>
        </a:ln>
      </cdr:spPr>
      <cdr:style>
        <a:lnRef xmlns:a="http://schemas.openxmlformats.org/drawingml/2006/main" idx="2">
          <a:schemeClr val="dk1">
            <a:shade val="50000"/>
          </a:schemeClr>
        </a:lnRef>
        <a:fillRef xmlns:a="http://schemas.openxmlformats.org/drawingml/2006/main" idx="1">
          <a:schemeClr val="dk1"/>
        </a:fillRef>
        <a:effectRef xmlns:a="http://schemas.openxmlformats.org/drawingml/2006/main" idx="0">
          <a:schemeClr val="dk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ru-RU"/>
        </a:p>
      </cdr:txBody>
    </cdr:sp>
  </cdr:relSizeAnchor>
</c:userShapes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64</xdr:col>
      <xdr:colOff>476250</xdr:colOff>
      <xdr:row>11</xdr:row>
      <xdr:rowOff>114300</xdr:rowOff>
    </xdr:from>
    <xdr:to>
      <xdr:col>75</xdr:col>
      <xdr:colOff>180975</xdr:colOff>
      <xdr:row>34</xdr:row>
      <xdr:rowOff>38100</xdr:rowOff>
    </xdr:to>
    <xdr:graphicFrame macro="">
      <xdr:nvGraphicFramePr>
        <xdr:cNvPr id="2516598" name="Диаграмма 1">
          <a:extLst>
            <a:ext uri="{FF2B5EF4-FFF2-40B4-BE49-F238E27FC236}">
              <a16:creationId xmlns:a16="http://schemas.microsoft.com/office/drawing/2014/main" id="{00000000-0008-0000-0500-0000766626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62</xdr:col>
      <xdr:colOff>304800</xdr:colOff>
      <xdr:row>0</xdr:row>
      <xdr:rowOff>152400</xdr:rowOff>
    </xdr:from>
    <xdr:to>
      <xdr:col>70</xdr:col>
      <xdr:colOff>276225</xdr:colOff>
      <xdr:row>19</xdr:row>
      <xdr:rowOff>76200</xdr:rowOff>
    </xdr:to>
    <xdr:graphicFrame macro="">
      <xdr:nvGraphicFramePr>
        <xdr:cNvPr id="2516599" name="Диаграмма 1">
          <a:extLst>
            <a:ext uri="{FF2B5EF4-FFF2-40B4-BE49-F238E27FC236}">
              <a16:creationId xmlns:a16="http://schemas.microsoft.com/office/drawing/2014/main" id="{00000000-0008-0000-0500-0000776626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50</xdr:col>
      <xdr:colOff>133350</xdr:colOff>
      <xdr:row>19</xdr:row>
      <xdr:rowOff>123825</xdr:rowOff>
    </xdr:from>
    <xdr:to>
      <xdr:col>57</xdr:col>
      <xdr:colOff>438150</xdr:colOff>
      <xdr:row>40</xdr:row>
      <xdr:rowOff>114300</xdr:rowOff>
    </xdr:to>
    <xdr:graphicFrame macro="">
      <xdr:nvGraphicFramePr>
        <xdr:cNvPr id="2516600" name="Диаграмма 1">
          <a:extLst>
            <a:ext uri="{FF2B5EF4-FFF2-40B4-BE49-F238E27FC236}">
              <a16:creationId xmlns:a16="http://schemas.microsoft.com/office/drawing/2014/main" id="{00000000-0008-0000-0500-0000786626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58</xdr:col>
      <xdr:colOff>295275</xdr:colOff>
      <xdr:row>87</xdr:row>
      <xdr:rowOff>47625</xdr:rowOff>
    </xdr:from>
    <xdr:to>
      <xdr:col>65</xdr:col>
      <xdr:colOff>600075</xdr:colOff>
      <xdr:row>103</xdr:row>
      <xdr:rowOff>114300</xdr:rowOff>
    </xdr:to>
    <xdr:graphicFrame macro="">
      <xdr:nvGraphicFramePr>
        <xdr:cNvPr id="2516601" name="Диаграмма 1">
          <a:extLst>
            <a:ext uri="{FF2B5EF4-FFF2-40B4-BE49-F238E27FC236}">
              <a16:creationId xmlns:a16="http://schemas.microsoft.com/office/drawing/2014/main" id="{00000000-0008-0000-0500-0000796626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44</xdr:col>
      <xdr:colOff>66675</xdr:colOff>
      <xdr:row>30</xdr:row>
      <xdr:rowOff>0</xdr:rowOff>
    </xdr:from>
    <xdr:to>
      <xdr:col>53</xdr:col>
      <xdr:colOff>400050</xdr:colOff>
      <xdr:row>50</xdr:row>
      <xdr:rowOff>19050</xdr:rowOff>
    </xdr:to>
    <xdr:graphicFrame macro="">
      <xdr:nvGraphicFramePr>
        <xdr:cNvPr id="6022481" name="Диаграмма 1">
          <a:extLst>
            <a:ext uri="{FF2B5EF4-FFF2-40B4-BE49-F238E27FC236}">
              <a16:creationId xmlns:a16="http://schemas.microsoft.com/office/drawing/2014/main" id="{00000000-0008-0000-0600-000051E55B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50</xdr:col>
      <xdr:colOff>495300</xdr:colOff>
      <xdr:row>41</xdr:row>
      <xdr:rowOff>19050</xdr:rowOff>
    </xdr:from>
    <xdr:to>
      <xdr:col>58</xdr:col>
      <xdr:colOff>190500</xdr:colOff>
      <xdr:row>59</xdr:row>
      <xdr:rowOff>9525</xdr:rowOff>
    </xdr:to>
    <xdr:graphicFrame macro="">
      <xdr:nvGraphicFramePr>
        <xdr:cNvPr id="6022482" name="Диаграмма 2">
          <a:extLst>
            <a:ext uri="{FF2B5EF4-FFF2-40B4-BE49-F238E27FC236}">
              <a16:creationId xmlns:a16="http://schemas.microsoft.com/office/drawing/2014/main" id="{00000000-0008-0000-0600-000052E55B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39</xdr:col>
      <xdr:colOff>466725</xdr:colOff>
      <xdr:row>3</xdr:row>
      <xdr:rowOff>95250</xdr:rowOff>
    </xdr:from>
    <xdr:to>
      <xdr:col>47</xdr:col>
      <xdr:colOff>9525</xdr:colOff>
      <xdr:row>23</xdr:row>
      <xdr:rowOff>0</xdr:rowOff>
    </xdr:to>
    <xdr:graphicFrame macro="">
      <xdr:nvGraphicFramePr>
        <xdr:cNvPr id="6022483" name="Диаграмма 3">
          <a:extLst>
            <a:ext uri="{FF2B5EF4-FFF2-40B4-BE49-F238E27FC236}">
              <a16:creationId xmlns:a16="http://schemas.microsoft.com/office/drawing/2014/main" id="{00000000-0008-0000-0600-000053E55B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53</xdr:col>
      <xdr:colOff>38100</xdr:colOff>
      <xdr:row>17</xdr:row>
      <xdr:rowOff>85725</xdr:rowOff>
    </xdr:from>
    <xdr:to>
      <xdr:col>60</xdr:col>
      <xdr:colOff>209550</xdr:colOff>
      <xdr:row>34</xdr:row>
      <xdr:rowOff>76200</xdr:rowOff>
    </xdr:to>
    <xdr:graphicFrame macro="">
      <xdr:nvGraphicFramePr>
        <xdr:cNvPr id="6022484" name="Диаграмма 1">
          <a:extLst>
            <a:ext uri="{FF2B5EF4-FFF2-40B4-BE49-F238E27FC236}">
              <a16:creationId xmlns:a16="http://schemas.microsoft.com/office/drawing/2014/main" id="{00000000-0008-0000-0600-000054E55B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76</xdr:col>
      <xdr:colOff>447675</xdr:colOff>
      <xdr:row>5</xdr:row>
      <xdr:rowOff>104775</xdr:rowOff>
    </xdr:from>
    <xdr:to>
      <xdr:col>85</xdr:col>
      <xdr:colOff>590550</xdr:colOff>
      <xdr:row>27</xdr:row>
      <xdr:rowOff>76200</xdr:rowOff>
    </xdr:to>
    <xdr:graphicFrame macro="">
      <xdr:nvGraphicFramePr>
        <xdr:cNvPr id="3080577" name="Диаграмма 1">
          <a:extLst>
            <a:ext uri="{FF2B5EF4-FFF2-40B4-BE49-F238E27FC236}">
              <a16:creationId xmlns:a16="http://schemas.microsoft.com/office/drawing/2014/main" id="{00000000-0008-0000-0700-000081012F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56</xdr:col>
      <xdr:colOff>247650</xdr:colOff>
      <xdr:row>16</xdr:row>
      <xdr:rowOff>152400</xdr:rowOff>
    </xdr:from>
    <xdr:to>
      <xdr:col>64</xdr:col>
      <xdr:colOff>400050</xdr:colOff>
      <xdr:row>35</xdr:row>
      <xdr:rowOff>85725</xdr:rowOff>
    </xdr:to>
    <xdr:graphicFrame macro="">
      <xdr:nvGraphicFramePr>
        <xdr:cNvPr id="3080578" name="Диаграмма 1">
          <a:extLst>
            <a:ext uri="{FF2B5EF4-FFF2-40B4-BE49-F238E27FC236}">
              <a16:creationId xmlns:a16="http://schemas.microsoft.com/office/drawing/2014/main" id="{00000000-0008-0000-0700-000082012F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75</xdr:col>
      <xdr:colOff>590550</xdr:colOff>
      <xdr:row>40</xdr:row>
      <xdr:rowOff>76200</xdr:rowOff>
    </xdr:from>
    <xdr:to>
      <xdr:col>83</xdr:col>
      <xdr:colOff>285750</xdr:colOff>
      <xdr:row>58</xdr:row>
      <xdr:rowOff>95250</xdr:rowOff>
    </xdr:to>
    <xdr:graphicFrame macro="">
      <xdr:nvGraphicFramePr>
        <xdr:cNvPr id="3080579" name="Диаграмма 1">
          <a:extLst>
            <a:ext uri="{FF2B5EF4-FFF2-40B4-BE49-F238E27FC236}">
              <a16:creationId xmlns:a16="http://schemas.microsoft.com/office/drawing/2014/main" id="{00000000-0008-0000-0700-000083012F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72</xdr:col>
      <xdr:colOff>523875</xdr:colOff>
      <xdr:row>86</xdr:row>
      <xdr:rowOff>95250</xdr:rowOff>
    </xdr:from>
    <xdr:to>
      <xdr:col>80</xdr:col>
      <xdr:colOff>219075</xdr:colOff>
      <xdr:row>102</xdr:row>
      <xdr:rowOff>104775</xdr:rowOff>
    </xdr:to>
    <xdr:graphicFrame macro="">
      <xdr:nvGraphicFramePr>
        <xdr:cNvPr id="3080580" name="Диаграмма 1">
          <a:extLst>
            <a:ext uri="{FF2B5EF4-FFF2-40B4-BE49-F238E27FC236}">
              <a16:creationId xmlns:a16="http://schemas.microsoft.com/office/drawing/2014/main" id="{00000000-0008-0000-0700-000084012F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60</xdr:col>
      <xdr:colOff>114300</xdr:colOff>
      <xdr:row>10</xdr:row>
      <xdr:rowOff>76200</xdr:rowOff>
    </xdr:from>
    <xdr:to>
      <xdr:col>69</xdr:col>
      <xdr:colOff>314325</xdr:colOff>
      <xdr:row>30</xdr:row>
      <xdr:rowOff>123825</xdr:rowOff>
    </xdr:to>
    <xdr:graphicFrame macro="">
      <xdr:nvGraphicFramePr>
        <xdr:cNvPr id="9190503" name="Диаграмма 1">
          <a:extLst>
            <a:ext uri="{FF2B5EF4-FFF2-40B4-BE49-F238E27FC236}">
              <a16:creationId xmlns:a16="http://schemas.microsoft.com/office/drawing/2014/main" id="{00000000-0008-0000-0800-0000673C8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49</xdr:col>
      <xdr:colOff>361950</xdr:colOff>
      <xdr:row>38</xdr:row>
      <xdr:rowOff>104775</xdr:rowOff>
    </xdr:from>
    <xdr:to>
      <xdr:col>57</xdr:col>
      <xdr:colOff>57150</xdr:colOff>
      <xdr:row>56</xdr:row>
      <xdr:rowOff>95250</xdr:rowOff>
    </xdr:to>
    <xdr:graphicFrame macro="">
      <xdr:nvGraphicFramePr>
        <xdr:cNvPr id="9190504" name="Диаграмма 2">
          <a:extLst>
            <a:ext uri="{FF2B5EF4-FFF2-40B4-BE49-F238E27FC236}">
              <a16:creationId xmlns:a16="http://schemas.microsoft.com/office/drawing/2014/main" id="{00000000-0008-0000-0800-0000683C8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47</xdr:col>
      <xdr:colOff>28575</xdr:colOff>
      <xdr:row>19</xdr:row>
      <xdr:rowOff>85725</xdr:rowOff>
    </xdr:from>
    <xdr:to>
      <xdr:col>54</xdr:col>
      <xdr:colOff>333375</xdr:colOff>
      <xdr:row>40</xdr:row>
      <xdr:rowOff>76200</xdr:rowOff>
    </xdr:to>
    <xdr:graphicFrame macro="">
      <xdr:nvGraphicFramePr>
        <xdr:cNvPr id="9190505" name="Диаграмма 3">
          <a:extLst>
            <a:ext uri="{FF2B5EF4-FFF2-40B4-BE49-F238E27FC236}">
              <a16:creationId xmlns:a16="http://schemas.microsoft.com/office/drawing/2014/main" id="{00000000-0008-0000-0800-0000693C8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ctrlProp" Target="../ctrlProps/ctrlProp2.xml"/><Relationship Id="rId18" Type="http://schemas.openxmlformats.org/officeDocument/2006/relationships/ctrlProp" Target="../ctrlProps/ctrlProp7.xml"/><Relationship Id="rId26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0.xml"/><Relationship Id="rId7" Type="http://schemas.openxmlformats.org/officeDocument/2006/relationships/image" Target="../media/image2.emf"/><Relationship Id="rId12" Type="http://schemas.openxmlformats.org/officeDocument/2006/relationships/ctrlProp" Target="../ctrlProps/ctrlProp1.xml"/><Relationship Id="rId17" Type="http://schemas.openxmlformats.org/officeDocument/2006/relationships/ctrlProp" Target="../ctrlProps/ctrlProp6.xml"/><Relationship Id="rId25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5.xml"/><Relationship Id="rId20" Type="http://schemas.openxmlformats.org/officeDocument/2006/relationships/ctrlProp" Target="../ctrlProps/ctrlProp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trlProp" Target="../ctrlProps/ctrlProp13.xml"/><Relationship Id="rId5" Type="http://schemas.openxmlformats.org/officeDocument/2006/relationships/image" Target="../media/image1.emf"/><Relationship Id="rId15" Type="http://schemas.openxmlformats.org/officeDocument/2006/relationships/ctrlProp" Target="../ctrlProps/ctrlProp4.xml"/><Relationship Id="rId23" Type="http://schemas.openxmlformats.org/officeDocument/2006/relationships/ctrlProp" Target="../ctrlProps/ctrlProp12.xml"/><Relationship Id="rId10" Type="http://schemas.openxmlformats.org/officeDocument/2006/relationships/control" Target="../activeX/activeX4.xml"/><Relationship Id="rId19" Type="http://schemas.openxmlformats.org/officeDocument/2006/relationships/ctrlProp" Target="../ctrlProps/ctrlProp8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trlProp" Target="../ctrlProps/ctrlProp3.xml"/><Relationship Id="rId22" Type="http://schemas.openxmlformats.org/officeDocument/2006/relationships/ctrlProp" Target="../ctrlProps/ctrlProp11.xml"/><Relationship Id="rId27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EO399"/>
  <sheetViews>
    <sheetView tabSelected="1" zoomScale="75" zoomScaleNormal="85" workbookViewId="0">
      <selection activeCell="B2" sqref="B2"/>
    </sheetView>
  </sheetViews>
  <sheetFormatPr defaultRowHeight="12.75"/>
  <cols>
    <col min="1" max="1" width="7.42578125" customWidth="1"/>
    <col min="2" max="2" width="8.85546875" customWidth="1"/>
    <col min="3" max="3" width="13.85546875" customWidth="1"/>
    <col min="4" max="4" width="11.28515625" customWidth="1"/>
    <col min="5" max="6" width="11.5703125" customWidth="1"/>
    <col min="7" max="7" width="8.28515625" customWidth="1"/>
    <col min="8" max="8" width="11.85546875" customWidth="1"/>
    <col min="9" max="9" width="11.7109375" customWidth="1"/>
    <col min="10" max="10" width="10" customWidth="1"/>
    <col min="11" max="11" width="8.5703125" customWidth="1"/>
    <col min="12" max="12" width="11.28515625" customWidth="1"/>
    <col min="13" max="13" width="9.140625" style="7" customWidth="1"/>
    <col min="14" max="14" width="8.42578125" customWidth="1"/>
    <col min="15" max="15" width="8" customWidth="1"/>
    <col min="16" max="16" width="7.7109375" customWidth="1"/>
    <col min="17" max="17" width="9.28515625" customWidth="1"/>
    <col min="18" max="18" width="7.7109375" style="7" customWidth="1"/>
    <col min="19" max="19" width="9.42578125" customWidth="1"/>
    <col min="20" max="20" width="11" style="7" customWidth="1"/>
    <col min="21" max="21" width="9" style="7" customWidth="1"/>
    <col min="22" max="22" width="8.42578125" customWidth="1"/>
    <col min="23" max="23" width="13.5703125" style="7" customWidth="1"/>
    <col min="24" max="24" width="10.7109375" style="7" customWidth="1"/>
    <col min="25" max="25" width="9.140625" style="7" customWidth="1"/>
    <col min="26" max="26" width="11" customWidth="1"/>
    <col min="27" max="27" width="11.5703125" customWidth="1"/>
    <col min="28" max="28" width="11.42578125" customWidth="1"/>
    <col min="39" max="39" width="11.28515625" customWidth="1"/>
    <col min="40" max="40" width="13.140625" customWidth="1"/>
    <col min="41" max="41" width="11.85546875" customWidth="1"/>
    <col min="42" max="42" width="8.5703125" customWidth="1"/>
    <col min="43" max="43" width="11" bestFit="1" customWidth="1"/>
    <col min="44" max="44" width="12.140625" bestFit="1" customWidth="1"/>
    <col min="49" max="49" width="12.42578125" customWidth="1"/>
    <col min="50" max="50" width="12.7109375" customWidth="1"/>
    <col min="52" max="52" width="12.7109375" customWidth="1"/>
    <col min="53" max="53" width="13" customWidth="1"/>
    <col min="54" max="54" width="10.85546875" customWidth="1"/>
  </cols>
  <sheetData>
    <row r="1" spans="1:145" ht="18" customHeight="1" thickTop="1" thickBot="1">
      <c r="A1" s="64" t="s">
        <v>0</v>
      </c>
      <c r="B1" s="68" t="s">
        <v>1</v>
      </c>
      <c r="C1" s="71" t="s">
        <v>57</v>
      </c>
      <c r="D1" s="68" t="s">
        <v>56</v>
      </c>
      <c r="E1" s="72" t="s">
        <v>3</v>
      </c>
      <c r="F1" s="68" t="s">
        <v>58</v>
      </c>
      <c r="G1" s="71" t="s">
        <v>59</v>
      </c>
      <c r="H1" s="75" t="s">
        <v>55</v>
      </c>
      <c r="I1" s="74" t="s">
        <v>26</v>
      </c>
      <c r="J1" s="23"/>
      <c r="K1" s="1"/>
      <c r="L1" s="83" t="s">
        <v>142</v>
      </c>
      <c r="M1" s="84" t="s">
        <v>60</v>
      </c>
      <c r="N1" s="84" t="s">
        <v>63</v>
      </c>
      <c r="O1" s="84" t="s">
        <v>64</v>
      </c>
      <c r="P1" s="1"/>
      <c r="Q1" s="1"/>
      <c r="R1" s="18"/>
      <c r="S1" s="14"/>
      <c r="U1" s="245" t="s">
        <v>61</v>
      </c>
      <c r="V1" s="212" t="s">
        <v>62</v>
      </c>
      <c r="W1" s="389" t="s">
        <v>81</v>
      </c>
      <c r="X1" s="390"/>
      <c r="Y1" s="151"/>
      <c r="Z1" s="9"/>
      <c r="AA1" s="9"/>
      <c r="AB1" s="9"/>
      <c r="AC1" s="9"/>
      <c r="AD1" s="393" t="s">
        <v>158</v>
      </c>
      <c r="AE1" s="394"/>
      <c r="AF1" s="394"/>
      <c r="AG1" s="394"/>
      <c r="AH1" s="394"/>
      <c r="AI1" s="395"/>
      <c r="AJ1" s="5"/>
      <c r="AK1" s="5"/>
      <c r="AL1" s="379" t="s">
        <v>33</v>
      </c>
      <c r="AM1" s="159" t="s">
        <v>11</v>
      </c>
      <c r="AN1" s="154" t="s">
        <v>83</v>
      </c>
      <c r="AO1" s="107" t="s">
        <v>84</v>
      </c>
      <c r="AP1" s="121" t="s">
        <v>164</v>
      </c>
      <c r="AQ1" s="121" t="s">
        <v>159</v>
      </c>
      <c r="AR1" s="331" t="s">
        <v>193</v>
      </c>
      <c r="AS1" s="107" t="s">
        <v>85</v>
      </c>
      <c r="AT1" s="107" t="s">
        <v>4</v>
      </c>
      <c r="AU1" s="107" t="s">
        <v>5</v>
      </c>
      <c r="AV1" s="154" t="s">
        <v>6</v>
      </c>
      <c r="AW1" s="107" t="s">
        <v>7</v>
      </c>
      <c r="AX1" s="154" t="s">
        <v>8</v>
      </c>
      <c r="AY1" s="154" t="s">
        <v>9</v>
      </c>
      <c r="AZ1" s="107" t="s">
        <v>10</v>
      </c>
      <c r="BA1" s="154" t="s">
        <v>35</v>
      </c>
      <c r="BB1" s="154" t="s">
        <v>36</v>
      </c>
      <c r="BC1" s="154" t="s">
        <v>37</v>
      </c>
      <c r="BD1" s="154" t="s">
        <v>38</v>
      </c>
      <c r="BE1" s="154" t="s">
        <v>39</v>
      </c>
      <c r="BF1" s="154" t="s">
        <v>40</v>
      </c>
      <c r="BG1" s="154" t="s">
        <v>41</v>
      </c>
      <c r="BH1" s="154" t="s">
        <v>42</v>
      </c>
      <c r="BI1" s="154" t="s">
        <v>43</v>
      </c>
      <c r="BJ1" s="154" t="s">
        <v>44</v>
      </c>
      <c r="BK1" s="154" t="s">
        <v>45</v>
      </c>
      <c r="BL1" s="111" t="s">
        <v>82</v>
      </c>
    </row>
    <row r="2" spans="1:145" s="6" customFormat="1" ht="17.25" thickTop="1" thickBot="1">
      <c r="A2" s="65">
        <v>1</v>
      </c>
      <c r="B2" s="78" t="s">
        <v>22</v>
      </c>
      <c r="C2" s="79"/>
      <c r="D2" s="143">
        <v>44.01</v>
      </c>
      <c r="E2" s="144">
        <v>0.22500000000000001</v>
      </c>
      <c r="F2" s="145">
        <v>304.7</v>
      </c>
      <c r="G2" s="144">
        <v>7.3865999999999996</v>
      </c>
      <c r="H2" s="146"/>
      <c r="I2" s="147">
        <v>-4.2700000000000002E-2</v>
      </c>
      <c r="J2" s="76"/>
      <c r="K2" s="77"/>
      <c r="L2" s="54">
        <v>0.1</v>
      </c>
      <c r="M2" s="39">
        <v>150</v>
      </c>
      <c r="N2" s="39">
        <v>700</v>
      </c>
      <c r="O2" s="39">
        <v>1</v>
      </c>
      <c r="P2" s="8"/>
      <c r="Q2" s="5"/>
      <c r="R2" s="18"/>
      <c r="S2" s="15"/>
      <c r="U2" s="152">
        <v>0.33576660156249999</v>
      </c>
      <c r="V2" s="246">
        <v>150</v>
      </c>
      <c r="W2" s="115" t="s">
        <v>86</v>
      </c>
      <c r="X2" s="34" t="s">
        <v>87</v>
      </c>
      <c r="Y2" s="165"/>
      <c r="Z2" s="8"/>
      <c r="AA2" s="8"/>
      <c r="AB2" s="8"/>
      <c r="AC2" s="8"/>
      <c r="AD2" s="164" t="s">
        <v>32</v>
      </c>
      <c r="AE2" s="8">
        <v>3</v>
      </c>
      <c r="AF2" s="274">
        <v>0.1</v>
      </c>
      <c r="AG2" s="8">
        <v>400</v>
      </c>
      <c r="AH2" s="8"/>
      <c r="AI2" s="8"/>
      <c r="AJ2" s="8">
        <v>1.7675638920607653E-5</v>
      </c>
      <c r="AK2" s="8"/>
      <c r="AL2" s="380"/>
      <c r="AM2" s="106" t="s">
        <v>83</v>
      </c>
      <c r="AN2" s="190">
        <v>0</v>
      </c>
      <c r="AO2" s="190">
        <v>0</v>
      </c>
      <c r="AR2">
        <v>9.6000000000000002E-2</v>
      </c>
      <c r="AS2" s="197">
        <v>0.105</v>
      </c>
      <c r="AT2" s="197">
        <v>0.13</v>
      </c>
      <c r="AU2" s="197">
        <v>0.125</v>
      </c>
      <c r="AV2" s="197">
        <v>0.12</v>
      </c>
      <c r="AW2" s="197">
        <v>0.115</v>
      </c>
      <c r="AX2" s="197">
        <v>0.115</v>
      </c>
      <c r="AY2" s="197">
        <v>0.115</v>
      </c>
      <c r="AZ2" s="197">
        <v>0.115</v>
      </c>
      <c r="BA2" s="197">
        <v>0.115</v>
      </c>
      <c r="BB2" s="197">
        <v>0.115</v>
      </c>
      <c r="BC2" s="197">
        <v>0.115</v>
      </c>
      <c r="BD2" s="197">
        <v>0.115</v>
      </c>
      <c r="BE2" s="197">
        <v>0.115</v>
      </c>
      <c r="BF2" s="197">
        <v>0.115</v>
      </c>
      <c r="BG2" s="197">
        <v>0.115</v>
      </c>
      <c r="BH2" s="197">
        <v>0.115</v>
      </c>
      <c r="BI2" s="197">
        <v>0.115</v>
      </c>
      <c r="BJ2" s="197">
        <v>0.115</v>
      </c>
      <c r="BK2" s="197">
        <v>0.115</v>
      </c>
      <c r="BL2" s="197">
        <v>0.1</v>
      </c>
      <c r="BM2" s="197">
        <v>0.1</v>
      </c>
      <c r="BN2" s="197">
        <v>0.1</v>
      </c>
      <c r="BO2" s="197">
        <v>0.1</v>
      </c>
      <c r="CQ2" s="290"/>
      <c r="CR2" s="191"/>
      <c r="CS2" s="191"/>
      <c r="CT2" s="19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97">
        <v>0.115</v>
      </c>
      <c r="DO2" s="197">
        <v>0.1</v>
      </c>
    </row>
    <row r="3" spans="1:145" ht="15.75" thickTop="1" thickBot="1">
      <c r="A3" s="66">
        <v>2</v>
      </c>
      <c r="B3" s="273" t="s">
        <v>23</v>
      </c>
      <c r="C3" s="79"/>
      <c r="D3" s="143">
        <v>28.013000000000002</v>
      </c>
      <c r="E3" s="144">
        <v>0.04</v>
      </c>
      <c r="F3" s="145">
        <v>126.2</v>
      </c>
      <c r="G3" s="144">
        <v>3.3944000000000001</v>
      </c>
      <c r="H3" s="146"/>
      <c r="I3" s="147">
        <v>-0.1313</v>
      </c>
      <c r="J3" s="35" t="s">
        <v>32</v>
      </c>
      <c r="K3" s="109">
        <v>1</v>
      </c>
      <c r="L3" s="23"/>
      <c r="M3" s="5"/>
      <c r="N3" s="1"/>
      <c r="O3" s="1"/>
      <c r="P3" s="1"/>
      <c r="Q3" s="5"/>
      <c r="R3" s="37"/>
      <c r="S3" s="112"/>
      <c r="T3" s="79"/>
      <c r="U3" s="20">
        <v>0.34986617565155026</v>
      </c>
      <c r="V3" s="63">
        <v>151</v>
      </c>
      <c r="W3" s="115">
        <v>1</v>
      </c>
      <c r="X3" s="150">
        <v>300</v>
      </c>
      <c r="Y3" s="235"/>
      <c r="Z3" s="120"/>
      <c r="AA3" s="120"/>
      <c r="AB3" s="120"/>
      <c r="AC3" s="120"/>
      <c r="AD3" s="120"/>
      <c r="AE3" s="120"/>
      <c r="AF3" s="8"/>
      <c r="AG3" s="8"/>
      <c r="AH3" s="8"/>
      <c r="AI3" s="8"/>
      <c r="AJ3" s="8">
        <v>6.3659576253697829E-6</v>
      </c>
      <c r="AK3" s="8"/>
      <c r="AL3" s="380"/>
      <c r="AM3" s="105" t="s">
        <v>84</v>
      </c>
      <c r="AN3" s="190">
        <v>0</v>
      </c>
      <c r="AO3" s="290">
        <v>0</v>
      </c>
      <c r="AR3">
        <v>0.17599999999999999</v>
      </c>
      <c r="AS3" s="191">
        <v>2.5000000000000001E-2</v>
      </c>
      <c r="AT3" s="191">
        <v>0.01</v>
      </c>
      <c r="AU3" s="191">
        <v>0.09</v>
      </c>
      <c r="AV3" s="191">
        <v>9.5000000000000001E-2</v>
      </c>
      <c r="AW3" s="191">
        <v>9.5000000000000001E-2</v>
      </c>
      <c r="AX3" s="191">
        <v>0.1</v>
      </c>
      <c r="AY3" s="191">
        <v>0.1</v>
      </c>
      <c r="AZ3" s="191">
        <v>0.11</v>
      </c>
      <c r="BA3" s="191">
        <v>0.115</v>
      </c>
      <c r="BB3" s="191">
        <v>0.12</v>
      </c>
      <c r="BC3" s="191">
        <v>0.12</v>
      </c>
      <c r="BD3" s="191">
        <v>0.12</v>
      </c>
      <c r="BE3" s="191">
        <v>0.12</v>
      </c>
      <c r="BF3" s="191">
        <v>0.12</v>
      </c>
      <c r="BG3" s="191">
        <v>0.12</v>
      </c>
      <c r="BH3" s="191">
        <v>0.12</v>
      </c>
      <c r="BI3" s="191">
        <v>0.12</v>
      </c>
      <c r="BJ3" s="191">
        <v>0.12</v>
      </c>
      <c r="BK3" s="191">
        <v>0.12</v>
      </c>
      <c r="BL3" s="191">
        <v>0.1</v>
      </c>
      <c r="BM3" s="191">
        <v>0.1</v>
      </c>
      <c r="BN3" s="191">
        <v>0.1</v>
      </c>
      <c r="BO3" s="191">
        <v>0.1</v>
      </c>
      <c r="CQ3" s="191"/>
      <c r="CR3" s="290"/>
      <c r="CS3" s="1"/>
      <c r="CT3" s="1"/>
      <c r="CU3" s="1"/>
      <c r="CV3" s="1"/>
      <c r="CW3" s="1"/>
      <c r="CX3" s="1"/>
      <c r="CY3" s="1"/>
      <c r="CZ3" s="1"/>
      <c r="DA3" s="1"/>
      <c r="DB3" s="1"/>
      <c r="DC3" s="1"/>
      <c r="DD3" s="1"/>
      <c r="DE3" s="1"/>
      <c r="DF3" s="1"/>
      <c r="DG3" s="1"/>
      <c r="DH3" s="1"/>
      <c r="DI3" s="1"/>
      <c r="DJ3" s="1"/>
      <c r="DK3" s="1"/>
      <c r="DL3" s="1"/>
      <c r="DM3" s="1"/>
      <c r="DN3" s="191">
        <v>0.12</v>
      </c>
      <c r="DO3" s="191">
        <v>0.1</v>
      </c>
    </row>
    <row r="4" spans="1:145" ht="17.25" thickTop="1" thickBot="1">
      <c r="A4" s="66">
        <v>3</v>
      </c>
      <c r="B4" s="273" t="s">
        <v>157</v>
      </c>
      <c r="C4" s="79"/>
      <c r="D4" s="143">
        <v>18</v>
      </c>
      <c r="E4" s="144">
        <v>0.34399999999999997</v>
      </c>
      <c r="F4" s="145">
        <v>647.29999999999995</v>
      </c>
      <c r="G4" s="144">
        <v>22.1</v>
      </c>
      <c r="H4" s="146">
        <v>0</v>
      </c>
      <c r="I4" s="147">
        <v>0.4</v>
      </c>
      <c r="J4" s="29" t="s">
        <v>65</v>
      </c>
      <c r="K4" s="85">
        <v>212</v>
      </c>
      <c r="L4" s="23"/>
      <c r="M4" s="5"/>
      <c r="N4" s="1"/>
      <c r="O4" s="1"/>
      <c r="P4" s="1"/>
      <c r="Q4" s="5"/>
      <c r="R4" s="33"/>
      <c r="S4" s="88"/>
      <c r="T4" s="79"/>
      <c r="U4" s="20">
        <v>0.36421615551225839</v>
      </c>
      <c r="V4" s="63">
        <v>152</v>
      </c>
      <c r="W4" s="149"/>
      <c r="X4" s="17"/>
      <c r="Y4" s="160" t="s">
        <v>88</v>
      </c>
      <c r="Z4" s="224">
        <v>5</v>
      </c>
      <c r="AA4" s="236">
        <v>8</v>
      </c>
      <c r="AB4" s="9"/>
      <c r="AC4" s="1"/>
      <c r="AD4" s="5"/>
      <c r="AE4" s="5"/>
      <c r="AF4" s="12"/>
      <c r="AG4" s="1"/>
      <c r="AH4" s="5">
        <v>0.25400000000002154</v>
      </c>
      <c r="AI4" s="5">
        <v>400</v>
      </c>
      <c r="AJ4" s="1">
        <v>0.96069710358124982</v>
      </c>
      <c r="AK4" s="5"/>
      <c r="AL4" s="380"/>
      <c r="AM4" s="19" t="s">
        <v>164</v>
      </c>
      <c r="AP4" s="290">
        <v>0</v>
      </c>
      <c r="CQ4" s="191"/>
      <c r="CR4" s="1"/>
      <c r="CS4" s="290"/>
      <c r="CT4" s="197"/>
      <c r="CU4" s="197"/>
      <c r="CV4" s="197"/>
      <c r="CW4" s="197"/>
      <c r="CX4" s="197"/>
      <c r="CY4" s="197"/>
      <c r="CZ4" s="197"/>
      <c r="DA4" s="197"/>
      <c r="DB4" s="197"/>
      <c r="DC4" s="197"/>
      <c r="DD4" s="197"/>
      <c r="DE4" s="197"/>
      <c r="DF4" s="197"/>
      <c r="DG4" s="197"/>
      <c r="DH4" s="197"/>
      <c r="DI4" s="197"/>
      <c r="DJ4" s="197"/>
      <c r="DK4" s="197"/>
      <c r="DL4" s="197"/>
      <c r="DM4" s="197"/>
    </row>
    <row r="5" spans="1:145" ht="13.5" thickBot="1">
      <c r="A5" s="66">
        <v>4</v>
      </c>
      <c r="B5" s="273" t="s">
        <v>159</v>
      </c>
      <c r="C5" s="79"/>
      <c r="D5" s="143">
        <v>32</v>
      </c>
      <c r="E5" s="144"/>
      <c r="F5" s="145">
        <v>512.6</v>
      </c>
      <c r="G5" s="144">
        <v>8.09</v>
      </c>
      <c r="H5" s="146"/>
      <c r="I5" s="147"/>
      <c r="J5" s="29" t="s">
        <v>124</v>
      </c>
      <c r="K5" s="79">
        <v>2.1099999999999999E-3</v>
      </c>
      <c r="L5" s="81"/>
      <c r="M5" s="82"/>
      <c r="N5" s="1"/>
      <c r="O5" s="1"/>
      <c r="P5" s="1"/>
      <c r="Q5" s="5"/>
      <c r="R5" s="54"/>
      <c r="S5" s="89"/>
      <c r="T5" s="240"/>
      <c r="U5" s="20">
        <v>0.37915470876569085</v>
      </c>
      <c r="V5" s="63">
        <v>153</v>
      </c>
      <c r="W5" s="6"/>
      <c r="X5" s="6"/>
      <c r="Y5" s="161" t="s">
        <v>89</v>
      </c>
      <c r="Z5" s="5">
        <v>333.14</v>
      </c>
      <c r="AA5" s="237"/>
      <c r="AB5" s="120"/>
      <c r="AC5" s="1"/>
      <c r="AD5" s="5"/>
      <c r="AE5" s="5"/>
      <c r="AF5" s="12"/>
      <c r="AG5" s="1"/>
      <c r="AH5" s="5"/>
      <c r="AI5" s="5">
        <v>397</v>
      </c>
      <c r="AJ5">
        <v>2.0960500875297685E-3</v>
      </c>
      <c r="AK5" s="5"/>
      <c r="AL5" s="380"/>
      <c r="AM5" s="19" t="s">
        <v>159</v>
      </c>
      <c r="AQ5" s="290">
        <v>0</v>
      </c>
      <c r="CQ5" s="191"/>
      <c r="CR5" s="191"/>
      <c r="CS5" s="197"/>
      <c r="CT5" s="290"/>
      <c r="CU5" s="232"/>
      <c r="CV5" s="232"/>
      <c r="CW5" s="232"/>
      <c r="CX5" s="232"/>
      <c r="CY5" s="232"/>
      <c r="CZ5" s="232"/>
      <c r="DA5" s="232"/>
      <c r="DB5" s="232"/>
      <c r="DC5" s="232"/>
      <c r="DD5" s="232"/>
      <c r="DE5" s="232"/>
      <c r="DF5" s="232"/>
      <c r="DG5" s="232"/>
      <c r="DH5" s="232"/>
      <c r="DI5" s="232"/>
      <c r="DJ5" s="232"/>
      <c r="DK5" s="232"/>
      <c r="DL5" s="232"/>
      <c r="DM5" s="232"/>
    </row>
    <row r="6" spans="1:145" ht="16.5" thickTop="1" thickBot="1">
      <c r="A6" s="66">
        <v>5</v>
      </c>
      <c r="B6" s="330" t="s">
        <v>193</v>
      </c>
      <c r="C6" s="79"/>
      <c r="D6" s="143">
        <v>34.08</v>
      </c>
      <c r="E6" s="143">
        <v>0.1</v>
      </c>
      <c r="F6" s="143">
        <v>373.6</v>
      </c>
      <c r="G6" s="143">
        <v>9</v>
      </c>
      <c r="H6" s="143"/>
      <c r="I6" s="143">
        <v>-0.1026</v>
      </c>
      <c r="J6" s="387" t="s">
        <v>120</v>
      </c>
      <c r="K6" s="391"/>
      <c r="O6" s="1"/>
      <c r="P6" s="1"/>
      <c r="Q6" s="5"/>
      <c r="R6" s="33"/>
      <c r="S6" s="88"/>
      <c r="T6" s="79"/>
      <c r="U6" s="20">
        <v>0.39433570784712968</v>
      </c>
      <c r="V6" s="63">
        <v>154</v>
      </c>
      <c r="W6" s="241"/>
      <c r="X6" s="153"/>
      <c r="Y6" s="154" t="s">
        <v>25</v>
      </c>
      <c r="Z6" s="154" t="s">
        <v>160</v>
      </c>
      <c r="AA6" s="275" t="s">
        <v>161</v>
      </c>
      <c r="AB6" s="129" t="s">
        <v>162</v>
      </c>
      <c r="AC6" s="23"/>
      <c r="AD6" s="5"/>
      <c r="AE6" s="5"/>
      <c r="AF6" s="12"/>
      <c r="AG6" s="1"/>
      <c r="AH6" s="5"/>
      <c r="AI6" s="79">
        <v>394</v>
      </c>
      <c r="AJ6">
        <v>2.6495386559602043E-4</v>
      </c>
      <c r="AK6" s="5"/>
      <c r="AL6" s="380"/>
      <c r="AM6" s="331" t="s">
        <v>193</v>
      </c>
      <c r="AN6">
        <v>9.6000000000000002E-2</v>
      </c>
      <c r="AO6">
        <v>0.17599999999999999</v>
      </c>
      <c r="AR6" s="290">
        <v>0</v>
      </c>
      <c r="AS6">
        <v>0.05</v>
      </c>
      <c r="AT6">
        <v>0.05</v>
      </c>
      <c r="AU6">
        <v>0.05</v>
      </c>
      <c r="AV6">
        <v>0.05</v>
      </c>
      <c r="AW6">
        <v>0.05</v>
      </c>
      <c r="AX6">
        <v>0.05</v>
      </c>
      <c r="AY6">
        <v>0.05</v>
      </c>
      <c r="AZ6">
        <v>0.05</v>
      </c>
      <c r="BA6">
        <v>0.05</v>
      </c>
      <c r="BB6">
        <v>0.05</v>
      </c>
      <c r="BC6">
        <v>0.05</v>
      </c>
      <c r="BD6">
        <v>0.05</v>
      </c>
      <c r="BE6">
        <v>0.05</v>
      </c>
      <c r="BF6">
        <v>0.05</v>
      </c>
      <c r="BG6">
        <v>0.05</v>
      </c>
      <c r="BH6">
        <v>0.05</v>
      </c>
      <c r="BI6">
        <v>0.05</v>
      </c>
      <c r="BJ6">
        <v>0.05</v>
      </c>
      <c r="BK6">
        <v>0.05</v>
      </c>
      <c r="BL6">
        <v>0.05</v>
      </c>
      <c r="BM6">
        <v>0.05</v>
      </c>
      <c r="BN6">
        <v>0.05</v>
      </c>
      <c r="BO6">
        <v>0.05</v>
      </c>
      <c r="CR6" s="191"/>
      <c r="CS6" s="191"/>
      <c r="CT6" s="197"/>
      <c r="CU6" s="232"/>
      <c r="CV6" s="232"/>
      <c r="CW6" s="232"/>
      <c r="CX6" s="232"/>
      <c r="CY6" s="232"/>
      <c r="CZ6" s="232"/>
      <c r="DA6" s="232"/>
      <c r="DB6" s="232"/>
      <c r="DC6" s="232"/>
      <c r="DD6" s="232"/>
      <c r="DE6" s="232"/>
      <c r="DF6" s="232"/>
      <c r="DG6" s="232"/>
      <c r="DH6" s="232"/>
      <c r="DI6" s="232"/>
      <c r="DJ6" s="232"/>
      <c r="DK6" s="232"/>
      <c r="DL6" s="232"/>
      <c r="DM6" s="232"/>
      <c r="DN6">
        <v>0.05</v>
      </c>
      <c r="DO6">
        <v>0.05</v>
      </c>
    </row>
    <row r="7" spans="1:145" s="7" customFormat="1" ht="15" thickBot="1">
      <c r="A7" s="481">
        <v>6</v>
      </c>
      <c r="B7" s="482" t="s">
        <v>24</v>
      </c>
      <c r="C7" s="483">
        <v>0.25</v>
      </c>
      <c r="D7" s="484">
        <v>16.042999999999999</v>
      </c>
      <c r="E7" s="485">
        <v>1.2999999999999999E-2</v>
      </c>
      <c r="F7" s="486">
        <v>190.6</v>
      </c>
      <c r="G7" s="485">
        <v>4.6041999999999996</v>
      </c>
      <c r="H7" s="487"/>
      <c r="I7" s="488">
        <v>-0.1595</v>
      </c>
      <c r="O7" s="5"/>
      <c r="P7" s="5"/>
      <c r="Q7" s="5"/>
      <c r="R7" s="54"/>
      <c r="S7" s="89"/>
      <c r="T7" s="240"/>
      <c r="U7" s="20">
        <v>0.40973944643490823</v>
      </c>
      <c r="V7" s="63">
        <v>155</v>
      </c>
      <c r="W7" s="166" t="s">
        <v>2</v>
      </c>
      <c r="X7" s="155" t="s">
        <v>15</v>
      </c>
      <c r="Y7" s="5">
        <v>0</v>
      </c>
      <c r="Z7" s="5">
        <v>41.702237972663013</v>
      </c>
      <c r="AA7" s="79">
        <v>32.130848195823049</v>
      </c>
      <c r="AB7" s="63"/>
      <c r="AC7" s="12"/>
      <c r="AD7" s="5"/>
      <c r="AE7" s="5"/>
      <c r="AF7" s="5"/>
      <c r="AG7" s="1"/>
      <c r="AH7" s="5">
        <v>0.19400000000002149</v>
      </c>
      <c r="AI7" s="79">
        <v>391</v>
      </c>
      <c r="AJ7">
        <v>1.8971643237748729E-4</v>
      </c>
      <c r="AK7" s="5"/>
      <c r="AL7" s="380"/>
      <c r="AM7" s="105" t="s">
        <v>85</v>
      </c>
      <c r="AN7" s="190">
        <v>0.105</v>
      </c>
      <c r="AO7" s="1">
        <v>2.5000000000000001E-2</v>
      </c>
      <c r="AP7"/>
      <c r="AQ7"/>
      <c r="AR7">
        <v>0.05</v>
      </c>
      <c r="AS7" s="290">
        <v>0</v>
      </c>
      <c r="AT7" s="191">
        <v>5.0000000000000001E-3</v>
      </c>
      <c r="AU7" s="191">
        <v>0.01</v>
      </c>
      <c r="AV7" s="191">
        <v>3.5000000000000003E-2</v>
      </c>
      <c r="AW7" s="191">
        <v>2.5000000000000001E-2</v>
      </c>
      <c r="AX7" s="191">
        <v>0.05</v>
      </c>
      <c r="AY7" s="191">
        <v>0.03</v>
      </c>
      <c r="AZ7" s="1">
        <v>0.03</v>
      </c>
      <c r="BA7" s="232">
        <v>3.5000000000000003E-2</v>
      </c>
      <c r="BB7" s="232">
        <v>0.04</v>
      </c>
      <c r="BC7" s="232">
        <v>0.04</v>
      </c>
      <c r="BD7" s="232">
        <v>0.08</v>
      </c>
      <c r="BE7" s="232">
        <v>9.8000000000000004E-2</v>
      </c>
      <c r="BF7" s="1">
        <v>0.05</v>
      </c>
      <c r="BG7" s="1">
        <v>0.05</v>
      </c>
      <c r="BH7" s="1">
        <v>5.5E-2</v>
      </c>
      <c r="BI7" s="1">
        <v>5.5E-2</v>
      </c>
      <c r="BJ7" s="1">
        <v>0.06</v>
      </c>
      <c r="BK7" s="1">
        <v>0.06</v>
      </c>
      <c r="BL7" s="1">
        <v>0.06</v>
      </c>
      <c r="BM7" s="1">
        <v>0.06</v>
      </c>
      <c r="BN7" s="1">
        <v>0.06</v>
      </c>
      <c r="BO7" s="116">
        <v>0.06</v>
      </c>
      <c r="CQ7"/>
      <c r="CR7"/>
      <c r="CS7" s="191"/>
      <c r="CT7" s="191"/>
      <c r="CU7" s="232"/>
      <c r="CV7" s="232"/>
      <c r="CW7" s="232"/>
      <c r="CX7" s="232"/>
      <c r="CY7" s="232"/>
      <c r="CZ7" s="232"/>
      <c r="DA7" s="232"/>
      <c r="DB7" s="232"/>
      <c r="DC7" s="232"/>
      <c r="DD7" s="232"/>
      <c r="DE7" s="232"/>
      <c r="DF7" s="232"/>
      <c r="DG7" s="232"/>
      <c r="DH7" s="232"/>
      <c r="DI7" s="232"/>
      <c r="DJ7" s="232"/>
      <c r="DK7" s="232"/>
      <c r="DL7" s="232"/>
      <c r="DM7" s="232"/>
      <c r="DN7" s="1">
        <v>0.06</v>
      </c>
      <c r="DO7" s="1">
        <v>0.06</v>
      </c>
    </row>
    <row r="8" spans="1:145" ht="15.75">
      <c r="A8" s="481">
        <v>7</v>
      </c>
      <c r="B8" s="482" t="s">
        <v>4</v>
      </c>
      <c r="C8" s="483">
        <v>0.25</v>
      </c>
      <c r="D8" s="484">
        <v>30.07</v>
      </c>
      <c r="E8" s="485">
        <v>9.9000000000000005E-2</v>
      </c>
      <c r="F8" s="486">
        <v>305.43</v>
      </c>
      <c r="G8" s="485">
        <v>4.8838999999999997</v>
      </c>
      <c r="H8" s="487"/>
      <c r="I8" s="488">
        <v>-0.1134</v>
      </c>
      <c r="O8" s="1"/>
      <c r="P8" s="1"/>
      <c r="Q8" s="57"/>
      <c r="R8" s="55"/>
      <c r="S8" s="113"/>
      <c r="T8" s="79"/>
      <c r="U8" s="20">
        <v>0.42574489356127188</v>
      </c>
      <c r="V8" s="63">
        <v>156</v>
      </c>
      <c r="W8" s="166" t="s">
        <v>16</v>
      </c>
      <c r="X8" s="155" t="s">
        <v>17</v>
      </c>
      <c r="Y8" s="5">
        <v>0</v>
      </c>
      <c r="Z8" s="5">
        <v>0.64425491907838461</v>
      </c>
      <c r="AA8" s="79">
        <v>0.1967741093311885</v>
      </c>
      <c r="AB8" s="116"/>
      <c r="AC8" s="12"/>
      <c r="AD8" s="5"/>
      <c r="AE8" s="5"/>
      <c r="AF8" s="5"/>
      <c r="AG8" s="1"/>
      <c r="AH8" s="5"/>
      <c r="AI8" s="79">
        <v>388</v>
      </c>
      <c r="AJ8">
        <v>6.1614427729309352E-5</v>
      </c>
      <c r="AK8" s="5"/>
      <c r="AL8" s="380"/>
      <c r="AM8" s="105" t="s">
        <v>4</v>
      </c>
      <c r="AN8" s="190">
        <v>0.13</v>
      </c>
      <c r="AO8" s="1">
        <v>0.01</v>
      </c>
      <c r="AR8">
        <v>0.05</v>
      </c>
      <c r="AS8" s="191">
        <v>5.0000000000000001E-3</v>
      </c>
      <c r="AT8" s="290">
        <v>0</v>
      </c>
      <c r="AU8" s="1">
        <v>5.0000000000000001E-3</v>
      </c>
      <c r="AV8" s="1">
        <v>0</v>
      </c>
      <c r="AW8" s="1">
        <v>0.01</v>
      </c>
      <c r="AX8" s="1">
        <v>0.01</v>
      </c>
      <c r="AY8" s="1">
        <v>0.01</v>
      </c>
      <c r="AZ8" s="1">
        <v>0.02</v>
      </c>
      <c r="BA8" s="1">
        <v>0.02</v>
      </c>
      <c r="BB8" s="1">
        <v>0.02</v>
      </c>
      <c r="BC8" s="1">
        <v>0.02</v>
      </c>
      <c r="BD8" s="1">
        <v>0.02</v>
      </c>
      <c r="BE8" s="1">
        <v>0.02</v>
      </c>
      <c r="BF8" s="1">
        <v>0.02</v>
      </c>
      <c r="BG8" s="1">
        <v>0.02</v>
      </c>
      <c r="BH8" s="1">
        <v>0.02</v>
      </c>
      <c r="BI8" s="1">
        <v>0.02</v>
      </c>
      <c r="BJ8" s="1">
        <v>0.02</v>
      </c>
      <c r="BK8" s="1">
        <v>0.02</v>
      </c>
      <c r="BL8" s="1">
        <v>0.01</v>
      </c>
      <c r="BM8" s="1">
        <v>0.01</v>
      </c>
      <c r="BN8" s="1">
        <v>0.01</v>
      </c>
      <c r="BO8" s="1">
        <v>0.01</v>
      </c>
      <c r="CT8" s="191"/>
      <c r="CU8" s="232"/>
      <c r="CV8" s="232"/>
      <c r="CW8" s="232"/>
      <c r="CX8" s="232"/>
      <c r="CY8" s="232"/>
      <c r="CZ8" s="232"/>
      <c r="DA8" s="232"/>
      <c r="DB8" s="232"/>
      <c r="DC8" s="232"/>
      <c r="DD8" s="232"/>
      <c r="DE8" s="232"/>
      <c r="DF8" s="232"/>
      <c r="DG8" s="232"/>
      <c r="DH8" s="232"/>
      <c r="DI8" s="232"/>
      <c r="DJ8" s="232"/>
      <c r="DK8" s="232"/>
      <c r="DL8" s="232"/>
      <c r="DM8" s="232"/>
      <c r="DN8" s="1">
        <v>0.02</v>
      </c>
      <c r="DO8" s="1">
        <v>0.01</v>
      </c>
    </row>
    <row r="9" spans="1:145" s="7" customFormat="1" ht="15.75">
      <c r="A9" s="481">
        <v>8</v>
      </c>
      <c r="B9" s="482" t="s">
        <v>5</v>
      </c>
      <c r="C9" s="483">
        <v>0.25</v>
      </c>
      <c r="D9" s="484">
        <v>44.097000000000001</v>
      </c>
      <c r="E9" s="485">
        <v>0.152</v>
      </c>
      <c r="F9" s="486">
        <v>369.8</v>
      </c>
      <c r="G9" s="485">
        <v>4.2454999999999998</v>
      </c>
      <c r="H9" s="487"/>
      <c r="I9" s="488">
        <v>-0.17749999999999999</v>
      </c>
      <c r="J9" s="387" t="s">
        <v>121</v>
      </c>
      <c r="K9" s="392"/>
      <c r="O9" s="5"/>
      <c r="P9" s="5"/>
      <c r="Q9" s="58"/>
      <c r="R9" s="36"/>
      <c r="S9" s="119"/>
      <c r="T9" s="79"/>
      <c r="U9" s="20">
        <v>0.44195978696839056</v>
      </c>
      <c r="V9" s="63">
        <v>157</v>
      </c>
      <c r="W9" s="166" t="s">
        <v>18</v>
      </c>
      <c r="X9" s="155" t="s">
        <v>27</v>
      </c>
      <c r="Y9" s="5">
        <v>0</v>
      </c>
      <c r="Z9" s="5">
        <v>360.76716898854033</v>
      </c>
      <c r="AA9" s="79">
        <v>88.633161065933407</v>
      </c>
      <c r="AB9" s="63"/>
      <c r="AC9" s="12" t="e">
        <f>Z4*D14/Y9/8.31/Z5*1000</f>
        <v>#DIV/0!</v>
      </c>
      <c r="AD9" s="5"/>
      <c r="AE9" s="5"/>
      <c r="AF9" s="5"/>
      <c r="AG9" s="1"/>
      <c r="AH9" s="5"/>
      <c r="AI9" s="79">
        <v>385</v>
      </c>
      <c r="AJ9">
        <v>1.0096839877480594E-4</v>
      </c>
      <c r="AK9" s="5"/>
      <c r="AL9" s="380"/>
      <c r="AM9" s="105" t="s">
        <v>5</v>
      </c>
      <c r="AN9" s="190">
        <v>0.125</v>
      </c>
      <c r="AO9" s="197">
        <v>0.09</v>
      </c>
      <c r="AP9"/>
      <c r="AQ9"/>
      <c r="AR9">
        <v>0.05</v>
      </c>
      <c r="AS9" s="191">
        <v>0.01</v>
      </c>
      <c r="AT9" s="1">
        <v>5.0000000000000001E-3</v>
      </c>
      <c r="AU9" s="290">
        <v>0</v>
      </c>
      <c r="AV9" s="197">
        <v>0</v>
      </c>
      <c r="AW9" s="197">
        <v>0</v>
      </c>
      <c r="AX9" s="197">
        <v>1.4999999999999999E-2</v>
      </c>
      <c r="AY9" s="197">
        <v>2E-3</v>
      </c>
      <c r="AZ9" s="197">
        <v>0.01</v>
      </c>
      <c r="BA9" s="197">
        <v>5.0000000000000001E-3</v>
      </c>
      <c r="BB9" s="197">
        <v>5.0000000000000001E-3</v>
      </c>
      <c r="BC9" s="197">
        <v>5.0000000000000001E-3</v>
      </c>
      <c r="BD9" s="197">
        <v>5.0000000000000001E-3</v>
      </c>
      <c r="BE9" s="197">
        <v>5.0000000000000001E-3</v>
      </c>
      <c r="BF9" s="197">
        <v>5.0000000000000001E-3</v>
      </c>
      <c r="BG9" s="197">
        <v>5.0000000000000001E-3</v>
      </c>
      <c r="BH9" s="197">
        <v>5.0000000000000001E-3</v>
      </c>
      <c r="BI9" s="197">
        <v>5.0000000000000001E-3</v>
      </c>
      <c r="BJ9" s="197">
        <v>5.0000000000000001E-3</v>
      </c>
      <c r="BK9" s="197">
        <v>5.0000000000000001E-3</v>
      </c>
      <c r="BL9" s="197">
        <v>0.01</v>
      </c>
      <c r="BM9" s="197">
        <v>0.01</v>
      </c>
      <c r="BN9" s="197">
        <v>0.01</v>
      </c>
      <c r="BO9" s="197">
        <v>0.01</v>
      </c>
      <c r="CQ9" s="197"/>
      <c r="CR9"/>
      <c r="CS9"/>
      <c r="CT9"/>
      <c r="CU9" s="232"/>
      <c r="CV9" s="232"/>
      <c r="CW9" s="232"/>
      <c r="CX9" s="232"/>
      <c r="CY9" s="232"/>
      <c r="CZ9" s="232"/>
      <c r="DA9" s="232"/>
      <c r="DB9" s="232"/>
      <c r="DC9" s="232"/>
      <c r="DD9" s="232"/>
      <c r="DE9" s="232"/>
      <c r="DF9" s="232"/>
      <c r="DG9" s="232"/>
      <c r="DH9" s="232"/>
      <c r="DI9" s="232"/>
      <c r="DJ9" s="232"/>
      <c r="DK9" s="232"/>
      <c r="DL9" s="232"/>
      <c r="DM9" s="232"/>
      <c r="DN9" s="197">
        <v>5.0000000000000001E-3</v>
      </c>
      <c r="DO9" s="197">
        <v>0.01</v>
      </c>
    </row>
    <row r="10" spans="1:145" ht="16.149999999999999" customHeight="1">
      <c r="A10" s="481">
        <v>9</v>
      </c>
      <c r="B10" s="482" t="s">
        <v>6</v>
      </c>
      <c r="C10" s="483">
        <v>0.25</v>
      </c>
      <c r="D10" s="484">
        <v>58.1</v>
      </c>
      <c r="E10" s="485">
        <v>0.185</v>
      </c>
      <c r="F10" s="486">
        <v>408.1</v>
      </c>
      <c r="G10" s="485">
        <v>3.6476999999999999</v>
      </c>
      <c r="H10" s="487"/>
      <c r="I10" s="489">
        <v>-8.4400000000000003E-2</v>
      </c>
      <c r="O10" s="1"/>
      <c r="P10" s="1"/>
      <c r="Q10" s="5"/>
      <c r="R10" s="18"/>
      <c r="S10" s="16"/>
      <c r="T10" s="79"/>
      <c r="U10" s="20">
        <v>0.45879223979238193</v>
      </c>
      <c r="V10" s="63">
        <v>158</v>
      </c>
      <c r="W10" s="166" t="s">
        <v>19</v>
      </c>
      <c r="X10" s="155" t="s">
        <v>17</v>
      </c>
      <c r="Y10" s="5"/>
      <c r="Z10" s="5">
        <v>0.51681646234347722</v>
      </c>
      <c r="AA10" s="79">
        <v>0.48318353765652278</v>
      </c>
      <c r="AB10" s="63"/>
      <c r="AC10" s="12"/>
      <c r="AD10" s="5"/>
      <c r="AE10" s="5"/>
      <c r="AF10" s="1">
        <f>AA10*AA14/0.5</f>
        <v>0</v>
      </c>
      <c r="AG10" s="1"/>
      <c r="AH10" s="5">
        <v>0.14600000000002145</v>
      </c>
      <c r="AI10" s="79">
        <v>382</v>
      </c>
      <c r="AJ10">
        <v>6.5031872867860207E-5</v>
      </c>
      <c r="AK10" s="5"/>
      <c r="AL10" s="380"/>
      <c r="AM10" s="106" t="s">
        <v>6</v>
      </c>
      <c r="AN10" s="190">
        <v>0.12</v>
      </c>
      <c r="AO10" s="197">
        <v>9.5000000000000001E-2</v>
      </c>
      <c r="AP10" s="7"/>
      <c r="AQ10" s="7"/>
      <c r="AR10">
        <v>0.05</v>
      </c>
      <c r="AS10" s="191">
        <v>3.5000000000000003E-2</v>
      </c>
      <c r="AT10" s="191">
        <v>0</v>
      </c>
      <c r="AU10" s="197">
        <v>0</v>
      </c>
      <c r="AV10" s="290">
        <v>0</v>
      </c>
      <c r="AW10" s="232">
        <v>5.0000000000000001E-3</v>
      </c>
      <c r="AX10" s="232">
        <v>5.0000000000000001E-3</v>
      </c>
      <c r="AY10" s="232">
        <v>5.0000000000000001E-3</v>
      </c>
      <c r="AZ10" s="232">
        <v>5.0000000000000001E-3</v>
      </c>
      <c r="BA10" s="232">
        <v>5.0000000000000001E-3</v>
      </c>
      <c r="BB10" s="232">
        <v>5.0000000000000001E-3</v>
      </c>
      <c r="BC10" s="232">
        <v>5.0000000000000001E-3</v>
      </c>
      <c r="BD10" s="232">
        <v>5.0000000000000001E-3</v>
      </c>
      <c r="BE10" s="232">
        <v>5.0000000000000001E-3</v>
      </c>
      <c r="BF10" s="232">
        <v>5.0000000000000001E-3</v>
      </c>
      <c r="BG10" s="232">
        <v>5.0000000000000001E-3</v>
      </c>
      <c r="BH10" s="232">
        <v>5.0000000000000001E-3</v>
      </c>
      <c r="BI10" s="232">
        <v>5.0000000000000001E-3</v>
      </c>
      <c r="BJ10" s="232">
        <v>5.0000000000000001E-3</v>
      </c>
      <c r="BK10" s="232">
        <v>5.0000000000000001E-3</v>
      </c>
      <c r="BL10" s="232">
        <v>5.0000000000000001E-3</v>
      </c>
      <c r="BM10" s="197">
        <v>5.0000000000000001E-3</v>
      </c>
      <c r="BN10" s="197">
        <v>5.0000000000000001E-3</v>
      </c>
      <c r="BO10" s="231">
        <v>5.0000000000000001E-3</v>
      </c>
      <c r="CQ10" s="192"/>
      <c r="CR10" s="197"/>
      <c r="CU10" s="232"/>
      <c r="CV10" s="232"/>
      <c r="CW10" s="232"/>
      <c r="CX10" s="232"/>
      <c r="CY10" s="232"/>
      <c r="CZ10" s="232"/>
      <c r="DA10" s="232"/>
      <c r="DB10" s="232"/>
      <c r="DC10" s="232"/>
      <c r="DD10" s="232"/>
      <c r="DE10" s="232"/>
      <c r="DF10" s="232"/>
      <c r="DG10" s="232"/>
      <c r="DH10" s="232"/>
      <c r="DI10" s="232"/>
      <c r="DJ10" s="232"/>
      <c r="DK10" s="232"/>
      <c r="DL10" s="232"/>
      <c r="DM10" s="232"/>
      <c r="DN10" s="232">
        <v>5.0000000000000001E-3</v>
      </c>
      <c r="DO10" s="232">
        <v>5.0000000000000001E-3</v>
      </c>
    </row>
    <row r="11" spans="1:145" ht="13.5" thickBot="1">
      <c r="A11" s="66">
        <v>10</v>
      </c>
      <c r="B11" s="273" t="s">
        <v>7</v>
      </c>
      <c r="C11" s="79"/>
      <c r="D11" s="143">
        <v>58.1</v>
      </c>
      <c r="E11" s="144">
        <v>0.20100000000000001</v>
      </c>
      <c r="F11" s="145">
        <v>425.2</v>
      </c>
      <c r="G11" s="144">
        <v>3.7966000000000002</v>
      </c>
      <c r="H11" s="146"/>
      <c r="I11" s="147">
        <v>-9.4200000000000006E-2</v>
      </c>
      <c r="J11" s="168"/>
      <c r="K11" s="63"/>
      <c r="O11" s="1"/>
      <c r="P11" s="1"/>
      <c r="Q11" s="5"/>
      <c r="R11" s="18"/>
      <c r="S11" s="16"/>
      <c r="T11" s="79"/>
      <c r="U11" s="20">
        <v>0.47581773306592734</v>
      </c>
      <c r="V11" s="63">
        <v>159</v>
      </c>
      <c r="W11" s="166" t="s">
        <v>20</v>
      </c>
      <c r="X11" s="155" t="s">
        <v>21</v>
      </c>
      <c r="Y11" s="5"/>
      <c r="Z11" s="5">
        <v>2.9320366067102732</v>
      </c>
      <c r="AA11" s="79"/>
      <c r="AB11" s="63"/>
      <c r="AC11" s="12"/>
      <c r="AD11" s="5"/>
      <c r="AE11" s="5"/>
      <c r="AF11" s="1"/>
      <c r="AG11" s="1"/>
      <c r="AH11" s="5"/>
      <c r="AI11" s="79">
        <v>379</v>
      </c>
      <c r="AJ11">
        <v>6.6111950577856925E-5</v>
      </c>
      <c r="AK11" s="5"/>
      <c r="AL11" s="380"/>
      <c r="AM11" s="105" t="s">
        <v>7</v>
      </c>
      <c r="AN11" s="192">
        <v>0.115</v>
      </c>
      <c r="AO11" s="197">
        <v>9.5000000000000001E-2</v>
      </c>
      <c r="AR11">
        <v>0.05</v>
      </c>
      <c r="AS11" s="191">
        <v>2.5000000000000001E-2</v>
      </c>
      <c r="AT11" s="191">
        <v>0.01</v>
      </c>
      <c r="AU11" s="197">
        <v>0</v>
      </c>
      <c r="AV11" s="232">
        <v>5.0000000000000001E-3</v>
      </c>
      <c r="AW11" s="290">
        <v>0</v>
      </c>
      <c r="AX11" s="232">
        <v>5.0000000000000001E-3</v>
      </c>
      <c r="AY11" s="232">
        <v>5.0000000000000001E-3</v>
      </c>
      <c r="AZ11" s="232">
        <v>5.0000000000000001E-3</v>
      </c>
      <c r="BA11" s="232">
        <v>5.0000000000000001E-3</v>
      </c>
      <c r="BB11" s="232">
        <v>5.0000000000000001E-3</v>
      </c>
      <c r="BC11" s="232">
        <v>5.0000000000000001E-3</v>
      </c>
      <c r="BD11" s="232">
        <v>5.0000000000000001E-3</v>
      </c>
      <c r="BE11" s="232">
        <v>5.0000000000000001E-3</v>
      </c>
      <c r="BF11" s="232">
        <v>5.0000000000000001E-3</v>
      </c>
      <c r="BG11" s="232">
        <v>5.0000000000000001E-3</v>
      </c>
      <c r="BH11" s="232">
        <v>5.0000000000000001E-3</v>
      </c>
      <c r="BI11" s="232">
        <v>5.0000000000000001E-3</v>
      </c>
      <c r="BJ11" s="232">
        <v>5.0000000000000001E-3</v>
      </c>
      <c r="BK11" s="232">
        <v>5.0000000000000001E-3</v>
      </c>
      <c r="BL11" s="232">
        <v>5.0000000000000001E-3</v>
      </c>
      <c r="BM11" s="197">
        <v>5.0000000000000001E-3</v>
      </c>
      <c r="BN11" s="197">
        <v>5.0000000000000001E-3</v>
      </c>
      <c r="BO11" s="231">
        <v>5.0000000000000001E-3</v>
      </c>
      <c r="CQ11" s="192"/>
      <c r="CR11" s="197"/>
      <c r="CU11" s="232"/>
      <c r="CV11" s="232"/>
      <c r="CW11" s="232"/>
      <c r="CX11" s="232"/>
      <c r="CY11" s="232"/>
      <c r="CZ11" s="232"/>
      <c r="DA11" s="232"/>
      <c r="DB11" s="232"/>
      <c r="DC11" s="232"/>
      <c r="DD11" s="232"/>
      <c r="DE11" s="232"/>
      <c r="DF11" s="232"/>
      <c r="DG11" s="232"/>
      <c r="DH11" s="232"/>
      <c r="DI11" s="232"/>
      <c r="DJ11" s="232"/>
      <c r="DK11" s="232"/>
      <c r="DL11" s="232"/>
      <c r="DM11" s="232"/>
      <c r="DN11" s="232">
        <v>5.0000000000000001E-3</v>
      </c>
      <c r="DO11" s="232">
        <v>5.0000000000000001E-3</v>
      </c>
      <c r="DP11" s="7"/>
      <c r="DQ11" s="7"/>
      <c r="DR11" s="7"/>
      <c r="DS11" s="7"/>
      <c r="DT11" s="7"/>
      <c r="DU11" s="7"/>
      <c r="DV11" s="7"/>
      <c r="DW11" s="7"/>
      <c r="DX11" s="7"/>
      <c r="DY11" s="7"/>
      <c r="DZ11" s="7"/>
      <c r="EA11" s="7"/>
      <c r="EB11" s="7"/>
      <c r="EC11" s="7"/>
      <c r="ED11" s="7"/>
      <c r="EE11" s="7"/>
      <c r="EF11" s="7"/>
      <c r="EG11" s="7"/>
      <c r="EH11" s="7"/>
      <c r="EI11" s="7"/>
      <c r="EJ11" s="7"/>
      <c r="EK11" s="7"/>
      <c r="EL11" s="7"/>
      <c r="EM11" s="7"/>
      <c r="EN11" s="7"/>
      <c r="EO11" s="7"/>
    </row>
    <row r="12" spans="1:145" s="7" customFormat="1" ht="13.5" thickTop="1">
      <c r="A12" s="67">
        <v>11</v>
      </c>
      <c r="B12" s="78" t="s">
        <v>8</v>
      </c>
      <c r="C12" s="79"/>
      <c r="D12" s="143">
        <v>72.2</v>
      </c>
      <c r="E12" s="144">
        <v>0.22700000000000001</v>
      </c>
      <c r="F12" s="145">
        <v>465.9</v>
      </c>
      <c r="G12" s="144">
        <v>3.3889999999999998</v>
      </c>
      <c r="H12" s="146"/>
      <c r="I12" s="147">
        <v>-0.1177</v>
      </c>
      <c r="J12" s="385" t="s">
        <v>122</v>
      </c>
      <c r="K12" s="386"/>
      <c r="O12" s="5"/>
      <c r="P12" s="5"/>
      <c r="Q12" s="5"/>
      <c r="R12" s="18"/>
      <c r="S12" s="15"/>
      <c r="T12" s="113"/>
      <c r="U12" s="20">
        <v>0.49301036599897363</v>
      </c>
      <c r="V12" s="63">
        <v>160</v>
      </c>
      <c r="W12" s="242" t="str">
        <f>B2</f>
        <v>CO2</v>
      </c>
      <c r="X12" s="155" t="s">
        <v>17</v>
      </c>
      <c r="Y12" s="5"/>
      <c r="Z12" s="5"/>
      <c r="AA12" s="79"/>
      <c r="AB12" s="63"/>
      <c r="AC12" s="12"/>
      <c r="AD12" s="5"/>
      <c r="AE12" s="5">
        <f>273.15+107.9</f>
        <v>381.04999999999995</v>
      </c>
      <c r="AF12" s="1"/>
      <c r="AG12" s="1"/>
      <c r="AH12" s="5">
        <v>0.12000000000002142</v>
      </c>
      <c r="AI12" s="79">
        <v>376</v>
      </c>
      <c r="AJ12">
        <v>1.6326688952647997E-4</v>
      </c>
      <c r="AK12" s="5"/>
      <c r="AL12" s="380"/>
      <c r="AM12" s="106" t="s">
        <v>8</v>
      </c>
      <c r="AN12" s="192">
        <v>0.115</v>
      </c>
      <c r="AO12" s="197">
        <v>0.1</v>
      </c>
      <c r="AR12">
        <v>0.05</v>
      </c>
      <c r="AS12" s="191">
        <v>0.05</v>
      </c>
      <c r="AT12" s="191">
        <v>0.01</v>
      </c>
      <c r="AU12" s="197">
        <v>1.4999999999999999E-2</v>
      </c>
      <c r="AV12" s="232">
        <v>5.0000000000000001E-3</v>
      </c>
      <c r="AW12" s="232">
        <v>5.0000000000000001E-3</v>
      </c>
      <c r="AX12" s="290">
        <v>0</v>
      </c>
      <c r="AY12" s="232">
        <v>0</v>
      </c>
      <c r="AZ12" s="232">
        <v>0</v>
      </c>
      <c r="BA12" s="232">
        <v>0</v>
      </c>
      <c r="BB12" s="232">
        <v>0</v>
      </c>
      <c r="BC12" s="232">
        <v>0</v>
      </c>
      <c r="BD12" s="232">
        <v>0</v>
      </c>
      <c r="BE12" s="232">
        <v>0</v>
      </c>
      <c r="BF12" s="232">
        <v>0</v>
      </c>
      <c r="BG12" s="232">
        <v>0</v>
      </c>
      <c r="BH12" s="232">
        <v>0</v>
      </c>
      <c r="BI12" s="232">
        <v>0</v>
      </c>
      <c r="BJ12" s="232">
        <v>0</v>
      </c>
      <c r="BK12" s="232">
        <v>0</v>
      </c>
      <c r="BL12" s="232">
        <v>0</v>
      </c>
      <c r="BM12" s="197">
        <v>0</v>
      </c>
      <c r="BN12" s="197">
        <v>0</v>
      </c>
      <c r="BO12" s="231">
        <v>5.0000000000000001E-3</v>
      </c>
      <c r="CQ12" s="192"/>
      <c r="CR12" s="197"/>
      <c r="CS12"/>
      <c r="CT12"/>
      <c r="CU12" s="232"/>
      <c r="CV12" s="232"/>
      <c r="CW12" s="232"/>
      <c r="CX12" s="232"/>
      <c r="CY12" s="232"/>
      <c r="CZ12" s="232"/>
      <c r="DA12" s="232"/>
      <c r="DB12" s="232"/>
      <c r="DC12" s="232"/>
      <c r="DD12" s="232"/>
      <c r="DE12" s="232"/>
      <c r="DF12" s="232"/>
      <c r="DG12" s="232"/>
      <c r="DH12" s="232"/>
      <c r="DI12" s="232"/>
      <c r="DJ12" s="232"/>
      <c r="DK12" s="232"/>
      <c r="DL12" s="232"/>
      <c r="DM12" s="232"/>
      <c r="DN12" s="232">
        <v>0</v>
      </c>
      <c r="DO12" s="232">
        <v>0</v>
      </c>
    </row>
    <row r="13" spans="1:145" s="7" customFormat="1" ht="13.5" thickBot="1">
      <c r="A13" s="67">
        <v>12</v>
      </c>
      <c r="B13" s="78" t="s">
        <v>9</v>
      </c>
      <c r="C13" s="79"/>
      <c r="D13" s="143">
        <v>72.2</v>
      </c>
      <c r="E13" s="144">
        <v>0.251</v>
      </c>
      <c r="F13" s="145">
        <v>469.6</v>
      </c>
      <c r="G13" s="179">
        <v>3.3700999999999999</v>
      </c>
      <c r="H13" s="180"/>
      <c r="I13" s="147">
        <v>-3.0300000000000001E-2</v>
      </c>
      <c r="O13" s="82"/>
      <c r="P13" s="82"/>
      <c r="Q13" s="91"/>
      <c r="R13" s="92"/>
      <c r="S13" s="93"/>
      <c r="T13" s="94"/>
      <c r="U13" s="20">
        <v>0.51130567254971671</v>
      </c>
      <c r="V13" s="63">
        <v>161</v>
      </c>
      <c r="W13" s="242" t="str">
        <f>B3</f>
        <v>N2</v>
      </c>
      <c r="X13" s="155" t="s">
        <v>17</v>
      </c>
      <c r="Y13" s="5"/>
      <c r="Z13" s="5"/>
      <c r="AA13" s="79"/>
      <c r="AB13" s="63"/>
      <c r="AC13" s="12"/>
      <c r="AD13" s="5"/>
      <c r="AE13" s="5"/>
      <c r="AF13" s="1"/>
      <c r="AG13" s="1"/>
      <c r="AH13" s="5"/>
      <c r="AI13" s="5">
        <v>373</v>
      </c>
      <c r="AJ13" s="7">
        <v>4.3508076119168527E-4</v>
      </c>
      <c r="AK13" s="5"/>
      <c r="AL13" s="380"/>
      <c r="AM13" s="106" t="s">
        <v>9</v>
      </c>
      <c r="AN13" s="192">
        <v>0.115</v>
      </c>
      <c r="AO13" s="197">
        <v>0.1</v>
      </c>
      <c r="AP13"/>
      <c r="AQ13"/>
      <c r="AR13">
        <v>0.05</v>
      </c>
      <c r="AS13" s="191">
        <v>0.03</v>
      </c>
      <c r="AT13" s="191">
        <v>0.01</v>
      </c>
      <c r="AU13" s="197">
        <v>2E-3</v>
      </c>
      <c r="AV13" s="232">
        <v>5.0000000000000001E-3</v>
      </c>
      <c r="AW13" s="232">
        <v>5.0000000000000001E-3</v>
      </c>
      <c r="AX13" s="232">
        <v>0</v>
      </c>
      <c r="AY13" s="290">
        <v>0</v>
      </c>
      <c r="AZ13" s="232">
        <v>0</v>
      </c>
      <c r="BA13" s="232">
        <v>0</v>
      </c>
      <c r="BB13" s="232">
        <v>0</v>
      </c>
      <c r="BC13" s="232">
        <v>0</v>
      </c>
      <c r="BD13" s="232">
        <v>0</v>
      </c>
      <c r="BE13" s="232">
        <v>0</v>
      </c>
      <c r="BF13" s="232">
        <v>0</v>
      </c>
      <c r="BG13" s="232">
        <v>0</v>
      </c>
      <c r="BH13" s="232">
        <v>0</v>
      </c>
      <c r="BI13" s="232">
        <v>0</v>
      </c>
      <c r="BJ13" s="232">
        <v>0</v>
      </c>
      <c r="BK13" s="232">
        <v>0</v>
      </c>
      <c r="BL13" s="232">
        <v>0</v>
      </c>
      <c r="BM13" s="197">
        <v>0</v>
      </c>
      <c r="BN13" s="197">
        <v>0</v>
      </c>
      <c r="BO13" s="231">
        <v>0</v>
      </c>
      <c r="CQ13" s="192"/>
      <c r="CR13" s="197"/>
      <c r="CS13"/>
      <c r="CT13"/>
      <c r="CU13" s="232"/>
      <c r="CV13" s="232"/>
      <c r="CW13" s="232"/>
      <c r="CX13" s="232"/>
      <c r="CY13" s="232"/>
      <c r="CZ13" s="232"/>
      <c r="DA13" s="232"/>
      <c r="DB13" s="232"/>
      <c r="DC13" s="232"/>
      <c r="DD13" s="232"/>
      <c r="DE13" s="232"/>
      <c r="DF13" s="232"/>
      <c r="DG13" s="232"/>
      <c r="DH13" s="232"/>
      <c r="DI13" s="232"/>
      <c r="DJ13" s="232"/>
      <c r="DK13" s="232"/>
      <c r="DL13" s="232"/>
      <c r="DM13" s="232"/>
      <c r="DN13" s="232">
        <v>0</v>
      </c>
      <c r="DO13" s="232">
        <v>0</v>
      </c>
    </row>
    <row r="14" spans="1:145" s="7" customFormat="1" ht="13.5" thickBot="1">
      <c r="A14" s="67">
        <v>13</v>
      </c>
      <c r="B14" s="273" t="s">
        <v>10</v>
      </c>
      <c r="C14" s="79"/>
      <c r="D14" s="143">
        <v>84</v>
      </c>
      <c r="E14" s="144">
        <v>0.29899999999999999</v>
      </c>
      <c r="F14" s="145">
        <v>507.5</v>
      </c>
      <c r="G14" s="144">
        <v>3.01</v>
      </c>
      <c r="H14" s="5"/>
      <c r="I14" s="147">
        <v>-7.3000000000000001E-3</v>
      </c>
      <c r="J14" s="12"/>
      <c r="K14" s="79"/>
      <c r="N14" s="86"/>
      <c r="O14" s="5"/>
      <c r="P14" s="5"/>
      <c r="Q14" s="5"/>
      <c r="R14" s="5"/>
      <c r="S14" s="8"/>
      <c r="T14" s="114"/>
      <c r="U14" s="19">
        <v>0.52928126260029273</v>
      </c>
      <c r="V14" s="63">
        <v>162</v>
      </c>
      <c r="W14" s="242" t="str">
        <f>B4</f>
        <v>H20</v>
      </c>
      <c r="X14" s="155" t="s">
        <v>17</v>
      </c>
      <c r="Y14" s="5"/>
      <c r="Z14" s="5"/>
      <c r="AA14" s="79"/>
      <c r="AB14" s="63"/>
      <c r="AC14" s="12"/>
      <c r="AD14" s="5"/>
      <c r="AE14" s="5"/>
      <c r="AF14" s="1"/>
      <c r="AG14" s="1"/>
      <c r="AH14" s="5">
        <v>9.8000000000010301E-2</v>
      </c>
      <c r="AI14" s="79">
        <v>370</v>
      </c>
      <c r="AJ14">
        <v>1.4268595853172464E-3</v>
      </c>
      <c r="AK14" s="5"/>
      <c r="AL14" s="381"/>
      <c r="AM14" s="105" t="s">
        <v>10</v>
      </c>
      <c r="AN14" s="192">
        <v>0.115</v>
      </c>
      <c r="AO14" s="197">
        <v>0.11</v>
      </c>
      <c r="AP14"/>
      <c r="AQ14"/>
      <c r="AR14">
        <v>0.05</v>
      </c>
      <c r="AS14" s="1">
        <v>0.03</v>
      </c>
      <c r="AT14" s="191">
        <v>0.02</v>
      </c>
      <c r="AU14" s="197">
        <v>0.01</v>
      </c>
      <c r="AV14" s="232">
        <v>5.0000000000000001E-3</v>
      </c>
      <c r="AW14" s="232">
        <v>5.0000000000000001E-3</v>
      </c>
      <c r="AX14" s="232">
        <v>0</v>
      </c>
      <c r="AY14" s="232">
        <v>0</v>
      </c>
      <c r="AZ14" s="290">
        <v>0</v>
      </c>
      <c r="BA14" s="232">
        <v>0</v>
      </c>
      <c r="BB14" s="232">
        <v>0</v>
      </c>
      <c r="BC14" s="232">
        <v>0</v>
      </c>
      <c r="BD14" s="232">
        <v>0</v>
      </c>
      <c r="BE14" s="232">
        <v>0</v>
      </c>
      <c r="BF14" s="232">
        <v>0</v>
      </c>
      <c r="BG14" s="232">
        <v>0</v>
      </c>
      <c r="BH14" s="232">
        <v>0</v>
      </c>
      <c r="BI14" s="232">
        <v>0</v>
      </c>
      <c r="BJ14" s="232">
        <v>0</v>
      </c>
      <c r="BK14" s="232">
        <v>0</v>
      </c>
      <c r="BL14" s="232">
        <v>0</v>
      </c>
      <c r="BM14" s="197">
        <v>0</v>
      </c>
      <c r="BN14" s="197">
        <v>0</v>
      </c>
      <c r="BO14" s="231">
        <v>0</v>
      </c>
      <c r="CQ14" s="192"/>
      <c r="CR14" s="197"/>
      <c r="CS14"/>
      <c r="CT14"/>
      <c r="CU14" s="232"/>
      <c r="CV14" s="232"/>
      <c r="CW14" s="232"/>
      <c r="CX14" s="232"/>
      <c r="CY14" s="232"/>
      <c r="CZ14" s="232"/>
      <c r="DA14" s="232"/>
      <c r="DB14" s="232"/>
      <c r="DC14" s="232"/>
      <c r="DD14" s="232"/>
      <c r="DE14" s="232"/>
      <c r="DF14" s="232"/>
      <c r="DG14" s="232"/>
      <c r="DH14" s="232"/>
      <c r="DI14" s="232"/>
      <c r="DJ14" s="232"/>
      <c r="DK14" s="232"/>
      <c r="DL14" s="232"/>
      <c r="DM14" s="232"/>
      <c r="DN14" s="232">
        <v>0</v>
      </c>
      <c r="DO14" s="232">
        <v>0</v>
      </c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</row>
    <row r="15" spans="1:145" ht="13.5" thickBot="1">
      <c r="A15" s="66">
        <v>14</v>
      </c>
      <c r="B15" s="78" t="s">
        <v>35</v>
      </c>
      <c r="C15" s="79"/>
      <c r="D15" s="143">
        <v>96</v>
      </c>
      <c r="E15" s="144">
        <v>0.3</v>
      </c>
      <c r="F15" s="145">
        <v>548</v>
      </c>
      <c r="G15" s="144">
        <v>2.9380000000000002</v>
      </c>
      <c r="H15" s="146"/>
      <c r="I15" s="147">
        <v>5.7599999999999998E-2</v>
      </c>
      <c r="J15" s="387" t="s">
        <v>123</v>
      </c>
      <c r="K15" s="388"/>
      <c r="N15" s="87"/>
      <c r="O15" s="1"/>
      <c r="P15" s="1"/>
      <c r="Q15" s="5"/>
      <c r="R15" s="5"/>
      <c r="S15" s="1"/>
      <c r="T15" s="79"/>
      <c r="U15" s="19">
        <v>0.54788880698858433</v>
      </c>
      <c r="V15" s="63">
        <v>163</v>
      </c>
      <c r="W15" s="242" t="str">
        <f>B5</f>
        <v>CH3OH</v>
      </c>
      <c r="X15" s="155" t="s">
        <v>17</v>
      </c>
      <c r="Y15" s="5"/>
      <c r="Z15" s="5"/>
      <c r="AA15" s="79"/>
      <c r="AB15" s="63"/>
      <c r="AC15" s="12"/>
      <c r="AD15" s="5"/>
      <c r="AE15" s="5"/>
      <c r="AF15" s="1"/>
      <c r="AG15" s="1"/>
      <c r="AH15" s="5"/>
      <c r="AI15" s="79">
        <v>367</v>
      </c>
      <c r="AJ15">
        <v>2.1909516076247127E-3</v>
      </c>
      <c r="AK15" s="5"/>
      <c r="AL15" s="7"/>
      <c r="AM15" s="106" t="s">
        <v>35</v>
      </c>
      <c r="AN15" s="192">
        <v>0.115</v>
      </c>
      <c r="AO15" s="197">
        <v>0.115</v>
      </c>
      <c r="AP15" s="7"/>
      <c r="AQ15" s="7"/>
      <c r="AR15">
        <v>0.05</v>
      </c>
      <c r="AS15" s="232">
        <v>3.5000000000000003E-2</v>
      </c>
      <c r="AT15" s="191">
        <v>0.02</v>
      </c>
      <c r="AU15" s="197">
        <v>5.0000000000000001E-3</v>
      </c>
      <c r="AV15" s="232">
        <v>5.0000000000000001E-3</v>
      </c>
      <c r="AW15" s="232">
        <v>5.0000000000000001E-3</v>
      </c>
      <c r="AX15" s="232">
        <v>0</v>
      </c>
      <c r="AY15" s="232">
        <v>0</v>
      </c>
      <c r="AZ15" s="232">
        <v>0</v>
      </c>
      <c r="BA15" s="290">
        <v>0</v>
      </c>
      <c r="BB15" s="232">
        <v>0</v>
      </c>
      <c r="BC15" s="232">
        <v>0</v>
      </c>
      <c r="BD15" s="232">
        <v>0</v>
      </c>
      <c r="BE15" s="232">
        <v>0</v>
      </c>
      <c r="BF15" s="232">
        <v>0</v>
      </c>
      <c r="BG15" s="232">
        <v>0</v>
      </c>
      <c r="BH15" s="232">
        <v>0</v>
      </c>
      <c r="BI15" s="232">
        <v>0</v>
      </c>
      <c r="BJ15" s="232">
        <v>0</v>
      </c>
      <c r="BK15" s="232">
        <v>0</v>
      </c>
      <c r="BL15" s="232">
        <v>0</v>
      </c>
      <c r="BM15" s="197">
        <v>0</v>
      </c>
      <c r="BN15" s="197">
        <v>0</v>
      </c>
      <c r="BO15" s="231">
        <v>0</v>
      </c>
      <c r="CQ15" s="192"/>
      <c r="CR15" s="197"/>
      <c r="CU15" s="232"/>
      <c r="CV15" s="232"/>
      <c r="CW15" s="232"/>
      <c r="CX15" s="232"/>
      <c r="CY15" s="232"/>
      <c r="CZ15" s="232"/>
      <c r="DA15" s="232"/>
      <c r="DB15" s="232"/>
      <c r="DC15" s="232"/>
      <c r="DD15" s="232"/>
      <c r="DE15" s="232"/>
      <c r="DF15" s="232"/>
      <c r="DG15" s="232"/>
      <c r="DH15" s="232"/>
      <c r="DI15" s="232"/>
      <c r="DJ15" s="232"/>
      <c r="DK15" s="232"/>
      <c r="DL15" s="232"/>
      <c r="DM15" s="232"/>
      <c r="DN15" s="232">
        <v>0</v>
      </c>
      <c r="DO15" s="232">
        <v>0</v>
      </c>
    </row>
    <row r="16" spans="1:145" ht="13.5" thickBot="1">
      <c r="A16" s="67">
        <v>15</v>
      </c>
      <c r="B16" s="78" t="s">
        <v>112</v>
      </c>
      <c r="C16" s="79"/>
      <c r="D16" s="145">
        <v>112.117</v>
      </c>
      <c r="E16" s="144">
        <v>0.32519999999999999</v>
      </c>
      <c r="F16" s="145">
        <v>585.23</v>
      </c>
      <c r="G16" s="144">
        <v>2.7890000000000001</v>
      </c>
      <c r="H16" s="146"/>
      <c r="I16" s="147">
        <v>4.2000000000000003E-2</v>
      </c>
      <c r="N16" s="86"/>
      <c r="O16" s="5"/>
      <c r="P16" s="1"/>
      <c r="Q16" s="5"/>
      <c r="R16" s="5"/>
      <c r="S16" s="1"/>
      <c r="T16" s="79"/>
      <c r="U16" s="19">
        <v>0.56715052285927681</v>
      </c>
      <c r="V16" s="63">
        <v>164</v>
      </c>
      <c r="W16" s="242" t="str">
        <f>B6</f>
        <v>H2S</v>
      </c>
      <c r="X16" s="155" t="s">
        <v>17</v>
      </c>
      <c r="Y16" s="5"/>
      <c r="Z16" s="5"/>
      <c r="AA16" s="79"/>
      <c r="AB16" s="63"/>
      <c r="AC16" s="12"/>
      <c r="AD16" s="5"/>
      <c r="AE16" s="5"/>
      <c r="AF16" s="1"/>
      <c r="AG16" s="1"/>
      <c r="AH16" s="5"/>
      <c r="AI16" s="79">
        <v>364</v>
      </c>
      <c r="AJ16">
        <v>2.131404399421132E-3</v>
      </c>
      <c r="AK16" s="5"/>
      <c r="AL16" s="7"/>
      <c r="AM16" s="106" t="s">
        <v>36</v>
      </c>
      <c r="AN16" s="192">
        <v>0.115</v>
      </c>
      <c r="AO16" s="197">
        <v>0.12</v>
      </c>
      <c r="AP16" s="7"/>
      <c r="AQ16" s="7"/>
      <c r="AR16">
        <v>0.05</v>
      </c>
      <c r="AS16" s="232">
        <v>0.04</v>
      </c>
      <c r="AT16" s="191">
        <v>0.02</v>
      </c>
      <c r="AU16" s="197">
        <v>5.0000000000000001E-3</v>
      </c>
      <c r="AV16" s="232">
        <v>5.0000000000000001E-3</v>
      </c>
      <c r="AW16" s="232">
        <v>5.0000000000000001E-3</v>
      </c>
      <c r="AX16" s="232">
        <v>0</v>
      </c>
      <c r="AY16" s="232">
        <v>0</v>
      </c>
      <c r="AZ16" s="232">
        <v>0</v>
      </c>
      <c r="BA16" s="232">
        <v>0</v>
      </c>
      <c r="BB16" s="290">
        <v>0</v>
      </c>
      <c r="BC16" s="232">
        <v>0</v>
      </c>
      <c r="BD16" s="232">
        <v>0</v>
      </c>
      <c r="BE16" s="232">
        <v>0</v>
      </c>
      <c r="BF16" s="232">
        <v>0</v>
      </c>
      <c r="BG16" s="232">
        <v>0</v>
      </c>
      <c r="BH16" s="232">
        <v>0</v>
      </c>
      <c r="BI16" s="232">
        <v>0</v>
      </c>
      <c r="BJ16" s="232">
        <v>0</v>
      </c>
      <c r="BK16" s="232">
        <v>0</v>
      </c>
      <c r="BL16" s="232">
        <v>0</v>
      </c>
      <c r="BM16" s="232">
        <v>0</v>
      </c>
      <c r="BN16" s="232">
        <v>0</v>
      </c>
      <c r="BO16" s="233">
        <v>0</v>
      </c>
      <c r="CQ16" s="192"/>
      <c r="CR16" s="197"/>
      <c r="CU16" s="232"/>
      <c r="CV16" s="232"/>
      <c r="CW16" s="232"/>
      <c r="CX16" s="232"/>
      <c r="CY16" s="232"/>
      <c r="CZ16" s="232"/>
      <c r="DA16" s="232"/>
      <c r="DB16" s="232"/>
      <c r="DC16" s="232"/>
      <c r="DD16" s="232"/>
      <c r="DE16" s="232"/>
      <c r="DF16" s="232"/>
      <c r="DG16" s="232"/>
      <c r="DH16" s="232"/>
      <c r="DI16" s="232"/>
      <c r="DJ16" s="232"/>
      <c r="DK16" s="232"/>
      <c r="DL16" s="232"/>
      <c r="DM16" s="232"/>
      <c r="DN16" s="232">
        <v>0</v>
      </c>
      <c r="DO16" s="232">
        <v>0</v>
      </c>
    </row>
    <row r="17" spans="1:119" ht="13.5" thickBot="1">
      <c r="A17" s="67">
        <v>16</v>
      </c>
      <c r="B17" s="78" t="s">
        <v>260</v>
      </c>
      <c r="C17" s="79"/>
      <c r="D17" s="270">
        <v>149.7927</v>
      </c>
      <c r="E17" s="271">
        <v>0.42459999999999998</v>
      </c>
      <c r="F17" s="270">
        <v>650.54</v>
      </c>
      <c r="G17" s="271">
        <v>2.2240000000000002</v>
      </c>
      <c r="H17" s="148"/>
      <c r="I17" s="272">
        <v>1.06E-2</v>
      </c>
      <c r="J17" s="173"/>
      <c r="K17" s="174"/>
      <c r="N17" s="87"/>
      <c r="O17" s="95"/>
      <c r="P17" s="1"/>
      <c r="Q17" s="5"/>
      <c r="R17" s="5"/>
      <c r="S17" s="5"/>
      <c r="T17" s="79"/>
      <c r="U17" s="19">
        <v>0.58598169256358879</v>
      </c>
      <c r="V17" s="63">
        <v>165</v>
      </c>
      <c r="W17" s="242" t="str">
        <f t="shared" ref="W17:W35" si="0">B7</f>
        <v>C1</v>
      </c>
      <c r="X17" s="155" t="s">
        <v>17</v>
      </c>
      <c r="Y17" s="5"/>
      <c r="Z17" s="5">
        <v>0.14070818963190754</v>
      </c>
      <c r="AA17" s="79">
        <v>0.36689927821527718</v>
      </c>
      <c r="AB17" s="63"/>
      <c r="AC17" s="12"/>
      <c r="AD17" s="5"/>
      <c r="AE17" s="5"/>
      <c r="AF17" s="1"/>
      <c r="AG17" s="1"/>
      <c r="AH17" s="5"/>
      <c r="AI17" s="79">
        <v>361</v>
      </c>
      <c r="AJ17">
        <v>2.0406141886171068E-3</v>
      </c>
      <c r="AK17" s="5"/>
      <c r="AL17" s="7"/>
      <c r="AM17" s="106" t="s">
        <v>37</v>
      </c>
      <c r="AN17" s="192">
        <v>0.115</v>
      </c>
      <c r="AO17" s="197">
        <v>0.12</v>
      </c>
      <c r="AP17" s="7"/>
      <c r="AQ17" s="7"/>
      <c r="AR17">
        <v>0.05</v>
      </c>
      <c r="AS17" s="232">
        <v>0.04</v>
      </c>
      <c r="AT17" s="191">
        <v>0.02</v>
      </c>
      <c r="AU17" s="197">
        <v>5.0000000000000001E-3</v>
      </c>
      <c r="AV17" s="232">
        <v>5.0000000000000001E-3</v>
      </c>
      <c r="AW17" s="232">
        <v>5.0000000000000001E-3</v>
      </c>
      <c r="AX17" s="232">
        <v>0</v>
      </c>
      <c r="AY17" s="232">
        <v>0</v>
      </c>
      <c r="AZ17" s="232">
        <v>0</v>
      </c>
      <c r="BA17" s="232">
        <v>0</v>
      </c>
      <c r="BB17" s="232">
        <v>0</v>
      </c>
      <c r="BC17" s="290">
        <v>0</v>
      </c>
      <c r="BD17" s="232">
        <v>0</v>
      </c>
      <c r="BE17" s="232">
        <v>0</v>
      </c>
      <c r="BF17" s="232">
        <v>0</v>
      </c>
      <c r="BG17" s="232">
        <v>0</v>
      </c>
      <c r="BH17" s="232">
        <v>0</v>
      </c>
      <c r="BI17" s="232">
        <v>0</v>
      </c>
      <c r="BJ17" s="232">
        <v>0</v>
      </c>
      <c r="BK17" s="232">
        <v>0</v>
      </c>
      <c r="BL17" s="232">
        <v>0</v>
      </c>
      <c r="BM17" s="197">
        <v>0</v>
      </c>
      <c r="BN17" s="197">
        <v>0</v>
      </c>
      <c r="BO17" s="231">
        <v>0</v>
      </c>
      <c r="CQ17" s="192"/>
      <c r="CR17" s="197"/>
      <c r="CU17" s="232"/>
      <c r="CV17" s="232"/>
      <c r="CW17" s="232"/>
      <c r="CX17" s="232"/>
      <c r="CY17" s="232"/>
      <c r="CZ17" s="232"/>
      <c r="DA17" s="232"/>
      <c r="DB17" s="232"/>
      <c r="DC17" s="232"/>
      <c r="DD17" s="232"/>
      <c r="DE17" s="232"/>
      <c r="DF17" s="232"/>
      <c r="DG17" s="232"/>
      <c r="DH17" s="232"/>
      <c r="DI17" s="232"/>
      <c r="DJ17" s="232"/>
      <c r="DK17" s="232"/>
      <c r="DL17" s="232"/>
      <c r="DM17" s="232"/>
      <c r="DN17" s="232">
        <v>0</v>
      </c>
      <c r="DO17" s="232">
        <v>0</v>
      </c>
    </row>
    <row r="18" spans="1:119" ht="13.5" thickBot="1">
      <c r="A18" s="66">
        <v>17</v>
      </c>
      <c r="B18" s="78" t="s">
        <v>236</v>
      </c>
      <c r="C18" s="79"/>
      <c r="D18" s="227">
        <v>223.3338</v>
      </c>
      <c r="E18" s="228">
        <v>0.58389999999999997</v>
      </c>
      <c r="F18" s="227">
        <v>740.27</v>
      </c>
      <c r="G18" s="228">
        <v>1.8</v>
      </c>
      <c r="H18" s="148"/>
      <c r="I18" s="229">
        <v>5.1999999999999998E-2</v>
      </c>
      <c r="N18" s="88"/>
      <c r="O18" s="5"/>
      <c r="P18" s="1"/>
      <c r="Q18" s="5"/>
      <c r="R18" s="5"/>
      <c r="S18" s="1"/>
      <c r="T18" s="79" t="s">
        <v>34</v>
      </c>
      <c r="U18" s="19">
        <v>0.60601036369613337</v>
      </c>
      <c r="V18" s="63">
        <v>166</v>
      </c>
      <c r="W18" s="242" t="str">
        <f t="shared" si="0"/>
        <v>C2</v>
      </c>
      <c r="X18" s="155" t="s">
        <v>17</v>
      </c>
      <c r="Y18" s="5"/>
      <c r="Z18" s="5">
        <v>0.2271686702547954</v>
      </c>
      <c r="AA18" s="79">
        <v>0.27442054861128556</v>
      </c>
      <c r="AB18" s="63"/>
      <c r="AC18" s="12"/>
      <c r="AD18" s="5"/>
      <c r="AE18" s="5"/>
      <c r="AF18" s="1"/>
      <c r="AG18" s="1"/>
      <c r="AH18" s="5"/>
      <c r="AI18" s="79">
        <v>358</v>
      </c>
      <c r="AJ18">
        <v>2.8048091347519413E-2</v>
      </c>
      <c r="AK18" s="5"/>
      <c r="AL18" s="7"/>
      <c r="AM18" s="106" t="s">
        <v>38</v>
      </c>
      <c r="AN18" s="192">
        <v>0.115</v>
      </c>
      <c r="AO18" s="197">
        <v>0.12</v>
      </c>
      <c r="AR18">
        <v>0.05</v>
      </c>
      <c r="AS18" s="232">
        <v>4.9500000000000002E-2</v>
      </c>
      <c r="AT18" s="191">
        <v>0.02</v>
      </c>
      <c r="AU18" s="197">
        <v>5.0000000000000001E-3</v>
      </c>
      <c r="AV18" s="232">
        <v>5.0000000000000001E-3</v>
      </c>
      <c r="AW18" s="232">
        <v>5.0000000000000001E-3</v>
      </c>
      <c r="AX18" s="232">
        <v>0</v>
      </c>
      <c r="AY18" s="232">
        <v>0</v>
      </c>
      <c r="AZ18" s="232">
        <v>0</v>
      </c>
      <c r="BA18" s="232">
        <v>0</v>
      </c>
      <c r="BB18" s="232">
        <v>0</v>
      </c>
      <c r="BC18" s="232">
        <v>0</v>
      </c>
      <c r="BD18" s="290">
        <v>0</v>
      </c>
      <c r="BE18" s="232">
        <v>0</v>
      </c>
      <c r="BF18" s="232">
        <v>0</v>
      </c>
      <c r="BG18" s="232">
        <v>0</v>
      </c>
      <c r="BH18" s="232">
        <v>0</v>
      </c>
      <c r="BI18" s="232">
        <v>0</v>
      </c>
      <c r="BJ18" s="232">
        <v>0</v>
      </c>
      <c r="BK18" s="232">
        <v>0</v>
      </c>
      <c r="BL18" s="232">
        <v>0</v>
      </c>
      <c r="BM18" s="197">
        <v>0</v>
      </c>
      <c r="BN18" s="197">
        <v>0</v>
      </c>
      <c r="BO18" s="231">
        <v>0</v>
      </c>
      <c r="CQ18" s="192"/>
      <c r="CR18" s="197"/>
      <c r="CU18" s="232"/>
      <c r="CV18" s="232"/>
      <c r="CW18" s="232"/>
      <c r="CX18" s="232"/>
      <c r="CY18" s="232"/>
      <c r="CZ18" s="232"/>
      <c r="DA18" s="232"/>
      <c r="DB18" s="232"/>
      <c r="DC18" s="232"/>
      <c r="DD18" s="232"/>
      <c r="DE18" s="232"/>
      <c r="DF18" s="232"/>
      <c r="DG18" s="232"/>
      <c r="DH18" s="232"/>
      <c r="DI18" s="232"/>
      <c r="DJ18" s="232"/>
      <c r="DK18" s="232"/>
      <c r="DL18" s="232"/>
      <c r="DM18" s="232"/>
      <c r="DN18" s="232">
        <v>0</v>
      </c>
      <c r="DO18" s="232">
        <v>0</v>
      </c>
    </row>
    <row r="19" spans="1:119" ht="13.5" thickBot="1">
      <c r="A19" s="67">
        <v>18</v>
      </c>
      <c r="B19" s="78" t="s">
        <v>259</v>
      </c>
      <c r="C19" s="79"/>
      <c r="D19" s="227">
        <v>344</v>
      </c>
      <c r="E19" s="228">
        <v>1.0521</v>
      </c>
      <c r="F19" s="227">
        <v>785.46</v>
      </c>
      <c r="G19" s="228">
        <v>1.42</v>
      </c>
      <c r="H19" s="148"/>
      <c r="I19" s="229">
        <v>9.2999999999999999E-2</v>
      </c>
      <c r="N19" s="89"/>
      <c r="O19" s="95"/>
      <c r="P19" s="1"/>
      <c r="Q19" s="5"/>
      <c r="R19" s="5"/>
      <c r="S19" s="1"/>
      <c r="T19" s="79"/>
      <c r="U19" s="19">
        <v>0.62613180155323156</v>
      </c>
      <c r="V19" s="63">
        <v>167</v>
      </c>
      <c r="W19" s="242" t="str">
        <f t="shared" si="0"/>
        <v>C3</v>
      </c>
      <c r="X19" s="155" t="s">
        <v>17</v>
      </c>
      <c r="Y19" s="5"/>
      <c r="Z19" s="5">
        <v>0.29368420115307042</v>
      </c>
      <c r="AA19" s="79">
        <v>0.20327507553396895</v>
      </c>
      <c r="AB19" s="63"/>
      <c r="AC19" s="12"/>
      <c r="AD19" s="5"/>
      <c r="AE19" s="5"/>
      <c r="AF19" s="1"/>
      <c r="AG19" s="1"/>
      <c r="AH19" s="5">
        <v>5.7000000000010265E-2</v>
      </c>
      <c r="AI19" s="79">
        <v>355</v>
      </c>
      <c r="AJ19">
        <v>2.2228036482423698E-2</v>
      </c>
      <c r="AK19" s="5"/>
      <c r="AL19" s="7"/>
      <c r="AM19" s="106" t="s">
        <v>39</v>
      </c>
      <c r="AN19" s="192">
        <v>0.115</v>
      </c>
      <c r="AO19" s="197">
        <v>0.12</v>
      </c>
      <c r="AR19">
        <v>0.05</v>
      </c>
      <c r="AS19" s="232">
        <v>9.8000000000000004E-2</v>
      </c>
      <c r="AT19" s="191">
        <v>0.02</v>
      </c>
      <c r="AU19" s="197">
        <v>5.0000000000000001E-3</v>
      </c>
      <c r="AV19" s="232">
        <v>5.0000000000000001E-3</v>
      </c>
      <c r="AW19" s="232">
        <v>5.0000000000000001E-3</v>
      </c>
      <c r="AX19" s="232">
        <v>0</v>
      </c>
      <c r="AY19" s="232">
        <v>0</v>
      </c>
      <c r="AZ19" s="232">
        <v>0</v>
      </c>
      <c r="BA19" s="232">
        <v>0</v>
      </c>
      <c r="BB19" s="232">
        <v>0</v>
      </c>
      <c r="BC19" s="232">
        <v>0</v>
      </c>
      <c r="BD19" s="232">
        <v>0</v>
      </c>
      <c r="BE19" s="290">
        <v>0</v>
      </c>
      <c r="BF19" s="232">
        <v>0</v>
      </c>
      <c r="BG19" s="232">
        <v>0</v>
      </c>
      <c r="BH19" s="232">
        <v>0</v>
      </c>
      <c r="BI19" s="232">
        <v>0</v>
      </c>
      <c r="BJ19" s="232">
        <v>0</v>
      </c>
      <c r="BK19" s="232">
        <v>0</v>
      </c>
      <c r="BL19" s="232">
        <v>0</v>
      </c>
      <c r="BM19" s="197">
        <v>0</v>
      </c>
      <c r="BN19" s="197">
        <v>0</v>
      </c>
      <c r="BO19" s="231">
        <v>0</v>
      </c>
      <c r="CQ19" s="192"/>
      <c r="CR19" s="197"/>
      <c r="CU19" s="232"/>
      <c r="CV19" s="232"/>
      <c r="CW19" s="232"/>
      <c r="CX19" s="232"/>
      <c r="CY19" s="232"/>
      <c r="CZ19" s="232"/>
      <c r="DA19" s="232"/>
      <c r="DB19" s="232"/>
      <c r="DC19" s="232"/>
      <c r="DD19" s="232"/>
      <c r="DE19" s="232"/>
      <c r="DF19" s="232"/>
      <c r="DG19" s="232"/>
      <c r="DH19" s="232"/>
      <c r="DI19" s="232"/>
      <c r="DJ19" s="232"/>
      <c r="DK19" s="232"/>
      <c r="DL19" s="232"/>
      <c r="DM19" s="232"/>
      <c r="DN19" s="232">
        <v>0</v>
      </c>
      <c r="DO19" s="232">
        <v>0</v>
      </c>
    </row>
    <row r="20" spans="1:119" ht="13.5" thickBot="1">
      <c r="A20" s="67">
        <v>19</v>
      </c>
      <c r="B20" s="78" t="s">
        <v>251</v>
      </c>
      <c r="C20" s="374"/>
      <c r="D20" s="227">
        <v>58.45</v>
      </c>
      <c r="E20" s="228">
        <v>1</v>
      </c>
      <c r="F20" s="227">
        <v>700</v>
      </c>
      <c r="G20" s="228">
        <v>3.55</v>
      </c>
      <c r="H20" s="148"/>
      <c r="I20" s="229">
        <v>0.7</v>
      </c>
      <c r="N20" s="88"/>
      <c r="O20" s="1"/>
      <c r="P20" s="1"/>
      <c r="Q20" s="5"/>
      <c r="R20" s="5"/>
      <c r="S20" s="1"/>
      <c r="T20" s="79"/>
      <c r="U20" s="19">
        <v>0.64692133402667862</v>
      </c>
      <c r="V20" s="63">
        <v>168</v>
      </c>
      <c r="W20" s="242" t="str">
        <f t="shared" si="0"/>
        <v>iC4</v>
      </c>
      <c r="X20" s="155" t="s">
        <v>17</v>
      </c>
      <c r="Y20" s="5"/>
      <c r="Z20" s="5">
        <v>0.33843893896023541</v>
      </c>
      <c r="AA20" s="79">
        <v>0.15540509763945898</v>
      </c>
      <c r="AB20" s="63"/>
      <c r="AC20" s="12"/>
      <c r="AD20" s="5"/>
      <c r="AE20" s="5"/>
      <c r="AF20" s="1"/>
      <c r="AG20" s="1"/>
      <c r="AH20" s="5"/>
      <c r="AI20" s="79">
        <v>352</v>
      </c>
      <c r="AJ20">
        <v>3.7391293847139056E-4</v>
      </c>
      <c r="AK20" s="5"/>
      <c r="AL20" s="7"/>
      <c r="AM20" s="106" t="s">
        <v>40</v>
      </c>
      <c r="AN20" s="192">
        <v>0.115</v>
      </c>
      <c r="AO20" s="197">
        <v>0.12</v>
      </c>
      <c r="AR20">
        <v>0.05</v>
      </c>
      <c r="AS20" s="1">
        <v>0.05</v>
      </c>
      <c r="AT20" s="191">
        <v>0.02</v>
      </c>
      <c r="AU20" s="197">
        <v>5.0000000000000001E-3</v>
      </c>
      <c r="AV20" s="232">
        <v>5.0000000000000001E-3</v>
      </c>
      <c r="AW20" s="232">
        <v>5.0000000000000001E-3</v>
      </c>
      <c r="AX20" s="232">
        <v>0</v>
      </c>
      <c r="AY20" s="232">
        <v>0</v>
      </c>
      <c r="AZ20" s="232">
        <v>0</v>
      </c>
      <c r="BA20" s="232">
        <v>0</v>
      </c>
      <c r="BB20" s="232">
        <v>0</v>
      </c>
      <c r="BC20" s="232">
        <v>0</v>
      </c>
      <c r="BD20" s="232">
        <v>0</v>
      </c>
      <c r="BE20" s="232">
        <v>0</v>
      </c>
      <c r="BF20" s="290">
        <v>0</v>
      </c>
      <c r="BG20" s="232">
        <v>0</v>
      </c>
      <c r="BH20" s="232">
        <v>0</v>
      </c>
      <c r="BI20" s="232">
        <v>0</v>
      </c>
      <c r="BJ20" s="232">
        <v>0</v>
      </c>
      <c r="BK20" s="232">
        <v>0</v>
      </c>
      <c r="BL20" s="232">
        <v>0</v>
      </c>
      <c r="BM20" s="197">
        <v>0</v>
      </c>
      <c r="BN20" s="197">
        <v>0</v>
      </c>
      <c r="BO20" s="231">
        <v>0</v>
      </c>
      <c r="CQ20" s="192"/>
      <c r="CR20" s="197"/>
      <c r="CU20" s="232"/>
      <c r="CV20" s="232"/>
      <c r="CW20" s="232"/>
      <c r="CX20" s="232"/>
      <c r="CY20" s="232"/>
      <c r="CZ20" s="232"/>
      <c r="DA20" s="232"/>
      <c r="DB20" s="232"/>
      <c r="DC20" s="232"/>
      <c r="DD20" s="232"/>
      <c r="DE20" s="232"/>
      <c r="DF20" s="232"/>
      <c r="DG20" s="232"/>
      <c r="DH20" s="232"/>
      <c r="DI20" s="232"/>
      <c r="DJ20" s="232"/>
      <c r="DK20" s="232"/>
      <c r="DL20" s="232"/>
      <c r="DM20" s="232"/>
      <c r="DN20" s="232">
        <v>0</v>
      </c>
      <c r="DO20" s="232">
        <v>0</v>
      </c>
    </row>
    <row r="21" spans="1:119" ht="14.25" thickTop="1" thickBot="1">
      <c r="A21" s="66">
        <v>20</v>
      </c>
      <c r="B21" s="78" t="s">
        <v>41</v>
      </c>
      <c r="C21" s="7"/>
      <c r="D21" s="227"/>
      <c r="E21" s="228"/>
      <c r="F21" s="227"/>
      <c r="G21" s="228"/>
      <c r="H21" s="148"/>
      <c r="I21" s="229"/>
      <c r="J21" s="175" t="s">
        <v>137</v>
      </c>
      <c r="K21" s="111" t="s">
        <v>138</v>
      </c>
      <c r="N21" s="89"/>
      <c r="O21" s="1"/>
      <c r="P21" s="1"/>
      <c r="Q21" s="5"/>
      <c r="R21" s="5"/>
      <c r="S21" s="1"/>
      <c r="T21" s="79"/>
      <c r="U21" s="20">
        <v>0.66776938483027282</v>
      </c>
      <c r="V21" s="63">
        <v>169</v>
      </c>
      <c r="W21" s="242" t="str">
        <f t="shared" si="0"/>
        <v>nC4</v>
      </c>
      <c r="X21" s="155" t="s">
        <v>17</v>
      </c>
      <c r="Y21" s="5"/>
      <c r="Z21" s="5"/>
      <c r="AA21" s="79"/>
      <c r="AB21" s="63"/>
      <c r="AC21" s="12"/>
      <c r="AD21" s="5"/>
      <c r="AE21" s="5"/>
      <c r="AF21" s="1"/>
      <c r="AG21" s="1"/>
      <c r="AH21" s="5"/>
      <c r="AI21" s="5">
        <v>349</v>
      </c>
      <c r="AJ21" s="7">
        <v>1.0181933873528953E-2</v>
      </c>
      <c r="AK21" s="79"/>
      <c r="AL21" s="10"/>
      <c r="AM21" s="106" t="s">
        <v>41</v>
      </c>
      <c r="AN21" s="192">
        <v>0.115</v>
      </c>
      <c r="AO21" s="197">
        <v>0.12</v>
      </c>
      <c r="AR21">
        <v>0.05</v>
      </c>
      <c r="AS21" s="1">
        <v>0.05</v>
      </c>
      <c r="AT21" s="191">
        <v>0.02</v>
      </c>
      <c r="AU21" s="197">
        <v>5.0000000000000001E-3</v>
      </c>
      <c r="AV21" s="232">
        <v>5.0000000000000001E-3</v>
      </c>
      <c r="AW21" s="232">
        <v>5.0000000000000001E-3</v>
      </c>
      <c r="AX21" s="232">
        <v>0</v>
      </c>
      <c r="AY21" s="232">
        <v>0</v>
      </c>
      <c r="AZ21" s="232">
        <v>0</v>
      </c>
      <c r="BA21" s="232">
        <v>0</v>
      </c>
      <c r="BB21" s="232">
        <v>0</v>
      </c>
      <c r="BC21" s="232">
        <v>0</v>
      </c>
      <c r="BD21" s="232">
        <v>0</v>
      </c>
      <c r="BE21" s="232">
        <v>0</v>
      </c>
      <c r="BF21" s="232">
        <v>0</v>
      </c>
      <c r="BG21" s="290">
        <v>0</v>
      </c>
      <c r="BH21" s="232">
        <v>0</v>
      </c>
      <c r="BI21" s="232">
        <v>0</v>
      </c>
      <c r="BJ21" s="232">
        <v>0</v>
      </c>
      <c r="BK21" s="232">
        <v>0</v>
      </c>
      <c r="BL21" s="232">
        <v>0</v>
      </c>
      <c r="BM21" s="197">
        <v>0</v>
      </c>
      <c r="BN21" s="197">
        <v>0</v>
      </c>
      <c r="BO21" s="231">
        <v>0</v>
      </c>
      <c r="CQ21" s="192"/>
      <c r="CR21" s="197"/>
      <c r="CU21" s="197"/>
      <c r="CV21" s="232"/>
      <c r="CW21" s="232"/>
      <c r="CX21" s="232"/>
      <c r="CY21" s="232"/>
      <c r="CZ21" s="232"/>
      <c r="DA21" s="232"/>
      <c r="DB21" s="232"/>
      <c r="DC21" s="232"/>
      <c r="DD21" s="232"/>
      <c r="DE21" s="232"/>
      <c r="DF21" s="232"/>
      <c r="DG21" s="232"/>
      <c r="DH21" s="232"/>
      <c r="DI21" s="232"/>
      <c r="DJ21" s="232"/>
      <c r="DK21" s="232"/>
      <c r="DL21" s="232"/>
      <c r="DM21" s="232"/>
      <c r="DN21" s="232">
        <v>0</v>
      </c>
      <c r="DO21" s="232">
        <v>0</v>
      </c>
    </row>
    <row r="22" spans="1:119" ht="13.5" thickBot="1">
      <c r="A22" s="67">
        <v>21</v>
      </c>
      <c r="B22" s="78" t="s">
        <v>42</v>
      </c>
      <c r="D22" s="227"/>
      <c r="E22" s="228"/>
      <c r="F22" s="227"/>
      <c r="G22" s="228"/>
      <c r="H22" s="227"/>
      <c r="I22" s="229"/>
      <c r="J22" s="178">
        <v>1.7</v>
      </c>
      <c r="K22" s="5">
        <v>293.14</v>
      </c>
      <c r="N22" s="90"/>
      <c r="O22" s="1"/>
      <c r="P22" s="1"/>
      <c r="Q22" s="5"/>
      <c r="R22" s="5"/>
      <c r="S22" s="1"/>
      <c r="T22" s="79"/>
      <c r="U22" s="20">
        <v>0.68928929664609218</v>
      </c>
      <c r="V22" s="63">
        <v>170</v>
      </c>
      <c r="W22" s="242" t="str">
        <f t="shared" si="0"/>
        <v>iC5</v>
      </c>
      <c r="X22" s="155" t="s">
        <v>17</v>
      </c>
      <c r="Y22" s="5"/>
      <c r="Z22" s="5"/>
      <c r="AA22" s="79"/>
      <c r="AB22" s="63"/>
      <c r="AC22" s="12"/>
      <c r="AD22" s="5"/>
      <c r="AE22" s="5"/>
      <c r="AF22" s="1"/>
      <c r="AG22" s="1"/>
      <c r="AH22" s="5"/>
      <c r="AI22" s="5">
        <v>346</v>
      </c>
      <c r="AJ22">
        <v>6.6372021849886243E-3</v>
      </c>
      <c r="AK22" s="79"/>
      <c r="AL22" s="10"/>
      <c r="AM22" s="106" t="s">
        <v>42</v>
      </c>
      <c r="AN22" s="192">
        <v>0.115</v>
      </c>
      <c r="AO22" s="197">
        <v>0.12</v>
      </c>
      <c r="AR22">
        <v>0.05</v>
      </c>
      <c r="AS22" s="1">
        <v>5.5E-2</v>
      </c>
      <c r="AT22" s="191">
        <v>0.02</v>
      </c>
      <c r="AU22" s="197">
        <v>5.0000000000000001E-3</v>
      </c>
      <c r="AV22" s="232">
        <v>5.0000000000000001E-3</v>
      </c>
      <c r="AW22" s="232">
        <v>5.0000000000000001E-3</v>
      </c>
      <c r="AX22" s="232">
        <v>0</v>
      </c>
      <c r="AY22" s="232">
        <v>0</v>
      </c>
      <c r="AZ22" s="232">
        <v>0</v>
      </c>
      <c r="BA22" s="232">
        <v>0</v>
      </c>
      <c r="BB22" s="232">
        <v>0</v>
      </c>
      <c r="BC22" s="232">
        <v>0</v>
      </c>
      <c r="BD22" s="232">
        <v>0</v>
      </c>
      <c r="BE22" s="232">
        <v>0</v>
      </c>
      <c r="BF22" s="232">
        <v>0</v>
      </c>
      <c r="BG22" s="232">
        <v>0</v>
      </c>
      <c r="BH22" s="290">
        <v>0</v>
      </c>
      <c r="BI22" s="232">
        <v>0</v>
      </c>
      <c r="BJ22" s="232">
        <v>0</v>
      </c>
      <c r="BK22" s="232">
        <v>0</v>
      </c>
      <c r="BL22" s="232">
        <v>0</v>
      </c>
      <c r="BM22" s="197">
        <v>0</v>
      </c>
      <c r="BN22" s="197">
        <v>0</v>
      </c>
      <c r="BO22" s="231">
        <v>0</v>
      </c>
      <c r="CQ22" s="192"/>
      <c r="CR22" s="197"/>
      <c r="CU22" s="191"/>
      <c r="CV22" s="197"/>
      <c r="CW22" s="232"/>
      <c r="CX22" s="232"/>
      <c r="CY22" s="232"/>
      <c r="CZ22" s="232"/>
      <c r="DA22" s="232"/>
      <c r="DB22" s="232"/>
      <c r="DC22" s="232"/>
      <c r="DD22" s="232"/>
      <c r="DE22" s="232"/>
      <c r="DF22" s="232"/>
      <c r="DG22" s="232"/>
      <c r="DH22" s="232"/>
      <c r="DI22" s="232"/>
      <c r="DJ22" s="232"/>
      <c r="DK22" s="232"/>
      <c r="DL22" s="232"/>
      <c r="DM22" s="232"/>
      <c r="DN22" s="232">
        <v>0</v>
      </c>
      <c r="DO22" s="232">
        <v>0</v>
      </c>
    </row>
    <row r="23" spans="1:119" ht="13.5" thickTop="1">
      <c r="A23" s="67">
        <v>22</v>
      </c>
      <c r="B23" s="78" t="s">
        <v>43</v>
      </c>
      <c r="D23" s="227"/>
      <c r="E23" s="228"/>
      <c r="F23" s="227"/>
      <c r="G23" s="228"/>
      <c r="H23" s="227"/>
      <c r="I23" s="229"/>
      <c r="N23" s="90"/>
      <c r="O23" s="1"/>
      <c r="P23" s="1"/>
      <c r="Q23" s="5"/>
      <c r="R23" s="5"/>
      <c r="S23" s="1"/>
      <c r="T23" s="79"/>
      <c r="U23" s="20">
        <v>0.71082958716628253</v>
      </c>
      <c r="V23" s="63">
        <v>171</v>
      </c>
      <c r="W23" s="242" t="str">
        <f t="shared" si="0"/>
        <v>nC5</v>
      </c>
      <c r="X23" s="155" t="s">
        <v>17</v>
      </c>
      <c r="Y23" s="5"/>
      <c r="Z23" s="5"/>
      <c r="AA23" s="79"/>
      <c r="AB23" s="63"/>
      <c r="AC23" s="12"/>
      <c r="AD23" s="5"/>
      <c r="AE23" s="5"/>
      <c r="AF23" s="1"/>
      <c r="AG23" s="1"/>
      <c r="AH23" s="5"/>
      <c r="AI23" s="5">
        <v>343</v>
      </c>
      <c r="AJ23">
        <v>6.1517477774906812E-3</v>
      </c>
      <c r="AK23" s="79"/>
      <c r="AL23" s="288"/>
      <c r="AM23" s="106" t="s">
        <v>43</v>
      </c>
      <c r="AN23" s="192">
        <v>0.115</v>
      </c>
      <c r="AO23" s="197">
        <v>0.12</v>
      </c>
      <c r="AR23">
        <v>0.05</v>
      </c>
      <c r="AS23" s="1">
        <v>5.5E-2</v>
      </c>
      <c r="AT23" s="191">
        <v>0.02</v>
      </c>
      <c r="AU23" s="197">
        <v>5.0000000000000001E-3</v>
      </c>
      <c r="AV23" s="232">
        <v>5.0000000000000001E-3</v>
      </c>
      <c r="AW23" s="232">
        <v>5.0000000000000001E-3</v>
      </c>
      <c r="AX23" s="232">
        <v>0</v>
      </c>
      <c r="AY23" s="232">
        <v>0</v>
      </c>
      <c r="AZ23" s="232">
        <v>0</v>
      </c>
      <c r="BA23" s="232">
        <v>0</v>
      </c>
      <c r="BB23" s="232">
        <v>0</v>
      </c>
      <c r="BC23" s="232">
        <v>0</v>
      </c>
      <c r="BD23" s="232">
        <v>0</v>
      </c>
      <c r="BE23" s="232">
        <v>0</v>
      </c>
      <c r="BF23" s="232">
        <v>0</v>
      </c>
      <c r="BG23" s="232">
        <v>0</v>
      </c>
      <c r="BH23" s="232">
        <v>0</v>
      </c>
      <c r="BI23" s="290">
        <v>0</v>
      </c>
      <c r="BJ23" s="232">
        <v>0</v>
      </c>
      <c r="BK23" s="232">
        <v>0</v>
      </c>
      <c r="BL23" s="232">
        <v>0</v>
      </c>
      <c r="BM23" s="197">
        <v>0</v>
      </c>
      <c r="BN23" s="197">
        <v>0</v>
      </c>
      <c r="BO23" s="231">
        <v>0</v>
      </c>
      <c r="CQ23" s="192"/>
      <c r="CR23" s="197"/>
      <c r="CU23" s="191"/>
      <c r="CV23" s="191"/>
      <c r="CW23" s="197"/>
      <c r="CX23" s="232"/>
      <c r="CY23" s="232"/>
      <c r="CZ23" s="232"/>
      <c r="DA23" s="232"/>
      <c r="DB23" s="232"/>
      <c r="DC23" s="232"/>
      <c r="DD23" s="232"/>
      <c r="DE23" s="232"/>
      <c r="DF23" s="232"/>
      <c r="DG23" s="232"/>
      <c r="DH23" s="232"/>
      <c r="DI23" s="232"/>
      <c r="DJ23" s="232"/>
      <c r="DK23" s="232"/>
      <c r="DL23" s="232"/>
      <c r="DM23" s="232"/>
      <c r="DN23" s="232">
        <v>0</v>
      </c>
      <c r="DO23" s="232">
        <v>0</v>
      </c>
    </row>
    <row r="24" spans="1:119" ht="13.9" customHeight="1" thickBot="1">
      <c r="A24" s="66">
        <v>23</v>
      </c>
      <c r="B24" s="78" t="s">
        <v>44</v>
      </c>
      <c r="D24" s="227"/>
      <c r="E24" s="228"/>
      <c r="F24" s="227"/>
      <c r="G24" s="228"/>
      <c r="H24" s="227"/>
      <c r="I24" s="229"/>
      <c r="L24" s="172"/>
      <c r="M24" s="172"/>
      <c r="N24" s="171"/>
      <c r="O24" s="172"/>
      <c r="P24" s="172"/>
      <c r="Q24" s="172"/>
      <c r="R24" s="172"/>
      <c r="S24" s="172"/>
      <c r="T24" s="170"/>
      <c r="U24" s="20">
        <v>0.7330430117652289</v>
      </c>
      <c r="V24" s="63">
        <v>172</v>
      </c>
      <c r="W24" s="242" t="str">
        <f t="shared" si="0"/>
        <v>C6</v>
      </c>
      <c r="X24" s="155" t="s">
        <v>17</v>
      </c>
      <c r="Y24" s="5"/>
      <c r="Z24" s="5"/>
      <c r="AA24" s="79"/>
      <c r="AB24" s="116"/>
      <c r="AC24" s="12"/>
      <c r="AD24" s="5"/>
      <c r="AE24" s="1"/>
      <c r="AF24" s="1"/>
      <c r="AG24" s="1"/>
      <c r="AH24" s="1"/>
      <c r="AI24" s="5">
        <v>340</v>
      </c>
      <c r="AJ24">
        <v>5.4477140151374314E-3</v>
      </c>
      <c r="AK24" s="79"/>
      <c r="AL24" s="289"/>
      <c r="AM24" s="106" t="s">
        <v>44</v>
      </c>
      <c r="AN24" s="192">
        <v>0.115</v>
      </c>
      <c r="AO24" s="197">
        <v>0.12</v>
      </c>
      <c r="AR24">
        <v>0.05</v>
      </c>
      <c r="AS24" s="191">
        <v>0.06</v>
      </c>
      <c r="AT24" s="191">
        <v>0.02</v>
      </c>
      <c r="AU24" s="197">
        <v>5.0000000000000001E-3</v>
      </c>
      <c r="AV24" s="232">
        <v>5.0000000000000001E-3</v>
      </c>
      <c r="AW24" s="232">
        <v>5.0000000000000001E-3</v>
      </c>
      <c r="AX24" s="232">
        <v>0</v>
      </c>
      <c r="AY24" s="232">
        <v>0</v>
      </c>
      <c r="AZ24" s="232">
        <v>0</v>
      </c>
      <c r="BA24" s="232">
        <v>0</v>
      </c>
      <c r="BB24" s="232">
        <v>0</v>
      </c>
      <c r="BC24" s="232">
        <v>0</v>
      </c>
      <c r="BD24" s="232">
        <v>0</v>
      </c>
      <c r="BE24" s="232">
        <v>0</v>
      </c>
      <c r="BF24" s="232">
        <v>0</v>
      </c>
      <c r="BG24" s="232">
        <v>0</v>
      </c>
      <c r="BH24" s="232">
        <v>0</v>
      </c>
      <c r="BI24" s="232">
        <v>0</v>
      </c>
      <c r="BJ24" s="290">
        <v>0</v>
      </c>
      <c r="BK24" s="232">
        <v>0</v>
      </c>
      <c r="BL24" s="232">
        <v>0</v>
      </c>
      <c r="BM24" s="197">
        <v>0</v>
      </c>
      <c r="BN24" s="197">
        <v>0</v>
      </c>
      <c r="BO24" s="231">
        <v>0</v>
      </c>
      <c r="CQ24" s="192"/>
      <c r="CR24" s="197"/>
      <c r="CV24" s="191"/>
      <c r="CW24" s="191"/>
      <c r="CX24" s="197"/>
      <c r="CY24" s="232"/>
      <c r="CZ24" s="232"/>
      <c r="DA24" s="232"/>
      <c r="DB24" s="232"/>
      <c r="DC24" s="232"/>
      <c r="DD24" s="232"/>
      <c r="DE24" s="232"/>
      <c r="DF24" s="232"/>
      <c r="DG24" s="232"/>
      <c r="DH24" s="232"/>
      <c r="DI24" s="232"/>
      <c r="DJ24" s="232"/>
      <c r="DK24" s="232"/>
      <c r="DL24" s="232"/>
      <c r="DM24" s="232"/>
      <c r="DN24" s="232">
        <v>0</v>
      </c>
      <c r="DO24" s="232">
        <v>0</v>
      </c>
    </row>
    <row r="25" spans="1:119" ht="12.75" customHeight="1" thickTop="1" thickBot="1">
      <c r="A25" s="67">
        <v>24</v>
      </c>
      <c r="B25" s="78" t="s">
        <v>45</v>
      </c>
      <c r="C25" s="230"/>
      <c r="D25" s="227"/>
      <c r="E25" s="228"/>
      <c r="F25" s="227"/>
      <c r="G25" s="228"/>
      <c r="H25" s="227"/>
      <c r="I25" s="229"/>
      <c r="J25" s="176" t="s">
        <v>135</v>
      </c>
      <c r="K25" s="177">
        <v>40</v>
      </c>
      <c r="N25" s="90"/>
      <c r="O25" s="1"/>
      <c r="P25" s="1"/>
      <c r="Q25" s="5"/>
      <c r="R25" s="5"/>
      <c r="S25" s="1"/>
      <c r="T25" s="79"/>
      <c r="U25" s="20">
        <v>0.75523474356671527</v>
      </c>
      <c r="V25" s="63">
        <v>173</v>
      </c>
      <c r="W25" s="242" t="str">
        <f t="shared" si="0"/>
        <v>С7</v>
      </c>
      <c r="X25" s="155" t="s">
        <v>17</v>
      </c>
      <c r="Y25" s="5"/>
      <c r="Z25" s="5"/>
      <c r="AA25" s="79"/>
      <c r="AB25" s="116"/>
      <c r="AC25" s="12"/>
      <c r="AD25" s="5"/>
      <c r="AE25" s="1"/>
      <c r="AF25" s="1"/>
      <c r="AG25" s="1"/>
      <c r="AH25" s="1"/>
      <c r="AI25" s="5">
        <v>337</v>
      </c>
      <c r="AJ25">
        <v>7.1816574099218199E-4</v>
      </c>
      <c r="AK25" s="79"/>
      <c r="AL25" s="10"/>
      <c r="AM25" s="106" t="s">
        <v>45</v>
      </c>
      <c r="AN25" s="192">
        <v>0.115</v>
      </c>
      <c r="AO25" s="197">
        <v>0.12</v>
      </c>
      <c r="AR25">
        <v>0.05</v>
      </c>
      <c r="AS25" s="191">
        <v>0.06</v>
      </c>
      <c r="AT25" s="191">
        <v>0.02</v>
      </c>
      <c r="AU25" s="197">
        <v>5.0000000000000001E-3</v>
      </c>
      <c r="AV25" s="232">
        <v>5.0000000000000001E-3</v>
      </c>
      <c r="AW25" s="232">
        <v>5.0000000000000001E-3</v>
      </c>
      <c r="AX25" s="232">
        <v>0</v>
      </c>
      <c r="AY25" s="232">
        <v>0</v>
      </c>
      <c r="AZ25" s="232">
        <v>0</v>
      </c>
      <c r="BA25" s="232">
        <v>0</v>
      </c>
      <c r="BB25" s="232">
        <v>0</v>
      </c>
      <c r="BC25" s="232">
        <v>0</v>
      </c>
      <c r="BD25" s="232">
        <v>0</v>
      </c>
      <c r="BE25" s="232">
        <v>0</v>
      </c>
      <c r="BF25" s="232">
        <v>0</v>
      </c>
      <c r="BG25" s="232">
        <v>0</v>
      </c>
      <c r="BH25" s="232">
        <v>0</v>
      </c>
      <c r="BI25" s="232">
        <v>0</v>
      </c>
      <c r="BJ25" s="232">
        <v>0</v>
      </c>
      <c r="BK25" s="290">
        <v>0</v>
      </c>
      <c r="BL25" s="232">
        <v>0</v>
      </c>
      <c r="BM25" s="197">
        <v>0</v>
      </c>
      <c r="BN25" s="197">
        <v>0</v>
      </c>
      <c r="BO25" s="231">
        <v>0</v>
      </c>
      <c r="CQ25" s="192"/>
      <c r="CR25" s="197"/>
      <c r="CV25" s="191"/>
      <c r="CW25" s="191"/>
      <c r="CX25" s="197"/>
      <c r="CY25" s="232"/>
      <c r="CZ25" s="232"/>
      <c r="DA25" s="232"/>
      <c r="DB25" s="232"/>
      <c r="DC25" s="232"/>
      <c r="DD25" s="232"/>
      <c r="DE25" s="232"/>
      <c r="DF25" s="232"/>
      <c r="DG25" s="232"/>
      <c r="DH25" s="232"/>
      <c r="DI25" s="232"/>
      <c r="DJ25" s="232"/>
      <c r="DK25" s="232"/>
      <c r="DL25" s="232"/>
      <c r="DM25" s="232"/>
      <c r="DN25" s="290">
        <v>0</v>
      </c>
      <c r="DO25" s="232">
        <v>0</v>
      </c>
    </row>
    <row r="26" spans="1:119" ht="19.5" thickTop="1" thickBot="1">
      <c r="A26" s="265"/>
      <c r="B26" s="266" t="s">
        <v>128</v>
      </c>
      <c r="C26" s="363">
        <f>SUM(C2:C25)</f>
        <v>1</v>
      </c>
      <c r="D26" s="382" t="str">
        <f>IF(C26=1,"/|\","Неполный компонентный состав")</f>
        <v>/|\</v>
      </c>
      <c r="E26" s="383"/>
      <c r="F26" s="383"/>
      <c r="G26" s="384"/>
      <c r="H26" s="169"/>
      <c r="I26" s="38"/>
      <c r="J26" s="52"/>
      <c r="K26" s="5"/>
      <c r="N26" s="80"/>
      <c r="O26" s="1"/>
      <c r="P26" s="1"/>
      <c r="Q26" s="5"/>
      <c r="R26" s="5"/>
      <c r="S26" s="1"/>
      <c r="T26" s="79"/>
      <c r="U26" s="20">
        <v>0.77809829537391084</v>
      </c>
      <c r="V26" s="63">
        <v>174</v>
      </c>
      <c r="W26" s="242" t="str">
        <f t="shared" si="0"/>
        <v>C8+</v>
      </c>
      <c r="X26" s="155" t="s">
        <v>17</v>
      </c>
      <c r="Y26" s="5"/>
      <c r="Z26" s="5"/>
      <c r="AA26" s="79"/>
      <c r="AB26" s="116"/>
      <c r="AC26" s="23"/>
      <c r="AD26" s="95"/>
      <c r="AE26" s="5"/>
      <c r="AF26" s="1"/>
      <c r="AG26" s="1"/>
      <c r="AH26" s="5"/>
      <c r="AI26" s="5">
        <v>334</v>
      </c>
      <c r="AJ26">
        <v>1.8192055601002138E-3</v>
      </c>
      <c r="AK26" s="79"/>
      <c r="AL26" s="79"/>
      <c r="AM26" s="189" t="s">
        <v>82</v>
      </c>
      <c r="AN26" s="192">
        <v>0.115</v>
      </c>
      <c r="AO26" s="197">
        <v>0.12</v>
      </c>
      <c r="AR26">
        <v>0.05</v>
      </c>
      <c r="AS26" s="191">
        <v>0.06</v>
      </c>
      <c r="AT26" s="191">
        <v>0.02</v>
      </c>
      <c r="AU26" s="197">
        <v>5.0000000000000001E-3</v>
      </c>
      <c r="AV26" s="232">
        <v>5.0000000000000001E-3</v>
      </c>
      <c r="AW26" s="232">
        <v>5.0000000000000001E-3</v>
      </c>
      <c r="AX26" s="232">
        <v>0</v>
      </c>
      <c r="AY26" s="232">
        <v>0</v>
      </c>
      <c r="AZ26" s="232">
        <v>0</v>
      </c>
      <c r="BA26" s="232">
        <v>0</v>
      </c>
      <c r="BB26" s="232">
        <v>0</v>
      </c>
      <c r="BC26" s="232">
        <v>0</v>
      </c>
      <c r="BD26" s="232">
        <v>0</v>
      </c>
      <c r="BE26" s="232">
        <v>0</v>
      </c>
      <c r="BF26" s="232">
        <v>0</v>
      </c>
      <c r="BG26" s="232">
        <v>0</v>
      </c>
      <c r="BH26" s="232">
        <v>0</v>
      </c>
      <c r="BI26" s="232">
        <v>0</v>
      </c>
      <c r="BJ26" s="232">
        <v>0</v>
      </c>
      <c r="BK26" s="232">
        <v>0</v>
      </c>
      <c r="BL26" s="290">
        <v>0</v>
      </c>
      <c r="BM26" s="197">
        <v>0</v>
      </c>
      <c r="BN26" s="197">
        <v>0</v>
      </c>
      <c r="BO26" s="231">
        <v>0</v>
      </c>
      <c r="CQ26" s="192"/>
      <c r="CR26" s="197"/>
      <c r="CT26" s="197"/>
      <c r="CU26" s="232"/>
      <c r="CV26" s="232"/>
      <c r="CW26" s="232"/>
      <c r="CX26" s="232"/>
      <c r="CY26" s="232"/>
      <c r="CZ26" s="232"/>
      <c r="DA26" s="232"/>
      <c r="DB26" s="232"/>
      <c r="DC26" s="232"/>
      <c r="DD26" s="232"/>
      <c r="DE26" s="232"/>
      <c r="DF26" s="232"/>
      <c r="DG26" s="232"/>
      <c r="DH26" s="232"/>
      <c r="DI26" s="232"/>
      <c r="DJ26" s="232"/>
      <c r="DK26" s="232"/>
      <c r="DL26" s="232"/>
      <c r="DM26" s="232"/>
      <c r="DN26" s="232">
        <v>0</v>
      </c>
      <c r="DO26" s="290">
        <v>0</v>
      </c>
    </row>
    <row r="27" spans="1:119" ht="18" thickTop="1" thickBot="1">
      <c r="A27" s="416" t="s">
        <v>155</v>
      </c>
      <c r="B27" s="417"/>
      <c r="C27" s="418"/>
      <c r="D27" s="425" t="s">
        <v>156</v>
      </c>
      <c r="E27" s="411"/>
      <c r="F27" s="411"/>
      <c r="G27" s="411"/>
      <c r="H27" s="426"/>
      <c r="I27" s="96"/>
      <c r="J27" s="96"/>
      <c r="K27" s="96"/>
      <c r="L27" s="96"/>
      <c r="M27" s="96"/>
      <c r="N27" s="96"/>
      <c r="O27" s="96"/>
      <c r="P27" s="1"/>
      <c r="Q27" s="5"/>
      <c r="R27" s="5"/>
      <c r="S27" s="1"/>
      <c r="T27" s="79"/>
      <c r="U27" s="20">
        <v>0.80165400548776944</v>
      </c>
      <c r="V27" s="63">
        <v>175</v>
      </c>
      <c r="W27" s="242" t="str">
        <f t="shared" si="0"/>
        <v>С10+</v>
      </c>
      <c r="X27" s="155" t="s">
        <v>17</v>
      </c>
      <c r="Y27" s="5"/>
      <c r="Z27" s="5"/>
      <c r="AA27" s="79"/>
      <c r="AB27" s="116"/>
      <c r="AC27" s="23"/>
      <c r="AD27" s="95"/>
      <c r="AE27" s="5"/>
      <c r="AF27" s="5"/>
      <c r="AG27" s="1"/>
      <c r="AH27" s="5"/>
      <c r="AI27" s="5">
        <v>331</v>
      </c>
      <c r="AK27" s="5"/>
      <c r="AL27" s="5"/>
      <c r="AM27" s="291"/>
      <c r="AN27" s="120"/>
      <c r="AO27" s="120"/>
      <c r="AP27" s="120"/>
      <c r="AQ27" s="120"/>
      <c r="AR27" s="120"/>
      <c r="AS27" s="120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CR27" s="11"/>
      <c r="CY27" s="25"/>
      <c r="CZ27" s="26"/>
    </row>
    <row r="28" spans="1:119" ht="18" thickTop="1" thickBot="1">
      <c r="A28" s="419"/>
      <c r="B28" s="420"/>
      <c r="C28" s="421"/>
      <c r="D28" s="427"/>
      <c r="E28" s="428"/>
      <c r="F28" s="428"/>
      <c r="G28" s="428"/>
      <c r="H28" s="429"/>
      <c r="I28" s="103"/>
      <c r="J28" s="103"/>
      <c r="K28" s="103"/>
      <c r="L28" s="96"/>
      <c r="M28" s="96"/>
      <c r="N28" s="96"/>
      <c r="O28" s="96"/>
      <c r="P28" s="1"/>
      <c r="Q28" s="5"/>
      <c r="R28" s="5"/>
      <c r="S28" s="1"/>
      <c r="T28" s="79"/>
      <c r="U28" s="20">
        <v>0.82513996267979395</v>
      </c>
      <c r="V28" s="63">
        <v>176</v>
      </c>
      <c r="W28" s="242" t="str">
        <f t="shared" si="0"/>
        <v>С14+</v>
      </c>
      <c r="X28" s="155" t="s">
        <v>17</v>
      </c>
      <c r="Y28" s="5"/>
      <c r="Z28" s="5"/>
      <c r="AA28" s="79"/>
      <c r="AB28" s="116"/>
      <c r="AC28" s="23"/>
      <c r="AD28" s="95"/>
      <c r="AE28" s="5"/>
      <c r="AF28" s="238"/>
      <c r="AG28" s="448"/>
      <c r="AH28" s="423"/>
      <c r="AI28" s="423"/>
      <c r="AJ28" s="424"/>
      <c r="AK28" s="8"/>
      <c r="AL28" s="79"/>
      <c r="AM28" s="448" t="s">
        <v>165</v>
      </c>
      <c r="AN28" s="423" t="s">
        <v>169</v>
      </c>
      <c r="AO28" s="423"/>
      <c r="AP28" s="424"/>
      <c r="AQ28" s="450" t="s">
        <v>170</v>
      </c>
      <c r="AR28" s="423"/>
      <c r="AS28" s="424"/>
      <c r="AT28" s="23"/>
      <c r="AU28" s="1"/>
      <c r="AV28" s="451" t="s">
        <v>165</v>
      </c>
      <c r="AW28" s="422" t="s">
        <v>170</v>
      </c>
      <c r="AX28" s="423"/>
      <c r="AY28" s="424"/>
      <c r="AZ28" s="422" t="s">
        <v>170</v>
      </c>
      <c r="BA28" s="423"/>
      <c r="BB28" s="424"/>
      <c r="BC28" s="1"/>
      <c r="BD28" s="1"/>
      <c r="BE28" s="1"/>
      <c r="BF28" s="1"/>
      <c r="BG28" s="1"/>
      <c r="BH28" s="1"/>
      <c r="BI28" s="1"/>
      <c r="BJ28" s="1"/>
      <c r="BK28" s="1"/>
      <c r="CR28" s="1"/>
      <c r="CS28" s="1"/>
      <c r="CY28" s="5"/>
      <c r="CZ28" s="28"/>
    </row>
    <row r="29" spans="1:119" ht="50.45" customHeight="1" thickTop="1" thickBot="1">
      <c r="A29" s="267"/>
      <c r="B29" s="268"/>
      <c r="C29" s="268"/>
      <c r="D29" s="134" t="s">
        <v>66</v>
      </c>
      <c r="E29" s="135" t="s">
        <v>67</v>
      </c>
      <c r="F29" s="135" t="s">
        <v>68</v>
      </c>
      <c r="G29" s="136" t="s">
        <v>69</v>
      </c>
      <c r="H29" s="223" t="s">
        <v>129</v>
      </c>
      <c r="I29" s="442" t="s">
        <v>139</v>
      </c>
      <c r="J29" s="443"/>
      <c r="K29" s="444"/>
      <c r="L29" s="23"/>
      <c r="M29" s="5"/>
      <c r="N29" s="80"/>
      <c r="O29" s="1"/>
      <c r="P29" s="1"/>
      <c r="Q29" s="5"/>
      <c r="R29" s="5"/>
      <c r="S29" s="1"/>
      <c r="T29" s="79"/>
      <c r="U29" s="20">
        <v>0.84931398502392863</v>
      </c>
      <c r="V29" s="63">
        <v>177</v>
      </c>
      <c r="W29" s="242" t="str">
        <f t="shared" si="0"/>
        <v>С20+</v>
      </c>
      <c r="X29" s="155" t="s">
        <v>17</v>
      </c>
      <c r="Y29" s="5"/>
      <c r="Z29" s="5"/>
      <c r="AA29" s="79"/>
      <c r="AB29" s="116"/>
      <c r="AC29" s="12"/>
      <c r="AD29" s="5"/>
      <c r="AE29" s="5"/>
      <c r="AF29" s="238"/>
      <c r="AG29" s="449"/>
      <c r="AH29" s="222"/>
      <c r="AI29" s="222">
        <v>325</v>
      </c>
      <c r="AJ29" s="293" t="s">
        <v>168</v>
      </c>
      <c r="AK29" s="8"/>
      <c r="AL29" s="79"/>
      <c r="AM29" s="449"/>
      <c r="AN29" s="222" t="s">
        <v>166</v>
      </c>
      <c r="AO29" s="222" t="s">
        <v>167</v>
      </c>
      <c r="AP29" s="293" t="s">
        <v>168</v>
      </c>
      <c r="AQ29" s="294" t="s">
        <v>166</v>
      </c>
      <c r="AR29" s="222" t="s">
        <v>167</v>
      </c>
      <c r="AS29" s="293" t="s">
        <v>168</v>
      </c>
      <c r="AT29" s="23"/>
      <c r="AU29" s="1"/>
      <c r="AV29" s="452"/>
      <c r="AW29" s="105" t="s">
        <v>174</v>
      </c>
      <c r="AX29" s="222" t="s">
        <v>175</v>
      </c>
      <c r="AY29" s="293" t="s">
        <v>168</v>
      </c>
      <c r="AZ29" s="105" t="s">
        <v>176</v>
      </c>
      <c r="BA29" s="222" t="s">
        <v>177</v>
      </c>
      <c r="BB29" s="293"/>
      <c r="BC29" s="1"/>
      <c r="BD29" s="1"/>
      <c r="BE29" s="1"/>
      <c r="BF29" s="1"/>
      <c r="BG29" s="1"/>
      <c r="BH29" s="1"/>
      <c r="BI29" s="1"/>
      <c r="BJ29" s="1"/>
      <c r="BK29" s="1"/>
      <c r="CR29" s="1"/>
      <c r="CS29" s="1"/>
      <c r="CY29" s="5"/>
      <c r="CZ29" s="28"/>
    </row>
    <row r="30" spans="1:119" ht="18" thickTop="1" thickBot="1">
      <c r="A30" s="101" t="s">
        <v>131</v>
      </c>
      <c r="B30" s="2" t="s">
        <v>29</v>
      </c>
      <c r="C30" s="5">
        <f>273.15+107.9</f>
        <v>381.04999999999995</v>
      </c>
      <c r="D30">
        <v>654</v>
      </c>
      <c r="E30" s="252">
        <v>0</v>
      </c>
      <c r="F30" s="328">
        <v>0</v>
      </c>
      <c r="G30" s="98">
        <v>102.212333646044</v>
      </c>
      <c r="H30" s="104">
        <v>55.45</v>
      </c>
      <c r="I30" s="35" t="s">
        <v>65</v>
      </c>
      <c r="J30" s="445">
        <v>212</v>
      </c>
      <c r="K30" s="446"/>
      <c r="L30" s="23"/>
      <c r="M30" s="5"/>
      <c r="N30" s="80"/>
      <c r="O30" s="1"/>
      <c r="P30" s="1"/>
      <c r="Q30" s="5"/>
      <c r="R30" s="5"/>
      <c r="S30" s="1"/>
      <c r="T30" s="79"/>
      <c r="U30" s="20">
        <v>0.87336682249042663</v>
      </c>
      <c r="V30" s="63">
        <v>178</v>
      </c>
      <c r="W30" s="242" t="str">
        <f t="shared" si="0"/>
        <v>NaCl</v>
      </c>
      <c r="X30" s="155" t="s">
        <v>17</v>
      </c>
      <c r="Y30" s="5"/>
      <c r="Z30" s="5"/>
      <c r="AA30" s="79"/>
      <c r="AB30" s="116"/>
      <c r="AC30" s="12"/>
      <c r="AD30" s="5"/>
      <c r="AE30" s="5"/>
      <c r="AF30" s="238"/>
      <c r="AG30" s="318"/>
      <c r="AH30" s="299"/>
      <c r="AI30" s="299">
        <v>322</v>
      </c>
      <c r="AJ30" s="300">
        <v>1.6E-2</v>
      </c>
      <c r="AK30" s="8"/>
      <c r="AL30" s="80"/>
      <c r="AM30" s="318" t="s">
        <v>171</v>
      </c>
      <c r="AN30" s="299">
        <v>247</v>
      </c>
      <c r="AO30" s="299">
        <v>2970</v>
      </c>
      <c r="AP30" s="300">
        <v>0.4</v>
      </c>
      <c r="AQ30" s="301">
        <v>16</v>
      </c>
      <c r="AR30" s="299">
        <v>1652</v>
      </c>
      <c r="AS30" s="116">
        <v>0.15</v>
      </c>
      <c r="AT30" s="23"/>
      <c r="AU30" s="1"/>
      <c r="AV30" s="295" t="s">
        <v>171</v>
      </c>
      <c r="AW30" s="298">
        <v>-4127</v>
      </c>
      <c r="AX30" s="299">
        <v>5230</v>
      </c>
      <c r="AY30" s="140">
        <v>0.03</v>
      </c>
      <c r="AZ30" s="313">
        <v>8.9</v>
      </c>
      <c r="BA30" s="191">
        <v>-8</v>
      </c>
      <c r="BB30" s="116"/>
      <c r="BC30" s="1"/>
      <c r="BD30" s="1"/>
      <c r="BE30" s="1"/>
      <c r="BF30" s="1"/>
      <c r="BG30" s="1"/>
      <c r="BH30" s="1"/>
      <c r="BI30" s="1"/>
      <c r="BJ30" s="1"/>
      <c r="BK30" s="1"/>
      <c r="CR30" s="1"/>
      <c r="CS30" s="1"/>
      <c r="CY30" s="5"/>
      <c r="CZ30" s="28"/>
    </row>
    <row r="31" spans="1:119" ht="17.25" thickBot="1">
      <c r="A31" s="101" t="s">
        <v>132</v>
      </c>
      <c r="B31" s="2" t="s">
        <v>30</v>
      </c>
      <c r="C31" s="224">
        <v>65.400000000000006</v>
      </c>
      <c r="D31" s="328">
        <v>506.4</v>
      </c>
      <c r="E31" s="8">
        <v>0</v>
      </c>
      <c r="F31" s="328">
        <v>0</v>
      </c>
      <c r="G31" s="98">
        <v>102.212333646044</v>
      </c>
      <c r="H31" s="104">
        <v>55.45</v>
      </c>
      <c r="I31" s="263" t="s">
        <v>130</v>
      </c>
      <c r="J31" s="407">
        <v>0.93832289366160948</v>
      </c>
      <c r="K31" s="447"/>
      <c r="L31" s="23"/>
      <c r="M31" s="5"/>
      <c r="N31" s="80"/>
      <c r="O31" s="1"/>
      <c r="P31" s="1"/>
      <c r="Q31" s="5"/>
      <c r="R31" s="5"/>
      <c r="S31" s="5"/>
      <c r="T31" s="79"/>
      <c r="U31" s="20">
        <v>0.89895374111807591</v>
      </c>
      <c r="V31" s="63">
        <v>179</v>
      </c>
      <c r="W31" s="242" t="str">
        <f t="shared" si="0"/>
        <v>С13</v>
      </c>
      <c r="X31" s="155" t="s">
        <v>17</v>
      </c>
      <c r="Y31" s="5"/>
      <c r="Z31" s="5"/>
      <c r="AA31" s="79"/>
      <c r="AB31" s="116"/>
      <c r="AC31" s="12"/>
      <c r="AD31" s="5"/>
      <c r="AE31" s="5"/>
      <c r="AF31" s="238"/>
      <c r="AG31" s="319"/>
      <c r="AH31" s="299"/>
      <c r="AI31" s="299">
        <v>319</v>
      </c>
      <c r="AJ31" s="300">
        <v>6.0000000000000001E-3</v>
      </c>
      <c r="AK31" s="8"/>
      <c r="AL31" s="80"/>
      <c r="AM31" s="319" t="s">
        <v>172</v>
      </c>
      <c r="AN31" s="299">
        <v>357</v>
      </c>
      <c r="AO31" s="299">
        <v>1130</v>
      </c>
      <c r="AP31" s="300">
        <v>0.4</v>
      </c>
      <c r="AQ31" s="301">
        <v>689</v>
      </c>
      <c r="AR31" s="299">
        <v>3921</v>
      </c>
      <c r="AS31" s="116">
        <v>0.15</v>
      </c>
      <c r="AT31" s="23"/>
      <c r="AU31" s="1"/>
      <c r="AV31" s="296" t="s">
        <v>172</v>
      </c>
      <c r="AW31" s="298">
        <v>-64.5</v>
      </c>
      <c r="AX31" s="299">
        <v>3500</v>
      </c>
      <c r="AY31" s="140">
        <v>0.08</v>
      </c>
      <c r="AZ31" s="313">
        <v>-1.05</v>
      </c>
      <c r="BA31" s="191">
        <v>-1</v>
      </c>
      <c r="BB31" s="116"/>
      <c r="BC31" s="1"/>
      <c r="BD31" s="1"/>
      <c r="BE31" s="1"/>
      <c r="BF31" s="1"/>
      <c r="BG31" s="1"/>
      <c r="BH31" s="1"/>
      <c r="BI31" s="1"/>
      <c r="BJ31" s="1"/>
      <c r="BK31" s="1"/>
      <c r="CR31" s="1"/>
      <c r="CS31" s="1"/>
      <c r="CY31" s="5"/>
      <c r="CZ31" s="28"/>
    </row>
    <row r="32" spans="1:119" ht="15.75" thickBot="1">
      <c r="A32" s="101" t="s">
        <v>133</v>
      </c>
      <c r="B32" s="2" t="s">
        <v>30</v>
      </c>
      <c r="C32" s="224">
        <v>0.10299999999999999</v>
      </c>
      <c r="D32" s="328">
        <v>470.6</v>
      </c>
      <c r="E32" s="8">
        <v>1.8152226346619778E-2</v>
      </c>
      <c r="F32" s="328">
        <v>0</v>
      </c>
      <c r="G32" s="98">
        <v>102.212333646044</v>
      </c>
      <c r="H32" s="104">
        <v>55.45</v>
      </c>
      <c r="I32" s="263" t="s">
        <v>141</v>
      </c>
      <c r="J32" s="407">
        <v>36.72</v>
      </c>
      <c r="K32" s="447"/>
      <c r="L32" s="23" t="s">
        <v>97</v>
      </c>
      <c r="M32" s="5"/>
      <c r="N32" s="80"/>
      <c r="O32" s="1"/>
      <c r="P32" s="1"/>
      <c r="Q32" s="5"/>
      <c r="R32" s="5"/>
      <c r="S32" s="5"/>
      <c r="T32" s="79"/>
      <c r="U32" s="20">
        <v>0.92353450747677335</v>
      </c>
      <c r="V32" s="63">
        <v>180</v>
      </c>
      <c r="W32" s="242" t="str">
        <f t="shared" si="0"/>
        <v>С14</v>
      </c>
      <c r="X32" s="155" t="s">
        <v>17</v>
      </c>
      <c r="Y32" s="5"/>
      <c r="Z32" s="5"/>
      <c r="AA32" s="79"/>
      <c r="AB32" s="116"/>
      <c r="AC32" s="12"/>
      <c r="AD32" s="5"/>
      <c r="AE32" s="5"/>
      <c r="AF32" s="238"/>
      <c r="AG32" s="319"/>
      <c r="AH32" s="299"/>
      <c r="AI32" s="299">
        <v>316</v>
      </c>
      <c r="AJ32" s="300">
        <v>-0.78100000000000003</v>
      </c>
      <c r="AK32" s="8"/>
      <c r="AL32" s="80"/>
      <c r="AM32" s="319" t="s">
        <v>164</v>
      </c>
      <c r="AN32" s="299">
        <v>288</v>
      </c>
      <c r="AO32" s="299">
        <v>276</v>
      </c>
      <c r="AP32" s="300">
        <v>1.2</v>
      </c>
      <c r="AQ32" s="309">
        <v>0</v>
      </c>
      <c r="AR32" s="308">
        <v>0</v>
      </c>
      <c r="AS32" s="310">
        <v>0</v>
      </c>
      <c r="AT32" s="23"/>
      <c r="AU32" s="1"/>
      <c r="AV32" s="296" t="s">
        <v>164</v>
      </c>
      <c r="AW32" s="307">
        <v>0</v>
      </c>
      <c r="AX32" s="308">
        <v>0</v>
      </c>
      <c r="AY32" s="312">
        <v>0</v>
      </c>
      <c r="AZ32" s="314">
        <v>0</v>
      </c>
      <c r="BA32" s="315">
        <v>0</v>
      </c>
      <c r="BB32" s="116"/>
      <c r="BC32" s="1"/>
      <c r="BD32" s="1"/>
      <c r="BE32" s="1"/>
      <c r="BF32" s="1"/>
      <c r="BG32" s="1"/>
      <c r="BH32" s="1"/>
      <c r="BI32" s="1"/>
      <c r="BJ32" s="1"/>
      <c r="BK32" s="1"/>
      <c r="CR32" s="1"/>
      <c r="CS32" s="1"/>
      <c r="CY32" s="24"/>
      <c r="CZ32" s="25"/>
    </row>
    <row r="33" spans="1:104" ht="15.75" thickBot="1">
      <c r="A33" s="84" t="s">
        <v>28</v>
      </c>
      <c r="B33" s="4" t="s">
        <v>29</v>
      </c>
      <c r="C33" s="224">
        <v>293</v>
      </c>
      <c r="D33" s="328">
        <v>434.8</v>
      </c>
      <c r="E33" s="8">
        <v>5.1300939225693135E-2</v>
      </c>
      <c r="F33" s="328">
        <v>0</v>
      </c>
      <c r="G33" s="98">
        <v>102.212333646044</v>
      </c>
      <c r="H33" s="104">
        <v>55.45</v>
      </c>
      <c r="I33" s="29" t="s">
        <v>140</v>
      </c>
      <c r="J33" s="438" t="s">
        <v>106</v>
      </c>
      <c r="K33" s="439"/>
      <c r="L33" s="23"/>
      <c r="M33" s="5"/>
      <c r="N33" s="80"/>
      <c r="O33" s="1"/>
      <c r="P33" s="1"/>
      <c r="Q33" s="5"/>
      <c r="R33" s="5"/>
      <c r="S33" s="5"/>
      <c r="T33" s="79"/>
      <c r="U33" s="20">
        <v>0.94878740416559137</v>
      </c>
      <c r="V33" s="63">
        <v>181</v>
      </c>
      <c r="W33" s="242" t="str">
        <f t="shared" si="0"/>
        <v>С15</v>
      </c>
      <c r="X33" s="155" t="s">
        <v>17</v>
      </c>
      <c r="Y33" s="5"/>
      <c r="Z33" s="5"/>
      <c r="AA33" s="79"/>
      <c r="AB33" s="63"/>
      <c r="AC33" s="12"/>
      <c r="AD33" s="5"/>
      <c r="AE33" s="5"/>
      <c r="AF33" s="238"/>
      <c r="AG33" s="319"/>
      <c r="AH33" s="308"/>
      <c r="AI33" s="308">
        <v>313</v>
      </c>
      <c r="AJ33" s="311">
        <v>0</v>
      </c>
      <c r="AK33" s="8"/>
      <c r="AL33" s="80"/>
      <c r="AM33" s="319" t="s">
        <v>159</v>
      </c>
      <c r="AN33" s="308">
        <v>0</v>
      </c>
      <c r="AO33" s="308">
        <v>0</v>
      </c>
      <c r="AP33" s="311">
        <v>0</v>
      </c>
      <c r="AQ33" s="301">
        <v>276</v>
      </c>
      <c r="AR33" s="299">
        <v>288</v>
      </c>
      <c r="AS33" s="116">
        <v>1.2</v>
      </c>
      <c r="AT33" s="23"/>
      <c r="AU33" s="1"/>
      <c r="AV33" s="296" t="s">
        <v>159</v>
      </c>
      <c r="AW33" s="298">
        <v>276</v>
      </c>
      <c r="AX33" s="299">
        <v>288</v>
      </c>
      <c r="AY33" s="116">
        <v>1.2</v>
      </c>
      <c r="AZ33" s="316">
        <v>0</v>
      </c>
      <c r="BA33" s="317">
        <v>0</v>
      </c>
      <c r="BB33" s="116"/>
      <c r="BC33" s="1"/>
      <c r="BD33" s="1"/>
      <c r="BE33" s="1"/>
      <c r="BF33" s="1"/>
      <c r="BG33" s="1"/>
      <c r="BH33" s="1"/>
      <c r="BI33" s="1"/>
      <c r="BJ33" s="1"/>
      <c r="BK33" s="1"/>
      <c r="CR33" s="1"/>
      <c r="CS33" s="1"/>
      <c r="CY33" s="27"/>
      <c r="CZ33" s="5"/>
    </row>
    <row r="34" spans="1:104" ht="15.75" thickBot="1">
      <c r="A34" s="102" t="s">
        <v>134</v>
      </c>
      <c r="B34" s="99" t="s">
        <v>75</v>
      </c>
      <c r="C34" s="225">
        <v>0.79</v>
      </c>
      <c r="D34" s="328">
        <v>399</v>
      </c>
      <c r="E34" s="114">
        <v>7.5192976216373816E-2</v>
      </c>
      <c r="F34" s="328">
        <v>13.52</v>
      </c>
      <c r="G34" s="98">
        <v>102.212333646044</v>
      </c>
      <c r="H34" s="104">
        <v>55.45</v>
      </c>
      <c r="I34" s="264" t="s">
        <v>78</v>
      </c>
      <c r="J34" s="440" t="s">
        <v>105</v>
      </c>
      <c r="K34" s="439"/>
      <c r="L34" s="23"/>
      <c r="M34" s="5"/>
      <c r="N34" s="80"/>
      <c r="O34" s="1"/>
      <c r="P34" s="1"/>
      <c r="Q34" s="5"/>
      <c r="R34" s="5"/>
      <c r="S34" s="5"/>
      <c r="T34" s="79"/>
      <c r="U34" s="20">
        <v>0.97473080974824422</v>
      </c>
      <c r="V34" s="63">
        <v>182</v>
      </c>
      <c r="W34" s="242" t="str">
        <f t="shared" si="0"/>
        <v>С16</v>
      </c>
      <c r="X34" s="155" t="s">
        <v>17</v>
      </c>
      <c r="Y34" s="5"/>
      <c r="Z34" s="5"/>
      <c r="AA34" s="79"/>
      <c r="AB34" s="63"/>
      <c r="AC34" s="12"/>
      <c r="AD34" s="5"/>
      <c r="AE34" s="5"/>
      <c r="AF34" s="239"/>
      <c r="AG34" s="331"/>
      <c r="AH34" s="299"/>
      <c r="AI34" s="299">
        <v>310</v>
      </c>
      <c r="AJ34" s="300">
        <v>1.6E-2</v>
      </c>
      <c r="AK34" s="299"/>
      <c r="AL34" s="80"/>
      <c r="AM34" s="331" t="s">
        <v>193</v>
      </c>
      <c r="AN34" s="332">
        <v>58</v>
      </c>
      <c r="AO34" s="332">
        <v>886</v>
      </c>
      <c r="AP34" s="333">
        <v>0.4</v>
      </c>
      <c r="AQ34" s="334">
        <v>118</v>
      </c>
      <c r="AR34" s="332">
        <v>1294</v>
      </c>
      <c r="AS34" s="335">
        <v>0.15</v>
      </c>
      <c r="AT34" s="23"/>
      <c r="AU34" s="1"/>
      <c r="AV34" s="298" t="s">
        <v>193</v>
      </c>
      <c r="AW34" s="334">
        <v>10</v>
      </c>
      <c r="AX34" s="332">
        <v>1250</v>
      </c>
      <c r="AY34" s="140">
        <v>0.03</v>
      </c>
      <c r="AZ34" s="313">
        <v>2.9</v>
      </c>
      <c r="BA34" s="191">
        <v>-1.5</v>
      </c>
      <c r="BB34" s="116"/>
      <c r="BC34" s="1"/>
      <c r="BD34" s="1"/>
      <c r="BE34" s="1"/>
      <c r="BF34" s="1"/>
      <c r="BG34" s="1"/>
      <c r="BH34" s="1"/>
      <c r="BI34" s="1"/>
      <c r="BJ34" s="1"/>
      <c r="BK34" s="1"/>
      <c r="CR34" s="1"/>
      <c r="CS34" s="1"/>
      <c r="CY34" s="27"/>
      <c r="CZ34" s="5"/>
    </row>
    <row r="35" spans="1:104" ht="17.25" thickBot="1">
      <c r="A35" s="84" t="s">
        <v>76</v>
      </c>
      <c r="B35" s="100" t="s">
        <v>30</v>
      </c>
      <c r="C35" s="224">
        <v>50.4</v>
      </c>
      <c r="D35" s="328">
        <v>363.2</v>
      </c>
      <c r="E35" s="114">
        <v>9.3261859545560932E-2</v>
      </c>
      <c r="F35" s="328">
        <v>19.809999999999999</v>
      </c>
      <c r="G35" s="98">
        <v>102.212333646044</v>
      </c>
      <c r="H35" s="104">
        <v>55.45</v>
      </c>
      <c r="I35" s="29" t="s">
        <v>154</v>
      </c>
      <c r="J35" s="440" t="s">
        <v>98</v>
      </c>
      <c r="K35" s="439"/>
      <c r="L35" s="23"/>
      <c r="M35" s="5"/>
      <c r="N35" s="80"/>
      <c r="O35" s="1"/>
      <c r="P35" s="1"/>
      <c r="Q35" s="5"/>
      <c r="R35" s="5"/>
      <c r="S35" s="5"/>
      <c r="T35" s="79"/>
      <c r="U35" s="20">
        <v>1.0013836053272978</v>
      </c>
      <c r="V35" s="63">
        <v>183</v>
      </c>
      <c r="W35" s="242" t="str">
        <f t="shared" si="0"/>
        <v>С17</v>
      </c>
      <c r="X35" s="155" t="s">
        <v>17</v>
      </c>
      <c r="Y35" s="123"/>
      <c r="Z35" s="123"/>
      <c r="AA35" s="276"/>
      <c r="AB35" s="234"/>
      <c r="AC35" s="12"/>
      <c r="AD35" s="5"/>
      <c r="AE35" s="5"/>
      <c r="AF35" s="238"/>
      <c r="AG35" s="319"/>
      <c r="AH35" s="299"/>
      <c r="AI35" s="299">
        <v>307</v>
      </c>
      <c r="AJ35" s="300">
        <v>0.104</v>
      </c>
      <c r="AK35" s="8"/>
      <c r="AL35" s="80"/>
      <c r="AM35" s="319" t="s">
        <v>173</v>
      </c>
      <c r="AN35" s="299">
        <v>77</v>
      </c>
      <c r="AO35" s="299">
        <v>2094</v>
      </c>
      <c r="AP35" s="300">
        <v>0.4</v>
      </c>
      <c r="AQ35" s="301">
        <v>410</v>
      </c>
      <c r="AR35" s="299">
        <v>2291</v>
      </c>
      <c r="AS35" s="116">
        <v>0.1</v>
      </c>
      <c r="AT35" s="23"/>
      <c r="AU35" s="1"/>
      <c r="AV35" s="296" t="s">
        <v>173</v>
      </c>
      <c r="AW35" s="298">
        <v>-1500</v>
      </c>
      <c r="AX35" s="299">
        <v>4050</v>
      </c>
      <c r="AY35" s="140">
        <v>0.16</v>
      </c>
      <c r="AZ35" s="313">
        <v>11</v>
      </c>
      <c r="BA35" s="191">
        <v>-5.2</v>
      </c>
      <c r="BB35" s="116"/>
      <c r="BC35" s="1"/>
      <c r="BD35" s="1"/>
      <c r="BE35" s="1">
        <v>-620</v>
      </c>
      <c r="BF35" s="1">
        <v>6</v>
      </c>
      <c r="BG35" s="1"/>
      <c r="BH35" s="1"/>
      <c r="BI35" s="1"/>
      <c r="BJ35" s="1"/>
      <c r="BK35" s="1"/>
      <c r="CR35" s="1"/>
      <c r="CS35" s="1"/>
      <c r="CY35" s="27"/>
      <c r="CZ35" s="5"/>
    </row>
    <row r="36" spans="1:104" ht="15.75" thickBot="1">
      <c r="A36" s="84" t="s">
        <v>146</v>
      </c>
      <c r="B36" s="100" t="s">
        <v>144</v>
      </c>
      <c r="C36" s="98">
        <v>1</v>
      </c>
      <c r="D36" s="328">
        <v>327.39999999999998</v>
      </c>
      <c r="E36" s="114">
        <v>0.10725955748331101</v>
      </c>
      <c r="F36" s="328">
        <v>25.17</v>
      </c>
      <c r="G36" s="98">
        <v>102.212333646044</v>
      </c>
      <c r="H36" s="104">
        <v>55.45</v>
      </c>
      <c r="I36" s="263" t="s">
        <v>77</v>
      </c>
      <c r="J36" s="408">
        <v>1.795876002529941</v>
      </c>
      <c r="K36" s="441"/>
      <c r="L36" s="23"/>
      <c r="M36" s="5"/>
      <c r="N36" s="80"/>
      <c r="O36" s="1"/>
      <c r="P36" s="1"/>
      <c r="Q36" s="5"/>
      <c r="R36" s="5"/>
      <c r="S36" s="5"/>
      <c r="T36" s="79"/>
      <c r="U36" s="20">
        <v>1.0277872746083889</v>
      </c>
      <c r="V36" s="63">
        <v>184</v>
      </c>
      <c r="W36" s="243"/>
      <c r="X36" s="79"/>
      <c r="Y36" s="5"/>
      <c r="Z36" s="5"/>
      <c r="AA36" s="5"/>
      <c r="AB36" s="38"/>
      <c r="AC36" s="5"/>
      <c r="AD36" s="5"/>
      <c r="AE36" s="5"/>
      <c r="AF36" s="238"/>
      <c r="AG36" s="319"/>
      <c r="AH36" s="299"/>
      <c r="AI36" s="299">
        <v>304</v>
      </c>
      <c r="AJ36" s="300">
        <v>0</v>
      </c>
      <c r="AK36" s="8"/>
      <c r="AL36" s="80"/>
      <c r="AM36" s="319" t="s">
        <v>4</v>
      </c>
      <c r="AN36" s="299">
        <v>255</v>
      </c>
      <c r="AO36" s="299">
        <v>1610</v>
      </c>
      <c r="AP36" s="300">
        <v>0.4</v>
      </c>
      <c r="AQ36" s="301">
        <v>492</v>
      </c>
      <c r="AR36" s="299">
        <v>2281</v>
      </c>
      <c r="AS36" s="116">
        <v>0.15</v>
      </c>
      <c r="AT36" s="23"/>
      <c r="AU36" s="1"/>
      <c r="AV36" s="296" t="s">
        <v>4</v>
      </c>
      <c r="AW36" s="298">
        <v>-804.3</v>
      </c>
      <c r="AX36" s="299">
        <v>4280</v>
      </c>
      <c r="AY36" s="140">
        <v>0.09</v>
      </c>
      <c r="AZ36" s="313">
        <v>-0.2</v>
      </c>
      <c r="BA36" s="191">
        <v>-3</v>
      </c>
      <c r="BB36" s="116"/>
      <c r="BC36" s="1"/>
      <c r="BD36" s="1"/>
      <c r="BE36" s="1"/>
      <c r="BF36" s="1"/>
      <c r="BG36" s="1"/>
      <c r="BH36" s="1"/>
      <c r="BI36" s="1"/>
      <c r="BJ36" s="1"/>
      <c r="BK36" s="1"/>
      <c r="CR36" s="1"/>
      <c r="CS36" s="1"/>
      <c r="CY36" s="27"/>
      <c r="CZ36" s="5"/>
    </row>
    <row r="37" spans="1:104" ht="15.75" thickBot="1">
      <c r="A37" s="101" t="s">
        <v>145</v>
      </c>
      <c r="B37" s="4" t="s">
        <v>144</v>
      </c>
      <c r="C37" s="248">
        <v>22.4</v>
      </c>
      <c r="D37" s="328">
        <v>291.60000000000002</v>
      </c>
      <c r="E37" s="114">
        <v>0.11798281619065047</v>
      </c>
      <c r="F37" s="328">
        <v>29.04</v>
      </c>
      <c r="G37" s="98">
        <v>102.212333646044</v>
      </c>
      <c r="H37" s="104">
        <v>55.45</v>
      </c>
      <c r="I37" s="262" t="s">
        <v>32</v>
      </c>
      <c r="J37" s="436">
        <v>5</v>
      </c>
      <c r="K37" s="437"/>
      <c r="L37" s="23"/>
      <c r="M37" s="5"/>
      <c r="N37" s="80"/>
      <c r="O37" s="1"/>
      <c r="P37" s="1"/>
      <c r="Q37" s="1"/>
      <c r="R37" s="5"/>
      <c r="S37" s="5"/>
      <c r="T37" s="79"/>
      <c r="U37" s="20">
        <v>1.0548871343881023</v>
      </c>
      <c r="V37" s="116">
        <v>185</v>
      </c>
      <c r="W37" s="23"/>
      <c r="X37" s="80"/>
      <c r="Y37" s="1"/>
      <c r="Z37" s="5"/>
      <c r="AA37" s="79"/>
      <c r="AB37" s="1"/>
      <c r="AC37" s="5"/>
      <c r="AD37" s="5"/>
      <c r="AE37" s="5"/>
      <c r="AF37" s="238"/>
      <c r="AG37" s="319"/>
      <c r="AH37" s="299"/>
      <c r="AI37" s="299">
        <v>301</v>
      </c>
      <c r="AJ37" s="300">
        <v>0</v>
      </c>
      <c r="AK37" s="8"/>
      <c r="AL37" s="80"/>
      <c r="AM37" s="319" t="s">
        <v>5</v>
      </c>
      <c r="AN37" s="299">
        <v>465</v>
      </c>
      <c r="AO37" s="299">
        <v>1418</v>
      </c>
      <c r="AP37" s="300">
        <v>0.4</v>
      </c>
      <c r="AQ37" s="301">
        <v>847</v>
      </c>
      <c r="AR37" s="299">
        <v>2650</v>
      </c>
      <c r="AS37" s="116">
        <v>0.15</v>
      </c>
      <c r="AT37" s="23"/>
      <c r="AU37" s="1"/>
      <c r="AV37" s="296" t="s">
        <v>5</v>
      </c>
      <c r="AW37" s="298">
        <v>-1584</v>
      </c>
      <c r="AX37" s="299">
        <v>4750</v>
      </c>
      <c r="AY37" s="140">
        <v>7.0000000000000007E-2</v>
      </c>
      <c r="AZ37" s="313">
        <v>-0.442</v>
      </c>
      <c r="BA37" s="191">
        <v>-3.3</v>
      </c>
      <c r="BB37" s="116"/>
      <c r="BC37" s="1"/>
      <c r="BD37" s="1"/>
      <c r="BE37" s="1"/>
      <c r="BF37" s="1"/>
      <c r="BG37" s="1"/>
      <c r="BH37" s="1"/>
      <c r="BI37" s="1"/>
      <c r="BJ37" s="1"/>
      <c r="BK37" s="1"/>
      <c r="CR37" s="1"/>
      <c r="CS37" s="1"/>
      <c r="CT37" s="7"/>
      <c r="CY37" s="27"/>
      <c r="CZ37" s="5"/>
    </row>
    <row r="38" spans="1:104" ht="15">
      <c r="A38" s="430" t="s">
        <v>152</v>
      </c>
      <c r="B38" s="431"/>
      <c r="C38" s="434">
        <f>(D33-D34)/10</f>
        <v>3.580000000000001</v>
      </c>
      <c r="D38" s="328">
        <v>255.8</v>
      </c>
      <c r="E38" s="114">
        <v>0.12564995321888925</v>
      </c>
      <c r="F38" s="328">
        <v>30.81</v>
      </c>
      <c r="G38" s="98">
        <v>102.212333646044</v>
      </c>
      <c r="H38" s="104">
        <v>55.45</v>
      </c>
      <c r="I38" s="9"/>
      <c r="J38" s="9"/>
      <c r="K38" s="38"/>
      <c r="L38" s="1"/>
      <c r="M38" s="5"/>
      <c r="N38" s="80"/>
      <c r="O38" s="1"/>
      <c r="P38" s="1"/>
      <c r="Q38" s="1"/>
      <c r="R38" s="5"/>
      <c r="S38" s="5"/>
      <c r="T38" s="79"/>
      <c r="U38" s="20">
        <v>1.082701541251851</v>
      </c>
      <c r="V38" s="116">
        <v>186</v>
      </c>
      <c r="W38" s="23"/>
      <c r="X38" s="80"/>
      <c r="Y38" s="5"/>
      <c r="Z38" s="5"/>
      <c r="AA38" s="79"/>
      <c r="AB38" s="63"/>
      <c r="AC38" s="5"/>
      <c r="AD38" s="5"/>
      <c r="AE38" s="5"/>
      <c r="AF38" s="238"/>
      <c r="AG38" s="318"/>
      <c r="AH38" s="299"/>
      <c r="AI38" s="299">
        <v>298</v>
      </c>
      <c r="AJ38" s="300">
        <v>0</v>
      </c>
      <c r="AK38" s="8"/>
      <c r="AL38" s="80"/>
      <c r="AM38" s="318" t="s">
        <v>6</v>
      </c>
      <c r="AN38" s="299">
        <v>516</v>
      </c>
      <c r="AO38" s="299">
        <v>1049</v>
      </c>
      <c r="AP38" s="300">
        <v>0.4</v>
      </c>
      <c r="AQ38" s="301">
        <v>1427.4</v>
      </c>
      <c r="AR38" s="299">
        <v>4501.8</v>
      </c>
      <c r="AS38" s="116">
        <v>0.15</v>
      </c>
      <c r="AT38" s="23"/>
      <c r="AU38" s="1"/>
      <c r="AV38" s="295" t="s">
        <v>6</v>
      </c>
      <c r="AW38" s="298">
        <v>4968</v>
      </c>
      <c r="AX38" s="299">
        <v>1567</v>
      </c>
      <c r="AY38" s="140">
        <v>0.06</v>
      </c>
      <c r="AZ38" s="313">
        <v>-19.600000000000001</v>
      </c>
      <c r="BA38" s="191">
        <v>5.7</v>
      </c>
      <c r="BB38" s="116"/>
      <c r="BC38" s="1"/>
      <c r="BD38" s="1"/>
      <c r="BE38" s="1"/>
      <c r="BF38" s="1"/>
      <c r="BG38" s="1"/>
      <c r="BH38" s="1"/>
      <c r="BI38" s="1"/>
      <c r="BJ38" s="1"/>
      <c r="BK38" s="1"/>
      <c r="CR38" s="1"/>
      <c r="CS38" s="1"/>
      <c r="CT38" s="7"/>
      <c r="CY38" s="7"/>
      <c r="CZ38" s="7"/>
    </row>
    <row r="39" spans="1:104" ht="15">
      <c r="A39" s="432"/>
      <c r="B39" s="433"/>
      <c r="C39" s="435"/>
      <c r="D39" s="360">
        <v>220</v>
      </c>
      <c r="E39" s="114">
        <v>0.1302048464146929</v>
      </c>
      <c r="F39" s="328">
        <v>30.06</v>
      </c>
      <c r="G39" s="98">
        <v>102.212333646044</v>
      </c>
      <c r="H39" s="104">
        <v>55.45</v>
      </c>
      <c r="I39" s="1"/>
      <c r="J39" s="1"/>
      <c r="K39" s="5"/>
      <c r="L39" s="1"/>
      <c r="M39" s="5"/>
      <c r="N39" s="80"/>
      <c r="O39" s="1"/>
      <c r="P39" s="1"/>
      <c r="Q39" s="1"/>
      <c r="R39" s="5"/>
      <c r="S39" s="5"/>
      <c r="T39" s="79"/>
      <c r="U39" s="20">
        <v>1.1101920100726987</v>
      </c>
      <c r="V39" s="116">
        <v>187</v>
      </c>
      <c r="W39" s="23"/>
      <c r="X39" s="1"/>
      <c r="Y39" s="5"/>
      <c r="Z39" s="1"/>
      <c r="AA39" s="1"/>
      <c r="AB39" s="1"/>
      <c r="AC39" s="5"/>
      <c r="AD39" s="5"/>
      <c r="AE39" s="1"/>
      <c r="AF39" s="12"/>
      <c r="AG39" s="319"/>
      <c r="AH39" s="299"/>
      <c r="AI39" s="299">
        <v>295</v>
      </c>
      <c r="AJ39" s="300">
        <v>0</v>
      </c>
      <c r="AK39" s="1"/>
      <c r="AL39" s="80"/>
      <c r="AM39" s="319" t="s">
        <v>7</v>
      </c>
      <c r="AN39" s="299">
        <v>516</v>
      </c>
      <c r="AO39" s="299">
        <v>1049</v>
      </c>
      <c r="AP39" s="300">
        <v>0.4</v>
      </c>
      <c r="AQ39" s="301">
        <v>793</v>
      </c>
      <c r="AR39" s="299">
        <v>2501</v>
      </c>
      <c r="AS39" s="116">
        <v>0.15</v>
      </c>
      <c r="AT39" s="23"/>
      <c r="AU39" s="1"/>
      <c r="AV39" s="296" t="s">
        <v>7</v>
      </c>
      <c r="AW39" s="298">
        <v>4968</v>
      </c>
      <c r="AX39" s="299">
        <v>1567</v>
      </c>
      <c r="AY39" s="140">
        <v>0.06</v>
      </c>
      <c r="AZ39" s="313">
        <v>-19.600000000000001</v>
      </c>
      <c r="BA39" s="191">
        <v>5.7</v>
      </c>
      <c r="BB39" s="116"/>
      <c r="BC39" s="1"/>
      <c r="BD39" s="1"/>
      <c r="BE39" s="1"/>
      <c r="BF39" s="1"/>
      <c r="BG39" s="1"/>
      <c r="BH39" s="1"/>
      <c r="BI39" s="1"/>
      <c r="BJ39" s="1"/>
      <c r="BK39" s="1"/>
      <c r="CR39" s="1"/>
      <c r="CS39" s="1"/>
      <c r="CT39" s="47"/>
      <c r="CU39" s="43"/>
      <c r="CY39" s="7"/>
      <c r="CZ39" s="7"/>
    </row>
    <row r="40" spans="1:104" ht="16.5" thickBot="1">
      <c r="A40" s="1"/>
      <c r="B40" s="5"/>
      <c r="C40" s="21"/>
      <c r="D40" s="360">
        <v>184.2</v>
      </c>
      <c r="E40" s="80">
        <v>0.13158901360209813</v>
      </c>
      <c r="F40" s="328">
        <v>29</v>
      </c>
      <c r="G40" s="98">
        <v>102.212333646044</v>
      </c>
      <c r="H40" s="104">
        <v>55.45</v>
      </c>
      <c r="I40" s="1"/>
      <c r="J40" s="1"/>
      <c r="K40" s="1"/>
      <c r="L40" s="396" t="s">
        <v>149</v>
      </c>
      <c r="M40" s="397"/>
      <c r="N40" s="397"/>
      <c r="O40" s="398"/>
      <c r="P40" s="396" t="s">
        <v>150</v>
      </c>
      <c r="Q40" s="397"/>
      <c r="R40" s="397"/>
      <c r="S40" s="398"/>
      <c r="T40" s="79"/>
      <c r="U40" s="117">
        <v>1.1383804790784509</v>
      </c>
      <c r="V40" s="118">
        <v>188</v>
      </c>
      <c r="W40" s="23"/>
      <c r="X40" s="1"/>
      <c r="Y40" s="5"/>
      <c r="Z40" s="5"/>
      <c r="AA40" s="5"/>
      <c r="AB40" s="5"/>
      <c r="AC40" s="5"/>
      <c r="AD40" s="5"/>
      <c r="AE40" s="1"/>
      <c r="AF40" s="12"/>
      <c r="AG40" s="318"/>
      <c r="AH40" s="299"/>
      <c r="AI40" s="299">
        <v>292</v>
      </c>
      <c r="AJ40" s="300">
        <v>0</v>
      </c>
      <c r="AK40" s="1"/>
      <c r="AL40" s="80"/>
      <c r="AM40" s="318" t="s">
        <v>8</v>
      </c>
      <c r="AN40" s="299">
        <v>675</v>
      </c>
      <c r="AO40" s="299">
        <v>1056</v>
      </c>
      <c r="AP40" s="300">
        <v>0.4</v>
      </c>
      <c r="AQ40" s="302">
        <v>2016</v>
      </c>
      <c r="AR40" s="299">
        <v>5220</v>
      </c>
      <c r="AS40" s="116">
        <v>0.15</v>
      </c>
      <c r="AT40" s="23"/>
      <c r="AU40" s="1"/>
      <c r="AV40" s="295" t="s">
        <v>8</v>
      </c>
      <c r="AW40" s="298"/>
      <c r="AX40" s="299"/>
      <c r="AY40" s="116">
        <v>0.15</v>
      </c>
      <c r="AZ40" s="302"/>
      <c r="BA40" s="299"/>
      <c r="BB40" s="116"/>
      <c r="BC40" s="1"/>
      <c r="BD40" s="1"/>
      <c r="BE40" s="1"/>
      <c r="BF40" s="1"/>
      <c r="BG40" s="1"/>
      <c r="BH40" s="1"/>
      <c r="BI40" s="1"/>
      <c r="BJ40" s="1"/>
      <c r="BK40" s="1"/>
      <c r="CR40" s="1"/>
      <c r="CS40" s="1"/>
      <c r="CT40" s="48"/>
      <c r="CU40" s="44"/>
      <c r="CY40" s="7"/>
      <c r="CZ40" s="7"/>
    </row>
    <row r="41" spans="1:104" ht="16.5" thickTop="1" thickBot="1">
      <c r="A41" s="1"/>
      <c r="B41" s="1"/>
      <c r="C41" s="21"/>
      <c r="D41" s="360">
        <v>112.6</v>
      </c>
      <c r="E41" s="80">
        <v>0.12626977332561071</v>
      </c>
      <c r="F41" s="328"/>
      <c r="G41" s="98"/>
      <c r="H41" s="104"/>
      <c r="I41" s="1"/>
      <c r="J41" s="1"/>
      <c r="K41" s="80"/>
      <c r="L41" s="125" t="s">
        <v>79</v>
      </c>
      <c r="M41" s="198" t="s">
        <v>31</v>
      </c>
      <c r="N41" s="126" t="s">
        <v>52</v>
      </c>
      <c r="O41" s="127" t="s">
        <v>54</v>
      </c>
      <c r="P41" s="125" t="s">
        <v>79</v>
      </c>
      <c r="Q41" s="198" t="s">
        <v>31</v>
      </c>
      <c r="R41" s="126" t="s">
        <v>53</v>
      </c>
      <c r="S41" s="128" t="s">
        <v>148</v>
      </c>
      <c r="T41" s="251"/>
      <c r="U41" s="247">
        <v>1.1672846709300519</v>
      </c>
      <c r="V41" s="129">
        <v>189</v>
      </c>
      <c r="W41" s="81"/>
      <c r="X41" s="1"/>
      <c r="Y41" s="5"/>
      <c r="Z41" s="5"/>
      <c r="AA41" s="95"/>
      <c r="AB41" s="95"/>
      <c r="AC41" s="5"/>
      <c r="AD41" s="5"/>
      <c r="AE41" s="1"/>
      <c r="AF41" s="12"/>
      <c r="AG41" s="318"/>
      <c r="AH41" s="299"/>
      <c r="AI41" s="299">
        <v>289</v>
      </c>
      <c r="AJ41" s="300">
        <v>0</v>
      </c>
      <c r="AK41" s="1"/>
      <c r="AL41" s="80"/>
      <c r="AM41" s="318" t="s">
        <v>9</v>
      </c>
      <c r="AN41" s="299">
        <v>774</v>
      </c>
      <c r="AO41" s="299">
        <v>1195</v>
      </c>
      <c r="AP41" s="300">
        <v>0.4</v>
      </c>
      <c r="AQ41" s="301">
        <v>1996.2</v>
      </c>
      <c r="AR41" s="299">
        <v>5221.8</v>
      </c>
      <c r="AS41" s="116">
        <v>0.15</v>
      </c>
      <c r="AT41" s="23"/>
      <c r="AU41" s="1"/>
      <c r="AV41" s="295" t="s">
        <v>9</v>
      </c>
      <c r="AW41" s="298"/>
      <c r="AX41" s="299"/>
      <c r="AY41" s="116">
        <v>0.15</v>
      </c>
      <c r="AZ41" s="301"/>
      <c r="BA41" s="299"/>
      <c r="BB41" s="116"/>
      <c r="BC41" s="1"/>
      <c r="BD41" s="1"/>
      <c r="BE41" s="1"/>
      <c r="BF41" s="1"/>
      <c r="BG41" s="1"/>
      <c r="BH41" s="1"/>
      <c r="BI41" s="1"/>
      <c r="BJ41" s="1"/>
      <c r="BK41" s="1"/>
      <c r="CR41" s="1"/>
      <c r="CS41" s="1"/>
      <c r="CT41" s="48"/>
      <c r="CU41" s="44"/>
      <c r="CW41" s="11"/>
      <c r="CX41" s="11"/>
    </row>
    <row r="42" spans="1:104" ht="15.75" thickTop="1">
      <c r="A42" s="1"/>
      <c r="B42" s="5"/>
      <c r="C42" s="131"/>
      <c r="D42" s="360">
        <v>76.8</v>
      </c>
      <c r="E42" s="80">
        <v>0.11965742083646604</v>
      </c>
      <c r="F42" s="139"/>
      <c r="G42" s="98"/>
      <c r="H42" s="104"/>
      <c r="I42" s="23"/>
      <c r="J42" s="1"/>
      <c r="K42" s="80"/>
      <c r="L42">
        <v>654</v>
      </c>
      <c r="M42" s="7">
        <v>61.2</v>
      </c>
      <c r="N42" s="252">
        <v>0</v>
      </c>
      <c r="O42" s="252">
        <v>0</v>
      </c>
      <c r="P42" s="328">
        <v>612</v>
      </c>
      <c r="Q42" s="257"/>
      <c r="R42" s="153"/>
      <c r="S42" s="252"/>
      <c r="T42" s="251"/>
      <c r="U42" s="5">
        <v>1.1957828318414301</v>
      </c>
      <c r="V42" s="116">
        <v>190</v>
      </c>
      <c r="W42" s="23"/>
      <c r="X42" s="1"/>
      <c r="Y42" s="5"/>
      <c r="Z42" s="5"/>
      <c r="AA42" s="5"/>
      <c r="AB42" s="5"/>
      <c r="AC42" s="5"/>
      <c r="AD42" s="5"/>
      <c r="AE42" s="1"/>
      <c r="AF42" s="12"/>
      <c r="AG42" s="319"/>
      <c r="AH42" s="299"/>
      <c r="AI42" s="299">
        <v>286</v>
      </c>
      <c r="AJ42" s="300">
        <v>0</v>
      </c>
      <c r="AK42" s="1"/>
      <c r="AL42" s="80"/>
      <c r="AM42" s="319" t="s">
        <v>10</v>
      </c>
      <c r="AN42" s="299">
        <v>829</v>
      </c>
      <c r="AO42" s="299">
        <v>1164</v>
      </c>
      <c r="AP42" s="300">
        <v>0.4</v>
      </c>
      <c r="AQ42" s="301">
        <v>2136.6</v>
      </c>
      <c r="AR42" s="299">
        <v>5180.3999999999996</v>
      </c>
      <c r="AS42" s="116">
        <v>0.15</v>
      </c>
      <c r="AT42" s="23"/>
      <c r="AU42" s="1"/>
      <c r="AV42" s="296" t="s">
        <v>10</v>
      </c>
      <c r="AW42" s="298"/>
      <c r="AX42" s="299"/>
      <c r="AY42" s="116">
        <v>0.15</v>
      </c>
      <c r="AZ42" s="301"/>
      <c r="BA42" s="299"/>
      <c r="BB42" s="116"/>
      <c r="BC42" s="1"/>
      <c r="BD42" s="1"/>
      <c r="BE42" s="1"/>
      <c r="BF42" s="1"/>
      <c r="BG42" s="1"/>
      <c r="BH42" s="1"/>
      <c r="BI42" s="1"/>
      <c r="BJ42" s="1"/>
      <c r="BK42" s="1"/>
      <c r="CR42" s="1"/>
      <c r="CS42" s="1"/>
      <c r="CT42" s="48"/>
      <c r="CU42" s="44"/>
    </row>
    <row r="43" spans="1:104" ht="16.5" thickBot="1">
      <c r="A43" s="410" t="s">
        <v>151</v>
      </c>
      <c r="B43" s="411"/>
      <c r="C43" s="411"/>
      <c r="D43" s="360">
        <v>41</v>
      </c>
      <c r="E43" s="80">
        <v>0.11079859809925452</v>
      </c>
      <c r="F43" s="53"/>
      <c r="G43" s="98"/>
      <c r="H43" s="140"/>
      <c r="I43" s="23"/>
      <c r="J43" s="1"/>
      <c r="K43" s="80"/>
      <c r="L43" s="328">
        <v>506.4</v>
      </c>
      <c r="M43" s="7">
        <v>55.08</v>
      </c>
      <c r="N43" s="8">
        <v>0</v>
      </c>
      <c r="O43" s="8">
        <v>0</v>
      </c>
      <c r="P43" s="328">
        <v>550.79999999999995</v>
      </c>
      <c r="Q43" s="23"/>
      <c r="R43" s="5"/>
      <c r="S43" s="8"/>
      <c r="T43" s="251"/>
      <c r="U43" s="5">
        <v>1.2249767486344338</v>
      </c>
      <c r="V43" s="116">
        <v>191</v>
      </c>
      <c r="W43" s="244"/>
      <c r="X43" s="1"/>
      <c r="Y43" s="5"/>
      <c r="Z43" s="5"/>
      <c r="AA43" s="95"/>
      <c r="AB43" s="95"/>
      <c r="AC43" s="5"/>
      <c r="AD43" s="5"/>
      <c r="AE43" s="1"/>
      <c r="AF43" s="12"/>
      <c r="AG43" s="318"/>
      <c r="AH43" s="299"/>
      <c r="AI43" s="299">
        <v>283</v>
      </c>
      <c r="AJ43" s="300">
        <v>0</v>
      </c>
      <c r="AK43" s="1"/>
      <c r="AL43" s="80"/>
      <c r="AM43" s="318" t="s">
        <v>35</v>
      </c>
      <c r="AN43" s="299">
        <v>829</v>
      </c>
      <c r="AO43" s="299">
        <v>1164</v>
      </c>
      <c r="AP43" s="300">
        <v>0.4</v>
      </c>
      <c r="AQ43" s="301">
        <v>2136.6</v>
      </c>
      <c r="AR43" s="299">
        <v>5180.3999999999996</v>
      </c>
      <c r="AS43" s="116">
        <v>0.15</v>
      </c>
      <c r="AT43" s="1"/>
      <c r="AU43" s="1"/>
      <c r="AV43" s="297" t="s">
        <v>35</v>
      </c>
      <c r="AW43" s="303"/>
      <c r="AX43" s="304"/>
      <c r="AY43" s="116">
        <v>0.15</v>
      </c>
      <c r="AZ43" s="306"/>
      <c r="BA43" s="304"/>
      <c r="BB43" s="118"/>
      <c r="BC43" s="1"/>
      <c r="BD43" s="1"/>
      <c r="BE43" s="1"/>
      <c r="BF43" s="1"/>
      <c r="BG43" s="1"/>
      <c r="BH43" s="1"/>
      <c r="BI43" s="1"/>
      <c r="BJ43" s="1"/>
      <c r="BK43" s="1"/>
      <c r="CR43" s="1"/>
      <c r="CS43" s="1"/>
      <c r="CT43" s="48"/>
      <c r="CU43" s="44"/>
    </row>
    <row r="44" spans="1:104" ht="17.25" thickTop="1" thickBot="1">
      <c r="A44" s="412"/>
      <c r="B44" s="413"/>
      <c r="C44" s="413"/>
      <c r="D44" s="360">
        <v>5.2</v>
      </c>
      <c r="E44" s="253">
        <v>9.2215932159957922E-2</v>
      </c>
      <c r="F44" s="141"/>
      <c r="G44" s="141"/>
      <c r="H44" s="142"/>
      <c r="I44" s="8"/>
      <c r="J44" s="249"/>
      <c r="K44" s="80"/>
      <c r="L44" s="328">
        <v>470.6</v>
      </c>
      <c r="M44" s="7">
        <v>48.96</v>
      </c>
      <c r="N44" s="8">
        <v>0</v>
      </c>
      <c r="O44" s="8">
        <v>1.7176405530654689E-2</v>
      </c>
      <c r="P44" s="358">
        <v>489.6</v>
      </c>
      <c r="Q44" s="23"/>
      <c r="R44" s="5"/>
      <c r="S44" s="114"/>
      <c r="T44" s="251"/>
      <c r="U44" s="5">
        <v>1.2536871411805532</v>
      </c>
      <c r="V44" s="116">
        <v>192</v>
      </c>
      <c r="W44" s="23"/>
      <c r="X44" s="1"/>
      <c r="Y44" s="5"/>
      <c r="Z44" s="5"/>
      <c r="AA44" s="1"/>
      <c r="AB44" s="1"/>
      <c r="AC44" s="5"/>
      <c r="AD44" s="5"/>
      <c r="AE44" s="1"/>
      <c r="AF44" s="12"/>
      <c r="AG44" s="19" t="s">
        <v>163</v>
      </c>
      <c r="AH44" s="299">
        <v>5506</v>
      </c>
      <c r="AI44" s="299">
        <v>606</v>
      </c>
      <c r="AJ44" s="300">
        <v>0</v>
      </c>
      <c r="AK44" s="1"/>
      <c r="AL44" s="80"/>
      <c r="AM44" s="19" t="s">
        <v>163</v>
      </c>
      <c r="AN44" s="299">
        <v>829</v>
      </c>
      <c r="AO44" s="299">
        <v>1164</v>
      </c>
      <c r="AP44" s="300">
        <v>0.4</v>
      </c>
      <c r="AQ44" s="301">
        <v>2136.6</v>
      </c>
      <c r="AR44" s="299">
        <v>5180.3999999999996</v>
      </c>
      <c r="AS44" s="116">
        <v>0.15</v>
      </c>
      <c r="AT44" s="1"/>
      <c r="AU44" s="1"/>
      <c r="AV44" s="19" t="s">
        <v>163</v>
      </c>
      <c r="AW44" s="1"/>
      <c r="AX44" s="1"/>
      <c r="AY44" s="116">
        <v>0.15</v>
      </c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CR44" s="1"/>
      <c r="CS44" s="1"/>
      <c r="CT44" s="48"/>
      <c r="CU44" s="44"/>
    </row>
    <row r="45" spans="1:104" ht="17.25" thickTop="1" thickBot="1">
      <c r="A45" s="414"/>
      <c r="B45" s="415"/>
      <c r="C45" s="415"/>
      <c r="D45" s="401" t="s">
        <v>74</v>
      </c>
      <c r="E45" s="402"/>
      <c r="F45" s="402"/>
      <c r="G45" s="402"/>
      <c r="H45" s="403"/>
      <c r="I45" s="8"/>
      <c r="J45" s="249"/>
      <c r="K45" s="80"/>
      <c r="L45" s="328">
        <v>434.8</v>
      </c>
      <c r="M45" s="7">
        <v>42.839999999999996</v>
      </c>
      <c r="N45" s="8">
        <v>0</v>
      </c>
      <c r="O45" s="8">
        <v>3.4410146875227733E-2</v>
      </c>
      <c r="P45" s="364">
        <v>428.4</v>
      </c>
      <c r="Q45" s="23"/>
      <c r="R45" s="5"/>
      <c r="S45" s="114"/>
      <c r="T45" s="251"/>
      <c r="U45" s="5">
        <v>1.2842947374007816</v>
      </c>
      <c r="V45" s="118">
        <v>193</v>
      </c>
      <c r="W45" s="23"/>
      <c r="X45" s="1"/>
      <c r="Y45" s="5"/>
      <c r="Z45" s="5"/>
      <c r="AA45" s="1"/>
      <c r="AB45" s="1"/>
      <c r="AC45" s="5"/>
      <c r="AD45" s="5"/>
      <c r="AE45" s="1"/>
      <c r="AF45" s="5"/>
      <c r="AG45" s="19" t="s">
        <v>178</v>
      </c>
      <c r="AH45" s="299">
        <v>5506</v>
      </c>
      <c r="AI45" s="299">
        <v>606</v>
      </c>
      <c r="AJ45" s="300">
        <v>0</v>
      </c>
      <c r="AK45" s="1"/>
      <c r="AL45" s="80"/>
      <c r="AM45" s="19" t="s">
        <v>178</v>
      </c>
      <c r="AN45" s="299">
        <v>829</v>
      </c>
      <c r="AO45" s="299">
        <v>1164</v>
      </c>
      <c r="AP45" s="300">
        <v>0.4</v>
      </c>
      <c r="AQ45" s="301">
        <v>2136.6</v>
      </c>
      <c r="AR45" s="299">
        <v>5180.3999999999996</v>
      </c>
      <c r="AS45" s="116">
        <v>0.15</v>
      </c>
      <c r="AT45" s="1"/>
      <c r="AU45" s="1"/>
      <c r="AV45" s="19" t="s">
        <v>178</v>
      </c>
      <c r="AW45" s="1"/>
      <c r="AX45" s="1"/>
      <c r="AY45" s="116">
        <v>0.15</v>
      </c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CR45" s="1"/>
      <c r="CS45" s="1"/>
      <c r="CT45" s="48"/>
      <c r="CU45" s="44"/>
    </row>
    <row r="46" spans="1:104" ht="17.25" thickTop="1" thickBot="1">
      <c r="A46" s="1"/>
      <c r="B46" s="1"/>
      <c r="C46" s="21"/>
      <c r="D46" s="404" t="s">
        <v>80</v>
      </c>
      <c r="E46" s="405"/>
      <c r="F46" s="405"/>
      <c r="G46" s="405"/>
      <c r="H46" s="406"/>
      <c r="I46" s="8"/>
      <c r="J46" s="1"/>
      <c r="K46" s="80"/>
      <c r="L46" s="328">
        <v>399</v>
      </c>
      <c r="M46" s="7">
        <v>36.72</v>
      </c>
      <c r="N46" s="8">
        <v>236.51924595146383</v>
      </c>
      <c r="O46" s="114">
        <v>4.6921682350010083E-2</v>
      </c>
      <c r="P46" s="328">
        <v>367.2</v>
      </c>
      <c r="Q46" s="23"/>
      <c r="R46" s="5"/>
      <c r="S46" s="114"/>
      <c r="T46" s="12"/>
      <c r="U46" s="5">
        <v>1.3143953953086123</v>
      </c>
      <c r="V46" s="9">
        <v>194</v>
      </c>
      <c r="W46" s="1"/>
      <c r="X46" s="1"/>
      <c r="Y46" s="5"/>
      <c r="Z46" s="5"/>
      <c r="AA46" s="1"/>
      <c r="AB46" s="1"/>
      <c r="AC46" s="5"/>
      <c r="AD46" s="5"/>
      <c r="AE46" s="1"/>
      <c r="AF46" s="5"/>
      <c r="AG46" s="19" t="s">
        <v>179</v>
      </c>
      <c r="AH46" s="299">
        <v>5506</v>
      </c>
      <c r="AI46" s="299">
        <v>606</v>
      </c>
      <c r="AJ46" s="300">
        <v>0</v>
      </c>
      <c r="AK46" s="1"/>
      <c r="AL46" s="80"/>
      <c r="AM46" s="19" t="s">
        <v>179</v>
      </c>
      <c r="AN46" s="299">
        <v>829</v>
      </c>
      <c r="AO46" s="299">
        <v>1164</v>
      </c>
      <c r="AP46" s="300">
        <v>0.4</v>
      </c>
      <c r="AQ46" s="301">
        <v>2136.6</v>
      </c>
      <c r="AR46" s="299">
        <v>5180.3999999999996</v>
      </c>
      <c r="AS46" s="116">
        <v>0.15</v>
      </c>
      <c r="AT46" s="1"/>
      <c r="AU46" s="1"/>
      <c r="AV46" s="19" t="s">
        <v>179</v>
      </c>
      <c r="AW46" s="1"/>
      <c r="AX46" s="1"/>
      <c r="AY46" s="116">
        <v>0.15</v>
      </c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CR46" s="1"/>
      <c r="CS46" s="1"/>
      <c r="CT46" s="48"/>
      <c r="CU46" s="44"/>
    </row>
    <row r="47" spans="1:104" ht="48.75" thickTop="1">
      <c r="A47" s="1"/>
      <c r="B47" s="5"/>
      <c r="C47" s="131"/>
      <c r="D47" s="134" t="s">
        <v>66</v>
      </c>
      <c r="E47" s="135" t="s">
        <v>67</v>
      </c>
      <c r="F47" s="135" t="s">
        <v>68</v>
      </c>
      <c r="G47" s="136" t="s">
        <v>69</v>
      </c>
      <c r="H47" s="133"/>
      <c r="I47" s="8"/>
      <c r="J47" s="1"/>
      <c r="K47" s="80"/>
      <c r="L47" s="328">
        <v>363.2</v>
      </c>
      <c r="M47" s="7">
        <v>30.6</v>
      </c>
      <c r="N47" s="8">
        <v>844.22032754695442</v>
      </c>
      <c r="O47" s="114">
        <v>5.6745297291216079E-2</v>
      </c>
      <c r="P47" s="328">
        <v>306</v>
      </c>
      <c r="Q47" s="23"/>
      <c r="R47" s="5"/>
      <c r="S47" s="114"/>
      <c r="T47" s="12"/>
      <c r="U47" s="5">
        <v>1.3452015373861577</v>
      </c>
      <c r="V47" s="1">
        <v>195</v>
      </c>
      <c r="W47" s="1"/>
      <c r="X47" s="1"/>
      <c r="Y47" s="5"/>
      <c r="Z47" s="5"/>
      <c r="AA47" s="1"/>
      <c r="AB47" s="1"/>
      <c r="AC47" s="5"/>
      <c r="AD47" s="5"/>
      <c r="AE47" s="1"/>
      <c r="AF47" s="5"/>
      <c r="AG47" s="19" t="s">
        <v>180</v>
      </c>
      <c r="AH47" s="299">
        <v>5506</v>
      </c>
      <c r="AI47" s="299">
        <v>606</v>
      </c>
      <c r="AJ47" s="300">
        <v>0</v>
      </c>
      <c r="AK47" s="1"/>
      <c r="AL47" s="80"/>
      <c r="AM47" s="19" t="s">
        <v>180</v>
      </c>
      <c r="AN47" s="299">
        <v>829</v>
      </c>
      <c r="AO47" s="299">
        <v>1164</v>
      </c>
      <c r="AP47" s="300">
        <v>0.4</v>
      </c>
      <c r="AQ47" s="301">
        <v>2136.6</v>
      </c>
      <c r="AR47" s="299">
        <v>5180.3999999999996</v>
      </c>
      <c r="AS47" s="116">
        <v>0.15</v>
      </c>
      <c r="AT47" s="1"/>
      <c r="AU47" s="1"/>
      <c r="AV47" s="19" t="s">
        <v>180</v>
      </c>
      <c r="AW47" s="1"/>
      <c r="AX47" s="1"/>
      <c r="AY47" s="116">
        <v>0.15</v>
      </c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CR47" s="1"/>
      <c r="CS47" s="1"/>
      <c r="CT47" s="48"/>
      <c r="CU47" s="44"/>
    </row>
    <row r="48" spans="1:104">
      <c r="A48" s="1"/>
      <c r="B48" s="5"/>
      <c r="C48" s="131"/>
      <c r="D48" s="137" t="s">
        <v>70</v>
      </c>
      <c r="E48" s="97" t="s">
        <v>71</v>
      </c>
      <c r="F48" s="97" t="s">
        <v>72</v>
      </c>
      <c r="G48" s="138" t="s">
        <v>73</v>
      </c>
      <c r="H48" s="62"/>
      <c r="I48" s="256" t="s">
        <v>77</v>
      </c>
      <c r="J48" s="399">
        <v>2645.0363859370796</v>
      </c>
      <c r="K48" s="400"/>
      <c r="L48" s="328">
        <v>327.39999999999998</v>
      </c>
      <c r="M48" s="7">
        <v>24.48</v>
      </c>
      <c r="N48" s="8">
        <v>1381.1860413279492</v>
      </c>
      <c r="O48" s="114">
        <v>6.4538343444704355E-2</v>
      </c>
      <c r="P48" s="328">
        <v>244.8</v>
      </c>
      <c r="Q48" s="23"/>
      <c r="R48" s="5"/>
      <c r="S48" s="114"/>
      <c r="T48" s="12"/>
      <c r="U48" s="5">
        <v>1.375416025042292</v>
      </c>
      <c r="V48" s="1">
        <v>196</v>
      </c>
      <c r="W48" s="5">
        <v>181.28700407768028</v>
      </c>
      <c r="X48" s="63">
        <v>21.710159209775711</v>
      </c>
      <c r="Y48" s="5"/>
      <c r="Z48" s="63"/>
      <c r="AA48" s="1"/>
      <c r="AB48" s="1"/>
      <c r="AC48" s="5"/>
      <c r="AD48" s="5"/>
      <c r="AE48" s="1"/>
      <c r="AF48" s="5"/>
      <c r="AG48" s="369" t="s">
        <v>251</v>
      </c>
      <c r="AH48" s="370">
        <v>0</v>
      </c>
      <c r="AI48" s="370">
        <v>0</v>
      </c>
      <c r="AJ48" s="300">
        <v>0</v>
      </c>
      <c r="AK48" s="1"/>
      <c r="AL48" s="80"/>
      <c r="AM48" s="369" t="s">
        <v>251</v>
      </c>
      <c r="AN48" s="370">
        <v>829</v>
      </c>
      <c r="AO48" s="370">
        <v>1164</v>
      </c>
      <c r="AP48" s="371">
        <v>0.4</v>
      </c>
      <c r="AQ48" s="372">
        <v>-19.72</v>
      </c>
      <c r="AR48" s="370">
        <v>94.7</v>
      </c>
      <c r="AS48" s="373">
        <v>-0.78100000000000003</v>
      </c>
      <c r="AT48" s="1"/>
      <c r="AU48" s="1"/>
      <c r="AV48" s="19" t="s">
        <v>181</v>
      </c>
      <c r="AW48" s="1"/>
      <c r="AX48" s="1"/>
      <c r="AY48" s="116">
        <v>0.15</v>
      </c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CR48" s="1"/>
      <c r="CS48" s="1"/>
      <c r="CT48" s="48"/>
      <c r="CU48" s="44"/>
    </row>
    <row r="49" spans="1:100">
      <c r="A49" s="1"/>
      <c r="B49" s="5"/>
      <c r="C49" s="255"/>
      <c r="D49" s="328"/>
      <c r="E49" s="328"/>
      <c r="F49" s="328"/>
      <c r="G49" s="98"/>
      <c r="H49" s="104">
        <v>55.45</v>
      </c>
      <c r="I49" s="8"/>
      <c r="J49" s="1"/>
      <c r="K49" s="80"/>
      <c r="L49" s="328">
        <v>291.60000000000002</v>
      </c>
      <c r="M49" s="7">
        <v>18.36</v>
      </c>
      <c r="N49" s="8">
        <v>1667.3221993513891</v>
      </c>
      <c r="O49" s="114">
        <v>7.052312775193624E-2</v>
      </c>
      <c r="P49" s="328">
        <v>183.6</v>
      </c>
      <c r="Q49" s="23"/>
      <c r="R49" s="5"/>
      <c r="S49" s="114"/>
      <c r="T49" s="12"/>
      <c r="U49" s="5">
        <v>1.4076523381292207</v>
      </c>
      <c r="V49" s="1">
        <v>197</v>
      </c>
      <c r="W49" s="5">
        <v>0.99604669633116116</v>
      </c>
      <c r="X49" s="63">
        <v>9.9834614074495454E-3</v>
      </c>
      <c r="Y49" s="5"/>
      <c r="Z49" s="63"/>
      <c r="AA49" s="1"/>
      <c r="AB49" s="1"/>
      <c r="AC49" s="1"/>
      <c r="AD49" s="1"/>
      <c r="AE49" s="1"/>
      <c r="AF49" s="5"/>
      <c r="AG49" s="19" t="s">
        <v>182</v>
      </c>
      <c r="AH49" s="299">
        <v>5506</v>
      </c>
      <c r="AI49" s="299">
        <v>606</v>
      </c>
      <c r="AJ49" s="300">
        <v>0</v>
      </c>
      <c r="AK49" s="1"/>
      <c r="AL49" s="80"/>
      <c r="AM49" s="19" t="s">
        <v>182</v>
      </c>
      <c r="AN49" s="299">
        <v>829</v>
      </c>
      <c r="AO49" s="299">
        <v>1164</v>
      </c>
      <c r="AP49" s="300">
        <v>0.4</v>
      </c>
      <c r="AQ49" s="301">
        <v>2136.6</v>
      </c>
      <c r="AR49" s="299">
        <v>5180.3999999999996</v>
      </c>
      <c r="AS49" s="116">
        <v>0.15</v>
      </c>
      <c r="AT49" s="1"/>
      <c r="AU49" s="1"/>
      <c r="AV49" s="19" t="s">
        <v>182</v>
      </c>
      <c r="AW49" s="1"/>
      <c r="AX49" s="1"/>
      <c r="AY49" s="116">
        <v>0.15</v>
      </c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CR49" s="1"/>
      <c r="CS49" s="1"/>
      <c r="CT49" s="48"/>
      <c r="CU49" s="45"/>
    </row>
    <row r="50" spans="1:100">
      <c r="A50" s="1"/>
      <c r="B50" s="5"/>
      <c r="C50" s="131"/>
      <c r="D50" s="328"/>
      <c r="E50" s="328"/>
      <c r="F50" s="328"/>
      <c r="G50" s="98"/>
      <c r="H50" s="104">
        <v>55.45</v>
      </c>
      <c r="I50" s="8"/>
      <c r="J50" s="1"/>
      <c r="K50" s="80"/>
      <c r="L50" s="328">
        <v>255.8</v>
      </c>
      <c r="M50" s="7">
        <v>12.24</v>
      </c>
      <c r="N50" s="8">
        <v>1703.3148529603316</v>
      </c>
      <c r="O50" s="114">
        <v>7.484709423037865E-2</v>
      </c>
      <c r="P50" s="360">
        <v>122.4</v>
      </c>
      <c r="Q50" s="23"/>
      <c r="R50" s="5"/>
      <c r="S50" s="114"/>
      <c r="T50" s="12"/>
      <c r="U50" s="5">
        <v>1.4378948688312159</v>
      </c>
      <c r="V50" s="1">
        <v>198</v>
      </c>
      <c r="W50" s="5">
        <v>828.98195665498213</v>
      </c>
      <c r="X50" s="63">
        <v>0.89503099146140042</v>
      </c>
      <c r="Y50" s="5"/>
      <c r="Z50" s="63"/>
      <c r="AA50" s="1"/>
      <c r="AB50" s="1"/>
      <c r="AC50" s="1"/>
      <c r="AD50" s="1"/>
      <c r="AE50" s="1"/>
      <c r="AF50" s="5"/>
      <c r="AG50" s="19" t="s">
        <v>183</v>
      </c>
      <c r="AH50" s="299">
        <v>5506</v>
      </c>
      <c r="AI50" s="299">
        <v>606</v>
      </c>
      <c r="AJ50" s="300">
        <v>0</v>
      </c>
      <c r="AK50" s="1"/>
      <c r="AL50" s="80"/>
      <c r="AM50" s="19" t="s">
        <v>183</v>
      </c>
      <c r="AN50" s="299">
        <v>829</v>
      </c>
      <c r="AO50" s="299">
        <v>1164</v>
      </c>
      <c r="AP50" s="300">
        <v>0.4</v>
      </c>
      <c r="AQ50" s="301">
        <v>2136.6</v>
      </c>
      <c r="AR50" s="299">
        <v>5180.3999999999996</v>
      </c>
      <c r="AS50" s="116">
        <v>0.15</v>
      </c>
      <c r="AT50" s="1"/>
      <c r="AU50" s="1"/>
      <c r="AV50" s="19" t="s">
        <v>183</v>
      </c>
      <c r="AW50" s="1"/>
      <c r="AX50" s="1"/>
      <c r="AY50" s="116">
        <v>0.15</v>
      </c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CR50" s="1"/>
      <c r="CS50" s="1"/>
      <c r="CT50" s="48"/>
      <c r="CU50" s="45"/>
      <c r="CV50" s="10"/>
    </row>
    <row r="51" spans="1:100">
      <c r="A51" s="1"/>
      <c r="B51" s="1"/>
      <c r="C51" s="132"/>
      <c r="D51" s="358"/>
      <c r="E51" s="328"/>
      <c r="F51" s="328"/>
      <c r="G51" s="98"/>
      <c r="H51" s="104">
        <v>55.45</v>
      </c>
      <c r="I51" s="8"/>
      <c r="J51" s="120"/>
      <c r="K51" s="80"/>
      <c r="L51" s="360">
        <v>220</v>
      </c>
      <c r="M51" s="7">
        <v>6.12</v>
      </c>
      <c r="N51" s="8">
        <v>1508.4734883014316</v>
      </c>
      <c r="O51" s="114">
        <v>7.7435349463454553E-2</v>
      </c>
      <c r="P51" s="360">
        <v>61.2</v>
      </c>
      <c r="Q51" s="23"/>
      <c r="R51" s="5"/>
      <c r="S51" s="80"/>
      <c r="T51" s="12"/>
      <c r="U51" s="5">
        <v>1.4701913356116045</v>
      </c>
      <c r="V51" s="1">
        <v>199</v>
      </c>
      <c r="W51" s="5">
        <v>0.11298459438240582</v>
      </c>
      <c r="X51" s="63">
        <v>0.88701540561759418</v>
      </c>
      <c r="Y51" s="5"/>
      <c r="Z51" s="63"/>
      <c r="AA51" s="1"/>
      <c r="AB51" s="1"/>
      <c r="AC51" s="1"/>
      <c r="AD51" s="1"/>
      <c r="AE51" s="1"/>
      <c r="AF51" s="5"/>
      <c r="AG51" s="19" t="s">
        <v>184</v>
      </c>
      <c r="AH51" s="299">
        <v>5506</v>
      </c>
      <c r="AI51" s="299">
        <v>606</v>
      </c>
      <c r="AJ51" s="300">
        <v>0</v>
      </c>
      <c r="AK51" s="1"/>
      <c r="AL51" s="80"/>
      <c r="AM51" s="19" t="s">
        <v>184</v>
      </c>
      <c r="AN51" s="299">
        <v>829</v>
      </c>
      <c r="AO51" s="299">
        <v>1164</v>
      </c>
      <c r="AP51" s="300">
        <v>0.4</v>
      </c>
      <c r="AQ51" s="301">
        <v>2136.6</v>
      </c>
      <c r="AR51" s="299">
        <v>5180.3999999999996</v>
      </c>
      <c r="AS51" s="116">
        <v>0.15</v>
      </c>
      <c r="AT51" s="1"/>
      <c r="AU51" s="1"/>
      <c r="AV51" s="19" t="s">
        <v>184</v>
      </c>
      <c r="AW51" s="1"/>
      <c r="AX51" s="1"/>
      <c r="AY51" s="116">
        <v>0.15</v>
      </c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CR51" s="1"/>
      <c r="CS51" s="1"/>
      <c r="CT51" s="48"/>
      <c r="CU51" s="45"/>
    </row>
    <row r="52" spans="1:100" ht="15.75">
      <c r="A52" s="1"/>
      <c r="B52" s="1"/>
      <c r="C52" s="80"/>
      <c r="D52" s="364"/>
      <c r="E52" s="328"/>
      <c r="F52" s="328"/>
      <c r="G52" s="98"/>
      <c r="H52" s="104">
        <v>55.45</v>
      </c>
      <c r="I52" s="98"/>
      <c r="J52" s="1"/>
      <c r="K52" s="90"/>
      <c r="L52" s="360">
        <v>184.2</v>
      </c>
      <c r="N52" s="8"/>
      <c r="O52" s="80">
        <v>7.8202813278075489E-2</v>
      </c>
      <c r="P52" s="19"/>
      <c r="Q52" s="23"/>
      <c r="R52" s="5"/>
      <c r="S52" s="80"/>
      <c r="T52" s="12"/>
      <c r="U52" s="5">
        <v>1.5032132113138181</v>
      </c>
      <c r="V52" s="1">
        <v>200</v>
      </c>
      <c r="W52" s="5">
        <v>870.79368864033052</v>
      </c>
      <c r="X52" s="63"/>
      <c r="Y52" s="5"/>
      <c r="Z52" s="63"/>
      <c r="AA52" s="5"/>
      <c r="AB52" s="57"/>
      <c r="AC52" s="164"/>
      <c r="AD52" s="1"/>
      <c r="AE52" s="1"/>
      <c r="AF52" s="5"/>
      <c r="AG52" s="19" t="s">
        <v>91</v>
      </c>
      <c r="AH52" s="299">
        <v>5506</v>
      </c>
      <c r="AI52" s="299">
        <v>606</v>
      </c>
      <c r="AJ52" s="300">
        <v>0</v>
      </c>
      <c r="AK52" s="1"/>
      <c r="AL52" s="80"/>
      <c r="AM52" s="19" t="s">
        <v>91</v>
      </c>
      <c r="AN52" s="299">
        <v>829</v>
      </c>
      <c r="AO52" s="299">
        <v>1164</v>
      </c>
      <c r="AP52" s="300">
        <v>0.4</v>
      </c>
      <c r="AQ52" s="301">
        <v>2136.6</v>
      </c>
      <c r="AR52" s="299">
        <v>5180.3999999999996</v>
      </c>
      <c r="AS52" s="116">
        <v>0.15</v>
      </c>
      <c r="AT52" s="1"/>
      <c r="AU52" s="1"/>
      <c r="AV52" s="19" t="s">
        <v>91</v>
      </c>
      <c r="AW52" s="1"/>
      <c r="AX52" s="1"/>
      <c r="AY52" s="116">
        <v>0.15</v>
      </c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CR52" s="1"/>
      <c r="CS52" s="1"/>
      <c r="CT52" s="48"/>
      <c r="CU52" s="45"/>
    </row>
    <row r="53" spans="1:100" ht="13.5" thickBot="1">
      <c r="A53" s="1"/>
      <c r="B53" s="1"/>
      <c r="C53" s="80"/>
      <c r="D53" s="328"/>
      <c r="E53" s="328"/>
      <c r="F53" s="328"/>
      <c r="G53" s="98"/>
      <c r="H53" s="104">
        <v>55.45</v>
      </c>
      <c r="I53" s="98"/>
      <c r="J53" s="1"/>
      <c r="K53" s="90"/>
      <c r="L53" s="360">
        <v>112.6</v>
      </c>
      <c r="N53" s="1"/>
      <c r="O53" s="80">
        <v>7.5053730296565258E-2</v>
      </c>
      <c r="P53" s="19">
        <f>10*Q53</f>
        <v>0</v>
      </c>
      <c r="Q53" s="23"/>
      <c r="R53" s="5"/>
      <c r="S53" s="116"/>
      <c r="T53" s="12"/>
      <c r="U53" s="5">
        <v>1.5355088076506385</v>
      </c>
      <c r="V53" s="1">
        <v>201</v>
      </c>
      <c r="W53" s="5">
        <v>4.4455241538109451E-4</v>
      </c>
      <c r="X53" s="63">
        <v>3.1397168808218995E-2</v>
      </c>
      <c r="Y53" s="5"/>
      <c r="Z53" s="63"/>
      <c r="AA53" s="5"/>
      <c r="AB53" s="5"/>
      <c r="AC53" s="5"/>
      <c r="AD53" s="1"/>
      <c r="AE53" s="1"/>
      <c r="AF53" s="5"/>
      <c r="AG53" s="19" t="s">
        <v>92</v>
      </c>
      <c r="AH53" s="299">
        <v>5506</v>
      </c>
      <c r="AI53" s="299">
        <v>606</v>
      </c>
      <c r="AJ53" s="300">
        <v>0</v>
      </c>
      <c r="AK53" s="1"/>
      <c r="AL53" s="80"/>
      <c r="AM53" s="19" t="s">
        <v>92</v>
      </c>
      <c r="AN53" s="299">
        <v>829</v>
      </c>
      <c r="AO53" s="299">
        <v>1164</v>
      </c>
      <c r="AP53" s="300">
        <v>0.4</v>
      </c>
      <c r="AQ53" s="301">
        <v>2136.6</v>
      </c>
      <c r="AR53" s="299">
        <v>5180.3999999999996</v>
      </c>
      <c r="AS53" s="116">
        <v>0.15</v>
      </c>
      <c r="AT53" s="1"/>
      <c r="AU53" s="1"/>
      <c r="AV53" s="19" t="s">
        <v>92</v>
      </c>
      <c r="AW53" s="1"/>
      <c r="AX53" s="1"/>
      <c r="AY53" s="118">
        <v>0.15</v>
      </c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CR53" s="1"/>
      <c r="CS53" s="1"/>
      <c r="CT53" s="48"/>
      <c r="CU53" s="45"/>
    </row>
    <row r="54" spans="1:100" ht="14.25" thickTop="1" thickBot="1">
      <c r="A54" s="1"/>
      <c r="B54" s="1"/>
      <c r="C54" s="328">
        <v>470.6</v>
      </c>
      <c r="D54" s="328"/>
      <c r="E54" s="328"/>
      <c r="F54" s="328"/>
      <c r="G54" s="98"/>
      <c r="H54" s="104">
        <v>55.45</v>
      </c>
      <c r="I54" s="98">
        <f>C2*0.6</f>
        <v>0</v>
      </c>
      <c r="J54" s="79">
        <v>1.3600000000000001E-3</v>
      </c>
      <c r="K54" s="90"/>
      <c r="L54" s="360">
        <v>76.8</v>
      </c>
      <c r="N54" s="1"/>
      <c r="O54" s="80">
        <v>7.1170045795161188E-2</v>
      </c>
      <c r="P54" s="19">
        <f>10*Q54</f>
        <v>0</v>
      </c>
      <c r="Q54" s="23"/>
      <c r="R54" s="5"/>
      <c r="S54" s="116"/>
      <c r="T54" s="12"/>
      <c r="U54" s="5">
        <v>1.5684982546900077</v>
      </c>
      <c r="V54" s="1">
        <v>202</v>
      </c>
      <c r="W54" s="5"/>
      <c r="X54" s="63"/>
      <c r="Y54" s="5"/>
      <c r="Z54" s="63"/>
      <c r="AA54" s="1"/>
      <c r="AB54" s="1"/>
      <c r="AC54" s="1"/>
      <c r="AD54" s="1"/>
      <c r="AE54" s="1"/>
      <c r="AF54" s="5"/>
      <c r="AG54" s="254"/>
      <c r="AH54" s="299">
        <v>5506</v>
      </c>
      <c r="AI54" s="299">
        <v>606</v>
      </c>
      <c r="AJ54" s="300">
        <v>0</v>
      </c>
      <c r="AK54" s="1"/>
      <c r="AL54" s="80"/>
      <c r="AM54" s="254"/>
      <c r="AN54" s="304">
        <v>829</v>
      </c>
      <c r="AO54" s="304">
        <v>1164</v>
      </c>
      <c r="AP54" s="305">
        <v>0.4</v>
      </c>
      <c r="AQ54" s="301">
        <v>2136.6</v>
      </c>
      <c r="AR54" s="299">
        <v>5180.3999999999996</v>
      </c>
      <c r="AS54" s="116">
        <v>0.15</v>
      </c>
      <c r="AT54" s="1"/>
      <c r="AU54" s="1"/>
      <c r="AV54" s="254"/>
      <c r="AW54" s="1"/>
      <c r="AX54" s="1"/>
      <c r="AY54" s="118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CR54" s="1"/>
      <c r="CS54" s="1"/>
      <c r="CT54" s="48"/>
      <c r="CU54" s="45"/>
    </row>
    <row r="55" spans="1:100" ht="14.25" thickTop="1" thickBot="1">
      <c r="A55" s="1"/>
      <c r="B55" s="1"/>
      <c r="C55" s="328">
        <v>434.8</v>
      </c>
      <c r="D55" s="328"/>
      <c r="E55" s="328"/>
      <c r="F55" s="328"/>
      <c r="G55" s="98"/>
      <c r="H55" s="104">
        <v>55.45</v>
      </c>
      <c r="I55" s="98" t="e">
        <f>#REF!*0.6</f>
        <v>#REF!</v>
      </c>
      <c r="J55" s="79">
        <v>5.0000000000000002E-5</v>
      </c>
      <c r="K55" s="90"/>
      <c r="L55" s="360">
        <v>41</v>
      </c>
      <c r="N55" s="124"/>
      <c r="O55" s="80">
        <v>6.5910478122167743E-2</v>
      </c>
      <c r="P55" s="254">
        <f>10*Q55</f>
        <v>0</v>
      </c>
      <c r="Q55" s="258"/>
      <c r="R55" s="123"/>
      <c r="S55" s="118"/>
      <c r="T55" s="12"/>
      <c r="U55" s="5">
        <v>1.6021964593806133</v>
      </c>
      <c r="V55" s="1">
        <v>203</v>
      </c>
      <c r="W55" s="5">
        <v>3.9140567793678185E-3</v>
      </c>
      <c r="X55" s="63">
        <v>0.80568811697786136</v>
      </c>
      <c r="Y55" s="5"/>
      <c r="Z55" s="63"/>
      <c r="AA55" s="1"/>
      <c r="AB55" s="1"/>
      <c r="AC55" s="1"/>
      <c r="AD55" s="1"/>
      <c r="AE55" s="1"/>
      <c r="AF55" s="5"/>
      <c r="AG55" s="1"/>
      <c r="AH55" s="1"/>
      <c r="AI55" s="1"/>
      <c r="AJ55" s="1"/>
      <c r="AK55" s="1"/>
      <c r="AL55" s="1"/>
      <c r="AM55" s="9"/>
      <c r="AN55" s="9"/>
      <c r="AO55" s="9"/>
      <c r="AP55" s="9"/>
      <c r="AQ55" s="292"/>
      <c r="AR55" s="9"/>
      <c r="AS55" s="9"/>
      <c r="AT55" s="1"/>
      <c r="AU55" s="1"/>
      <c r="AV55" s="1"/>
      <c r="AW55" s="1"/>
      <c r="AX55" s="1"/>
      <c r="AY55" s="9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</row>
    <row r="56" spans="1:100" ht="14.25" thickTop="1" thickBot="1">
      <c r="A56" s="1"/>
      <c r="B56" s="1"/>
      <c r="C56" s="328">
        <v>399</v>
      </c>
      <c r="D56" s="328"/>
      <c r="E56" s="328"/>
      <c r="F56" s="328"/>
      <c r="G56" s="98"/>
      <c r="H56" s="104">
        <v>55.45</v>
      </c>
      <c r="I56" s="98">
        <f>C9*0.6</f>
        <v>0.15</v>
      </c>
      <c r="J56" s="79"/>
      <c r="K56" s="23"/>
      <c r="L56" s="360">
        <v>5.2</v>
      </c>
      <c r="N56" s="9"/>
      <c r="O56" s="253">
        <v>5.3607716411824297E-2</v>
      </c>
      <c r="P56" s="9"/>
      <c r="Q56" s="130"/>
      <c r="R56" s="38"/>
      <c r="S56" s="9"/>
      <c r="T56" s="5"/>
      <c r="U56" s="5">
        <v>1.6350540039577548</v>
      </c>
      <c r="V56" s="1">
        <v>204</v>
      </c>
      <c r="W56" s="5">
        <v>1.9723240993042334E-3</v>
      </c>
      <c r="X56" s="63">
        <v>6.4798375989456869E-2</v>
      </c>
      <c r="Y56" s="5"/>
      <c r="Z56" s="63"/>
      <c r="AA56" s="1"/>
      <c r="AB56" s="1"/>
      <c r="AC56" s="1"/>
      <c r="AD56" s="1"/>
      <c r="AE56" s="1"/>
      <c r="AF56" s="5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53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</row>
    <row r="57" spans="1:100" ht="13.5" thickTop="1">
      <c r="A57" s="1"/>
      <c r="B57" s="1"/>
      <c r="C57" s="328">
        <v>363.2</v>
      </c>
      <c r="D57" s="360"/>
      <c r="E57" s="328"/>
      <c r="F57" s="328"/>
      <c r="G57" s="98"/>
      <c r="H57" s="104">
        <v>55.45</v>
      </c>
      <c r="I57" s="98">
        <f>C10*0.6</f>
        <v>0.15</v>
      </c>
      <c r="J57" s="79"/>
      <c r="K57" s="23"/>
      <c r="L57" s="1"/>
      <c r="M57" s="5"/>
      <c r="N57" s="1"/>
      <c r="O57" s="1"/>
      <c r="P57" s="1"/>
      <c r="Q57" s="80"/>
      <c r="R57" s="5"/>
      <c r="S57" s="1"/>
      <c r="T57" s="5"/>
      <c r="U57" s="5">
        <v>1.6685853848982946</v>
      </c>
      <c r="V57" s="1">
        <v>205</v>
      </c>
      <c r="W57" s="5">
        <v>5.7088933011483853E-3</v>
      </c>
      <c r="X57" s="63">
        <v>4.5495244784277133E-2</v>
      </c>
      <c r="Y57" s="5"/>
      <c r="Z57" s="63"/>
      <c r="AA57" s="1"/>
      <c r="AB57" s="1"/>
      <c r="AC57" s="1"/>
      <c r="AD57" s="1"/>
      <c r="AE57" s="1"/>
      <c r="AF57" s="5"/>
      <c r="AG57" s="1"/>
      <c r="AH57" s="1"/>
      <c r="AI57" s="1"/>
      <c r="AJ57" s="1"/>
      <c r="AK57" s="1"/>
      <c r="AL57" s="1"/>
      <c r="AO57" s="9"/>
      <c r="AP57" s="9"/>
      <c r="AQ57" s="47"/>
      <c r="AR57" s="167"/>
    </row>
    <row r="58" spans="1:100">
      <c r="A58" s="1"/>
      <c r="B58" s="1"/>
      <c r="C58" s="328">
        <v>327.39999999999998</v>
      </c>
      <c r="D58" s="360"/>
      <c r="E58" s="328"/>
      <c r="F58" s="328"/>
      <c r="G58" s="98"/>
      <c r="H58" s="104">
        <v>55.45</v>
      </c>
      <c r="I58" s="98">
        <f>C11*0.6</f>
        <v>0</v>
      </c>
      <c r="J58" s="79"/>
      <c r="K58" s="23"/>
      <c r="L58" s="1"/>
      <c r="M58" s="5"/>
      <c r="N58" s="1"/>
      <c r="O58" s="1"/>
      <c r="P58" s="1"/>
      <c r="Q58" s="80"/>
      <c r="R58" s="5"/>
      <c r="S58" s="1"/>
      <c r="T58" s="5"/>
      <c r="U58" s="5">
        <v>1.702804421112029</v>
      </c>
      <c r="V58" s="1">
        <v>206</v>
      </c>
      <c r="W58" s="5">
        <v>4.5896859084071494E-3</v>
      </c>
      <c r="X58" s="63">
        <v>1.4296748533320438E-2</v>
      </c>
      <c r="Y58" s="5"/>
      <c r="Z58" s="63"/>
      <c r="AA58" s="1"/>
      <c r="AB58" s="1"/>
      <c r="AC58" s="1"/>
      <c r="AD58" s="1"/>
      <c r="AE58" s="1"/>
      <c r="AF58" s="5"/>
      <c r="AG58" s="1"/>
      <c r="AH58" s="1"/>
      <c r="AI58" s="1"/>
      <c r="AJ58" s="1"/>
      <c r="AK58" s="1"/>
      <c r="AL58" s="1"/>
      <c r="AO58" s="1"/>
      <c r="AP58" s="1"/>
      <c r="AQ58" s="48"/>
      <c r="AR58" s="45"/>
      <c r="AW58" s="298">
        <v>-4127</v>
      </c>
      <c r="AX58" s="299">
        <v>6640</v>
      </c>
      <c r="AY58" s="140">
        <v>0.03</v>
      </c>
      <c r="AZ58" s="313">
        <v>8.9</v>
      </c>
      <c r="BA58" s="191">
        <v>-11.89</v>
      </c>
    </row>
    <row r="59" spans="1:100">
      <c r="A59" s="1"/>
      <c r="B59" s="1"/>
      <c r="C59" s="328">
        <v>291.60000000000002</v>
      </c>
      <c r="D59" s="360"/>
      <c r="E59" s="360"/>
      <c r="F59" s="328"/>
      <c r="G59" s="98"/>
      <c r="H59" s="104">
        <v>55.45</v>
      </c>
      <c r="I59" s="98">
        <f>C12*0.6</f>
        <v>0</v>
      </c>
      <c r="J59" s="79">
        <v>0.92076999999999998</v>
      </c>
      <c r="K59" s="1"/>
      <c r="L59" s="1"/>
      <c r="M59" s="63"/>
      <c r="N59" s="1"/>
      <c r="O59" s="1"/>
      <c r="P59" s="1"/>
      <c r="Q59" s="80"/>
      <c r="R59" s="5"/>
      <c r="S59" s="1"/>
      <c r="T59" s="5"/>
      <c r="U59" s="5">
        <v>1.7360623199618732</v>
      </c>
      <c r="V59" s="1">
        <v>207</v>
      </c>
      <c r="W59" s="5">
        <v>7.967222961075061E-3</v>
      </c>
      <c r="X59" s="63">
        <v>1.7023184095517854E-2</v>
      </c>
      <c r="Y59" s="5"/>
      <c r="Z59" s="63"/>
      <c r="AA59" s="1"/>
      <c r="AB59" s="1"/>
      <c r="AC59" s="1"/>
      <c r="AD59" s="1"/>
      <c r="AE59" s="1"/>
      <c r="AF59" s="5"/>
      <c r="AG59" s="1"/>
      <c r="AH59" s="1"/>
      <c r="AI59" s="1"/>
      <c r="AJ59" s="1"/>
      <c r="AK59" s="1"/>
      <c r="AL59" s="1"/>
      <c r="AO59" s="1"/>
      <c r="AP59" s="1"/>
      <c r="AQ59" s="48"/>
      <c r="AR59" s="45"/>
      <c r="AW59" s="298">
        <v>-64.5</v>
      </c>
      <c r="AX59" s="299">
        <v>3500</v>
      </c>
      <c r="AY59" s="140">
        <v>0.08</v>
      </c>
      <c r="AZ59" s="313">
        <v>-1.05</v>
      </c>
      <c r="BA59" s="191">
        <v>-1</v>
      </c>
    </row>
    <row r="60" spans="1:100">
      <c r="A60" s="1"/>
      <c r="B60" s="1"/>
      <c r="C60" s="328">
        <v>255.8</v>
      </c>
      <c r="D60" s="250"/>
      <c r="E60" s="1"/>
      <c r="F60" s="200"/>
      <c r="G60" s="201"/>
      <c r="H60" s="23"/>
      <c r="I60" s="98">
        <f>C14*0.6</f>
        <v>0</v>
      </c>
      <c r="J60" s="79">
        <v>4.0800000000000003E-2</v>
      </c>
      <c r="K60" s="1"/>
      <c r="L60" s="1"/>
      <c r="M60" s="63"/>
      <c r="N60" s="1"/>
      <c r="O60" s="1"/>
      <c r="P60" s="1"/>
      <c r="Q60" s="80"/>
      <c r="R60" s="5"/>
      <c r="S60" s="1"/>
      <c r="T60" s="5"/>
      <c r="U60" s="5">
        <v>1.7716651605079663</v>
      </c>
      <c r="V60" s="1">
        <v>208</v>
      </c>
      <c r="W60" s="5">
        <v>1.1461778105305355E-2</v>
      </c>
      <c r="X60" s="63">
        <v>7.784527310507371E-3</v>
      </c>
      <c r="Y60" s="5"/>
      <c r="Z60" s="63"/>
      <c r="AA60" s="1"/>
      <c r="AB60" s="1"/>
      <c r="AC60" s="1"/>
      <c r="AD60" s="1"/>
      <c r="AE60" s="1"/>
      <c r="AF60" s="5"/>
      <c r="AG60" s="1"/>
      <c r="AH60" s="1"/>
      <c r="AI60" s="1"/>
      <c r="AJ60" s="1"/>
      <c r="AK60" s="1"/>
      <c r="AL60" s="1"/>
      <c r="AO60" s="1"/>
      <c r="AP60" s="1"/>
      <c r="AQ60" s="48"/>
      <c r="AR60" s="45"/>
      <c r="AW60" s="307">
        <v>0</v>
      </c>
      <c r="AX60" s="308">
        <v>0</v>
      </c>
      <c r="AY60" s="312">
        <v>0</v>
      </c>
      <c r="AZ60" s="314">
        <v>0</v>
      </c>
      <c r="BA60" s="315">
        <v>0</v>
      </c>
    </row>
    <row r="61" spans="1:100">
      <c r="A61" s="1"/>
      <c r="B61" s="1"/>
      <c r="C61" s="360">
        <v>220</v>
      </c>
      <c r="D61" s="199"/>
      <c r="E61" s="1"/>
      <c r="F61" s="200"/>
      <c r="G61" s="201"/>
      <c r="H61" s="23"/>
      <c r="I61" s="98">
        <f>C15*0.6</f>
        <v>0</v>
      </c>
      <c r="J61" s="79">
        <v>1.4200000000000001E-2</v>
      </c>
      <c r="K61" s="1"/>
      <c r="L61" s="1"/>
      <c r="M61" s="63"/>
      <c r="N61" s="1"/>
      <c r="O61" s="1"/>
      <c r="P61" s="1"/>
      <c r="Q61" s="80"/>
      <c r="R61" s="5"/>
      <c r="S61" s="1"/>
      <c r="T61" s="5"/>
      <c r="U61" s="5">
        <v>1.8062679956741374</v>
      </c>
      <c r="V61" s="1">
        <v>209</v>
      </c>
      <c r="W61" s="5">
        <v>8.9455170382130821E-3</v>
      </c>
      <c r="X61" s="63">
        <v>6.0757618771505335E-3</v>
      </c>
      <c r="Y61" s="5"/>
      <c r="Z61" s="63"/>
      <c r="AA61" s="1"/>
      <c r="AB61" s="1"/>
      <c r="AC61" s="1"/>
      <c r="AD61" s="1"/>
      <c r="AE61" s="1"/>
      <c r="AF61" s="5"/>
      <c r="AG61" s="1"/>
      <c r="AH61" s="1"/>
      <c r="AI61" s="1"/>
      <c r="AJ61" s="1"/>
      <c r="AK61" s="1"/>
      <c r="AL61" s="1"/>
      <c r="AO61" s="1"/>
      <c r="AP61" s="1"/>
      <c r="AQ61" s="48"/>
      <c r="AR61" s="45"/>
      <c r="AW61" s="298">
        <v>276</v>
      </c>
      <c r="AX61" s="299">
        <v>288</v>
      </c>
      <c r="AY61" s="116">
        <v>1.2</v>
      </c>
      <c r="AZ61" s="316">
        <v>0</v>
      </c>
      <c r="BA61" s="317">
        <v>0</v>
      </c>
    </row>
    <row r="62" spans="1:100" ht="13.5" thickBot="1">
      <c r="A62" s="1"/>
      <c r="B62" s="1"/>
      <c r="C62" s="360">
        <v>184.2</v>
      </c>
      <c r="D62" s="202"/>
      <c r="E62" s="124"/>
      <c r="F62" s="203"/>
      <c r="G62" s="204"/>
      <c r="H62" s="23"/>
      <c r="I62" s="98">
        <f>C16*0.6</f>
        <v>0</v>
      </c>
      <c r="J62" s="79">
        <v>2.8500000000000001E-3</v>
      </c>
      <c r="K62" s="1"/>
      <c r="L62" s="1"/>
      <c r="M62" s="63"/>
      <c r="N62" s="1"/>
      <c r="O62" s="1"/>
      <c r="P62" s="1"/>
      <c r="Q62" s="80"/>
      <c r="R62" s="5"/>
      <c r="S62" s="1"/>
      <c r="T62" s="5"/>
      <c r="U62" s="5">
        <v>1.8415466674646477</v>
      </c>
      <c r="V62" s="1">
        <v>210</v>
      </c>
      <c r="W62" s="5">
        <v>3.4706542141314238E-2</v>
      </c>
      <c r="X62" s="63">
        <v>7.4166642113360493E-3</v>
      </c>
      <c r="Y62" s="5"/>
      <c r="Z62" s="63"/>
      <c r="AA62" s="1"/>
      <c r="AB62" s="1"/>
      <c r="AC62" s="1"/>
      <c r="AD62" s="1"/>
      <c r="AE62" s="1"/>
      <c r="AF62" s="5"/>
      <c r="AG62" s="1"/>
      <c r="AH62" s="1"/>
      <c r="AI62" s="1"/>
      <c r="AJ62" s="1"/>
      <c r="AK62" s="1"/>
      <c r="AL62" s="1"/>
      <c r="AO62" s="1"/>
      <c r="AP62" s="1"/>
      <c r="AQ62" s="48"/>
      <c r="AR62" s="45"/>
      <c r="AW62" s="334">
        <v>118</v>
      </c>
      <c r="AX62" s="332">
        <v>1294</v>
      </c>
      <c r="AY62" s="140">
        <v>0.15</v>
      </c>
      <c r="AZ62" s="316">
        <v>0</v>
      </c>
      <c r="BA62" s="316">
        <v>0</v>
      </c>
    </row>
    <row r="63" spans="1:100" ht="14.25" thickTop="1" thickBot="1">
      <c r="A63" s="1"/>
      <c r="B63" s="1"/>
      <c r="C63" s="360">
        <v>148.4</v>
      </c>
      <c r="D63" s="9"/>
      <c r="E63" s="9"/>
      <c r="F63" s="9"/>
      <c r="G63" s="9"/>
      <c r="H63" s="1"/>
      <c r="I63" s="98" t="e">
        <f>#REF!*0.6</f>
        <v>#REF!</v>
      </c>
      <c r="J63" s="79">
        <v>3.82E-3</v>
      </c>
      <c r="K63" s="1"/>
      <c r="L63" s="1"/>
      <c r="M63" s="63"/>
      <c r="N63" s="1"/>
      <c r="O63" s="1"/>
      <c r="P63" s="1"/>
      <c r="Q63" s="80"/>
      <c r="R63" s="5"/>
      <c r="S63" s="1"/>
      <c r="T63" s="5"/>
      <c r="U63" s="5">
        <v>1.8775143758135666</v>
      </c>
      <c r="V63" s="1">
        <v>211</v>
      </c>
      <c r="W63" s="5">
        <v>0.92028942725053298</v>
      </c>
      <c r="X63" s="63">
        <v>2.4207412347068688E-5</v>
      </c>
      <c r="Y63" s="5"/>
      <c r="Z63" s="63"/>
      <c r="AA63" s="1"/>
      <c r="AB63" s="1"/>
      <c r="AC63" s="1"/>
      <c r="AD63" s="1"/>
      <c r="AE63" s="1"/>
      <c r="AF63" s="5"/>
      <c r="AG63" s="1"/>
      <c r="AH63" s="1"/>
      <c r="AI63" s="1"/>
      <c r="AJ63" s="1"/>
      <c r="AK63" s="1"/>
      <c r="AL63" s="1"/>
      <c r="AO63" s="1"/>
      <c r="AP63" s="1"/>
      <c r="AQ63" s="49"/>
      <c r="AR63" s="46"/>
      <c r="AW63" s="298">
        <v>-1500</v>
      </c>
      <c r="AX63" s="299">
        <v>4050</v>
      </c>
      <c r="AY63" s="140">
        <v>0.16</v>
      </c>
      <c r="AZ63" s="313">
        <v>11</v>
      </c>
      <c r="BA63" s="191">
        <v>-5.2</v>
      </c>
    </row>
    <row r="64" spans="1:100">
      <c r="A64" s="1"/>
      <c r="B64" s="8"/>
      <c r="C64" s="360">
        <v>112.6</v>
      </c>
      <c r="D64" s="1"/>
      <c r="E64" s="1"/>
      <c r="F64" s="1"/>
      <c r="G64" s="1"/>
      <c r="H64" s="1"/>
      <c r="I64" s="98" t="e">
        <f>#REF!*0.6</f>
        <v>#REF!</v>
      </c>
      <c r="J64" s="79">
        <v>2.5799999999999998E-3</v>
      </c>
      <c r="K64" s="1"/>
      <c r="L64" s="1"/>
      <c r="M64" s="63"/>
      <c r="N64" s="1"/>
      <c r="O64" s="1"/>
      <c r="P64" s="1"/>
      <c r="Q64" s="80"/>
      <c r="R64" s="1"/>
      <c r="S64" s="1"/>
      <c r="T64" s="1"/>
      <c r="U64" s="5">
        <v>1.9141845784661755</v>
      </c>
      <c r="V64" s="1">
        <v>212</v>
      </c>
      <c r="W64" s="1"/>
      <c r="X64" s="1"/>
      <c r="Y64" s="5"/>
      <c r="Z64" s="5"/>
      <c r="AA64" s="1"/>
      <c r="AB64" s="1"/>
      <c r="AC64" s="1"/>
      <c r="AD64" s="1"/>
      <c r="AE64" s="1"/>
      <c r="AF64" s="5"/>
      <c r="AG64" s="1"/>
      <c r="AH64" s="1"/>
      <c r="AI64" s="1"/>
      <c r="AJ64" s="1"/>
      <c r="AK64" s="1"/>
      <c r="AL64" s="1"/>
      <c r="AO64" s="1"/>
      <c r="AP64" s="1"/>
      <c r="AQ64" s="50"/>
      <c r="AR64" s="22"/>
      <c r="AT64" s="14"/>
      <c r="AW64" s="298">
        <v>-804.3</v>
      </c>
      <c r="AX64" s="299">
        <v>4280</v>
      </c>
      <c r="AY64" s="140">
        <v>0.09</v>
      </c>
      <c r="AZ64" s="313">
        <v>-0.2</v>
      </c>
      <c r="BA64" s="191">
        <v>-3</v>
      </c>
    </row>
    <row r="65" spans="1:53">
      <c r="A65" s="1"/>
      <c r="B65" s="5"/>
      <c r="C65" s="360">
        <v>76.8</v>
      </c>
      <c r="D65" s="1"/>
      <c r="E65" s="1"/>
      <c r="F65" s="1"/>
      <c r="G65" s="1"/>
      <c r="H65" s="1"/>
      <c r="I65" s="98" t="e">
        <f>#REF!*0.6</f>
        <v>#REF!</v>
      </c>
      <c r="J65" s="79"/>
      <c r="K65" s="1"/>
      <c r="L65" s="1"/>
      <c r="M65" s="63"/>
      <c r="N65" s="1"/>
      <c r="O65" s="1"/>
      <c r="P65" s="1"/>
      <c r="Q65" s="80"/>
      <c r="R65" s="1"/>
      <c r="S65" s="1"/>
      <c r="T65" s="1"/>
      <c r="U65" s="5">
        <v>1.9497016751369345</v>
      </c>
      <c r="V65" s="1">
        <v>213</v>
      </c>
      <c r="W65" s="1"/>
      <c r="X65" s="1"/>
      <c r="Y65" s="5"/>
      <c r="Z65" s="5"/>
      <c r="AA65" s="1"/>
      <c r="AB65" s="1"/>
      <c r="AC65" s="1"/>
      <c r="AD65" s="1"/>
      <c r="AE65" s="1"/>
      <c r="AF65" s="5"/>
      <c r="AG65" s="1"/>
      <c r="AH65" s="1"/>
      <c r="AI65" s="1"/>
      <c r="AJ65" s="1"/>
      <c r="AK65" s="1"/>
      <c r="AL65" s="1"/>
      <c r="AO65" s="1"/>
      <c r="AP65" s="1"/>
      <c r="AQ65" s="51"/>
      <c r="AR65" s="14"/>
      <c r="AW65" s="298">
        <v>-1584</v>
      </c>
      <c r="AX65" s="299">
        <v>4750</v>
      </c>
      <c r="AY65" s="140">
        <v>7.0000000000000007E-2</v>
      </c>
      <c r="AZ65" s="313">
        <v>-0.442</v>
      </c>
      <c r="BA65" s="191">
        <v>-3.3</v>
      </c>
    </row>
    <row r="66" spans="1:53">
      <c r="A66" s="1"/>
      <c r="B66" s="1"/>
      <c r="C66" s="360">
        <v>41</v>
      </c>
      <c r="D66" s="1"/>
      <c r="E66" s="1"/>
      <c r="F66" s="1"/>
      <c r="G66" s="1"/>
      <c r="H66" s="1"/>
      <c r="I66" s="98" t="e">
        <f>#REF!*0.6</f>
        <v>#REF!</v>
      </c>
      <c r="J66" s="79">
        <v>1.9400000000000001E-3</v>
      </c>
      <c r="K66" s="1"/>
      <c r="L66" s="1"/>
      <c r="M66" s="63"/>
      <c r="N66" s="1"/>
      <c r="O66" s="1"/>
      <c r="P66" s="1"/>
      <c r="Q66" s="80"/>
      <c r="R66" s="1"/>
      <c r="S66" s="1"/>
      <c r="T66" s="1"/>
      <c r="U66" s="5">
        <v>1.9858777804373267</v>
      </c>
      <c r="V66" s="1">
        <v>214</v>
      </c>
      <c r="W66" s="1"/>
      <c r="X66" s="1"/>
      <c r="Y66" s="5"/>
      <c r="Z66" s="5"/>
      <c r="AA66" s="1"/>
      <c r="AB66" s="1"/>
      <c r="AC66" s="1"/>
      <c r="AD66" s="1"/>
      <c r="AE66" s="1"/>
      <c r="AF66" s="5"/>
      <c r="AG66" s="1"/>
      <c r="AH66" s="1"/>
      <c r="AI66" s="1"/>
      <c r="AJ66" s="1"/>
      <c r="AK66" s="1"/>
      <c r="AL66" s="1"/>
      <c r="AO66" s="1"/>
      <c r="AP66" s="1"/>
      <c r="AR66" s="14"/>
      <c r="AT66" s="14"/>
      <c r="AW66" s="298">
        <v>4968</v>
      </c>
      <c r="AX66" s="299">
        <v>1567</v>
      </c>
      <c r="AY66" s="140">
        <v>0.06</v>
      </c>
      <c r="AZ66" s="313">
        <v>-19.600000000000001</v>
      </c>
      <c r="BA66" s="191">
        <v>5.7</v>
      </c>
    </row>
    <row r="67" spans="1:53">
      <c r="A67" s="1"/>
      <c r="B67" s="1"/>
      <c r="C67" s="360">
        <v>5.2</v>
      </c>
      <c r="D67" s="1"/>
      <c r="E67" s="1"/>
      <c r="F67" s="1"/>
      <c r="G67" s="1"/>
      <c r="H67" s="1"/>
      <c r="I67" s="98">
        <f>C17*0.6</f>
        <v>0</v>
      </c>
      <c r="J67" s="79">
        <v>2.5999999999999999E-3</v>
      </c>
      <c r="K67" s="1"/>
      <c r="L67" s="1"/>
      <c r="M67" s="63"/>
      <c r="N67" s="1"/>
      <c r="O67" s="1"/>
      <c r="P67" s="1"/>
      <c r="Q67" s="80"/>
      <c r="R67" s="1"/>
      <c r="S67" s="1"/>
      <c r="T67" s="1"/>
      <c r="U67" s="5">
        <v>2.022725122066535</v>
      </c>
      <c r="V67" s="1">
        <v>215</v>
      </c>
      <c r="W67" s="1"/>
      <c r="X67" s="1"/>
      <c r="Y67" s="5"/>
      <c r="Z67" s="5"/>
      <c r="AA67" s="1"/>
      <c r="AB67" s="1"/>
      <c r="AC67" s="1"/>
      <c r="AD67" s="1"/>
      <c r="AE67" s="1"/>
      <c r="AF67" s="5"/>
      <c r="AG67" s="1"/>
      <c r="AH67" s="1"/>
      <c r="AI67" s="1"/>
      <c r="AJ67" s="1"/>
      <c r="AK67" s="1"/>
      <c r="AL67" s="1"/>
      <c r="AP67" s="1"/>
      <c r="AR67" s="14"/>
      <c r="AT67" s="14"/>
      <c r="AW67" s="298">
        <v>4968</v>
      </c>
      <c r="AX67" s="299">
        <v>1567</v>
      </c>
      <c r="AY67" s="140">
        <v>0.06</v>
      </c>
      <c r="AZ67" s="313">
        <v>-19.600000000000001</v>
      </c>
      <c r="BA67" s="191">
        <v>5.7</v>
      </c>
    </row>
    <row r="68" spans="1:53">
      <c r="A68" s="1"/>
      <c r="B68" s="1"/>
      <c r="C68" s="1"/>
      <c r="D68" s="1"/>
      <c r="E68" s="1"/>
      <c r="F68" s="79">
        <v>5.4390000000000003E-3</v>
      </c>
      <c r="G68" s="1">
        <f>F68*0.25</f>
        <v>1.3597500000000001E-3</v>
      </c>
      <c r="H68" s="79">
        <v>3.6441300000000002E-3</v>
      </c>
      <c r="I68" s="98"/>
      <c r="J68" s="79">
        <v>4.2199999999999998E-3</v>
      </c>
      <c r="K68" s="1"/>
      <c r="L68" s="1"/>
      <c r="M68" s="63"/>
      <c r="N68" s="1"/>
      <c r="O68" s="1"/>
      <c r="P68" s="1"/>
      <c r="Q68" s="80"/>
      <c r="R68" s="1"/>
      <c r="S68" s="1"/>
      <c r="T68" s="1"/>
      <c r="U68" s="5">
        <v>2.0582808371028607</v>
      </c>
      <c r="V68" s="1">
        <v>216</v>
      </c>
      <c r="W68" s="1"/>
      <c r="X68" s="1"/>
      <c r="Y68" s="5"/>
      <c r="Z68" s="5"/>
      <c r="AA68" s="1"/>
      <c r="AB68" s="1"/>
      <c r="AC68" s="1"/>
      <c r="AD68" s="1"/>
      <c r="AE68" s="1"/>
      <c r="AF68" s="5"/>
      <c r="AG68" s="1"/>
      <c r="AH68" s="1"/>
      <c r="AI68" s="1"/>
      <c r="AJ68" s="1"/>
      <c r="AK68" s="1"/>
      <c r="AL68" s="1"/>
      <c r="AP68" s="1"/>
      <c r="AR68" s="14"/>
      <c r="AW68" s="298"/>
      <c r="AX68" s="299"/>
      <c r="AY68" s="116">
        <v>0.15</v>
      </c>
      <c r="AZ68" s="302"/>
      <c r="BA68" s="299"/>
    </row>
    <row r="69" spans="1:53">
      <c r="A69" s="1"/>
      <c r="B69" s="1"/>
      <c r="C69" s="408"/>
      <c r="D69" s="409"/>
      <c r="E69" s="1"/>
      <c r="F69" s="79">
        <v>2.5469999999999998E-3</v>
      </c>
      <c r="G69" s="1">
        <f t="shared" ref="G69:G85" si="1">F69*0.25</f>
        <v>6.3674999999999995E-4</v>
      </c>
      <c r="H69" s="79">
        <v>1.70649E-3</v>
      </c>
      <c r="I69" s="98"/>
      <c r="J69" s="79">
        <v>1.6100000000000001E-3</v>
      </c>
      <c r="K69" s="1"/>
      <c r="L69" s="1"/>
      <c r="M69" s="63"/>
      <c r="N69" s="1"/>
      <c r="O69" s="1"/>
      <c r="P69" s="1"/>
      <c r="Q69" s="80"/>
      <c r="R69" s="1"/>
      <c r="S69" s="1"/>
      <c r="T69" s="1"/>
      <c r="U69" s="5">
        <v>2.0964715948225425</v>
      </c>
      <c r="V69" s="1">
        <v>217</v>
      </c>
      <c r="W69" s="1"/>
      <c r="X69" s="1"/>
      <c r="Y69" s="5"/>
      <c r="Z69" s="5"/>
      <c r="AA69" s="1"/>
      <c r="AB69" s="1"/>
      <c r="AC69" s="1"/>
      <c r="AD69" s="1"/>
      <c r="AE69" s="1"/>
      <c r="AF69" s="5"/>
      <c r="AG69" s="1"/>
      <c r="AH69" s="1"/>
      <c r="AI69" s="1"/>
      <c r="AJ69" s="1"/>
      <c r="AK69" s="1"/>
      <c r="AL69" s="1"/>
      <c r="AP69" s="1"/>
      <c r="AR69" s="14"/>
      <c r="AW69" s="298"/>
      <c r="AX69" s="299"/>
      <c r="AY69" s="116">
        <v>0.15</v>
      </c>
      <c r="AZ69" s="301"/>
      <c r="BA69" s="299"/>
    </row>
    <row r="70" spans="1:53">
      <c r="A70" s="1"/>
      <c r="B70" s="1"/>
      <c r="C70" s="1"/>
      <c r="D70" s="408"/>
      <c r="E70" s="409"/>
      <c r="F70" s="79"/>
      <c r="G70" s="1">
        <f t="shared" si="1"/>
        <v>0</v>
      </c>
      <c r="H70" s="79">
        <v>0.32050000000000001</v>
      </c>
      <c r="I70" s="98"/>
      <c r="J70" s="79">
        <v>1.09E-3</v>
      </c>
      <c r="K70" s="1"/>
      <c r="L70" s="1"/>
      <c r="M70" s="5"/>
      <c r="N70" s="1"/>
      <c r="O70" s="1"/>
      <c r="P70" s="1"/>
      <c r="Q70" s="80"/>
      <c r="R70" s="1"/>
      <c r="S70" s="1"/>
      <c r="T70" s="1"/>
      <c r="U70" s="5">
        <v>2.1333236345752828</v>
      </c>
      <c r="V70" s="1">
        <v>218</v>
      </c>
      <c r="W70" s="1"/>
      <c r="X70" s="1"/>
      <c r="Y70" s="5"/>
      <c r="Z70" s="5"/>
      <c r="AA70" s="1"/>
      <c r="AB70" s="1"/>
      <c r="AC70" s="1"/>
      <c r="AD70" s="1"/>
      <c r="AE70" s="1"/>
      <c r="AF70" s="5"/>
      <c r="AG70" s="1"/>
      <c r="AH70" s="1"/>
      <c r="AI70" s="1"/>
      <c r="AJ70" s="1"/>
      <c r="AK70" s="1"/>
      <c r="AL70" s="1"/>
      <c r="AP70" s="1"/>
      <c r="AR70" s="14"/>
      <c r="AW70" s="298"/>
      <c r="AX70" s="299"/>
      <c r="AY70" s="116">
        <v>0.15</v>
      </c>
      <c r="AZ70" s="301"/>
      <c r="BA70" s="299"/>
    </row>
    <row r="71" spans="1:53" ht="13.5" thickBot="1">
      <c r="A71" s="1"/>
      <c r="B71" s="407"/>
      <c r="C71" s="407"/>
      <c r="D71" s="1"/>
      <c r="E71" s="1"/>
      <c r="F71" s="79"/>
      <c r="G71" s="1">
        <f t="shared" si="1"/>
        <v>0</v>
      </c>
      <c r="H71" s="79"/>
      <c r="I71" s="98"/>
      <c r="J71" s="79">
        <v>2.1099999999999999E-3</v>
      </c>
      <c r="K71" s="1"/>
      <c r="L71" s="1"/>
      <c r="M71" s="5"/>
      <c r="N71" s="1"/>
      <c r="O71" s="1"/>
      <c r="P71" s="1"/>
      <c r="Q71" s="80"/>
      <c r="R71" s="1"/>
      <c r="S71" s="1"/>
      <c r="T71" s="1"/>
      <c r="U71" s="5">
        <v>2.1708234640893016</v>
      </c>
      <c r="V71" s="1">
        <v>219</v>
      </c>
      <c r="W71" s="1"/>
      <c r="X71" s="1"/>
      <c r="Y71" s="5"/>
      <c r="Z71" s="5"/>
      <c r="AA71" s="1"/>
      <c r="AB71" s="1"/>
      <c r="AC71" s="1"/>
      <c r="AD71" s="1"/>
      <c r="AE71" s="1"/>
      <c r="AF71" s="5"/>
      <c r="AG71" s="1"/>
      <c r="AH71" s="1"/>
      <c r="AI71" s="1"/>
      <c r="AJ71" s="1"/>
      <c r="AK71" s="1"/>
      <c r="AL71" s="1"/>
      <c r="AP71" s="1"/>
      <c r="AR71" s="14"/>
      <c r="AW71" s="303"/>
      <c r="AX71" s="304"/>
      <c r="AY71" s="116">
        <v>0.15</v>
      </c>
      <c r="AZ71" s="306"/>
      <c r="BA71" s="304"/>
    </row>
    <row r="72" spans="1:53" ht="13.5" thickTop="1">
      <c r="A72" s="1"/>
      <c r="B72" s="1"/>
      <c r="C72" s="5"/>
      <c r="D72" s="1"/>
      <c r="E72" s="1"/>
      <c r="F72" s="79"/>
      <c r="G72" s="1">
        <f t="shared" si="1"/>
        <v>0</v>
      </c>
      <c r="H72" s="79"/>
      <c r="I72" s="98"/>
      <c r="J72" s="1"/>
      <c r="K72" s="1"/>
      <c r="L72" s="1"/>
      <c r="M72" s="5"/>
      <c r="N72" s="1"/>
      <c r="O72" s="1"/>
      <c r="P72" s="1"/>
      <c r="Q72" s="80"/>
      <c r="R72" s="1"/>
      <c r="S72" s="1"/>
      <c r="T72" s="1"/>
      <c r="U72" s="5">
        <v>2.2089824702939964</v>
      </c>
      <c r="V72" s="1">
        <v>220</v>
      </c>
      <c r="W72" s="1"/>
      <c r="X72" s="1"/>
      <c r="Y72" s="5"/>
      <c r="Z72" s="5"/>
      <c r="AA72" s="1"/>
      <c r="AB72" s="1"/>
      <c r="AC72" s="1"/>
      <c r="AD72" s="1"/>
      <c r="AE72" s="1"/>
      <c r="AF72" s="5"/>
      <c r="AG72" s="1"/>
      <c r="AH72" s="1"/>
      <c r="AI72" s="1"/>
      <c r="AJ72" s="1"/>
      <c r="AK72" s="1"/>
      <c r="AL72" s="1"/>
      <c r="AP72" s="1"/>
      <c r="AR72" s="14"/>
      <c r="AW72" s="1"/>
      <c r="AX72" s="1"/>
      <c r="AY72" s="116">
        <v>0.15</v>
      </c>
      <c r="AZ72" s="1"/>
      <c r="BA72" s="1"/>
    </row>
    <row r="73" spans="1:53">
      <c r="A73" s="1"/>
      <c r="B73" s="1"/>
      <c r="C73" s="1"/>
      <c r="D73" s="1"/>
      <c r="E73" s="1"/>
      <c r="F73" s="79">
        <v>0.788134</v>
      </c>
      <c r="G73" s="1">
        <f t="shared" si="1"/>
        <v>0.1970335</v>
      </c>
      <c r="H73" s="79">
        <v>0.52804978000000002</v>
      </c>
      <c r="I73" s="98"/>
      <c r="J73" s="1"/>
      <c r="K73" s="1"/>
      <c r="L73" s="1"/>
      <c r="M73" s="5"/>
      <c r="N73" s="1"/>
      <c r="O73" s="1"/>
      <c r="P73" s="1"/>
      <c r="Q73" s="80"/>
      <c r="R73" s="1"/>
      <c r="S73" s="1"/>
      <c r="T73" s="1"/>
      <c r="U73" s="5">
        <v>2.2478122402796332</v>
      </c>
      <c r="V73" s="1">
        <v>221</v>
      </c>
      <c r="W73" s="1"/>
      <c r="X73" s="1"/>
      <c r="Y73" s="5"/>
      <c r="Z73" s="5"/>
      <c r="AA73" s="1"/>
      <c r="AB73" s="1"/>
      <c r="AC73" s="1"/>
      <c r="AD73" s="1"/>
      <c r="AE73" s="1"/>
      <c r="AF73" s="5"/>
      <c r="AG73" s="1"/>
      <c r="AH73" s="1"/>
      <c r="AI73" s="1"/>
      <c r="AJ73" s="1"/>
      <c r="AK73" s="1"/>
      <c r="AL73" s="1"/>
      <c r="AP73" s="1"/>
      <c r="AR73" s="14"/>
      <c r="AW73" s="1"/>
      <c r="AX73" s="1"/>
      <c r="AY73" s="116">
        <v>0.15</v>
      </c>
      <c r="AZ73" s="1"/>
      <c r="BA73" s="1"/>
    </row>
    <row r="74" spans="1:53">
      <c r="A74" s="1"/>
      <c r="B74" s="1"/>
      <c r="C74" s="1"/>
      <c r="D74" s="1"/>
      <c r="E74" s="1"/>
      <c r="F74" s="79">
        <v>7.6822000000000001E-2</v>
      </c>
      <c r="G74" s="1">
        <f t="shared" si="1"/>
        <v>1.92055E-2</v>
      </c>
      <c r="H74" s="79">
        <v>5.1470740000000001E-2</v>
      </c>
      <c r="I74" s="98"/>
      <c r="J74" s="1"/>
      <c r="K74" s="1"/>
      <c r="L74" s="1"/>
      <c r="M74" s="5"/>
      <c r="N74" s="1"/>
      <c r="O74" s="1"/>
      <c r="P74" s="1"/>
      <c r="Q74" s="80"/>
      <c r="R74" s="1"/>
      <c r="S74" s="1"/>
      <c r="T74" s="1"/>
      <c r="U74" s="5">
        <v>2.2873245648157985</v>
      </c>
      <c r="V74" s="1">
        <v>222</v>
      </c>
      <c r="W74" s="1"/>
      <c r="X74" s="1"/>
      <c r="Y74" s="5"/>
      <c r="Z74" s="5"/>
      <c r="AA74" s="1"/>
      <c r="AB74" s="1"/>
      <c r="AC74" s="1"/>
      <c r="AD74" s="1"/>
      <c r="AE74" s="1"/>
      <c r="AF74" s="5"/>
      <c r="AG74" s="1"/>
      <c r="AH74" s="1"/>
      <c r="AI74" s="1"/>
      <c r="AJ74" s="1"/>
      <c r="AK74" s="1"/>
      <c r="AL74" s="1"/>
      <c r="AP74" s="1"/>
      <c r="AR74" s="14"/>
      <c r="AW74" s="1"/>
      <c r="AX74" s="1"/>
      <c r="AY74" s="116">
        <v>0.15</v>
      </c>
      <c r="AZ74" s="1"/>
      <c r="BA74" s="1"/>
    </row>
    <row r="75" spans="1:53">
      <c r="A75" s="8"/>
      <c r="B75" s="8"/>
      <c r="C75" s="8"/>
      <c r="D75" s="1"/>
      <c r="E75" s="1"/>
      <c r="F75" s="79">
        <v>4.0576000000000001E-2</v>
      </c>
      <c r="G75" s="1">
        <f t="shared" si="1"/>
        <v>1.0144E-2</v>
      </c>
      <c r="H75" s="79">
        <v>2.7185920000000002E-2</v>
      </c>
      <c r="I75" s="98"/>
      <c r="J75" s="1"/>
      <c r="K75" s="79">
        <v>1.3597500000000001E-3</v>
      </c>
      <c r="L75" s="143">
        <v>44.01</v>
      </c>
      <c r="M75" s="5">
        <f>K75*L75</f>
        <v>5.9842597499999997E-2</v>
      </c>
      <c r="N75" s="1">
        <f>K75*L75/$M$94</f>
        <v>2.8015036303465188E-3</v>
      </c>
      <c r="O75" s="1"/>
      <c r="P75" s="1"/>
      <c r="Q75" s="80"/>
      <c r="R75" s="1"/>
      <c r="S75" s="1"/>
      <c r="T75" s="1"/>
      <c r="U75" s="5">
        <v>2.3252977265363732</v>
      </c>
      <c r="V75" s="1">
        <v>223</v>
      </c>
      <c r="W75" s="1"/>
      <c r="X75" s="1"/>
      <c r="Y75" s="5"/>
      <c r="Z75" s="1"/>
      <c r="AA75" s="1"/>
      <c r="AB75" s="1"/>
      <c r="AC75" s="1"/>
      <c r="AD75" s="1"/>
      <c r="AE75" s="1"/>
      <c r="AF75" s="5"/>
      <c r="AG75" s="1"/>
      <c r="AH75" s="1"/>
      <c r="AI75" s="1"/>
      <c r="AJ75" s="1"/>
      <c r="AK75" s="1"/>
      <c r="AL75" s="1"/>
      <c r="AP75" s="1"/>
      <c r="AR75" s="14"/>
      <c r="AW75" s="1"/>
      <c r="AX75" s="1"/>
      <c r="AY75" s="116">
        <v>0.15</v>
      </c>
      <c r="AZ75" s="1"/>
      <c r="BA75" s="1"/>
    </row>
    <row r="76" spans="1:53">
      <c r="A76" s="63"/>
      <c r="B76" s="8"/>
      <c r="C76" s="63"/>
      <c r="D76" s="8"/>
      <c r="E76" s="8"/>
      <c r="F76" s="79">
        <v>9.4219999999999998E-3</v>
      </c>
      <c r="G76" s="1">
        <f t="shared" si="1"/>
        <v>2.3555E-3</v>
      </c>
      <c r="H76" s="79">
        <v>6.3127399999999998E-3</v>
      </c>
      <c r="I76" s="78"/>
      <c r="J76" s="63"/>
      <c r="K76" s="79">
        <v>6.3674999999999995E-4</v>
      </c>
      <c r="L76" s="143">
        <v>28.013000000000002</v>
      </c>
      <c r="M76" s="5">
        <f t="shared" ref="M76:M93" si="2">K76*L76</f>
        <v>1.7837277749999998E-2</v>
      </c>
      <c r="N76" s="1">
        <f t="shared" ref="N76:N93" si="3">K76*L76/$M$94</f>
        <v>8.3504393959711034E-4</v>
      </c>
      <c r="O76" s="1"/>
      <c r="P76" s="1"/>
      <c r="Q76" s="80"/>
      <c r="R76" s="1"/>
      <c r="S76" s="1"/>
      <c r="T76" s="1"/>
      <c r="U76" s="5">
        <v>2.3639013020745745</v>
      </c>
      <c r="V76" s="1">
        <v>224</v>
      </c>
      <c r="W76" s="1"/>
      <c r="X76" s="1"/>
      <c r="Y76" s="5"/>
      <c r="Z76" s="1"/>
      <c r="AA76" s="1"/>
      <c r="AB76" s="1"/>
      <c r="AC76" s="1"/>
      <c r="AD76" s="1"/>
      <c r="AE76" s="1"/>
      <c r="AF76" s="5"/>
      <c r="AG76" s="1"/>
      <c r="AH76" s="1"/>
      <c r="AI76" s="1"/>
      <c r="AJ76" s="1"/>
      <c r="AK76" s="1"/>
      <c r="AL76" s="1"/>
      <c r="AP76" s="1"/>
      <c r="AR76" s="14"/>
      <c r="AW76" s="1"/>
      <c r="AX76" s="1"/>
      <c r="AY76" s="116">
        <v>0.15</v>
      </c>
      <c r="AZ76" s="1"/>
      <c r="BA76" s="1"/>
    </row>
    <row r="77" spans="1:53">
      <c r="A77" s="63"/>
      <c r="B77" s="8"/>
      <c r="C77" s="63"/>
      <c r="D77" s="8"/>
      <c r="E77" s="8"/>
      <c r="F77" s="79">
        <v>1.3089E-2</v>
      </c>
      <c r="G77" s="1">
        <f t="shared" si="1"/>
        <v>3.27225E-3</v>
      </c>
      <c r="H77" s="79">
        <v>8.7696300000000005E-3</v>
      </c>
      <c r="I77" s="273"/>
      <c r="J77" s="63"/>
      <c r="K77" s="79">
        <v>0.72899999999999998</v>
      </c>
      <c r="L77" s="143">
        <v>18</v>
      </c>
      <c r="M77" s="5">
        <f t="shared" si="2"/>
        <v>13.122</v>
      </c>
      <c r="N77" s="1">
        <f t="shared" si="3"/>
        <v>0.61430038422725586</v>
      </c>
      <c r="O77" s="1"/>
      <c r="P77" s="1">
        <v>0.97099999999999997</v>
      </c>
      <c r="Q77" s="80">
        <v>18</v>
      </c>
      <c r="R77" s="1">
        <f>P77*Q77</f>
        <v>17.477999999999998</v>
      </c>
      <c r="S77" s="1">
        <f>P77*Q77/$R$79</f>
        <v>0.91159205238603147</v>
      </c>
      <c r="T77" s="1"/>
      <c r="U77" s="5">
        <v>2.403145757284797</v>
      </c>
      <c r="V77" s="1">
        <v>225</v>
      </c>
      <c r="W77" s="1"/>
      <c r="X77" s="1"/>
      <c r="Y77" s="5"/>
      <c r="Z77" s="1"/>
      <c r="AA77" s="1"/>
      <c r="AB77" s="1"/>
      <c r="AC77" s="1"/>
      <c r="AD77" s="1"/>
      <c r="AE77" s="1"/>
      <c r="AF77" s="5"/>
      <c r="AG77" s="1"/>
      <c r="AH77" s="1"/>
      <c r="AI77" s="1"/>
      <c r="AJ77" s="1"/>
      <c r="AK77" s="1"/>
      <c r="AL77" s="1"/>
      <c r="AP77" s="1"/>
      <c r="AR77" s="14"/>
      <c r="AW77" s="1"/>
      <c r="AX77" s="1"/>
      <c r="AY77" s="116">
        <v>0.15</v>
      </c>
      <c r="AZ77" s="1"/>
      <c r="BA77" s="1"/>
    </row>
    <row r="78" spans="1:53">
      <c r="A78" s="63"/>
      <c r="B78" s="8"/>
      <c r="C78" s="63"/>
      <c r="D78" s="8"/>
      <c r="E78" s="8"/>
      <c r="F78" s="79">
        <v>4.548E-3</v>
      </c>
      <c r="G78" s="1">
        <f t="shared" si="1"/>
        <v>1.137E-3</v>
      </c>
      <c r="H78" s="79">
        <v>3.0471600000000001E-3</v>
      </c>
      <c r="I78" s="273"/>
      <c r="K78" s="79"/>
      <c r="L78" s="143">
        <v>32</v>
      </c>
      <c r="M78" s="5">
        <f t="shared" si="2"/>
        <v>0</v>
      </c>
      <c r="N78" s="1">
        <f t="shared" si="3"/>
        <v>0</v>
      </c>
      <c r="O78" s="259"/>
      <c r="P78" s="1">
        <v>2.9000000000000001E-2</v>
      </c>
      <c r="Q78" s="80">
        <v>58.45</v>
      </c>
      <c r="R78" s="1">
        <f>P78*Q78</f>
        <v>1.6950500000000002</v>
      </c>
      <c r="S78" s="1">
        <f>P78*Q78/$R$79</f>
        <v>8.8407947613968585E-2</v>
      </c>
      <c r="T78" s="1"/>
      <c r="U78" s="5">
        <v>2.4406949097423718</v>
      </c>
      <c r="V78" s="1">
        <v>226</v>
      </c>
      <c r="W78" s="1"/>
      <c r="X78" s="1"/>
      <c r="Y78" s="5"/>
      <c r="Z78" s="1"/>
      <c r="AA78" s="1"/>
      <c r="AB78" s="1"/>
      <c r="AC78" s="1"/>
      <c r="AD78" s="1"/>
      <c r="AE78" s="1"/>
      <c r="AF78" s="5"/>
      <c r="AG78" s="1"/>
      <c r="AH78" s="1"/>
      <c r="AI78" s="1"/>
      <c r="AJ78" s="1"/>
      <c r="AK78" s="1"/>
      <c r="AL78" s="1"/>
      <c r="AP78" s="1"/>
      <c r="AR78" s="14"/>
      <c r="AW78" s="1"/>
      <c r="AX78" s="1"/>
      <c r="AY78" s="116">
        <v>0.15</v>
      </c>
      <c r="AZ78" s="1"/>
      <c r="BA78" s="1"/>
    </row>
    <row r="79" spans="1:53">
      <c r="A79" s="63"/>
      <c r="B79" s="8"/>
      <c r="C79" s="63"/>
      <c r="D79" s="8"/>
      <c r="E79" s="8"/>
      <c r="F79" s="79">
        <v>4.3020000000000003E-3</v>
      </c>
      <c r="G79" s="1">
        <f t="shared" si="1"/>
        <v>1.0755000000000001E-3</v>
      </c>
      <c r="H79" s="79">
        <v>2.8823400000000002E-3</v>
      </c>
      <c r="I79" s="273"/>
      <c r="J79" s="143"/>
      <c r="K79" s="79"/>
      <c r="L79" s="143">
        <v>34.08</v>
      </c>
      <c r="M79" s="5">
        <f t="shared" si="2"/>
        <v>0</v>
      </c>
      <c r="N79" s="1">
        <f t="shared" si="3"/>
        <v>0</v>
      </c>
      <c r="O79" s="260"/>
      <c r="P79" s="1"/>
      <c r="Q79" s="80"/>
      <c r="R79" s="1">
        <f>SUM(R77:R78)</f>
        <v>19.173049999999996</v>
      </c>
      <c r="S79" s="1"/>
      <c r="T79" s="1"/>
      <c r="U79" s="5">
        <v>2.4812142588298918</v>
      </c>
      <c r="V79" s="1">
        <v>227</v>
      </c>
      <c r="W79" s="1"/>
      <c r="X79" s="1"/>
      <c r="Y79" s="5"/>
      <c r="Z79" s="1"/>
      <c r="AA79" s="1"/>
      <c r="AB79" s="1"/>
      <c r="AC79" s="1"/>
      <c r="AD79" s="1"/>
      <c r="AE79" s="1"/>
      <c r="AF79" s="5"/>
      <c r="AG79" s="1"/>
      <c r="AH79" s="1"/>
      <c r="AI79" s="1"/>
      <c r="AJ79" s="1"/>
      <c r="AK79" s="1"/>
      <c r="AL79" s="1"/>
      <c r="AP79" s="1"/>
      <c r="AR79" s="14"/>
      <c r="AW79" s="1"/>
      <c r="AX79" s="1"/>
      <c r="AY79" s="116">
        <v>0.15</v>
      </c>
      <c r="AZ79" s="1"/>
      <c r="BA79" s="1"/>
    </row>
    <row r="80" spans="1:53">
      <c r="A80" s="63"/>
      <c r="B80" s="8"/>
      <c r="C80" s="63"/>
      <c r="D80" s="122"/>
      <c r="E80" s="8"/>
      <c r="F80" s="79">
        <v>5.2490000000000002E-3</v>
      </c>
      <c r="G80" s="1">
        <f t="shared" si="1"/>
        <v>1.31225E-3</v>
      </c>
      <c r="H80" s="79">
        <v>3.5168300000000003E-3</v>
      </c>
      <c r="I80" s="330"/>
      <c r="J80" s="63"/>
      <c r="K80" s="79">
        <v>0.1970335</v>
      </c>
      <c r="L80" s="143">
        <v>16.042999999999999</v>
      </c>
      <c r="M80" s="5">
        <f t="shared" si="2"/>
        <v>3.1610084404999998</v>
      </c>
      <c r="N80" s="1">
        <f t="shared" si="3"/>
        <v>0.14798115375283866</v>
      </c>
      <c r="O80" s="261"/>
      <c r="P80" s="1"/>
      <c r="Q80" s="80"/>
      <c r="R80" s="1"/>
      <c r="S80" s="1"/>
      <c r="T80" s="1"/>
      <c r="U80" s="5">
        <v>2.5199832316241091</v>
      </c>
      <c r="V80" s="1">
        <v>228</v>
      </c>
      <c r="W80" s="1"/>
      <c r="X80" s="1"/>
      <c r="Y80" s="5"/>
      <c r="Z80" s="1"/>
      <c r="AA80" s="1"/>
      <c r="AB80" s="1"/>
      <c r="AC80" s="1"/>
      <c r="AD80" s="1"/>
      <c r="AE80" s="1"/>
      <c r="AF80" s="5"/>
      <c r="AG80" s="1"/>
      <c r="AH80" s="1"/>
      <c r="AI80" s="1"/>
      <c r="AJ80" s="1"/>
      <c r="AK80" s="1"/>
      <c r="AL80" s="1"/>
      <c r="AP80" s="1"/>
      <c r="AR80" s="14"/>
      <c r="AT80" s="14"/>
      <c r="AW80" s="1"/>
      <c r="AX80" s="1"/>
      <c r="AY80" s="116">
        <v>0.15</v>
      </c>
      <c r="AZ80" s="1"/>
      <c r="BA80" s="1"/>
    </row>
    <row r="81" spans="1:53" ht="13.5" thickBot="1">
      <c r="A81" s="63"/>
      <c r="B81" s="8"/>
      <c r="C81" s="63"/>
      <c r="D81" s="8"/>
      <c r="E81" s="8"/>
      <c r="F81" s="79">
        <v>7.4440000000000001E-3</v>
      </c>
      <c r="G81" s="1">
        <f t="shared" si="1"/>
        <v>1.861E-3</v>
      </c>
      <c r="H81" s="79">
        <v>4.9874800000000007E-3</v>
      </c>
      <c r="I81" s="273"/>
      <c r="K81" s="79">
        <v>1.92055E-2</v>
      </c>
      <c r="L81" s="143">
        <v>30.07</v>
      </c>
      <c r="M81" s="5">
        <f t="shared" si="2"/>
        <v>0.57750938500000004</v>
      </c>
      <c r="N81" s="1">
        <f t="shared" si="3"/>
        <v>2.7035835779633158E-2</v>
      </c>
      <c r="O81" s="261"/>
      <c r="P81" s="1"/>
      <c r="Q81" s="80"/>
      <c r="R81" s="1"/>
      <c r="S81" s="1"/>
      <c r="T81" s="1"/>
      <c r="U81" s="5">
        <v>2.5618188907428685</v>
      </c>
      <c r="V81" s="1">
        <v>229</v>
      </c>
      <c r="W81" s="1"/>
      <c r="X81" s="1"/>
      <c r="Y81" s="5"/>
      <c r="Z81" s="1"/>
      <c r="AA81" s="1"/>
      <c r="AB81" s="1"/>
      <c r="AC81" s="1"/>
      <c r="AD81" s="1"/>
      <c r="AE81" s="1"/>
      <c r="AF81" s="5"/>
      <c r="AG81" s="1"/>
      <c r="AH81" s="1"/>
      <c r="AI81" s="1"/>
      <c r="AJ81" s="1"/>
      <c r="AK81" s="1"/>
      <c r="AL81" s="1"/>
      <c r="AP81" s="1"/>
      <c r="AR81" s="14"/>
      <c r="AT81" s="14"/>
      <c r="AW81" s="1"/>
      <c r="AX81" s="1"/>
      <c r="AY81" s="118">
        <v>0.15</v>
      </c>
      <c r="AZ81" s="1"/>
      <c r="BA81" s="1"/>
    </row>
    <row r="82" spans="1:53" ht="13.5" thickTop="1">
      <c r="A82" s="63"/>
      <c r="B82" s="8"/>
      <c r="C82" s="63"/>
      <c r="D82" s="8"/>
      <c r="E82" s="8"/>
      <c r="F82" s="79">
        <v>1.4394000000000001E-2</v>
      </c>
      <c r="G82" s="1">
        <f t="shared" si="1"/>
        <v>3.5985000000000001E-3</v>
      </c>
      <c r="H82" s="79">
        <v>9.6439800000000016E-3</v>
      </c>
      <c r="I82" s="273"/>
      <c r="J82" s="63"/>
      <c r="K82" s="79">
        <v>1.0144E-2</v>
      </c>
      <c r="L82" s="143">
        <v>44.097000000000001</v>
      </c>
      <c r="M82" s="5">
        <f t="shared" si="2"/>
        <v>0.44731996800000001</v>
      </c>
      <c r="N82" s="1">
        <f t="shared" si="3"/>
        <v>2.0941078205679305E-2</v>
      </c>
      <c r="O82" s="261"/>
      <c r="P82" s="1"/>
      <c r="Q82" s="80"/>
      <c r="R82" s="1"/>
      <c r="S82" s="1"/>
      <c r="T82" s="1"/>
      <c r="U82" s="5">
        <v>2.6018473109107259</v>
      </c>
      <c r="V82" s="1">
        <v>230</v>
      </c>
      <c r="W82" s="1"/>
      <c r="X82" s="1"/>
      <c r="Y82" s="5"/>
      <c r="Z82" s="1"/>
      <c r="AA82" s="1"/>
      <c r="AB82" s="1"/>
      <c r="AC82" s="1"/>
      <c r="AD82" s="1"/>
      <c r="AE82" s="1"/>
      <c r="AF82" s="5"/>
      <c r="AG82" s="1"/>
      <c r="AH82" s="1"/>
      <c r="AI82" s="1"/>
      <c r="AJ82" s="1"/>
      <c r="AK82" s="1"/>
      <c r="AL82" s="1"/>
      <c r="AP82" s="7"/>
      <c r="AR82" s="14"/>
      <c r="AT82" s="14"/>
      <c r="AX82" s="14"/>
    </row>
    <row r="83" spans="1:53" ht="15.75">
      <c r="A83" s="63"/>
      <c r="B83" s="8"/>
      <c r="C83" s="63"/>
      <c r="D83" s="8"/>
      <c r="E83" s="8"/>
      <c r="F83" s="79">
        <v>1.1932999999999999E-2</v>
      </c>
      <c r="G83" s="1">
        <f t="shared" si="1"/>
        <v>2.9832499999999998E-3</v>
      </c>
      <c r="H83" s="79">
        <v>7.9951099999999997E-3</v>
      </c>
      <c r="I83" s="273"/>
      <c r="J83" s="63"/>
      <c r="K83" s="79">
        <v>2.3555E-3</v>
      </c>
      <c r="L83" s="143">
        <v>58.1</v>
      </c>
      <c r="M83" s="5">
        <f t="shared" si="2"/>
        <v>0.13685454999999999</v>
      </c>
      <c r="N83" s="1">
        <f t="shared" si="3"/>
        <v>6.4067827044846978E-3</v>
      </c>
      <c r="O83" s="259"/>
      <c r="P83" s="1"/>
      <c r="Q83" s="80"/>
      <c r="R83" s="1"/>
      <c r="S83" s="1"/>
      <c r="T83" s="1"/>
      <c r="U83" s="5">
        <v>2.642501175143706</v>
      </c>
      <c r="V83" s="1">
        <v>231</v>
      </c>
      <c r="W83" s="59"/>
      <c r="X83" s="1"/>
      <c r="Y83" s="5"/>
      <c r="Z83" s="1"/>
      <c r="AA83" s="1"/>
      <c r="AB83" s="1"/>
      <c r="AC83" s="1"/>
      <c r="AD83" s="1"/>
      <c r="AE83" s="1"/>
      <c r="AF83" s="5"/>
      <c r="AG83" s="1"/>
      <c r="AH83" s="1"/>
      <c r="AI83" s="1"/>
      <c r="AJ83" s="1"/>
      <c r="AK83" s="1"/>
      <c r="AL83" s="1"/>
      <c r="AP83" s="7"/>
      <c r="AX83" s="14"/>
    </row>
    <row r="84" spans="1:53">
      <c r="A84" s="63"/>
      <c r="B84" s="1"/>
      <c r="C84" s="63"/>
      <c r="D84" s="8"/>
      <c r="E84" s="8"/>
      <c r="F84" s="79">
        <v>8.7080000000000005E-3</v>
      </c>
      <c r="G84" s="1">
        <f t="shared" si="1"/>
        <v>2.1770000000000001E-3</v>
      </c>
      <c r="H84" s="79">
        <v>5.8343600000000002E-3</v>
      </c>
      <c r="I84" s="78"/>
      <c r="J84" s="63"/>
      <c r="K84" s="79">
        <v>3.27225E-3</v>
      </c>
      <c r="L84" s="143">
        <v>58.1</v>
      </c>
      <c r="M84" s="5">
        <f t="shared" si="2"/>
        <v>0.19011772500000002</v>
      </c>
      <c r="N84" s="1">
        <f t="shared" si="3"/>
        <v>8.900273701867991E-3</v>
      </c>
      <c r="O84" s="260"/>
      <c r="P84" s="1"/>
      <c r="Q84" s="80"/>
      <c r="R84" s="5"/>
      <c r="S84" s="1"/>
      <c r="T84" s="5"/>
      <c r="U84" s="5">
        <v>2.6837902560053264</v>
      </c>
      <c r="V84" s="1">
        <v>232</v>
      </c>
      <c r="W84" s="1"/>
      <c r="X84" s="1"/>
      <c r="Y84" s="5"/>
      <c r="Z84" s="1"/>
      <c r="AA84" s="1"/>
      <c r="AB84" s="1"/>
      <c r="AC84" s="1"/>
      <c r="AD84" s="1"/>
      <c r="AE84" s="1"/>
      <c r="AF84" s="5"/>
      <c r="AG84" s="1"/>
      <c r="AH84" s="1"/>
      <c r="AI84" s="1"/>
      <c r="AJ84" s="1"/>
      <c r="AK84" s="1"/>
      <c r="AL84" s="1"/>
      <c r="AP84" s="7"/>
      <c r="AX84" s="14"/>
    </row>
    <row r="85" spans="1:53">
      <c r="A85" s="63"/>
      <c r="B85" s="1"/>
      <c r="C85" s="63"/>
      <c r="D85" s="5"/>
      <c r="E85" s="1"/>
      <c r="F85" s="79">
        <v>7.3930000000000003E-3</v>
      </c>
      <c r="G85" s="1">
        <f t="shared" si="1"/>
        <v>1.8482500000000001E-3</v>
      </c>
      <c r="H85" s="79">
        <v>4.9533100000000007E-3</v>
      </c>
      <c r="I85" s="273"/>
      <c r="J85" s="63"/>
      <c r="K85" s="79">
        <v>1.137E-3</v>
      </c>
      <c r="L85" s="143">
        <v>72.2</v>
      </c>
      <c r="M85" s="5">
        <f t="shared" si="2"/>
        <v>8.2091400000000009E-2</v>
      </c>
      <c r="N85" s="1">
        <f t="shared" si="3"/>
        <v>3.8430710685683099E-3</v>
      </c>
      <c r="O85" s="261"/>
      <c r="P85" s="1"/>
      <c r="Q85" s="80"/>
      <c r="R85" s="5"/>
      <c r="S85" s="1"/>
      <c r="T85" s="5"/>
      <c r="U85" s="5">
        <v>2.7231035898335296</v>
      </c>
      <c r="V85" s="1">
        <v>233</v>
      </c>
      <c r="W85" s="1"/>
      <c r="X85" s="1"/>
      <c r="Y85" s="1"/>
      <c r="Z85" s="1"/>
      <c r="AA85" s="1"/>
      <c r="AB85" s="1"/>
      <c r="AC85" s="1"/>
      <c r="AD85" s="1"/>
      <c r="AE85" s="1"/>
      <c r="AF85" s="5"/>
      <c r="AG85" s="1"/>
      <c r="AH85" s="1"/>
      <c r="AI85" s="1"/>
      <c r="AJ85" s="1"/>
      <c r="AK85" s="1"/>
      <c r="AL85" s="1"/>
      <c r="AP85" s="7"/>
      <c r="AX85" s="14"/>
    </row>
    <row r="86" spans="1:53">
      <c r="A86" s="63"/>
      <c r="B86" s="1"/>
      <c r="C86" s="63"/>
      <c r="D86" s="5"/>
      <c r="E86" s="1"/>
      <c r="F86" s="1"/>
      <c r="G86" s="1"/>
      <c r="H86" s="374">
        <v>9.4999999999999998E-3</v>
      </c>
      <c r="I86" s="78"/>
      <c r="J86" s="63"/>
      <c r="K86" s="79">
        <v>1.0755000000000001E-3</v>
      </c>
      <c r="L86" s="143">
        <v>72.2</v>
      </c>
      <c r="M86" s="5">
        <f t="shared" si="2"/>
        <v>7.7651100000000015E-2</v>
      </c>
      <c r="N86" s="1">
        <f t="shared" si="3"/>
        <v>3.6352004698726628E-3</v>
      </c>
      <c r="O86" s="261"/>
      <c r="P86" s="1"/>
      <c r="Q86" s="80"/>
      <c r="R86" s="5"/>
      <c r="S86" s="1"/>
      <c r="T86" s="5"/>
      <c r="U86" s="5">
        <v>2.7656520834246785</v>
      </c>
      <c r="V86" s="1">
        <v>234</v>
      </c>
      <c r="W86" s="1"/>
      <c r="X86" s="1"/>
      <c r="Y86" s="1"/>
      <c r="Z86" s="1"/>
      <c r="AA86" s="1"/>
      <c r="AB86" s="1"/>
      <c r="AC86" s="1"/>
      <c r="AD86" s="1"/>
      <c r="AE86" s="1"/>
      <c r="AF86" s="108"/>
      <c r="AG86" s="108"/>
      <c r="AH86" s="5"/>
      <c r="AI86" s="1"/>
      <c r="AJ86" s="1"/>
      <c r="AK86" s="1"/>
      <c r="AL86" s="1"/>
      <c r="AP86" s="7"/>
      <c r="AX86" s="14"/>
    </row>
    <row r="87" spans="1:53">
      <c r="A87" s="69"/>
      <c r="B87" s="1"/>
      <c r="C87" s="1"/>
      <c r="D87" s="5"/>
      <c r="E87" s="1"/>
      <c r="F87" s="1"/>
      <c r="G87" s="1"/>
      <c r="H87" s="1"/>
      <c r="I87" s="78"/>
      <c r="J87" s="7"/>
      <c r="K87" s="79">
        <v>1.31225E-3</v>
      </c>
      <c r="L87" s="143">
        <v>84</v>
      </c>
      <c r="M87" s="5">
        <f t="shared" si="2"/>
        <v>0.11022900000000001</v>
      </c>
      <c r="N87" s="1">
        <f t="shared" si="3"/>
        <v>5.1603198485738605E-3</v>
      </c>
      <c r="O87" s="261"/>
      <c r="P87" s="1"/>
      <c r="Q87" s="80"/>
      <c r="R87" s="5"/>
      <c r="S87" s="1"/>
      <c r="T87" s="5"/>
      <c r="U87" s="5">
        <v>2.8061645651154694</v>
      </c>
      <c r="V87" s="1">
        <v>235</v>
      </c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5"/>
      <c r="AI87" s="1"/>
      <c r="AJ87" s="1"/>
      <c r="AK87" s="1"/>
      <c r="AL87" s="1"/>
      <c r="AP87" s="7"/>
      <c r="AX87" s="14"/>
    </row>
    <row r="88" spans="1:53">
      <c r="A88" s="5"/>
      <c r="B88" s="1"/>
      <c r="C88" s="1"/>
      <c r="D88" s="5"/>
      <c r="E88" s="1"/>
      <c r="F88" s="1"/>
      <c r="G88" s="1"/>
      <c r="H88" s="1"/>
      <c r="I88" s="273"/>
      <c r="J88" s="63"/>
      <c r="K88" s="79">
        <v>1.861E-3</v>
      </c>
      <c r="L88" s="143">
        <v>96</v>
      </c>
      <c r="M88" s="5">
        <f t="shared" si="2"/>
        <v>0.17865600000000001</v>
      </c>
      <c r="N88" s="1">
        <f t="shared" si="3"/>
        <v>8.3636983268179123E-3</v>
      </c>
      <c r="O88" s="1"/>
      <c r="P88" s="1"/>
      <c r="Q88" s="80"/>
      <c r="R88" s="5"/>
      <c r="S88" s="1"/>
      <c r="T88" s="5"/>
      <c r="U88" s="5">
        <v>2.8472704913622784</v>
      </c>
      <c r="V88" s="1">
        <v>236</v>
      </c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5"/>
      <c r="AI88" s="1"/>
      <c r="AJ88" s="1"/>
      <c r="AK88" s="1"/>
      <c r="AL88" s="1"/>
      <c r="AP88" s="7"/>
      <c r="AX88" s="14"/>
    </row>
    <row r="89" spans="1:53">
      <c r="A89" s="1"/>
      <c r="B89" s="1"/>
      <c r="C89" s="1"/>
      <c r="D89" s="5"/>
      <c r="E89" s="1"/>
      <c r="F89" s="1"/>
      <c r="G89" s="1"/>
      <c r="H89" s="1"/>
      <c r="I89" s="78"/>
      <c r="J89" s="63"/>
      <c r="K89" s="79">
        <v>3.5985000000000001E-3</v>
      </c>
      <c r="L89" s="145">
        <v>112.117</v>
      </c>
      <c r="M89" s="5">
        <f t="shared" si="2"/>
        <v>0.40345302450000003</v>
      </c>
      <c r="N89" s="1">
        <f t="shared" si="3"/>
        <v>1.888746745679001E-2</v>
      </c>
      <c r="O89" s="1"/>
      <c r="P89" s="1"/>
      <c r="Q89" s="80"/>
      <c r="R89" s="5"/>
      <c r="S89" s="1"/>
      <c r="T89" s="5"/>
      <c r="U89" s="5">
        <v>2.8889785552005929</v>
      </c>
      <c r="V89" s="1">
        <v>237</v>
      </c>
      <c r="W89" s="1"/>
      <c r="X89" s="1"/>
      <c r="Y89" s="1"/>
      <c r="Z89" s="1"/>
      <c r="AA89" s="1"/>
      <c r="AB89" s="1"/>
      <c r="AC89" s="1"/>
      <c r="AD89" s="1"/>
      <c r="AE89" s="1"/>
      <c r="AF89" s="108"/>
      <c r="AG89" s="1"/>
      <c r="AH89" s="5"/>
      <c r="AI89" s="1"/>
      <c r="AJ89" s="1"/>
      <c r="AK89" s="1"/>
      <c r="AL89" s="1"/>
      <c r="AP89" s="7"/>
      <c r="AX89" s="14"/>
    </row>
    <row r="90" spans="1:53">
      <c r="A90" s="1"/>
      <c r="B90" s="1"/>
      <c r="C90" s="1"/>
      <c r="D90" s="1"/>
      <c r="E90" s="1"/>
      <c r="F90" s="1"/>
      <c r="G90" s="1"/>
      <c r="H90" s="1"/>
      <c r="I90" s="78"/>
      <c r="J90" s="63"/>
      <c r="K90" s="79">
        <v>2.9832499999999998E-3</v>
      </c>
      <c r="L90" s="270">
        <v>149.7927</v>
      </c>
      <c r="M90" s="5">
        <f t="shared" si="2"/>
        <v>0.44686907227499995</v>
      </c>
      <c r="N90" s="1">
        <f t="shared" si="3"/>
        <v>2.0919969730057147E-2</v>
      </c>
      <c r="O90" s="1"/>
      <c r="P90" s="1"/>
      <c r="Q90" s="80"/>
      <c r="R90" s="5"/>
      <c r="S90" s="1"/>
      <c r="T90" s="5"/>
      <c r="U90" s="5">
        <v>2.9284763088849761</v>
      </c>
      <c r="V90" s="1">
        <v>238</v>
      </c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5"/>
      <c r="AI90" s="1"/>
      <c r="AJ90" s="1"/>
      <c r="AK90" s="1"/>
      <c r="AL90" s="1"/>
      <c r="AP90" s="7"/>
      <c r="AX90" s="14"/>
    </row>
    <row r="91" spans="1:53">
      <c r="A91" s="1"/>
      <c r="B91" s="1"/>
      <c r="C91" s="1"/>
      <c r="D91" s="1"/>
      <c r="E91" s="1"/>
      <c r="F91" s="1"/>
      <c r="G91" s="1"/>
      <c r="H91" s="1"/>
      <c r="I91" s="78"/>
      <c r="J91" s="226"/>
      <c r="K91" s="79">
        <v>2.1770000000000001E-3</v>
      </c>
      <c r="L91" s="227">
        <v>223.3338</v>
      </c>
      <c r="M91" s="5">
        <f t="shared" si="2"/>
        <v>0.48619768260000001</v>
      </c>
      <c r="N91" s="1">
        <f t="shared" si="3"/>
        <v>2.2761120502330544E-2</v>
      </c>
      <c r="O91" s="1"/>
      <c r="P91" s="1"/>
      <c r="Q91" s="80"/>
      <c r="R91" s="5"/>
      <c r="S91" s="1"/>
      <c r="T91" s="5"/>
      <c r="U91" s="5">
        <v>2.9713739110659083</v>
      </c>
      <c r="V91" s="1">
        <v>239</v>
      </c>
      <c r="W91" s="1"/>
      <c r="X91" s="1"/>
      <c r="Y91" s="1"/>
      <c r="Z91" s="1"/>
      <c r="AA91" s="1"/>
      <c r="AB91" s="1"/>
      <c r="AC91" s="1"/>
      <c r="AD91" s="1"/>
      <c r="AE91" s="1"/>
      <c r="AF91" s="108"/>
      <c r="AG91" s="108"/>
      <c r="AH91" s="5"/>
      <c r="AI91" s="1"/>
      <c r="AJ91" s="1"/>
      <c r="AK91" s="1"/>
      <c r="AL91" s="1"/>
      <c r="AP91" s="7"/>
      <c r="AX91" s="14"/>
    </row>
    <row r="92" spans="1:53">
      <c r="A92" s="1"/>
      <c r="B92" s="1"/>
      <c r="C92" s="1"/>
      <c r="D92" s="1"/>
      <c r="E92" s="1"/>
      <c r="F92" s="1"/>
      <c r="G92" s="1"/>
      <c r="H92" s="1"/>
      <c r="I92" s="78"/>
      <c r="J92" s="269"/>
      <c r="K92" s="79">
        <v>1.8482500000000001E-3</v>
      </c>
      <c r="L92" s="227">
        <v>344</v>
      </c>
      <c r="M92" s="5">
        <f t="shared" si="2"/>
        <v>0.63579799999999997</v>
      </c>
      <c r="N92" s="1">
        <f t="shared" si="3"/>
        <v>2.9764590435217255E-2</v>
      </c>
      <c r="O92" s="1"/>
      <c r="P92" s="1"/>
      <c r="Q92" s="80"/>
      <c r="R92" s="5"/>
      <c r="S92" s="108"/>
      <c r="T92" s="5"/>
      <c r="U92" s="5">
        <v>3.0148998960912881</v>
      </c>
      <c r="V92" s="1">
        <v>240</v>
      </c>
      <c r="W92" s="1"/>
      <c r="X92" s="1"/>
      <c r="Y92" s="1"/>
      <c r="Z92" s="1"/>
      <c r="AA92" s="1"/>
      <c r="AB92" s="1"/>
      <c r="AC92" s="1"/>
      <c r="AD92" s="1"/>
      <c r="AE92" s="1"/>
      <c r="AF92" s="108"/>
      <c r="AG92" s="108"/>
      <c r="AH92" s="108"/>
      <c r="AI92" s="1"/>
      <c r="AJ92" s="1"/>
      <c r="AK92" s="1"/>
      <c r="AL92" s="1"/>
      <c r="AP92" s="7"/>
      <c r="AX92" s="14"/>
    </row>
    <row r="93" spans="1:53">
      <c r="A93" s="1"/>
      <c r="B93" s="1"/>
      <c r="C93" s="1"/>
      <c r="D93" s="1"/>
      <c r="E93" s="1"/>
      <c r="F93" s="1"/>
      <c r="G93" s="1"/>
      <c r="H93" s="1"/>
      <c r="I93" s="78"/>
      <c r="J93" s="226"/>
      <c r="K93" s="374">
        <v>2.1000000000000001E-2</v>
      </c>
      <c r="L93" s="227">
        <v>58.45</v>
      </c>
      <c r="M93" s="5">
        <f t="shared" si="2"/>
        <v>1.2274500000000002</v>
      </c>
      <c r="N93" s="1">
        <f t="shared" si="3"/>
        <v>5.7462506220068994E-2</v>
      </c>
      <c r="O93" s="1"/>
      <c r="P93" s="1"/>
      <c r="Q93" s="80"/>
      <c r="R93" s="108"/>
      <c r="S93" s="108"/>
      <c r="T93" s="108"/>
      <c r="U93" s="108">
        <v>3.0561192306081608</v>
      </c>
      <c r="V93" s="108">
        <v>241</v>
      </c>
      <c r="W93" s="1"/>
      <c r="X93" s="1"/>
      <c r="Y93" s="1"/>
      <c r="Z93" s="1"/>
      <c r="AA93" s="1"/>
      <c r="AB93" s="1"/>
      <c r="AC93" s="1"/>
      <c r="AD93" s="1"/>
      <c r="AE93" s="1"/>
      <c r="AF93" s="108"/>
      <c r="AG93" s="108"/>
      <c r="AH93" s="108"/>
      <c r="AI93" s="1"/>
      <c r="AJ93" s="1"/>
      <c r="AK93" s="1"/>
      <c r="AL93" s="1"/>
      <c r="AP93" s="7"/>
      <c r="AX93" s="14"/>
    </row>
    <row r="94" spans="1:53">
      <c r="A94" s="1"/>
      <c r="B94" s="1"/>
      <c r="C94" s="1"/>
      <c r="D94" s="1"/>
      <c r="E94" s="1"/>
      <c r="F94" s="1"/>
      <c r="G94" s="1"/>
      <c r="H94" s="1"/>
      <c r="I94" s="98"/>
      <c r="J94" s="1"/>
      <c r="K94" s="1"/>
      <c r="L94" s="1"/>
      <c r="M94" s="5">
        <f>SUM(M75:M93)</f>
        <v>21.360885223124999</v>
      </c>
      <c r="N94" s="1"/>
      <c r="O94" s="1"/>
      <c r="P94" s="1"/>
      <c r="Q94" s="80"/>
      <c r="R94" s="108"/>
      <c r="S94" s="108"/>
      <c r="T94" s="108"/>
      <c r="U94" s="108">
        <v>3.0979021107141316</v>
      </c>
      <c r="V94" s="108">
        <v>242</v>
      </c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5"/>
      <c r="AI94" s="1"/>
      <c r="AJ94" s="1"/>
      <c r="AK94" s="1"/>
      <c r="AL94" s="1"/>
      <c r="AP94" s="7"/>
      <c r="AX94" s="14"/>
    </row>
    <row r="95" spans="1:53">
      <c r="A95" s="1"/>
      <c r="B95" s="1"/>
      <c r="C95" s="1"/>
      <c r="D95" s="1"/>
      <c r="E95" s="1"/>
      <c r="F95" s="1"/>
      <c r="G95" s="1"/>
      <c r="H95" s="1"/>
      <c r="I95" s="98"/>
      <c r="J95" s="1"/>
      <c r="K95" s="1"/>
      <c r="L95" s="1"/>
      <c r="M95" s="5"/>
      <c r="N95" s="1"/>
      <c r="O95" s="1"/>
      <c r="P95" s="1"/>
      <c r="Q95" s="80"/>
      <c r="R95" s="108"/>
      <c r="S95" s="1"/>
      <c r="T95" s="108"/>
      <c r="U95" s="108">
        <v>3.1402562411340513</v>
      </c>
      <c r="V95" s="108">
        <v>243</v>
      </c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P95" s="7"/>
      <c r="AX95" s="14"/>
    </row>
    <row r="96" spans="1:53">
      <c r="A96" s="1"/>
      <c r="B96" s="1"/>
      <c r="C96" s="1"/>
      <c r="D96" s="1"/>
      <c r="E96" s="1"/>
      <c r="F96" s="1"/>
      <c r="G96" s="1"/>
      <c r="H96" s="1"/>
      <c r="I96" s="98"/>
      <c r="J96" s="1"/>
      <c r="K96" s="1"/>
      <c r="L96" s="1"/>
      <c r="M96" s="5"/>
      <c r="N96" s="1"/>
      <c r="O96" s="1"/>
      <c r="P96" s="1"/>
      <c r="Q96" s="80"/>
      <c r="R96" s="1"/>
      <c r="S96" s="108"/>
      <c r="T96" s="1"/>
      <c r="U96" s="1">
        <v>3.1831894319308063</v>
      </c>
      <c r="V96" s="1">
        <v>244</v>
      </c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P96" s="7"/>
    </row>
    <row r="97" spans="1:86">
      <c r="A97" s="1"/>
      <c r="B97" s="1"/>
      <c r="C97" s="1"/>
      <c r="D97" s="1"/>
      <c r="E97" s="1"/>
      <c r="F97" s="1"/>
      <c r="G97" s="1"/>
      <c r="H97" s="1"/>
      <c r="I97" s="98"/>
      <c r="J97" s="1"/>
      <c r="K97" s="1"/>
      <c r="L97" s="1"/>
      <c r="M97" s="5"/>
      <c r="N97" s="1"/>
      <c r="O97" s="1"/>
      <c r="P97" s="1"/>
      <c r="Q97" s="80"/>
      <c r="R97" s="108"/>
      <c r="S97" s="108"/>
      <c r="T97" s="108"/>
      <c r="U97" s="108">
        <v>3.2267095999454849</v>
      </c>
      <c r="V97" s="108">
        <v>245</v>
      </c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P97" s="7"/>
    </row>
    <row r="98" spans="1:86">
      <c r="A98" s="1"/>
      <c r="B98" s="1"/>
      <c r="C98" s="1"/>
      <c r="D98" s="1"/>
      <c r="E98" s="1"/>
      <c r="F98" s="1"/>
      <c r="G98" s="1"/>
      <c r="H98" s="1"/>
      <c r="I98" s="98"/>
      <c r="J98" s="1"/>
      <c r="K98" s="1"/>
      <c r="L98" s="1"/>
      <c r="M98" s="5"/>
      <c r="N98" s="1"/>
      <c r="O98" s="1"/>
      <c r="P98" s="1"/>
      <c r="Q98" s="80"/>
      <c r="R98" s="108"/>
      <c r="S98" s="1"/>
      <c r="T98" s="108"/>
      <c r="U98" s="108">
        <v>3.2708247702572395</v>
      </c>
      <c r="V98" s="108">
        <v>246</v>
      </c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P98" s="7"/>
    </row>
    <row r="99" spans="1:86">
      <c r="A99" s="1"/>
      <c r="B99" s="1"/>
      <c r="C99" s="1"/>
      <c r="D99" s="1"/>
      <c r="E99" s="1"/>
      <c r="F99" s="1"/>
      <c r="G99" s="1"/>
      <c r="H99" s="1"/>
      <c r="I99" s="98"/>
      <c r="J99" s="1"/>
      <c r="K99" s="1"/>
      <c r="L99" s="1"/>
      <c r="M99" s="5"/>
      <c r="N99" s="1"/>
      <c r="O99" s="1"/>
      <c r="P99" s="1"/>
      <c r="Q99" s="80"/>
      <c r="R99" s="1"/>
      <c r="S99" s="108"/>
      <c r="T99" s="1"/>
      <c r="U99" s="1">
        <v>3.3155430776630999</v>
      </c>
      <c r="V99" s="1">
        <v>247</v>
      </c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P99" s="7"/>
    </row>
    <row r="100" spans="1:86" ht="27.75" customHeight="1">
      <c r="A100" s="1"/>
      <c r="B100" s="1">
        <v>-2.1561383140192701E-5</v>
      </c>
      <c r="C100" s="1">
        <v>8.8423018902200723E-2</v>
      </c>
      <c r="D100" s="1">
        <v>0</v>
      </c>
      <c r="E100" s="1">
        <v>-2.190086913331395E-4</v>
      </c>
      <c r="F100" s="1">
        <v>-3.0077202132534908E-4</v>
      </c>
      <c r="G100" s="1">
        <v>-3.0362987632510225E-4</v>
      </c>
      <c r="H100" s="1">
        <v>2.0417758593977959E-5</v>
      </c>
      <c r="I100" s="98">
        <v>-6.0969049895841768E-6</v>
      </c>
      <c r="J100" s="1">
        <v>-3.7660007221604447E-5</v>
      </c>
      <c r="K100" s="1">
        <v>-5.8138735770586965E-5</v>
      </c>
      <c r="L100" s="1">
        <v>-6.3004566825765885E-5</v>
      </c>
      <c r="M100" s="5">
        <v>-7.6145966016891991E-5</v>
      </c>
      <c r="N100" s="1">
        <v>-1.0278345890931748E-4</v>
      </c>
      <c r="O100" s="1">
        <v>-1.198128670752987E-4</v>
      </c>
      <c r="P100" s="1">
        <v>-1.1083375216318654E-4</v>
      </c>
      <c r="Q100" s="80">
        <v>-1.2139148309274315E-4</v>
      </c>
      <c r="R100" s="108">
        <v>-1.5096607092329726E-4</v>
      </c>
      <c r="S100" s="1"/>
      <c r="T100" s="342">
        <v>-2.4564527957528464</v>
      </c>
      <c r="U100" s="108">
        <v>3.3543970981044646</v>
      </c>
      <c r="V100" s="108">
        <v>248</v>
      </c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P100" s="7"/>
    </row>
    <row r="101" spans="1:86" ht="37.5" customHeight="1" thickBot="1">
      <c r="A101" s="59"/>
      <c r="B101" s="1">
        <v>-7.5394107487248008E-6</v>
      </c>
      <c r="C101" s="59">
        <v>8.8423018902200723E-2</v>
      </c>
      <c r="D101" s="1">
        <v>3.6112389349901369E-4</v>
      </c>
      <c r="E101" s="59">
        <v>0</v>
      </c>
      <c r="F101" s="1">
        <v>-1.6150547327260122E-4</v>
      </c>
      <c r="G101" s="59">
        <v>-2.387409676153481E-4</v>
      </c>
      <c r="H101" s="1">
        <v>-1.9096747023114997E-4</v>
      </c>
      <c r="I101" s="98">
        <v>-1.9763359717713284E-4</v>
      </c>
      <c r="J101" s="1">
        <v>-2.1051442046813942E-4</v>
      </c>
      <c r="K101" s="59">
        <v>-2.1652832078937408E-4</v>
      </c>
      <c r="L101" s="1">
        <v>-2.1872391313898189E-4</v>
      </c>
      <c r="M101" s="59">
        <v>-2.1918033332082892E-4</v>
      </c>
      <c r="N101" s="1">
        <v>-2.2861831462463267E-4</v>
      </c>
      <c r="O101" s="59">
        <v>-2.3343879568028168E-4</v>
      </c>
      <c r="P101" s="1">
        <v>-2.2768363189536441E-4</v>
      </c>
      <c r="Q101" s="162">
        <v>-2.3117136113098898E-4</v>
      </c>
      <c r="R101" s="1">
        <v>-2.4368647524605118E-4</v>
      </c>
      <c r="S101" s="59"/>
      <c r="T101" s="343">
        <v>-5.1321409882887314</v>
      </c>
      <c r="U101" s="59">
        <v>3.4002579959301116</v>
      </c>
      <c r="V101" s="1">
        <v>249</v>
      </c>
      <c r="W101" s="59"/>
      <c r="X101" s="1"/>
      <c r="Y101" s="59"/>
      <c r="Z101" s="1"/>
      <c r="AA101" s="59"/>
      <c r="AB101" s="1"/>
      <c r="AC101" s="59"/>
      <c r="AD101" s="1"/>
      <c r="AE101" s="59"/>
      <c r="AF101" s="1"/>
      <c r="AG101" s="59"/>
      <c r="AH101" s="1"/>
      <c r="AI101" s="59"/>
      <c r="AJ101" s="1"/>
      <c r="AK101" s="59"/>
      <c r="AL101" s="1"/>
      <c r="AM101" s="40"/>
      <c r="AO101" s="40"/>
      <c r="AP101" s="7"/>
      <c r="AQ101" s="40"/>
      <c r="AS101" s="40"/>
      <c r="AU101" s="40"/>
      <c r="AW101" s="40"/>
      <c r="AY101" s="40"/>
      <c r="BA101" s="40"/>
      <c r="BC101" s="40"/>
      <c r="BE101" s="40"/>
      <c r="BG101" s="40"/>
      <c r="BI101" s="40"/>
      <c r="BK101" s="40"/>
      <c r="BM101" s="40"/>
      <c r="BO101" s="40"/>
      <c r="BQ101" s="40"/>
      <c r="BS101" s="40"/>
      <c r="BU101" s="40"/>
      <c r="BW101" s="40"/>
      <c r="BY101" s="40"/>
      <c r="CA101" s="40"/>
      <c r="CC101" s="40"/>
      <c r="CE101" s="40"/>
      <c r="CG101" s="40"/>
    </row>
    <row r="102" spans="1:86">
      <c r="A102" s="5"/>
      <c r="B102" s="5">
        <v>8.8349553064019353E-6</v>
      </c>
      <c r="C102" s="5">
        <v>8.8423018902200723E-2</v>
      </c>
      <c r="D102" s="1">
        <v>6.8208291606215688E-4</v>
      </c>
      <c r="E102" s="5">
        <v>2.4121687928275147E-4</v>
      </c>
      <c r="F102" s="5">
        <v>0</v>
      </c>
      <c r="G102" s="5">
        <v>-1.1668720589193716E-4</v>
      </c>
      <c r="H102" s="5">
        <v>-2.1309354235813152E-4</v>
      </c>
      <c r="I102" s="98">
        <v>-2.1519397732917462E-4</v>
      </c>
      <c r="J102" s="5">
        <v>-2.4321327694478613E-4</v>
      </c>
      <c r="K102" s="5">
        <v>-2.4257450173649511E-4</v>
      </c>
      <c r="L102" s="5">
        <v>-2.6006429312076481E-4</v>
      </c>
      <c r="M102" s="5">
        <v>-2.7055278614783414E-4</v>
      </c>
      <c r="N102" s="5">
        <v>-2.8810846624020359E-4</v>
      </c>
      <c r="O102" s="5">
        <v>-2.9791601312213945E-4</v>
      </c>
      <c r="P102" s="5">
        <v>-2.7647877968856808E-4</v>
      </c>
      <c r="Q102" s="79">
        <v>-2.9236905412759911E-4</v>
      </c>
      <c r="R102" s="5">
        <v>-2.7864862174310355E-4</v>
      </c>
      <c r="S102" s="5"/>
      <c r="T102" s="21">
        <v>-6.9246782666302362</v>
      </c>
      <c r="U102" s="5">
        <v>3.4434253337690683</v>
      </c>
      <c r="V102" s="5">
        <v>250</v>
      </c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6"/>
      <c r="AN102" s="26"/>
      <c r="AO102" s="25"/>
      <c r="AP102" s="26"/>
      <c r="AQ102" s="25"/>
      <c r="AR102" s="26"/>
      <c r="AS102" s="25"/>
      <c r="AT102" s="26"/>
      <c r="AU102" s="25"/>
      <c r="AV102" s="26"/>
      <c r="AW102" s="25"/>
      <c r="AX102" s="26"/>
      <c r="AY102" s="25"/>
      <c r="AZ102" s="26"/>
      <c r="BA102" s="25"/>
      <c r="BB102" s="26"/>
      <c r="BC102" s="25"/>
      <c r="BD102" s="26"/>
      <c r="BE102" s="25"/>
      <c r="BF102" s="26"/>
      <c r="BG102" s="25"/>
      <c r="BH102" s="26"/>
      <c r="BI102" s="25"/>
      <c r="BJ102" s="26"/>
      <c r="BK102" s="25"/>
      <c r="BL102" s="26"/>
      <c r="BM102" s="25"/>
      <c r="BN102" s="26"/>
      <c r="BO102" s="25"/>
      <c r="BP102" s="26"/>
      <c r="BQ102" s="25"/>
      <c r="BR102" s="26"/>
      <c r="BS102" s="25"/>
      <c r="BT102" s="26"/>
      <c r="BU102" s="25"/>
      <c r="BV102" s="26"/>
      <c r="BW102" s="25"/>
      <c r="BX102" s="26"/>
      <c r="BY102" s="25"/>
      <c r="BZ102" s="26"/>
      <c r="CA102" s="25"/>
      <c r="CB102" s="26"/>
      <c r="CC102" s="25"/>
      <c r="CD102" s="26"/>
      <c r="CE102" s="25"/>
      <c r="CF102" s="26"/>
      <c r="CG102" s="25"/>
      <c r="CH102" s="26"/>
    </row>
    <row r="103" spans="1:86">
      <c r="A103" s="5"/>
      <c r="B103" s="5">
        <v>2.3317253688837814E-5</v>
      </c>
      <c r="C103" s="5">
        <v>8.8423018902200723E-2</v>
      </c>
      <c r="D103" s="1">
        <v>9.4969715283949117E-4</v>
      </c>
      <c r="E103" s="5">
        <v>4.3445347671709203E-4</v>
      </c>
      <c r="F103" s="5">
        <v>1.5378488588515027E-4</v>
      </c>
      <c r="G103" s="5">
        <v>0</v>
      </c>
      <c r="H103" s="5">
        <v>-1.1440362364458679E-4</v>
      </c>
      <c r="I103" s="98">
        <v>-1.6908715024576248E-4</v>
      </c>
      <c r="J103" s="5">
        <v>-1.9295977647292223E-4</v>
      </c>
      <c r="K103" s="5">
        <v>-2.3667399966839875E-4</v>
      </c>
      <c r="L103" s="5">
        <v>-2.4398439093599046E-4</v>
      </c>
      <c r="M103" s="5">
        <v>-2.6562262744576578E-4</v>
      </c>
      <c r="N103" s="5">
        <v>-3.0758611490264316E-4</v>
      </c>
      <c r="O103" s="5">
        <v>-3.3853164009739391E-4</v>
      </c>
      <c r="P103" s="5">
        <v>-3.4952992266752675E-4</v>
      </c>
      <c r="Q103" s="79">
        <v>-3.8227084331099524E-4</v>
      </c>
      <c r="R103" s="5">
        <v>-4.3519463676197677E-4</v>
      </c>
      <c r="S103" s="5"/>
      <c r="T103" s="21">
        <v>-8.0989676868553442</v>
      </c>
      <c r="U103" s="5">
        <v>3.4871406944516834</v>
      </c>
      <c r="V103" s="5">
        <v>251</v>
      </c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12"/>
      <c r="AN103" s="28"/>
      <c r="AO103" s="5"/>
      <c r="AP103" s="28"/>
      <c r="AQ103" s="5"/>
      <c r="AR103" s="28"/>
      <c r="AS103" s="5"/>
      <c r="AT103" s="28"/>
      <c r="AU103" s="5"/>
      <c r="AV103" s="28"/>
      <c r="AW103" s="5"/>
      <c r="AX103" s="28"/>
      <c r="AY103" s="5"/>
      <c r="AZ103" s="28"/>
      <c r="BA103" s="5"/>
      <c r="BB103" s="28"/>
      <c r="BC103" s="5"/>
      <c r="BD103" s="28"/>
      <c r="BE103" s="5"/>
      <c r="BF103" s="28"/>
      <c r="BG103" s="5"/>
      <c r="BH103" s="28"/>
      <c r="BI103" s="5"/>
      <c r="BJ103" s="28"/>
      <c r="BK103" s="5"/>
      <c r="BL103" s="28"/>
      <c r="BM103" s="5"/>
      <c r="BN103" s="28"/>
      <c r="BO103" s="5"/>
      <c r="BP103" s="28"/>
      <c r="BQ103" s="5"/>
      <c r="BR103" s="28"/>
      <c r="BS103" s="5"/>
      <c r="BT103" s="28"/>
      <c r="BU103" s="5"/>
      <c r="BV103" s="28"/>
      <c r="BW103" s="5"/>
      <c r="BX103" s="28"/>
      <c r="BY103" s="5"/>
      <c r="BZ103" s="28"/>
      <c r="CA103" s="5"/>
      <c r="CB103" s="28"/>
      <c r="CC103" s="5"/>
      <c r="CD103" s="28"/>
      <c r="CE103" s="5"/>
      <c r="CF103" s="28"/>
      <c r="CG103" s="5"/>
      <c r="CH103" s="28"/>
    </row>
    <row r="104" spans="1:86">
      <c r="A104" s="5"/>
      <c r="B104" s="5">
        <v>8.9001731282117093E-5</v>
      </c>
      <c r="C104" s="5">
        <v>0.61357387641869432</v>
      </c>
      <c r="D104" s="1">
        <v>3.459772758232106E-4</v>
      </c>
      <c r="E104" s="5">
        <v>7.3447303659723428E-4</v>
      </c>
      <c r="F104" s="5">
        <v>4.8380445178297703E-4</v>
      </c>
      <c r="G104" s="5">
        <v>1.7081754357101763E-4</v>
      </c>
      <c r="H104" s="5">
        <v>0</v>
      </c>
      <c r="I104" s="98">
        <v>-8.2607753683366467E-5</v>
      </c>
      <c r="J104" s="5">
        <v>-1.2364754569122333E-4</v>
      </c>
      <c r="K104" s="5">
        <v>-1.7764417315742213E-4</v>
      </c>
      <c r="L104" s="5">
        <v>-2.0484961039658557E-4</v>
      </c>
      <c r="M104" s="5">
        <v>-2.5292093148037044E-4</v>
      </c>
      <c r="N104" s="5">
        <v>-3.2240147175212309E-4</v>
      </c>
      <c r="O104" s="5">
        <v>-3.7293900614871611E-4</v>
      </c>
      <c r="P104" s="5">
        <v>-4.1622211975401443E-4</v>
      </c>
      <c r="Q104" s="79">
        <v>-4.8457314482478869E-4</v>
      </c>
      <c r="R104" s="5">
        <v>-5.7363637679313769E-4</v>
      </c>
      <c r="S104" s="5"/>
      <c r="T104" s="21">
        <v>-5.5783134463729613</v>
      </c>
      <c r="U104" s="5">
        <v>3.531411035299215</v>
      </c>
      <c r="V104" s="5">
        <v>252</v>
      </c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12"/>
      <c r="AN104" s="28"/>
      <c r="AO104" s="5"/>
      <c r="AP104" s="28"/>
      <c r="AQ104" s="5"/>
      <c r="AR104" s="28"/>
      <c r="AS104" s="5"/>
      <c r="AT104" s="28"/>
      <c r="AU104" s="5"/>
      <c r="AV104" s="28"/>
      <c r="AW104" s="5"/>
      <c r="AX104" s="28"/>
      <c r="AY104" s="5"/>
      <c r="AZ104" s="28"/>
      <c r="BA104" s="5"/>
      <c r="BB104" s="28"/>
      <c r="BC104" s="5"/>
      <c r="BD104" s="28"/>
      <c r="BE104" s="5"/>
      <c r="BF104" s="28"/>
      <c r="BG104" s="5"/>
      <c r="BH104" s="28"/>
      <c r="BI104" s="5"/>
      <c r="BJ104" s="28"/>
      <c r="BK104" s="5"/>
      <c r="BL104" s="28"/>
      <c r="BM104" s="5"/>
      <c r="BN104" s="28"/>
      <c r="BO104" s="5"/>
      <c r="BP104" s="28"/>
      <c r="BQ104" s="5"/>
      <c r="BR104" s="28"/>
      <c r="BS104" s="5"/>
      <c r="BT104" s="28"/>
      <c r="BU104" s="5"/>
      <c r="BV104" s="28"/>
      <c r="BW104" s="5"/>
      <c r="BX104" s="28"/>
      <c r="BY104" s="5"/>
      <c r="BZ104" s="28"/>
      <c r="CA104" s="5"/>
      <c r="CB104" s="28"/>
      <c r="CC104" s="5"/>
      <c r="CD104" s="28"/>
      <c r="CE104" s="5"/>
      <c r="CF104" s="28"/>
      <c r="CG104" s="5"/>
      <c r="CH104" s="28"/>
    </row>
    <row r="105" spans="1:86">
      <c r="A105" s="5"/>
      <c r="B105" s="5">
        <v>1.5570132895773738E-4</v>
      </c>
      <c r="C105" s="5">
        <v>0.61357387641869432</v>
      </c>
      <c r="D105" s="1">
        <v>5.1091866615538472E-4</v>
      </c>
      <c r="E105" s="5">
        <v>9.192629635669876E-4</v>
      </c>
      <c r="F105" s="5">
        <v>6.7316007072767026E-4</v>
      </c>
      <c r="G105" s="5">
        <v>3.0759007088557822E-4</v>
      </c>
      <c r="H105" s="5">
        <v>1.0884830023236982E-4</v>
      </c>
      <c r="I105" s="5">
        <v>0</v>
      </c>
      <c r="J105" s="5">
        <v>-3.8207944373001961E-5</v>
      </c>
      <c r="K105" s="5">
        <v>-1.3598750325240393E-4</v>
      </c>
      <c r="L105" s="5">
        <v>-1.4854868882929054E-4</v>
      </c>
      <c r="M105" s="5">
        <v>-2.3087019651061151E-4</v>
      </c>
      <c r="N105" s="5">
        <v>-3.1026225507421631E-4</v>
      </c>
      <c r="O105" s="5">
        <v>-3.780571748177563E-4</v>
      </c>
      <c r="P105" s="5">
        <v>-4.564532548277166E-4</v>
      </c>
      <c r="Q105" s="79">
        <v>-5.6232398071378599E-4</v>
      </c>
      <c r="R105" s="5">
        <v>-6.8728607984909647E-4</v>
      </c>
      <c r="S105" s="5"/>
      <c r="T105" s="21">
        <v>-6.4379301017487727</v>
      </c>
      <c r="U105" s="5">
        <v>3.5727947583691275</v>
      </c>
      <c r="V105" s="5">
        <v>253</v>
      </c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12"/>
      <c r="AN105" s="28"/>
      <c r="AO105" s="5"/>
      <c r="AP105" s="28"/>
      <c r="AQ105" s="5"/>
      <c r="AR105" s="28"/>
      <c r="AS105" s="5"/>
      <c r="AT105" s="28"/>
      <c r="AU105" s="5"/>
      <c r="AV105" s="28"/>
      <c r="AW105" s="5"/>
      <c r="AX105" s="28"/>
      <c r="AY105" s="5"/>
      <c r="AZ105" s="28"/>
      <c r="BA105" s="5"/>
      <c r="BB105" s="28"/>
      <c r="BC105" s="5"/>
      <c r="BD105" s="28"/>
      <c r="BE105" s="5"/>
      <c r="BF105" s="28"/>
      <c r="BG105" s="5"/>
      <c r="BH105" s="28"/>
      <c r="BI105" s="5"/>
      <c r="BJ105" s="28"/>
      <c r="BK105" s="5"/>
      <c r="BL105" s="28"/>
      <c r="BM105" s="5"/>
      <c r="BN105" s="28"/>
      <c r="BO105" s="5"/>
      <c r="BP105" s="28"/>
      <c r="BQ105" s="5"/>
      <c r="BR105" s="28"/>
      <c r="BS105" s="5"/>
      <c r="BT105" s="28"/>
      <c r="BU105" s="5"/>
      <c r="BV105" s="28"/>
      <c r="BW105" s="5"/>
      <c r="BX105" s="28"/>
      <c r="BY105" s="5"/>
      <c r="BZ105" s="28"/>
      <c r="CA105" s="5"/>
      <c r="CB105" s="28"/>
      <c r="CC105" s="5"/>
      <c r="CD105" s="28"/>
      <c r="CE105" s="5"/>
      <c r="CF105" s="28"/>
      <c r="CG105" s="5"/>
      <c r="CH105" s="28"/>
    </row>
    <row r="106" spans="1:86" ht="13.5" thickBot="1">
      <c r="A106" s="5"/>
      <c r="B106" s="5">
        <v>1.8787885151160056E-4</v>
      </c>
      <c r="C106" s="5">
        <v>0.61357387641869432</v>
      </c>
      <c r="D106" s="1">
        <v>5.7071120407063821E-4</v>
      </c>
      <c r="E106" s="5">
        <v>9.9773778042325494E-4</v>
      </c>
      <c r="F106" s="5">
        <v>7.3649641125933237E-4</v>
      </c>
      <c r="G106" s="5">
        <v>3.7507308480569222E-4</v>
      </c>
      <c r="H106" s="5">
        <v>1.5916414837178672E-4</v>
      </c>
      <c r="I106" s="5">
        <v>5.31476957742718E-5</v>
      </c>
      <c r="J106" s="5">
        <v>0</v>
      </c>
      <c r="K106" s="5">
        <v>-9.4330349778944713E-5</v>
      </c>
      <c r="L106" s="5">
        <v>-1.0733352199751821E-4</v>
      </c>
      <c r="M106" s="5">
        <v>-1.9259414557305589E-4</v>
      </c>
      <c r="N106" s="5">
        <v>-2.7479258403053698E-4</v>
      </c>
      <c r="O106" s="5">
        <v>-3.4499924696640649E-4</v>
      </c>
      <c r="P106" s="5">
        <v>-4.2626375088151221E-4</v>
      </c>
      <c r="Q106" s="79">
        <v>-5.3596096907307291E-4</v>
      </c>
      <c r="R106" s="5">
        <v>-6.6539731253949643E-4</v>
      </c>
      <c r="S106" s="5"/>
      <c r="T106" s="21">
        <v>-6.9205499365879302</v>
      </c>
      <c r="U106" s="5">
        <v>3.6216415617062054</v>
      </c>
      <c r="V106" s="5">
        <v>254</v>
      </c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12"/>
      <c r="AN106" s="28"/>
      <c r="AO106" s="5"/>
      <c r="AP106" s="28"/>
      <c r="AQ106" s="5"/>
      <c r="AR106" s="28"/>
      <c r="AS106" s="5"/>
      <c r="AT106" s="28"/>
      <c r="AU106" s="5"/>
      <c r="AV106" s="28"/>
      <c r="AW106" s="5"/>
      <c r="AX106" s="28"/>
      <c r="AY106" s="5"/>
      <c r="AZ106" s="28"/>
      <c r="BA106" s="5"/>
      <c r="BB106" s="28"/>
      <c r="BC106" s="5"/>
      <c r="BD106" s="28"/>
      <c r="BE106" s="5"/>
      <c r="BF106" s="28"/>
      <c r="BG106" s="5"/>
      <c r="BH106" s="28"/>
      <c r="BI106" s="5"/>
      <c r="BJ106" s="28"/>
      <c r="BK106" s="5"/>
      <c r="BL106" s="28"/>
      <c r="BM106" s="5"/>
      <c r="BN106" s="28"/>
      <c r="BO106" s="5"/>
      <c r="BP106" s="28"/>
      <c r="BQ106" s="5"/>
      <c r="BR106" s="28"/>
      <c r="BS106" s="5"/>
      <c r="BT106" s="28"/>
      <c r="BU106" s="5"/>
      <c r="BV106" s="28"/>
      <c r="BW106" s="5"/>
      <c r="BX106" s="28"/>
      <c r="BY106" s="5"/>
      <c r="BZ106" s="28"/>
      <c r="CA106" s="5"/>
      <c r="CB106" s="28"/>
      <c r="CC106" s="5"/>
      <c r="CD106" s="28"/>
      <c r="CE106" s="5"/>
      <c r="CF106" s="28"/>
      <c r="CG106" s="5"/>
      <c r="CH106" s="28"/>
    </row>
    <row r="107" spans="1:86">
      <c r="A107" s="5"/>
      <c r="B107" s="5">
        <v>2.7858035313461953E-4</v>
      </c>
      <c r="C107" s="5">
        <v>0.61357387641869432</v>
      </c>
      <c r="D107" s="1">
        <v>7.7805412594027159E-4</v>
      </c>
      <c r="E107" s="5">
        <v>1.2195455305206361E-3</v>
      </c>
      <c r="F107" s="5">
        <v>9.6495683688623956E-4</v>
      </c>
      <c r="G107" s="5">
        <v>5.5918051202883171E-4</v>
      </c>
      <c r="H107" s="5">
        <v>3.3298917132420385E-4</v>
      </c>
      <c r="I107" s="5">
        <v>1.8318978731348578E-4</v>
      </c>
      <c r="J107" s="5">
        <v>1.3349130063967124E-4</v>
      </c>
      <c r="K107" s="5">
        <v>0</v>
      </c>
      <c r="L107" s="5">
        <v>-1.5298466681396884E-5</v>
      </c>
      <c r="M107" s="5">
        <v>-1.2499522327706522E-4</v>
      </c>
      <c r="N107" s="5">
        <v>-2.247228532787971E-4</v>
      </c>
      <c r="O107" s="5">
        <v>-3.1342098345930598E-4</v>
      </c>
      <c r="P107" s="5">
        <v>-4.3459792059140259E-4</v>
      </c>
      <c r="Q107" s="79">
        <v>-5.8819449807357219E-4</v>
      </c>
      <c r="R107" s="5">
        <v>-7.6000290875306246E-4</v>
      </c>
      <c r="S107" s="5"/>
      <c r="T107" s="21">
        <v>-7.8949693526737397</v>
      </c>
      <c r="U107" s="5">
        <v>3.6640826737574503</v>
      </c>
      <c r="V107" s="5">
        <v>255</v>
      </c>
      <c r="W107" s="5"/>
      <c r="X107" s="5"/>
      <c r="Y107" s="5"/>
      <c r="Z107" s="5"/>
      <c r="AA107" s="5"/>
      <c r="AB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6"/>
      <c r="AN107" s="25"/>
      <c r="AO107" s="24"/>
      <c r="AP107" s="25"/>
      <c r="AQ107" s="24"/>
      <c r="AR107" s="25"/>
      <c r="AS107" s="24"/>
      <c r="AT107" s="25"/>
      <c r="AU107" s="24"/>
      <c r="AV107" s="25"/>
      <c r="AW107" s="24"/>
      <c r="AX107" s="25"/>
      <c r="AY107" s="24"/>
      <c r="AZ107" s="25"/>
      <c r="BA107" s="24"/>
      <c r="BB107" s="25"/>
      <c r="BC107" s="24"/>
      <c r="BD107" s="25"/>
      <c r="BE107" s="24"/>
      <c r="BF107" s="25"/>
      <c r="BG107" s="24"/>
      <c r="BH107" s="25"/>
      <c r="BI107" s="24"/>
      <c r="BJ107" s="25"/>
      <c r="BK107" s="24"/>
      <c r="BL107" s="25"/>
      <c r="BM107" s="24"/>
      <c r="BN107" s="25"/>
      <c r="BO107" s="24"/>
      <c r="BP107" s="25"/>
      <c r="BQ107" s="24"/>
      <c r="BR107" s="25"/>
      <c r="BS107" s="24"/>
      <c r="BT107" s="25"/>
      <c r="BU107" s="24"/>
      <c r="BV107" s="25"/>
      <c r="BW107" s="24"/>
      <c r="BX107" s="25"/>
      <c r="BY107" s="24"/>
      <c r="BZ107" s="25"/>
      <c r="CA107" s="24"/>
      <c r="CB107" s="25"/>
      <c r="CC107" s="24"/>
      <c r="CD107" s="25"/>
      <c r="CE107" s="24"/>
      <c r="CF107" s="25"/>
      <c r="CG107" s="24"/>
      <c r="CH107" s="25"/>
    </row>
    <row r="108" spans="1:86">
      <c r="A108" s="5"/>
      <c r="B108" s="5">
        <v>2.8571920757417891E-4</v>
      </c>
      <c r="C108" s="5">
        <v>0.61357387641869432</v>
      </c>
      <c r="D108" s="1">
        <v>8.0400528035318034E-4</v>
      </c>
      <c r="E108" s="5">
        <v>1.2481669236391159E-3</v>
      </c>
      <c r="F108" s="5">
        <v>9.782840309700573E-4</v>
      </c>
      <c r="G108" s="5">
        <v>5.8268710622932766E-4</v>
      </c>
      <c r="H108" s="5">
        <v>3.3660071955312807E-4</v>
      </c>
      <c r="I108" s="5">
        <v>2.0144558720468683E-4</v>
      </c>
      <c r="J108" s="5">
        <v>1.5130511388918542E-4</v>
      </c>
      <c r="K108" s="5">
        <v>1.5518518786690777E-5</v>
      </c>
      <c r="L108" s="5">
        <v>0</v>
      </c>
      <c r="M108" s="5">
        <v>-1.1186779766488798E-4</v>
      </c>
      <c r="N108" s="5">
        <v>-2.1323386240409107E-4</v>
      </c>
      <c r="O108" s="5">
        <v>-3.0361466065655595E-4</v>
      </c>
      <c r="P108" s="5">
        <v>-4.2824530658865659E-4</v>
      </c>
      <c r="Q108" s="79">
        <v>-5.8576507380786534E-4</v>
      </c>
      <c r="R108" s="5">
        <v>-7.6146662401504648E-4</v>
      </c>
      <c r="S108" s="5"/>
      <c r="T108" s="21">
        <v>-8.2181975358809272</v>
      </c>
      <c r="U108" s="5">
        <v>3.7070211425905453</v>
      </c>
      <c r="V108" s="5">
        <v>256</v>
      </c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12"/>
      <c r="AN108" s="5"/>
      <c r="AO108" s="27"/>
      <c r="AP108" s="5"/>
      <c r="AQ108" s="27"/>
      <c r="AR108" s="5"/>
      <c r="AS108" s="27"/>
      <c r="AT108" s="5"/>
      <c r="AU108" s="27"/>
      <c r="AV108" s="5"/>
      <c r="AW108" s="27"/>
      <c r="AX108" s="5"/>
      <c r="AY108" s="27"/>
      <c r="AZ108" s="5"/>
      <c r="BA108" s="27"/>
      <c r="BB108" s="5"/>
      <c r="BC108" s="27"/>
      <c r="BD108" s="5"/>
      <c r="BE108" s="27"/>
      <c r="BF108" s="5"/>
      <c r="BG108" s="27"/>
      <c r="BH108" s="5"/>
      <c r="BI108" s="27"/>
      <c r="BJ108" s="5"/>
      <c r="BK108" s="27"/>
      <c r="BL108" s="5"/>
      <c r="BM108" s="27"/>
      <c r="BN108" s="5"/>
      <c r="BO108" s="27"/>
      <c r="BP108" s="5"/>
      <c r="BQ108" s="27"/>
      <c r="BR108" s="5"/>
      <c r="BS108" s="27"/>
      <c r="BT108" s="5"/>
      <c r="BU108" s="27"/>
      <c r="BV108" s="5"/>
      <c r="BW108" s="27"/>
      <c r="BX108" s="5"/>
      <c r="BY108" s="27"/>
      <c r="BZ108" s="5"/>
      <c r="CA108" s="27"/>
      <c r="CB108" s="5"/>
      <c r="CC108" s="27"/>
      <c r="CD108" s="5"/>
      <c r="CE108" s="27"/>
      <c r="CF108" s="5"/>
      <c r="CG108" s="27"/>
      <c r="CH108" s="5"/>
    </row>
    <row r="109" spans="1:86">
      <c r="A109" s="5"/>
      <c r="B109" s="5">
        <v>3.8974082622155902E-4</v>
      </c>
      <c r="C109" s="5">
        <v>0.61357387641869432</v>
      </c>
      <c r="D109" s="1">
        <v>1.039294762184755E-3</v>
      </c>
      <c r="E109" s="5">
        <v>1.4961413844799697E-3</v>
      </c>
      <c r="F109" s="5">
        <v>1.2162264189656887E-3</v>
      </c>
      <c r="G109" s="5">
        <v>8.0947975074225297E-4</v>
      </c>
      <c r="H109" s="5">
        <v>5.3696027949204383E-4</v>
      </c>
      <c r="I109" s="5">
        <v>3.6755496054606654E-4</v>
      </c>
      <c r="J109" s="5">
        <v>3.1447537133634838E-4</v>
      </c>
      <c r="K109" s="5">
        <v>1.542526432137231E-4</v>
      </c>
      <c r="L109" s="5">
        <v>1.3656308335781268E-4</v>
      </c>
      <c r="M109" s="5">
        <v>0</v>
      </c>
      <c r="N109" s="5">
        <v>-1.1884567380074867E-4</v>
      </c>
      <c r="O109" s="5">
        <v>-2.2838920549147462E-4</v>
      </c>
      <c r="P109" s="5">
        <v>-3.9799984703536303E-4</v>
      </c>
      <c r="Q109" s="79">
        <v>-6.0629876705096703E-4</v>
      </c>
      <c r="R109" s="5">
        <v>-8.3135494816339206E-4</v>
      </c>
      <c r="S109" s="5"/>
      <c r="T109" s="21">
        <v>-9.4572022249699206</v>
      </c>
      <c r="U109" s="5">
        <v>3.7504627966052784</v>
      </c>
      <c r="V109" s="5">
        <v>257</v>
      </c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12"/>
      <c r="AN109" s="5"/>
      <c r="AO109" s="27"/>
      <c r="AP109" s="5"/>
      <c r="AQ109" s="27"/>
      <c r="AR109" s="5"/>
      <c r="AS109" s="27"/>
      <c r="AT109" s="5"/>
      <c r="AU109" s="27"/>
      <c r="AV109" s="5"/>
      <c r="AW109" s="27"/>
      <c r="AX109" s="5"/>
      <c r="AY109" s="27"/>
      <c r="AZ109" s="5"/>
      <c r="BA109" s="27"/>
      <c r="BB109" s="5"/>
      <c r="BC109" s="27"/>
      <c r="BD109" s="5"/>
      <c r="BE109" s="27"/>
      <c r="BF109" s="5"/>
      <c r="BG109" s="27"/>
      <c r="BH109" s="5"/>
      <c r="BI109" s="27"/>
      <c r="BJ109" s="5"/>
      <c r="BK109" s="27"/>
      <c r="BL109" s="5"/>
      <c r="BM109" s="27"/>
      <c r="BN109" s="5"/>
      <c r="BO109" s="27"/>
      <c r="BP109" s="5"/>
      <c r="BQ109" s="27"/>
      <c r="BR109" s="5"/>
      <c r="BS109" s="27"/>
      <c r="BT109" s="5"/>
      <c r="BU109" s="27"/>
      <c r="BV109" s="5"/>
      <c r="BW109" s="27"/>
      <c r="BX109" s="5"/>
      <c r="BY109" s="27"/>
      <c r="BZ109" s="5"/>
      <c r="CA109" s="27"/>
      <c r="CB109" s="5"/>
      <c r="CC109" s="27"/>
      <c r="CD109" s="5"/>
      <c r="CE109" s="27"/>
      <c r="CF109" s="5"/>
      <c r="CG109" s="27"/>
      <c r="CH109" s="5"/>
    </row>
    <row r="110" spans="1:86">
      <c r="A110" s="5"/>
      <c r="B110" s="5">
        <v>4.9865537647628578E-4</v>
      </c>
      <c r="C110" s="5">
        <v>0.61357387641869432</v>
      </c>
      <c r="D110" s="1">
        <v>1.2632682724289942E-3</v>
      </c>
      <c r="E110" s="5">
        <v>1.7373144063128304E-3</v>
      </c>
      <c r="F110" s="5">
        <v>1.449281742009984E-3</v>
      </c>
      <c r="G110" s="5">
        <v>1.0181272664220402E-3</v>
      </c>
      <c r="H110" s="5">
        <v>7.1809074235695575E-4</v>
      </c>
      <c r="I110" s="5">
        <v>5.3877390511912623E-4</v>
      </c>
      <c r="J110" s="5">
        <v>4.8288793601553183E-4</v>
      </c>
      <c r="K110" s="5">
        <v>3.0513601634865573E-4</v>
      </c>
      <c r="L110" s="5">
        <v>2.8580802175527409E-4</v>
      </c>
      <c r="M110" s="5">
        <v>1.3176532933591585E-4</v>
      </c>
      <c r="N110" s="5">
        <v>0</v>
      </c>
      <c r="O110" s="5">
        <v>-1.2342661940960701E-4</v>
      </c>
      <c r="P110" s="5">
        <v>-3.246832097403202E-4</v>
      </c>
      <c r="Q110" s="79">
        <v>-5.6988548188267093E-4</v>
      </c>
      <c r="R110" s="5">
        <v>-8.3176280391688618E-4</v>
      </c>
      <c r="S110" s="5"/>
      <c r="T110" s="21">
        <v>-10.653208887087606</v>
      </c>
      <c r="U110" s="5">
        <v>3.7944135325029968</v>
      </c>
      <c r="V110" s="5">
        <v>258</v>
      </c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12"/>
      <c r="AN110" s="5"/>
      <c r="AO110" s="27"/>
      <c r="AP110" s="5"/>
      <c r="AQ110" s="27"/>
      <c r="AR110" s="5"/>
      <c r="AS110" s="27"/>
      <c r="AT110" s="5"/>
      <c r="AU110" s="27"/>
      <c r="AV110" s="5"/>
      <c r="AW110" s="27"/>
      <c r="AX110" s="5"/>
      <c r="AY110" s="27"/>
      <c r="AZ110" s="5"/>
      <c r="BA110" s="27"/>
      <c r="BB110" s="5"/>
      <c r="BC110" s="27"/>
      <c r="BD110" s="5"/>
      <c r="BE110" s="27"/>
      <c r="BF110" s="5"/>
      <c r="BG110" s="27"/>
      <c r="BH110" s="5"/>
      <c r="BI110" s="27"/>
      <c r="BJ110" s="5"/>
      <c r="BK110" s="27"/>
      <c r="BL110" s="5"/>
      <c r="BM110" s="27"/>
      <c r="BN110" s="5"/>
      <c r="BO110" s="27"/>
      <c r="BP110" s="5"/>
      <c r="BQ110" s="27"/>
      <c r="BR110" s="5"/>
      <c r="BS110" s="27"/>
      <c r="BT110" s="5"/>
      <c r="BU110" s="27"/>
      <c r="BV110" s="5"/>
      <c r="BW110" s="27"/>
      <c r="BX110" s="5"/>
      <c r="BY110" s="27"/>
      <c r="BZ110" s="5"/>
      <c r="CA110" s="27"/>
      <c r="CB110" s="5"/>
      <c r="CC110" s="27"/>
      <c r="CD110" s="5"/>
      <c r="CE110" s="27"/>
      <c r="CF110" s="5"/>
      <c r="CG110" s="27"/>
      <c r="CH110" s="5"/>
    </row>
    <row r="111" spans="1:86">
      <c r="A111" s="5"/>
      <c r="B111" s="5">
        <v>6.1848677944755534E-4</v>
      </c>
      <c r="C111" s="5">
        <v>0.61357387641869432</v>
      </c>
      <c r="D111" s="1">
        <v>1.5085225099302148E-3</v>
      </c>
      <c r="E111" s="5">
        <v>1.9947775709243834E-3</v>
      </c>
      <c r="F111" s="5">
        <v>1.70175784079525E-3</v>
      </c>
      <c r="G111" s="5">
        <v>1.2494653868944914E-3</v>
      </c>
      <c r="H111" s="5">
        <v>9.2983685362756487E-4</v>
      </c>
      <c r="I111" s="5">
        <v>7.3326263104278838E-4</v>
      </c>
      <c r="J111" s="5">
        <v>6.7496491874686441E-4</v>
      </c>
      <c r="K111" s="5">
        <v>4.7872153183534891E-4</v>
      </c>
      <c r="L111" s="5">
        <v>4.5771086917001131E-4</v>
      </c>
      <c r="M111" s="5">
        <v>2.8450544331239195E-4</v>
      </c>
      <c r="N111" s="5">
        <v>1.3885702625759507E-4</v>
      </c>
      <c r="O111" s="5">
        <v>0</v>
      </c>
      <c r="P111" s="5">
        <v>-2.3893515866811946E-4</v>
      </c>
      <c r="Q111" s="79">
        <v>-5.2872731577014158E-4</v>
      </c>
      <c r="R111" s="5">
        <v>-8.3528299137664876E-4</v>
      </c>
      <c r="S111" s="5"/>
      <c r="T111" s="21">
        <v>-11.89868433285095</v>
      </c>
      <c r="U111" s="5">
        <v>3.8388793160870165</v>
      </c>
      <c r="V111" s="5">
        <v>259</v>
      </c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12"/>
      <c r="AN111" s="5"/>
      <c r="AO111" s="27"/>
      <c r="AP111" s="5"/>
      <c r="AQ111" s="27"/>
      <c r="AR111" s="5"/>
      <c r="AS111" s="27"/>
      <c r="AT111" s="5"/>
      <c r="AU111" s="27"/>
      <c r="AV111" s="5"/>
      <c r="AW111" s="27"/>
      <c r="AX111" s="5"/>
      <c r="AY111" s="27"/>
      <c r="AZ111" s="5"/>
      <c r="BA111" s="27"/>
      <c r="BB111" s="5"/>
      <c r="BC111" s="27"/>
      <c r="BD111" s="5"/>
      <c r="BE111" s="27"/>
      <c r="BF111" s="5"/>
      <c r="BG111" s="27"/>
      <c r="BH111" s="5"/>
      <c r="BI111" s="27"/>
      <c r="BJ111" s="5"/>
      <c r="BK111" s="27"/>
      <c r="BL111" s="5"/>
      <c r="BM111" s="27"/>
      <c r="BN111" s="5"/>
      <c r="BO111" s="27"/>
      <c r="BP111" s="5"/>
      <c r="BQ111" s="27"/>
      <c r="BR111" s="5"/>
      <c r="BS111" s="27"/>
      <c r="BT111" s="5"/>
      <c r="BU111" s="27"/>
      <c r="BV111" s="5"/>
      <c r="BW111" s="27"/>
      <c r="BX111" s="5"/>
      <c r="BY111" s="27"/>
      <c r="BZ111" s="5"/>
      <c r="CA111" s="27"/>
      <c r="CB111" s="5"/>
      <c r="CC111" s="27"/>
      <c r="CD111" s="5"/>
      <c r="CE111" s="27"/>
      <c r="CF111" s="5"/>
      <c r="CG111" s="27"/>
      <c r="CH111" s="5"/>
    </row>
    <row r="112" spans="1:86">
      <c r="A112" s="5"/>
      <c r="B112" s="5">
        <v>9.1220628128214475E-4</v>
      </c>
      <c r="C112" s="5">
        <v>0.61357387641869432</v>
      </c>
      <c r="D112" s="1">
        <v>2.1000188998559948E-3</v>
      </c>
      <c r="E112" s="5">
        <v>2.5830500097229685E-3</v>
      </c>
      <c r="F112" s="5">
        <v>2.3057123492424892E-3</v>
      </c>
      <c r="G112" s="5">
        <v>1.8209843793380262E-3</v>
      </c>
      <c r="H112" s="5">
        <v>1.4690710150359343E-3</v>
      </c>
      <c r="I112" s="5">
        <v>1.2373838260464958E-3</v>
      </c>
      <c r="J112" s="5">
        <v>1.1762176898454265E-3</v>
      </c>
      <c r="K112" s="5">
        <v>9.4006186971692007E-4</v>
      </c>
      <c r="L112" s="5">
        <v>9.1559749825157843E-4</v>
      </c>
      <c r="M112" s="5">
        <v>6.9741207678217134E-4</v>
      </c>
      <c r="N112" s="5">
        <v>5.2011771094054966E-4</v>
      </c>
      <c r="O112" s="5">
        <v>3.4358211634554831E-4</v>
      </c>
      <c r="P112" s="5">
        <v>0</v>
      </c>
      <c r="Q112" s="79">
        <v>-4.1950111612860366E-4</v>
      </c>
      <c r="R112" s="5">
        <v>-8.5954827143715857E-4</v>
      </c>
      <c r="S112" s="5"/>
      <c r="T112" s="21">
        <v>-14.488384175101926</v>
      </c>
      <c r="U112" s="5">
        <v>3.8838661830724108</v>
      </c>
      <c r="V112" s="5">
        <v>260</v>
      </c>
      <c r="W112" s="5"/>
      <c r="X112" s="5"/>
      <c r="Y112" s="5"/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12"/>
      <c r="AN112" s="5"/>
      <c r="AO112" s="27"/>
      <c r="AP112" s="5"/>
      <c r="AQ112" s="27"/>
      <c r="AR112" s="5"/>
      <c r="AS112" s="27"/>
      <c r="AT112" s="5"/>
      <c r="AU112" s="27"/>
      <c r="AV112" s="5"/>
      <c r="AW112" s="27"/>
      <c r="AX112" s="5"/>
      <c r="AY112" s="27"/>
      <c r="AZ112" s="5"/>
      <c r="BA112" s="27"/>
      <c r="BB112" s="5"/>
      <c r="BC112" s="27"/>
      <c r="BD112" s="5"/>
      <c r="BE112" s="27"/>
      <c r="BF112" s="5"/>
      <c r="BG112" s="27"/>
      <c r="BH112" s="5"/>
      <c r="BI112" s="27"/>
      <c r="BJ112" s="5"/>
      <c r="BK112" s="27"/>
      <c r="BL112" s="5"/>
      <c r="BM112" s="27"/>
      <c r="BN112" s="5"/>
      <c r="BO112" s="27"/>
      <c r="BP112" s="5"/>
      <c r="BQ112" s="27"/>
      <c r="BR112" s="5"/>
      <c r="BS112" s="27"/>
      <c r="BT112" s="5"/>
      <c r="BU112" s="27"/>
      <c r="BV112" s="5"/>
      <c r="BW112" s="27"/>
      <c r="BX112" s="5"/>
      <c r="BY112" s="27"/>
      <c r="BZ112" s="5"/>
      <c r="CA112" s="27"/>
      <c r="CB112" s="5"/>
      <c r="CC112" s="27"/>
      <c r="CD112" s="5"/>
      <c r="CE112" s="27"/>
      <c r="CF112" s="5"/>
      <c r="CG112" s="27"/>
      <c r="CH112" s="5"/>
    </row>
    <row r="113" spans="1:86">
      <c r="A113" s="5"/>
      <c r="B113" s="5">
        <v>1.4375838230554848E-3</v>
      </c>
      <c r="C113" s="5">
        <v>0.61357387641869432</v>
      </c>
      <c r="D113" s="1">
        <v>3.1012328618292111E-3</v>
      </c>
      <c r="E113" s="5">
        <v>3.5913339733901171E-3</v>
      </c>
      <c r="F113" s="5">
        <v>3.3015937677062309E-3</v>
      </c>
      <c r="G113" s="5">
        <v>2.8000151515973314E-3</v>
      </c>
      <c r="H113" s="5">
        <v>2.4124916828679333E-3</v>
      </c>
      <c r="I113" s="5">
        <v>2.1432847930631994E-3</v>
      </c>
      <c r="J113" s="5">
        <v>2.0782921645566385E-3</v>
      </c>
      <c r="K113" s="5">
        <v>1.7982369851375236E-3</v>
      </c>
      <c r="L113" s="5">
        <v>1.7698494239351426E-3</v>
      </c>
      <c r="M113" s="5">
        <v>1.5008848496693404E-3</v>
      </c>
      <c r="N113" s="5">
        <v>1.2866871317009723E-3</v>
      </c>
      <c r="O113" s="5">
        <v>1.0655616521462994E-3</v>
      </c>
      <c r="P113" s="5">
        <v>5.9227057677416954E-4</v>
      </c>
      <c r="Q113" s="79">
        <v>0</v>
      </c>
      <c r="R113" s="5">
        <v>-6.2864460878675531E-4</v>
      </c>
      <c r="S113" s="5"/>
      <c r="T113" s="21">
        <v>-19.585062434950846</v>
      </c>
      <c r="U113" s="5">
        <v>3.9293802399052904</v>
      </c>
      <c r="V113" s="5">
        <v>261</v>
      </c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7"/>
      <c r="AN113" s="7"/>
      <c r="AO113" s="7"/>
      <c r="AP113" s="7"/>
      <c r="AQ113" s="7"/>
      <c r="AR113" s="7"/>
      <c r="AS113" s="7"/>
      <c r="AT113" s="7"/>
      <c r="AU113" s="7"/>
      <c r="AV113" s="7"/>
      <c r="AW113" s="7"/>
      <c r="AX113" s="7"/>
      <c r="AY113" s="7"/>
      <c r="AZ113" s="7"/>
      <c r="BA113" s="7"/>
      <c r="BB113" s="7"/>
      <c r="BC113" s="7"/>
      <c r="BD113" s="7"/>
      <c r="BE113" s="7"/>
      <c r="BF113" s="7"/>
      <c r="BG113" s="7"/>
      <c r="BH113" s="7"/>
      <c r="BI113" s="7"/>
      <c r="BJ113" s="7"/>
      <c r="BK113" s="7"/>
      <c r="BL113" s="7"/>
      <c r="BM113" s="7"/>
      <c r="BN113" s="7"/>
      <c r="BO113" s="7"/>
      <c r="BP113" s="7"/>
      <c r="BQ113" s="7"/>
      <c r="BR113" s="7"/>
      <c r="BS113" s="7"/>
      <c r="BT113" s="7"/>
      <c r="BU113" s="7"/>
      <c r="BV113" s="7"/>
      <c r="BW113" s="7"/>
      <c r="BX113" s="7"/>
      <c r="BY113" s="7"/>
      <c r="BZ113" s="7"/>
      <c r="CA113" s="7"/>
      <c r="CB113" s="7"/>
      <c r="CC113" s="7"/>
      <c r="CD113" s="7"/>
      <c r="CE113" s="7"/>
      <c r="CF113" s="7"/>
      <c r="CG113" s="7"/>
      <c r="CH113" s="7"/>
    </row>
    <row r="114" spans="1:86">
      <c r="A114" s="5"/>
      <c r="B114" s="5">
        <v>2.2485527202399107E-3</v>
      </c>
      <c r="C114" s="5">
        <v>0.61357387641869432</v>
      </c>
      <c r="D114" s="5">
        <v>4.5462380645358647E-3</v>
      </c>
      <c r="E114" s="5">
        <v>5.0533986498122628E-3</v>
      </c>
      <c r="F114" s="5">
        <v>4.7898939906279338E-3</v>
      </c>
      <c r="G114" s="5">
        <v>4.2216711486835565E-3</v>
      </c>
      <c r="H114" s="5">
        <v>3.7980082414367914E-3</v>
      </c>
      <c r="I114" s="5">
        <v>3.4929024844650965E-3</v>
      </c>
      <c r="J114" s="5">
        <v>3.4234356116274226E-3</v>
      </c>
      <c r="K114" s="5">
        <v>3.1010083649952408E-3</v>
      </c>
      <c r="L114" s="5">
        <v>3.0687276642651692E-3</v>
      </c>
      <c r="M114" s="5">
        <v>2.7504084590941223E-3</v>
      </c>
      <c r="N114" s="5">
        <v>2.4993896002039641E-3</v>
      </c>
      <c r="O114" s="5">
        <v>2.2335857670769993E-3</v>
      </c>
      <c r="P114" s="5">
        <v>1.6268032120028216E-3</v>
      </c>
      <c r="Q114" s="79">
        <v>8.4593518175045184E-4</v>
      </c>
      <c r="R114" s="5">
        <v>0</v>
      </c>
      <c r="S114" s="5"/>
      <c r="T114" s="21">
        <v>-25.40353506073599</v>
      </c>
      <c r="U114" s="5">
        <v>3.9754276645916806</v>
      </c>
      <c r="V114" s="5">
        <v>262</v>
      </c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7"/>
      <c r="AN114" s="7"/>
      <c r="AO114" s="7"/>
      <c r="AP114" s="7"/>
      <c r="AQ114" s="7"/>
      <c r="AR114" s="7"/>
      <c r="AS114" s="7"/>
      <c r="AT114" s="7"/>
      <c r="AU114" s="7"/>
      <c r="AV114" s="7"/>
      <c r="AW114" s="7"/>
      <c r="AX114" s="7"/>
      <c r="AY114" s="7"/>
      <c r="AZ114" s="7"/>
      <c r="BA114" s="7"/>
      <c r="BB114" s="7"/>
      <c r="BC114" s="7"/>
      <c r="BD114" s="7"/>
      <c r="BE114" s="7"/>
      <c r="BF114" s="7"/>
      <c r="BG114" s="7"/>
      <c r="BH114" s="7"/>
      <c r="BI114" s="7"/>
      <c r="BJ114" s="7"/>
      <c r="BK114" s="7"/>
      <c r="BL114" s="7"/>
      <c r="BM114" s="7"/>
      <c r="BN114" s="7"/>
      <c r="BO114" s="7"/>
      <c r="BP114" s="7"/>
      <c r="BQ114" s="7"/>
      <c r="BR114" s="7"/>
      <c r="BS114" s="7"/>
      <c r="BT114" s="7"/>
      <c r="BU114" s="7"/>
      <c r="BV114" s="7"/>
      <c r="BW114" s="7"/>
      <c r="BX114" s="7"/>
      <c r="BY114" s="7"/>
      <c r="BZ114" s="7"/>
      <c r="CA114" s="7"/>
      <c r="CB114" s="7"/>
      <c r="CC114" s="7"/>
      <c r="CD114" s="7"/>
      <c r="CE114" s="7"/>
      <c r="CF114" s="7"/>
      <c r="CG114" s="7"/>
      <c r="CH114" s="7"/>
    </row>
    <row r="115" spans="1:86">
      <c r="A115" s="5"/>
      <c r="B115" s="5">
        <v>0.4255312759504295</v>
      </c>
      <c r="C115" s="5">
        <v>19.03150701476125</v>
      </c>
      <c r="D115" s="5">
        <v>0</v>
      </c>
      <c r="E115" s="5">
        <v>1.3137310073157007</v>
      </c>
      <c r="F115" s="5">
        <v>-1.9305996588374237</v>
      </c>
      <c r="G115" s="5">
        <v>0.86959446980856514</v>
      </c>
      <c r="H115" s="5">
        <v>0.31142599654496544</v>
      </c>
      <c r="I115" s="5">
        <v>6.4687684295728326E-2</v>
      </c>
      <c r="J115" s="5">
        <v>-1.931625664648727E-2</v>
      </c>
      <c r="K115" s="5">
        <v>-0.11931469590616756</v>
      </c>
      <c r="L115" s="5">
        <v>-0.1841955456359346</v>
      </c>
      <c r="M115" s="5">
        <v>-0.19961150531069566</v>
      </c>
      <c r="N115" s="5">
        <v>-0.24124617731286302</v>
      </c>
      <c r="O115" s="5">
        <v>-0.32563926692276607</v>
      </c>
      <c r="P115" s="5">
        <v>-0.37959195590739425</v>
      </c>
      <c r="Q115" s="79">
        <v>-0.35114426180736291</v>
      </c>
      <c r="R115" s="5">
        <v>-0.38459333811546559</v>
      </c>
      <c r="S115" s="5">
        <v>-0.47829175226575638</v>
      </c>
      <c r="T115" s="21">
        <v>-0.14076309333229187</v>
      </c>
      <c r="U115" s="5">
        <v>4.0220147075361146</v>
      </c>
      <c r="V115" s="5">
        <v>263</v>
      </c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12"/>
      <c r="AN115" s="5"/>
      <c r="AO115" s="27"/>
      <c r="AP115" s="5"/>
      <c r="AQ115" s="27"/>
      <c r="AR115" s="5"/>
      <c r="AS115" s="27"/>
      <c r="AT115" s="5"/>
      <c r="AU115" s="27"/>
      <c r="AV115" s="5"/>
      <c r="AW115" s="27"/>
      <c r="AX115" s="5"/>
      <c r="AY115" s="27"/>
      <c r="AZ115" s="5"/>
      <c r="BA115" s="27"/>
      <c r="BB115" s="5"/>
      <c r="BC115" s="27"/>
      <c r="BD115" s="5"/>
      <c r="BE115" s="27"/>
      <c r="BF115" s="5"/>
      <c r="BG115" s="27"/>
      <c r="BH115" s="5"/>
      <c r="BI115" s="27"/>
      <c r="BJ115" s="5"/>
      <c r="BK115" s="27"/>
      <c r="BL115" s="5"/>
      <c r="BM115" s="27"/>
      <c r="BN115" s="5"/>
      <c r="BO115" s="27"/>
      <c r="BP115" s="5"/>
      <c r="BQ115" s="27"/>
      <c r="BR115" s="5"/>
      <c r="BS115" s="27"/>
      <c r="BT115" s="5"/>
      <c r="BU115" s="27"/>
      <c r="BV115" s="5"/>
      <c r="BW115" s="27"/>
      <c r="BX115" s="5"/>
      <c r="BY115" s="27"/>
      <c r="BZ115" s="5"/>
      <c r="CA115" s="27"/>
      <c r="CB115" s="5"/>
      <c r="CC115" s="27"/>
      <c r="CD115" s="5"/>
      <c r="CE115" s="27"/>
      <c r="CF115" s="5"/>
      <c r="CG115" s="27"/>
      <c r="CH115" s="5"/>
    </row>
    <row r="116" spans="1:86">
      <c r="A116" s="5"/>
      <c r="B116" s="5">
        <v>50.083777858354019</v>
      </c>
      <c r="C116" s="5">
        <v>17.474179966836761</v>
      </c>
      <c r="D116" s="5">
        <v>2.9225098480585259</v>
      </c>
      <c r="E116" s="5">
        <v>0</v>
      </c>
      <c r="F116" s="5">
        <v>-1.2192691247867735</v>
      </c>
      <c r="G116" s="5">
        <v>-0.26550059246655483</v>
      </c>
      <c r="H116" s="5">
        <v>-0.592315506318009</v>
      </c>
      <c r="I116" s="5">
        <v>-0.60502446280808486</v>
      </c>
      <c r="J116" s="5">
        <v>-0.6261441324021898</v>
      </c>
      <c r="K116" s="5">
        <v>-0.66695324603151118</v>
      </c>
      <c r="L116" s="5">
        <v>-0.68600652671241547</v>
      </c>
      <c r="M116" s="5">
        <v>-0.69296261761239508</v>
      </c>
      <c r="N116" s="5">
        <v>-0.69440865119603323</v>
      </c>
      <c r="O116" s="5">
        <v>-0.72431012897868907</v>
      </c>
      <c r="P116" s="5">
        <v>-0.73958241047061235</v>
      </c>
      <c r="Q116" s="79">
        <v>-0.72134886067740711</v>
      </c>
      <c r="R116" s="5">
        <v>-0.73239870861564293</v>
      </c>
      <c r="S116" s="5">
        <v>-0.77204917989895738</v>
      </c>
      <c r="T116" s="21">
        <v>2.3877626652201496</v>
      </c>
      <c r="U116" s="5">
        <v>4.0652199436522256</v>
      </c>
      <c r="V116" s="5">
        <v>264</v>
      </c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12"/>
      <c r="AN116" s="5"/>
      <c r="AO116" s="27"/>
      <c r="AP116" s="5"/>
      <c r="AQ116" s="27"/>
      <c r="AR116" s="5"/>
      <c r="AS116" s="27"/>
      <c r="AT116" s="5"/>
      <c r="AU116" s="27"/>
      <c r="AV116" s="5"/>
      <c r="AW116" s="27"/>
      <c r="AX116" s="5"/>
      <c r="AY116" s="27"/>
      <c r="AZ116" s="5"/>
      <c r="BA116" s="27"/>
      <c r="BB116" s="5"/>
      <c r="BC116" s="27"/>
      <c r="BD116" s="5"/>
      <c r="BE116" s="27"/>
      <c r="BF116" s="5"/>
      <c r="BG116" s="27"/>
      <c r="BH116" s="5"/>
      <c r="BI116" s="27"/>
      <c r="BJ116" s="5"/>
      <c r="BK116" s="27"/>
      <c r="BL116" s="5"/>
      <c r="BM116" s="27"/>
      <c r="BN116" s="5"/>
      <c r="BO116" s="27"/>
      <c r="BP116" s="5"/>
      <c r="BQ116" s="27"/>
      <c r="BR116" s="5"/>
      <c r="BS116" s="27"/>
      <c r="BT116" s="5"/>
      <c r="BU116" s="27"/>
      <c r="BV116" s="5"/>
      <c r="BW116" s="27"/>
      <c r="BX116" s="5"/>
      <c r="BY116" s="27"/>
      <c r="BZ116" s="5"/>
      <c r="CA116" s="27"/>
      <c r="CB116" s="5"/>
      <c r="CC116" s="27"/>
      <c r="CD116" s="5"/>
      <c r="CE116" s="27"/>
      <c r="CF116" s="5"/>
      <c r="CG116" s="27"/>
      <c r="CH116" s="5"/>
    </row>
    <row r="117" spans="1:86">
      <c r="A117" s="5"/>
      <c r="B117" s="5">
        <v>0.86855618236283505</v>
      </c>
      <c r="C117" s="5">
        <v>21.896212803279369</v>
      </c>
      <c r="D117" s="5">
        <v>5.7252329090670528</v>
      </c>
      <c r="E117" s="5">
        <v>8.1851463062590213</v>
      </c>
      <c r="F117" s="5">
        <v>0</v>
      </c>
      <c r="G117" s="5">
        <v>5.4285264400997253</v>
      </c>
      <c r="H117" s="5">
        <v>8.2321217687967483</v>
      </c>
      <c r="I117" s="5">
        <v>9.165555701351531</v>
      </c>
      <c r="J117" s="5">
        <v>9.8123212176879679</v>
      </c>
      <c r="K117" s="5">
        <v>9.8123212176879679</v>
      </c>
      <c r="L117" s="5">
        <v>13.698989633906313</v>
      </c>
      <c r="M117" s="5">
        <v>13.703713423435246</v>
      </c>
      <c r="N117" s="5">
        <v>13.595066264269782</v>
      </c>
      <c r="O117" s="5">
        <v>13.595066264269782</v>
      </c>
      <c r="P117" s="5">
        <v>13.595066264269782</v>
      </c>
      <c r="Q117" s="79">
        <v>13.595066264269782</v>
      </c>
      <c r="R117" s="5">
        <v>13.595066264269782</v>
      </c>
      <c r="S117" s="5">
        <v>13.595066264269782</v>
      </c>
      <c r="T117" s="21">
        <v>-2.1004594190559636</v>
      </c>
      <c r="U117" s="5">
        <v>4.1128592398668999</v>
      </c>
      <c r="V117" s="5">
        <v>265</v>
      </c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12"/>
      <c r="AN117" s="5"/>
      <c r="AO117" s="27"/>
      <c r="AP117" s="5"/>
      <c r="AQ117" s="27"/>
      <c r="AR117" s="5"/>
      <c r="AS117" s="27"/>
      <c r="AT117" s="5"/>
      <c r="AU117" s="27"/>
      <c r="AV117" s="5"/>
      <c r="AW117" s="27"/>
      <c r="AX117" s="5"/>
      <c r="AY117" s="27"/>
      <c r="AZ117" s="5"/>
      <c r="BA117" s="27"/>
      <c r="BB117" s="5"/>
      <c r="BC117" s="27"/>
      <c r="BD117" s="5"/>
      <c r="BE117" s="27"/>
      <c r="BF117" s="5"/>
      <c r="BG117" s="27"/>
      <c r="BH117" s="5"/>
      <c r="BI117" s="27"/>
      <c r="BJ117" s="5"/>
      <c r="BK117" s="27"/>
      <c r="BL117" s="5"/>
      <c r="BM117" s="27"/>
      <c r="BN117" s="5"/>
      <c r="BO117" s="27"/>
      <c r="BP117" s="5"/>
      <c r="BQ117" s="27"/>
      <c r="BR117" s="5"/>
      <c r="BS117" s="27"/>
      <c r="BT117" s="5"/>
      <c r="BU117" s="27"/>
      <c r="BV117" s="5"/>
      <c r="BW117" s="27"/>
      <c r="BX117" s="5"/>
      <c r="BY117" s="27"/>
      <c r="BZ117" s="5"/>
      <c r="CA117" s="27"/>
      <c r="CB117" s="5"/>
      <c r="CC117" s="27"/>
      <c r="CD117" s="5"/>
      <c r="CE117" s="27"/>
      <c r="CF117" s="5"/>
      <c r="CG117" s="27"/>
      <c r="CH117" s="5"/>
    </row>
    <row r="118" spans="1:86">
      <c r="A118" s="5"/>
      <c r="B118" s="5">
        <v>51.985321050665142</v>
      </c>
      <c r="C118" s="5">
        <v>6.4985085898103492</v>
      </c>
      <c r="D118" s="5">
        <v>-0.30688266654160706</v>
      </c>
      <c r="E118" s="5">
        <v>0.45856938028880628</v>
      </c>
      <c r="F118" s="5">
        <v>7.0635087258889895</v>
      </c>
      <c r="G118" s="5">
        <v>0</v>
      </c>
      <c r="H118" s="5">
        <v>-0.4919169805965164</v>
      </c>
      <c r="I118" s="5">
        <v>-0.67512443787963161</v>
      </c>
      <c r="J118" s="5">
        <v>-0.6817790505132939</v>
      </c>
      <c r="K118" s="5">
        <v>-0.77054998976108657</v>
      </c>
      <c r="L118" s="5">
        <v>-0.76852621771874052</v>
      </c>
      <c r="M118" s="5">
        <v>-0.8239374960065291</v>
      </c>
      <c r="N118" s="5">
        <v>-0.85716721231207471</v>
      </c>
      <c r="O118" s="5">
        <v>-0.91278723966155006</v>
      </c>
      <c r="P118" s="5">
        <v>-0.94385957767035233</v>
      </c>
      <c r="Q118" s="79">
        <v>-0.92186602741863299</v>
      </c>
      <c r="R118" s="5">
        <v>-0.85540970859096532</v>
      </c>
      <c r="S118" s="5">
        <v>-0.88281649475835688</v>
      </c>
      <c r="T118" s="21">
        <v>-1.2302951541985987</v>
      </c>
      <c r="U118" s="5">
        <v>4.153023880881225</v>
      </c>
      <c r="V118" s="5">
        <v>266</v>
      </c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12"/>
      <c r="AN118" s="5"/>
      <c r="AO118" s="27"/>
      <c r="AP118" s="5"/>
      <c r="AQ118" s="27"/>
      <c r="AR118" s="5"/>
      <c r="AS118" s="27"/>
      <c r="AT118" s="5"/>
      <c r="AU118" s="27"/>
      <c r="AV118" s="5"/>
      <c r="AW118" s="27"/>
      <c r="AX118" s="5"/>
      <c r="AY118" s="27"/>
      <c r="AZ118" s="5"/>
      <c r="BA118" s="27"/>
      <c r="BB118" s="5"/>
      <c r="BC118" s="27"/>
      <c r="BD118" s="5"/>
      <c r="BE118" s="27"/>
      <c r="BF118" s="5"/>
      <c r="BG118" s="27"/>
      <c r="BH118" s="5"/>
      <c r="BI118" s="27"/>
      <c r="BJ118" s="5"/>
      <c r="BK118" s="27"/>
      <c r="BL118" s="5"/>
      <c r="BM118" s="27"/>
      <c r="BN118" s="5"/>
      <c r="BO118" s="27"/>
      <c r="BP118" s="5"/>
      <c r="BQ118" s="27"/>
      <c r="BR118" s="5"/>
      <c r="BS118" s="27"/>
      <c r="BT118" s="5"/>
      <c r="BU118" s="27"/>
      <c r="BV118" s="5"/>
      <c r="BW118" s="27"/>
      <c r="BX118" s="5"/>
      <c r="BY118" s="27"/>
      <c r="BZ118" s="5"/>
      <c r="CA118" s="27"/>
      <c r="CB118" s="5"/>
      <c r="CC118" s="27"/>
      <c r="CD118" s="5"/>
      <c r="CE118" s="27"/>
      <c r="CF118" s="5"/>
      <c r="CG118" s="27"/>
      <c r="CH118" s="5"/>
    </row>
    <row r="119" spans="1:86">
      <c r="A119" s="5"/>
      <c r="B119" s="5">
        <v>-4.2169058426239303E-2</v>
      </c>
      <c r="C119" s="5">
        <v>26.28420675825954</v>
      </c>
      <c r="D119" s="5">
        <v>0.43922623664878535</v>
      </c>
      <c r="E119" s="5">
        <v>1.4360318428913439</v>
      </c>
      <c r="F119" s="5">
        <v>-2.3107466211783234</v>
      </c>
      <c r="G119" s="5">
        <v>0.81236039585747577</v>
      </c>
      <c r="H119" s="5">
        <v>0</v>
      </c>
      <c r="I119" s="5">
        <v>-0.36245435337800286</v>
      </c>
      <c r="J119" s="5">
        <v>-0.53570308137487932</v>
      </c>
      <c r="K119" s="5">
        <v>-0.61133650125221617</v>
      </c>
      <c r="L119" s="5">
        <v>-0.74983220616940816</v>
      </c>
      <c r="M119" s="5">
        <v>-0.77299303845271727</v>
      </c>
      <c r="N119" s="5">
        <v>-0.84154744934057568</v>
      </c>
      <c r="O119" s="5">
        <v>-0.97449646115614696</v>
      </c>
      <c r="P119" s="5">
        <v>-1.0725382885658414</v>
      </c>
      <c r="Q119" s="79">
        <v>-1.1073831236351441</v>
      </c>
      <c r="R119" s="5">
        <v>-1.2111131353495959</v>
      </c>
      <c r="S119" s="5">
        <v>-1.3787866645830746</v>
      </c>
      <c r="T119" s="21">
        <v>-3.424243962757787</v>
      </c>
      <c r="U119" s="5">
        <v>4.201692129485302</v>
      </c>
      <c r="V119" s="5">
        <v>267</v>
      </c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12"/>
      <c r="AN119" s="5"/>
      <c r="AO119" s="27"/>
      <c r="AP119" s="5"/>
      <c r="AQ119" s="27"/>
      <c r="AR119" s="5"/>
      <c r="AS119" s="27"/>
      <c r="AT119" s="5"/>
      <c r="AU119" s="27"/>
      <c r="AV119" s="5"/>
      <c r="AW119" s="27"/>
      <c r="AX119" s="5"/>
      <c r="AY119" s="27"/>
      <c r="AZ119" s="5"/>
      <c r="BA119" s="27"/>
      <c r="BB119" s="5"/>
      <c r="BC119" s="27"/>
      <c r="BD119" s="5"/>
      <c r="BE119" s="27"/>
      <c r="BF119" s="5"/>
      <c r="BG119" s="27"/>
      <c r="BH119" s="5"/>
      <c r="BI119" s="27"/>
      <c r="BJ119" s="5"/>
      <c r="BK119" s="27"/>
      <c r="BL119" s="5"/>
      <c r="BM119" s="27"/>
      <c r="BN119" s="5"/>
      <c r="BO119" s="27"/>
      <c r="BP119" s="5"/>
      <c r="BQ119" s="27"/>
      <c r="BR119" s="5"/>
      <c r="BS119" s="27"/>
      <c r="BT119" s="5"/>
      <c r="BU119" s="27"/>
      <c r="BV119" s="5"/>
      <c r="BW119" s="27"/>
      <c r="BX119" s="5"/>
      <c r="BY119" s="27"/>
      <c r="BZ119" s="5"/>
      <c r="CA119" s="27"/>
      <c r="CB119" s="5"/>
      <c r="CC119" s="27"/>
      <c r="CD119" s="5"/>
      <c r="CE119" s="27"/>
      <c r="CF119" s="5"/>
      <c r="CG119" s="27"/>
      <c r="CH119" s="5"/>
    </row>
    <row r="120" spans="1:86">
      <c r="A120" s="5"/>
      <c r="B120" s="5">
        <v>-64.478563650696202</v>
      </c>
      <c r="C120" s="5">
        <v>29.019698561894803</v>
      </c>
      <c r="D120" s="5">
        <v>1.096127603279097</v>
      </c>
      <c r="E120" s="5">
        <v>2.3269625652808172</v>
      </c>
      <c r="F120" s="5">
        <v>-4.5989347854612257</v>
      </c>
      <c r="G120" s="5">
        <v>1.5327926174539095</v>
      </c>
      <c r="H120" s="5">
        <v>0.54118532550154608</v>
      </c>
      <c r="I120" s="5">
        <v>0</v>
      </c>
      <c r="J120" s="5">
        <v>-0.26171845778532415</v>
      </c>
      <c r="K120" s="5">
        <v>-0.39174101127704913</v>
      </c>
      <c r="L120" s="5">
        <v>-0.5628135006735</v>
      </c>
      <c r="M120" s="5">
        <v>-0.64900595549923834</v>
      </c>
      <c r="N120" s="5">
        <v>-0.80130584814581196</v>
      </c>
      <c r="O120" s="5">
        <v>-1.0214345774139444</v>
      </c>
      <c r="P120" s="5">
        <v>-1.1815479441718184</v>
      </c>
      <c r="Q120" s="79">
        <v>-1.3186778046973295</v>
      </c>
      <c r="R120" s="5">
        <v>-1.5352279960768946</v>
      </c>
      <c r="S120" s="5">
        <v>-1.8173987449085072</v>
      </c>
      <c r="T120" s="21">
        <v>-3.9209245948256228</v>
      </c>
      <c r="U120" s="5">
        <v>4.242724279187307</v>
      </c>
      <c r="V120" s="5">
        <v>268</v>
      </c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12"/>
      <c r="AN120" s="28"/>
      <c r="AO120" s="5"/>
      <c r="AP120" s="28"/>
      <c r="AQ120" s="5"/>
      <c r="AR120" s="28"/>
      <c r="AS120" s="5"/>
      <c r="AT120" s="28"/>
      <c r="AU120" s="5"/>
      <c r="AV120" s="28"/>
      <c r="AW120" s="5"/>
      <c r="AX120" s="28"/>
      <c r="AY120" s="5"/>
      <c r="AZ120" s="28"/>
      <c r="BA120" s="5"/>
      <c r="BB120" s="28"/>
      <c r="BC120" s="5"/>
      <c r="BD120" s="28"/>
      <c r="BE120" s="5"/>
      <c r="BF120" s="28"/>
      <c r="BG120" s="5"/>
      <c r="BH120" s="28"/>
      <c r="BI120" s="5"/>
      <c r="BJ120" s="28"/>
      <c r="BK120" s="5"/>
      <c r="BL120" s="28"/>
      <c r="BM120" s="5"/>
      <c r="BN120" s="28"/>
      <c r="BO120" s="5"/>
      <c r="BP120" s="28"/>
      <c r="BQ120" s="5"/>
      <c r="BR120" s="28"/>
      <c r="BS120" s="5"/>
      <c r="BT120" s="28"/>
      <c r="BU120" s="5"/>
      <c r="BV120" s="28"/>
      <c r="BW120" s="5"/>
      <c r="BX120" s="28"/>
      <c r="BY120" s="5"/>
      <c r="BZ120" s="28"/>
      <c r="CA120" s="5"/>
      <c r="CB120" s="28"/>
      <c r="CC120" s="5"/>
      <c r="CD120" s="28"/>
      <c r="CE120" s="5"/>
      <c r="CF120" s="28"/>
      <c r="CG120" s="5"/>
      <c r="CH120" s="28"/>
    </row>
    <row r="121" spans="1:86" ht="13.5" thickBot="1">
      <c r="A121" s="5"/>
      <c r="B121" s="5">
        <v>-126.75484843444183</v>
      </c>
      <c r="C121" s="5">
        <v>30.91075054721248</v>
      </c>
      <c r="D121" s="5">
        <v>1.6186960593609152</v>
      </c>
      <c r="E121" s="5">
        <v>2.9124152927107465</v>
      </c>
      <c r="F121" s="5">
        <v>-6.5623409001443385</v>
      </c>
      <c r="G121" s="5">
        <v>2.1327104018442808</v>
      </c>
      <c r="H121" s="5">
        <v>0.97450899452870321</v>
      </c>
      <c r="I121" s="5">
        <v>0.34485393923870944</v>
      </c>
      <c r="J121" s="5">
        <v>0</v>
      </c>
      <c r="K121" s="5">
        <v>-0.12105067418705281</v>
      </c>
      <c r="L121" s="5">
        <v>-0.43083655035232216</v>
      </c>
      <c r="M121" s="5">
        <v>-0.47063298556031519</v>
      </c>
      <c r="N121" s="5">
        <v>-0.73144455677794795</v>
      </c>
      <c r="O121" s="5">
        <v>-0.98297502699642136</v>
      </c>
      <c r="P121" s="5">
        <v>-1.1977633616238019</v>
      </c>
      <c r="Q121" s="79">
        <v>-1.4461383656853521</v>
      </c>
      <c r="R121" s="5">
        <v>-1.7815587332421352</v>
      </c>
      <c r="S121" s="5">
        <v>-2.1774645218520909</v>
      </c>
      <c r="T121" s="21">
        <v>-5.2426772065203906</v>
      </c>
      <c r="U121" s="5">
        <v>4.2924437043340333</v>
      </c>
      <c r="V121" s="5">
        <v>269</v>
      </c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12"/>
      <c r="AN121" s="28"/>
      <c r="AO121" s="5"/>
      <c r="AP121" s="28"/>
      <c r="AQ121" s="5"/>
      <c r="AR121" s="28"/>
      <c r="AS121" s="5"/>
      <c r="AT121" s="28"/>
      <c r="AU121" s="5"/>
      <c r="AV121" s="28"/>
      <c r="AW121" s="5"/>
      <c r="AX121" s="28"/>
      <c r="AY121" s="5"/>
      <c r="AZ121" s="28"/>
      <c r="BA121" s="5"/>
      <c r="BB121" s="28"/>
      <c r="BC121" s="5"/>
      <c r="BD121" s="28"/>
      <c r="BE121" s="5"/>
      <c r="BF121" s="28"/>
      <c r="BG121" s="5"/>
      <c r="BH121" s="28"/>
      <c r="BI121" s="5"/>
      <c r="BJ121" s="28"/>
      <c r="BK121" s="5"/>
      <c r="BL121" s="28"/>
      <c r="BM121" s="5"/>
      <c r="BN121" s="28"/>
      <c r="BO121" s="5"/>
      <c r="BP121" s="28"/>
      <c r="BQ121" s="5"/>
      <c r="BR121" s="28"/>
      <c r="BS121" s="5"/>
      <c r="BT121" s="28"/>
      <c r="BU121" s="5"/>
      <c r="BV121" s="28"/>
      <c r="BW121" s="5"/>
      <c r="BX121" s="28"/>
      <c r="BY121" s="5"/>
      <c r="BZ121" s="28"/>
      <c r="CA121" s="5"/>
      <c r="CB121" s="28"/>
      <c r="CC121" s="5"/>
      <c r="CD121" s="28"/>
      <c r="CE121" s="5"/>
      <c r="CF121" s="28"/>
      <c r="CG121" s="5"/>
      <c r="CH121" s="28"/>
    </row>
    <row r="122" spans="1:86">
      <c r="A122" s="5"/>
      <c r="B122" s="5">
        <v>-126.75477594680031</v>
      </c>
      <c r="C122" s="5">
        <v>30.91075054721248</v>
      </c>
      <c r="D122" s="5">
        <v>1.8081311924143104</v>
      </c>
      <c r="E122" s="5">
        <v>3.1610397513945001</v>
      </c>
      <c r="F122" s="5">
        <v>-6.5623409001443385</v>
      </c>
      <c r="G122" s="5">
        <v>2.3333730349095636</v>
      </c>
      <c r="H122" s="5">
        <v>1.188309146964442</v>
      </c>
      <c r="I122" s="5">
        <v>0.50426495806006011</v>
      </c>
      <c r="J122" s="5">
        <v>0.16838289812602278</v>
      </c>
      <c r="K122" s="5">
        <v>0</v>
      </c>
      <c r="L122" s="5">
        <v>-0.29885806798625919</v>
      </c>
      <c r="M122" s="5">
        <v>-0.34005480833591561</v>
      </c>
      <c r="N122" s="5">
        <v>-0.61017810690102126</v>
      </c>
      <c r="O122" s="5">
        <v>-0.87059976935067662</v>
      </c>
      <c r="P122" s="5">
        <v>-1.0930290054761174</v>
      </c>
      <c r="Q122" s="79">
        <v>-1.3504917700353944</v>
      </c>
      <c r="R122" s="5">
        <v>-1.6980352570363746</v>
      </c>
      <c r="S122" s="5">
        <v>-2.1081163775477663</v>
      </c>
      <c r="T122" s="21">
        <v>-4.8495354732760063</v>
      </c>
      <c r="U122" s="5">
        <v>4.3343620998841708</v>
      </c>
      <c r="V122" s="5">
        <v>270</v>
      </c>
      <c r="W122" s="5"/>
      <c r="X122" s="5"/>
      <c r="Y122" s="5"/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6"/>
      <c r="AN122" s="25"/>
      <c r="AO122" s="24"/>
      <c r="AP122" s="25"/>
      <c r="AQ122" s="24"/>
      <c r="AR122" s="25"/>
      <c r="AS122" s="24"/>
      <c r="AT122" s="25"/>
      <c r="AU122" s="24"/>
      <c r="AV122" s="25"/>
      <c r="AW122" s="24"/>
      <c r="AX122" s="25"/>
      <c r="AY122" s="24"/>
      <c r="AZ122" s="25"/>
      <c r="BA122" s="24"/>
      <c r="BB122" s="25"/>
      <c r="BC122" s="24"/>
      <c r="BD122" s="25"/>
      <c r="BE122" s="24"/>
      <c r="BF122" s="25"/>
      <c r="BG122" s="24"/>
      <c r="BH122" s="25"/>
      <c r="BI122" s="24"/>
      <c r="BJ122" s="25"/>
      <c r="BK122" s="24"/>
      <c r="BL122" s="25"/>
      <c r="BM122" s="24"/>
      <c r="BN122" s="25"/>
      <c r="BO122" s="24"/>
      <c r="BP122" s="25"/>
      <c r="BQ122" s="24"/>
      <c r="BR122" s="25"/>
      <c r="BS122" s="24"/>
      <c r="BT122" s="25"/>
      <c r="BU122" s="24"/>
      <c r="BV122" s="25"/>
      <c r="BW122" s="24"/>
      <c r="BX122" s="25"/>
      <c r="BY122" s="24"/>
      <c r="BZ122" s="25"/>
      <c r="CA122" s="24"/>
      <c r="CB122" s="25"/>
      <c r="CC122" s="24"/>
      <c r="CD122" s="25"/>
      <c r="CE122" s="24"/>
      <c r="CF122" s="25"/>
      <c r="CG122" s="24"/>
      <c r="CH122" s="25"/>
    </row>
    <row r="123" spans="1:86">
      <c r="A123" s="5"/>
      <c r="B123" s="5">
        <v>96.365489583110104</v>
      </c>
      <c r="C123" s="5">
        <v>11.94570797774394</v>
      </c>
      <c r="D123" s="5">
        <v>2.4650364746039433</v>
      </c>
      <c r="E123" s="5">
        <v>3.8637726026329955</v>
      </c>
      <c r="F123" s="5">
        <v>5.2906442724051965</v>
      </c>
      <c r="G123" s="5">
        <v>3.0571829388713101</v>
      </c>
      <c r="H123" s="5">
        <v>1.7715995739666497</v>
      </c>
      <c r="I123" s="5">
        <v>1.0549786005830093</v>
      </c>
      <c r="J123" s="5">
        <v>0.58038315388015349</v>
      </c>
      <c r="K123" s="5">
        <v>0.42292806393314081</v>
      </c>
      <c r="L123" s="5">
        <v>0</v>
      </c>
      <c r="M123" s="5">
        <v>-4.8468708175774429E-2</v>
      </c>
      <c r="N123" s="5">
        <v>-0.39601073274545201</v>
      </c>
      <c r="O123" s="5">
        <v>-0.71196850134283562</v>
      </c>
      <c r="P123" s="5">
        <v>-0.99298253215964227</v>
      </c>
      <c r="Q123" s="79">
        <v>-1.3768961442755399</v>
      </c>
      <c r="R123" s="5">
        <v>-1.863521885653515</v>
      </c>
      <c r="S123" s="5">
        <v>-2.407846483195959</v>
      </c>
      <c r="T123" s="21">
        <v>-5.7047619355158652</v>
      </c>
      <c r="U123" s="5">
        <v>4.3809226302540196</v>
      </c>
      <c r="V123" s="5">
        <v>271</v>
      </c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12"/>
      <c r="AN123" s="5"/>
      <c r="AO123" s="27"/>
      <c r="AP123" s="5"/>
      <c r="AQ123" s="27"/>
      <c r="AR123" s="5"/>
      <c r="AS123" s="27"/>
      <c r="AT123" s="5"/>
      <c r="AU123" s="27"/>
      <c r="AV123" s="5"/>
      <c r="AW123" s="27"/>
      <c r="AX123" s="5"/>
      <c r="AY123" s="27"/>
      <c r="AZ123" s="5"/>
      <c r="BA123" s="27"/>
      <c r="BB123" s="5"/>
      <c r="BC123" s="27"/>
      <c r="BD123" s="5"/>
      <c r="BE123" s="27"/>
      <c r="BF123" s="5"/>
      <c r="BG123" s="27"/>
      <c r="BH123" s="5"/>
      <c r="BI123" s="27"/>
      <c r="BJ123" s="5"/>
      <c r="BK123" s="27"/>
      <c r="BL123" s="5"/>
      <c r="BM123" s="27"/>
      <c r="BN123" s="5"/>
      <c r="BO123" s="27"/>
      <c r="BP123" s="5"/>
      <c r="BQ123" s="27"/>
      <c r="BR123" s="5"/>
      <c r="BS123" s="27"/>
      <c r="BT123" s="5"/>
      <c r="BU123" s="27"/>
      <c r="BV123" s="5"/>
      <c r="BW123" s="27"/>
      <c r="BX123" s="5"/>
      <c r="BY123" s="27"/>
      <c r="BZ123" s="5"/>
      <c r="CA123" s="27"/>
      <c r="CB123" s="5"/>
      <c r="CC123" s="27"/>
      <c r="CD123" s="5"/>
      <c r="CE123" s="27"/>
      <c r="CF123" s="5"/>
      <c r="CG123" s="27"/>
      <c r="CH123" s="5"/>
    </row>
    <row r="124" spans="1:86">
      <c r="A124" s="5"/>
      <c r="B124" s="5">
        <v>96.274192164284841</v>
      </c>
      <c r="C124" s="5">
        <v>12.010841330427287</v>
      </c>
      <c r="D124" s="5">
        <v>2.5472551018859346</v>
      </c>
      <c r="E124" s="5">
        <v>3.954451098689769</v>
      </c>
      <c r="F124" s="5">
        <v>5.2386825875869318</v>
      </c>
      <c r="G124" s="5">
        <v>3.0994062475402737</v>
      </c>
      <c r="H124" s="5">
        <v>1.8460733286400932</v>
      </c>
      <c r="I124" s="5">
        <v>1.0664207327140234</v>
      </c>
      <c r="J124" s="5">
        <v>0.63822130562891288</v>
      </c>
      <c r="K124" s="5">
        <v>0.47936591054023681</v>
      </c>
      <c r="L124" s="5">
        <v>4.9165878780977945E-2</v>
      </c>
      <c r="M124" s="5">
        <v>0</v>
      </c>
      <c r="N124" s="5">
        <v>-0.35442033193296196</v>
      </c>
      <c r="O124" s="5">
        <v>-0.67556900082181748</v>
      </c>
      <c r="P124" s="5">
        <v>-0.96191407228699988</v>
      </c>
      <c r="Q124" s="79">
        <v>-1.3567697485612018</v>
      </c>
      <c r="R124" s="5">
        <v>-1.8558249668562288</v>
      </c>
      <c r="S124" s="5">
        <v>-2.4124838360341903</v>
      </c>
      <c r="T124" s="21">
        <v>-5.7473066060967586</v>
      </c>
      <c r="U124" s="5">
        <v>4.4237050778150939</v>
      </c>
      <c r="V124" s="5">
        <v>272</v>
      </c>
      <c r="W124" s="5"/>
      <c r="X124" s="5"/>
      <c r="Y124" s="5"/>
      <c r="Z124" s="5"/>
      <c r="AA124" s="5"/>
      <c r="AB124" s="5"/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12"/>
      <c r="AN124" s="5"/>
      <c r="AO124" s="27"/>
      <c r="AP124" s="5"/>
      <c r="AQ124" s="27"/>
      <c r="AR124" s="5"/>
      <c r="AS124" s="27"/>
      <c r="AT124" s="5"/>
      <c r="AU124" s="27"/>
      <c r="AV124" s="5"/>
      <c r="AW124" s="27"/>
      <c r="AX124" s="5"/>
      <c r="AY124" s="27"/>
      <c r="AZ124" s="5"/>
      <c r="BA124" s="27"/>
      <c r="BB124" s="5"/>
      <c r="BC124" s="27"/>
      <c r="BD124" s="5"/>
      <c r="BE124" s="27"/>
      <c r="BF124" s="5"/>
      <c r="BG124" s="27"/>
      <c r="BH124" s="5"/>
      <c r="BI124" s="27"/>
      <c r="BJ124" s="5"/>
      <c r="BK124" s="27"/>
      <c r="BL124" s="5"/>
      <c r="BM124" s="27"/>
      <c r="BN124" s="5"/>
      <c r="BO124" s="27"/>
      <c r="BP124" s="5"/>
      <c r="BQ124" s="27"/>
      <c r="BR124" s="5"/>
      <c r="BS124" s="27"/>
      <c r="BT124" s="5"/>
      <c r="BU124" s="27"/>
      <c r="BV124" s="5"/>
      <c r="BW124" s="27"/>
      <c r="BX124" s="5"/>
      <c r="BY124" s="27"/>
      <c r="BZ124" s="5"/>
      <c r="CA124" s="27"/>
      <c r="CB124" s="5"/>
      <c r="CC124" s="27"/>
      <c r="CD124" s="5"/>
      <c r="CE124" s="27"/>
      <c r="CF124" s="5"/>
      <c r="CG124" s="27"/>
      <c r="CH124" s="5"/>
    </row>
    <row r="125" spans="1:86">
      <c r="A125" s="5"/>
      <c r="B125" s="5">
        <v>96.836233118223149</v>
      </c>
      <c r="C125" s="5">
        <v>11.559764356166625</v>
      </c>
      <c r="D125" s="5">
        <v>3.2927008690484318</v>
      </c>
      <c r="E125" s="5">
        <v>4.7400855042707954</v>
      </c>
      <c r="F125" s="5">
        <v>5.6071381708437213</v>
      </c>
      <c r="G125" s="5">
        <v>3.8532569703993929</v>
      </c>
      <c r="H125" s="5">
        <v>2.5645993569168994</v>
      </c>
      <c r="I125" s="5">
        <v>1.7012012792321147</v>
      </c>
      <c r="J125" s="5">
        <v>1.164490173575945</v>
      </c>
      <c r="K125" s="5">
        <v>0.99632305113979591</v>
      </c>
      <c r="L125" s="5">
        <v>0.48870429337596522</v>
      </c>
      <c r="M125" s="5">
        <v>0.43266010723170284</v>
      </c>
      <c r="N125" s="5">
        <v>0</v>
      </c>
      <c r="O125" s="5">
        <v>-0.3765276874712139</v>
      </c>
      <c r="P125" s="5">
        <v>-0.72358426383503149</v>
      </c>
      <c r="Q125" s="79">
        <v>-1.260945873969026</v>
      </c>
      <c r="R125" s="5">
        <v>-1.9208799561108705</v>
      </c>
      <c r="S125" s="5">
        <v>-2.6339045090065483</v>
      </c>
      <c r="T125" s="21">
        <v>-5.4299963739804298</v>
      </c>
      <c r="U125" s="5">
        <v>4.4755453716957394</v>
      </c>
      <c r="V125" s="5">
        <v>273</v>
      </c>
      <c r="W125" s="5"/>
      <c r="X125" s="5"/>
      <c r="Y125" s="5"/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12"/>
      <c r="AN125" s="5"/>
      <c r="AO125" s="27"/>
      <c r="AP125" s="5"/>
      <c r="AQ125" s="27"/>
      <c r="AR125" s="5"/>
      <c r="AS125" s="27"/>
      <c r="AT125" s="5"/>
      <c r="AU125" s="27"/>
      <c r="AV125" s="5"/>
      <c r="AW125" s="27"/>
      <c r="AX125" s="5"/>
      <c r="AY125" s="27"/>
      <c r="AZ125" s="5"/>
      <c r="BA125" s="27"/>
      <c r="BB125" s="5"/>
      <c r="BC125" s="27"/>
      <c r="BD125" s="5"/>
      <c r="BE125" s="27"/>
      <c r="BF125" s="5"/>
      <c r="BG125" s="27"/>
      <c r="BH125" s="5"/>
      <c r="BI125" s="27"/>
      <c r="BJ125" s="5"/>
      <c r="BK125" s="27"/>
      <c r="BL125" s="5"/>
      <c r="BM125" s="27"/>
      <c r="BN125" s="5"/>
      <c r="BO125" s="27"/>
      <c r="BP125" s="5"/>
      <c r="BQ125" s="27"/>
      <c r="BR125" s="5"/>
      <c r="BS125" s="27"/>
      <c r="BT125" s="5"/>
      <c r="BU125" s="27"/>
      <c r="BV125" s="5"/>
      <c r="BW125" s="27"/>
      <c r="BX125" s="5"/>
      <c r="BY125" s="27"/>
      <c r="BZ125" s="5"/>
      <c r="CA125" s="27"/>
      <c r="CB125" s="5"/>
      <c r="CC125" s="27"/>
      <c r="CD125" s="5"/>
      <c r="CE125" s="27"/>
      <c r="CF125" s="5"/>
      <c r="CG125" s="27"/>
      <c r="CH125" s="5"/>
    </row>
    <row r="126" spans="1:86" ht="13.5" thickBot="1">
      <c r="A126" s="5"/>
      <c r="B126" s="5">
        <v>96.836468026716716</v>
      </c>
      <c r="C126" s="5">
        <v>11.559764356166625</v>
      </c>
      <c r="D126" s="5">
        <v>4.0022952965953822</v>
      </c>
      <c r="E126" s="5">
        <v>5.5041715436449925</v>
      </c>
      <c r="F126" s="5">
        <v>5.6071381708437213</v>
      </c>
      <c r="G126" s="5">
        <v>4.5916244602067708</v>
      </c>
      <c r="H126" s="5">
        <v>3.2256378622581821</v>
      </c>
      <c r="I126" s="5">
        <v>2.2750600671208354</v>
      </c>
      <c r="J126" s="5">
        <v>1.7069472205143248</v>
      </c>
      <c r="K126" s="5">
        <v>1.529888905846994</v>
      </c>
      <c r="L126" s="5">
        <v>0.96673404193543488</v>
      </c>
      <c r="M126" s="5">
        <v>0.90549895549970072</v>
      </c>
      <c r="N126" s="5">
        <v>0.41745982968563938</v>
      </c>
      <c r="O126" s="5">
        <v>0</v>
      </c>
      <c r="P126" s="5">
        <v>-0.39104107110036451</v>
      </c>
      <c r="Q126" s="79">
        <v>-1.0286635955231902</v>
      </c>
      <c r="R126" s="5">
        <v>-1.8055151336551969</v>
      </c>
      <c r="S126" s="5">
        <v>-2.6351966804316764</v>
      </c>
      <c r="T126" s="21">
        <v>-5.0944888691631363</v>
      </c>
      <c r="U126" s="5">
        <v>4.5192518694662054</v>
      </c>
      <c r="V126" s="5">
        <v>274</v>
      </c>
      <c r="W126" s="5"/>
      <c r="X126" s="5"/>
      <c r="Y126" s="5"/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12"/>
      <c r="AN126" s="28"/>
      <c r="AO126" s="5"/>
      <c r="AP126" s="28"/>
      <c r="AQ126" s="5"/>
      <c r="AR126" s="28"/>
      <c r="AS126" s="5"/>
      <c r="AT126" s="28"/>
      <c r="AU126" s="5"/>
      <c r="AV126" s="28"/>
      <c r="AW126" s="5"/>
      <c r="AX126" s="28"/>
      <c r="AY126" s="5"/>
      <c r="AZ126" s="28"/>
      <c r="BA126" s="5"/>
      <c r="BB126" s="28"/>
      <c r="BC126" s="5"/>
      <c r="BD126" s="28"/>
      <c r="BE126" s="5"/>
      <c r="BF126" s="28"/>
      <c r="BG126" s="5"/>
      <c r="BH126" s="28"/>
      <c r="BI126" s="5"/>
      <c r="BJ126" s="28"/>
      <c r="BK126" s="5"/>
      <c r="BL126" s="28"/>
      <c r="BM126" s="5"/>
      <c r="BN126" s="28"/>
      <c r="BO126" s="5"/>
      <c r="BP126" s="28"/>
      <c r="BQ126" s="5"/>
      <c r="BR126" s="28"/>
      <c r="BS126" s="5"/>
      <c r="BT126" s="28"/>
      <c r="BU126" s="5"/>
      <c r="BV126" s="28"/>
      <c r="BW126" s="5"/>
      <c r="BX126" s="28"/>
      <c r="BY126" s="5"/>
      <c r="BZ126" s="28"/>
      <c r="CA126" s="5"/>
      <c r="CB126" s="28"/>
      <c r="CC126" s="5"/>
      <c r="CD126" s="28"/>
      <c r="CE126" s="5"/>
      <c r="CF126" s="28"/>
      <c r="CG126" s="5"/>
      <c r="CH126" s="28"/>
    </row>
    <row r="127" spans="1:86">
      <c r="A127" s="5"/>
      <c r="B127" s="5">
        <v>96.836732204282171</v>
      </c>
      <c r="C127" s="5">
        <v>11.559764356166625</v>
      </c>
      <c r="D127" s="5">
        <v>4.7793114717375422</v>
      </c>
      <c r="E127" s="5">
        <v>6.3198681262798573</v>
      </c>
      <c r="F127" s="5">
        <v>5.6071381708437213</v>
      </c>
      <c r="G127" s="5">
        <v>5.3915209863247568</v>
      </c>
      <c r="H127" s="5">
        <v>3.9585648989752755</v>
      </c>
      <c r="I127" s="5">
        <v>2.9459155644897499</v>
      </c>
      <c r="J127" s="5">
        <v>2.3231277500137328</v>
      </c>
      <c r="K127" s="5">
        <v>2.1384285338483418</v>
      </c>
      <c r="L127" s="5">
        <v>1.5166888752454171</v>
      </c>
      <c r="M127" s="5">
        <v>1.4501227481613068</v>
      </c>
      <c r="N127" s="5">
        <v>0.90137211744861034</v>
      </c>
      <c r="O127" s="5">
        <v>0.43992779302642393</v>
      </c>
      <c r="P127" s="5">
        <v>0</v>
      </c>
      <c r="Q127" s="79">
        <v>-0.75699602578472958</v>
      </c>
      <c r="R127" s="5">
        <v>-1.6751175465045807</v>
      </c>
      <c r="S127" s="5">
        <v>-2.6463493627405965</v>
      </c>
      <c r="T127" s="21">
        <v>-4.6568407800103824</v>
      </c>
      <c r="U127" s="5">
        <v>4.563385188503962</v>
      </c>
      <c r="V127" s="5">
        <v>275</v>
      </c>
      <c r="W127" s="5"/>
      <c r="X127" s="5"/>
      <c r="Y127" s="5"/>
      <c r="Z127" s="5"/>
      <c r="AA127" s="5"/>
      <c r="AB127" s="5"/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6"/>
      <c r="AN127" s="25"/>
      <c r="AO127" s="24"/>
      <c r="AP127" s="25"/>
      <c r="AQ127" s="24"/>
      <c r="AR127" s="25"/>
      <c r="AS127" s="24"/>
      <c r="AT127" s="25"/>
      <c r="AU127" s="24"/>
      <c r="AV127" s="25"/>
      <c r="AW127" s="24"/>
      <c r="AX127" s="25"/>
      <c r="AY127" s="24"/>
      <c r="AZ127" s="25"/>
      <c r="BA127" s="24"/>
      <c r="BB127" s="25"/>
      <c r="BC127" s="24"/>
      <c r="BD127" s="25"/>
      <c r="BE127" s="24"/>
      <c r="BF127" s="25"/>
      <c r="BG127" s="24"/>
      <c r="BH127" s="25"/>
      <c r="BI127" s="24"/>
      <c r="BJ127" s="25"/>
      <c r="BK127" s="24"/>
      <c r="BL127" s="25"/>
      <c r="BM127" s="24"/>
      <c r="BN127" s="25"/>
      <c r="BO127" s="24"/>
      <c r="BP127" s="25"/>
      <c r="BQ127" s="24"/>
      <c r="BR127" s="25"/>
      <c r="BS127" s="24"/>
      <c r="BT127" s="25"/>
      <c r="BU127" s="24"/>
      <c r="BV127" s="25"/>
      <c r="BW127" s="24"/>
      <c r="BX127" s="25"/>
      <c r="BY127" s="24"/>
      <c r="BZ127" s="25"/>
      <c r="CA127" s="24"/>
      <c r="CB127" s="25"/>
      <c r="CC127" s="24"/>
      <c r="CD127" s="25"/>
      <c r="CE127" s="24"/>
      <c r="CF127" s="25"/>
      <c r="CG127" s="24"/>
      <c r="CH127" s="25"/>
    </row>
    <row r="128" spans="1:86">
      <c r="A128" s="5"/>
      <c r="B128" s="5">
        <v>96.837395468819977</v>
      </c>
      <c r="C128" s="5">
        <v>11.559764356166625</v>
      </c>
      <c r="D128" s="5">
        <v>6.6532944340430937</v>
      </c>
      <c r="E128" s="5">
        <v>8.1836369442785841</v>
      </c>
      <c r="F128" s="5">
        <v>5.6071381708437213</v>
      </c>
      <c r="G128" s="5">
        <v>7.2590498047819958</v>
      </c>
      <c r="H128" s="5">
        <v>5.7692553321114923</v>
      </c>
      <c r="I128" s="5">
        <v>4.6543209721697583</v>
      </c>
      <c r="J128" s="5">
        <v>3.9202880141577019</v>
      </c>
      <c r="K128" s="5">
        <v>3.7265010374945837</v>
      </c>
      <c r="L128" s="5">
        <v>2.9783105313350382</v>
      </c>
      <c r="M128" s="5">
        <v>2.9008023400926239</v>
      </c>
      <c r="N128" s="5">
        <v>2.2095457755201351</v>
      </c>
      <c r="O128" s="5">
        <v>1.6478405368091176</v>
      </c>
      <c r="P128" s="5">
        <v>1.0885392424207896</v>
      </c>
      <c r="Q128" s="79">
        <v>0</v>
      </c>
      <c r="R128" s="5">
        <v>-1.3290663437384733</v>
      </c>
      <c r="S128" s="5">
        <v>-2.723226791214286</v>
      </c>
      <c r="T128" s="21">
        <v>-6.0946040493657989</v>
      </c>
      <c r="U128" s="5">
        <v>4.6079494969854462</v>
      </c>
      <c r="V128" s="5">
        <v>276</v>
      </c>
      <c r="W128" s="5"/>
      <c r="X128" s="5"/>
      <c r="Y128" s="5"/>
      <c r="Z128" s="5"/>
      <c r="AA128" s="5"/>
      <c r="AB128" s="5"/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12"/>
      <c r="AN128" s="5"/>
      <c r="AO128" s="27"/>
      <c r="AP128" s="5"/>
      <c r="AQ128" s="27"/>
      <c r="AR128" s="5"/>
      <c r="AS128" s="27"/>
      <c r="AT128" s="5"/>
      <c r="AU128" s="27"/>
      <c r="AV128" s="5"/>
      <c r="AW128" s="27"/>
      <c r="AX128" s="5"/>
      <c r="AY128" s="27"/>
      <c r="AZ128" s="5"/>
      <c r="BA128" s="27"/>
      <c r="BB128" s="5"/>
      <c r="BC128" s="27"/>
      <c r="BD128" s="5"/>
      <c r="BE128" s="27"/>
      <c r="BF128" s="5"/>
      <c r="BG128" s="27"/>
      <c r="BH128" s="5"/>
      <c r="BI128" s="27"/>
      <c r="BJ128" s="5"/>
      <c r="BK128" s="27"/>
      <c r="BL128" s="5"/>
      <c r="BM128" s="27"/>
      <c r="BN128" s="5"/>
      <c r="BO128" s="27"/>
      <c r="BP128" s="5"/>
      <c r="BQ128" s="27"/>
      <c r="BR128" s="5"/>
      <c r="BS128" s="27"/>
      <c r="BT128" s="5"/>
      <c r="BU128" s="27"/>
      <c r="BV128" s="5"/>
      <c r="BW128" s="27"/>
      <c r="BX128" s="5"/>
      <c r="BY128" s="27"/>
      <c r="BZ128" s="5"/>
      <c r="CA128" s="27"/>
      <c r="CB128" s="5"/>
      <c r="CC128" s="27"/>
      <c r="CD128" s="5"/>
      <c r="CE128" s="27"/>
      <c r="CF128" s="5"/>
      <c r="CG128" s="27"/>
      <c r="CH128" s="5"/>
    </row>
    <row r="129" spans="1:86">
      <c r="A129" s="5"/>
      <c r="B129" s="5">
        <v>96.838566925991387</v>
      </c>
      <c r="C129" s="5">
        <v>11.559764356166625</v>
      </c>
      <c r="D129" s="5">
        <v>9.8253474479180714</v>
      </c>
      <c r="E129" s="5">
        <v>11.378089186523427</v>
      </c>
      <c r="F129" s="5">
        <v>5.6071381708437213</v>
      </c>
      <c r="G129" s="5">
        <v>10.460132258646594</v>
      </c>
      <c r="H129" s="5">
        <v>8.8710274105801208</v>
      </c>
      <c r="I129" s="5">
        <v>7.6432728709732727</v>
      </c>
      <c r="J129" s="5">
        <v>6.7903697367839984</v>
      </c>
      <c r="K129" s="5">
        <v>6.584459640676684</v>
      </c>
      <c r="L129" s="5">
        <v>5.6971868801401442</v>
      </c>
      <c r="M129" s="5">
        <v>5.6072492119806769</v>
      </c>
      <c r="N129" s="5">
        <v>4.755113783561371</v>
      </c>
      <c r="O129" s="5">
        <v>4.0764910888601911</v>
      </c>
      <c r="P129" s="5">
        <v>3.3759198118840192</v>
      </c>
      <c r="Q129" s="79">
        <v>1.8764357464446069</v>
      </c>
      <c r="R129" s="5">
        <v>0</v>
      </c>
      <c r="S129" s="5">
        <v>-1.9916762067802949</v>
      </c>
      <c r="T129" s="5">
        <v>-9.3171334818353149</v>
      </c>
      <c r="U129" s="5">
        <v>4.6529490037919441</v>
      </c>
      <c r="V129" s="5">
        <v>277</v>
      </c>
      <c r="W129" s="5"/>
      <c r="X129" s="5"/>
      <c r="Y129" s="5"/>
      <c r="Z129" s="5"/>
      <c r="AA129" s="5"/>
      <c r="AB129" s="5"/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12"/>
      <c r="AN129" s="5"/>
      <c r="AO129" s="27"/>
      <c r="AP129" s="5"/>
      <c r="AQ129" s="27"/>
      <c r="AR129" s="5"/>
      <c r="AS129" s="27"/>
      <c r="AT129" s="5"/>
      <c r="AU129" s="27"/>
      <c r="AV129" s="5"/>
      <c r="AW129" s="27"/>
      <c r="AX129" s="5"/>
      <c r="AY129" s="27"/>
      <c r="AZ129" s="5"/>
      <c r="BA129" s="27"/>
      <c r="BB129" s="5"/>
      <c r="BC129" s="27"/>
      <c r="BD129" s="5"/>
      <c r="BE129" s="27"/>
      <c r="BF129" s="5"/>
      <c r="BG129" s="27"/>
      <c r="BH129" s="5"/>
      <c r="BI129" s="27"/>
      <c r="BJ129" s="5"/>
      <c r="BK129" s="27"/>
      <c r="BL129" s="5"/>
      <c r="BM129" s="27"/>
      <c r="BN129" s="5"/>
      <c r="BO129" s="27"/>
      <c r="BP129" s="5"/>
      <c r="BQ129" s="27"/>
      <c r="BR129" s="5"/>
      <c r="BS129" s="27"/>
      <c r="BT129" s="5"/>
      <c r="BU129" s="27"/>
      <c r="BV129" s="5"/>
      <c r="BW129" s="27"/>
      <c r="BX129" s="5"/>
      <c r="BY129" s="27"/>
      <c r="BZ129" s="5"/>
      <c r="CA129" s="27"/>
      <c r="CB129" s="5"/>
      <c r="CC129" s="27"/>
      <c r="CD129" s="5"/>
      <c r="CE129" s="27"/>
      <c r="CF129" s="5"/>
      <c r="CG129" s="27"/>
      <c r="CH129" s="5"/>
    </row>
    <row r="130" spans="1:86">
      <c r="A130" s="5"/>
      <c r="B130" s="5">
        <v>96.840300027151642</v>
      </c>
      <c r="C130" s="5">
        <v>11.559764356166625</v>
      </c>
      <c r="D130" s="5">
        <v>14.403422946662754</v>
      </c>
      <c r="E130" s="5">
        <v>16.010212628135083</v>
      </c>
      <c r="F130" s="5">
        <v>5.6071381708437213</v>
      </c>
      <c r="G130" s="5">
        <v>15.175375340520326</v>
      </c>
      <c r="H130" s="5">
        <v>13.375127794241616</v>
      </c>
      <c r="I130" s="5">
        <v>12.032876035036635</v>
      </c>
      <c r="J130" s="5">
        <v>11.066237861069016</v>
      </c>
      <c r="K130" s="5">
        <v>10.846152433060265</v>
      </c>
      <c r="L130" s="5">
        <v>9.8246361954926726</v>
      </c>
      <c r="M130" s="5">
        <v>9.7223642556976895</v>
      </c>
      <c r="N130" s="5">
        <v>8.7138631435606655</v>
      </c>
      <c r="O130" s="5">
        <v>7.9185834549786849</v>
      </c>
      <c r="P130" s="5">
        <v>7.0764619085429761</v>
      </c>
      <c r="Q130" s="79">
        <v>5.1540492118637671</v>
      </c>
      <c r="R130" s="5">
        <v>2.6800977061146782</v>
      </c>
      <c r="S130" s="5">
        <v>0</v>
      </c>
      <c r="T130" s="5">
        <v>-13.953738535708608</v>
      </c>
      <c r="U130" s="5">
        <v>4.6983879589070998</v>
      </c>
      <c r="V130" s="5">
        <v>278</v>
      </c>
      <c r="W130" s="5"/>
      <c r="X130" s="5"/>
      <c r="Y130" s="5"/>
      <c r="Z130" s="5"/>
      <c r="AA130" s="5"/>
      <c r="AB130" s="5"/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12"/>
      <c r="AN130" s="5"/>
      <c r="AO130" s="27"/>
      <c r="AP130" s="5"/>
      <c r="AQ130" s="27"/>
      <c r="AR130" s="5"/>
      <c r="AS130" s="27"/>
      <c r="AT130" s="5"/>
      <c r="AU130" s="27"/>
      <c r="AV130" s="5"/>
      <c r="AW130" s="27"/>
      <c r="AX130" s="5"/>
      <c r="AY130" s="27"/>
      <c r="AZ130" s="5"/>
      <c r="BA130" s="27"/>
      <c r="BB130" s="5"/>
      <c r="BC130" s="27"/>
      <c r="BD130" s="5"/>
      <c r="BE130" s="27"/>
      <c r="BF130" s="5"/>
      <c r="BG130" s="27"/>
      <c r="BH130" s="5"/>
      <c r="BI130" s="27"/>
      <c r="BJ130" s="5"/>
      <c r="BK130" s="27"/>
      <c r="BL130" s="5"/>
      <c r="BM130" s="27"/>
      <c r="BN130" s="5"/>
      <c r="BO130" s="27"/>
      <c r="BP130" s="5"/>
      <c r="BQ130" s="27"/>
      <c r="BR130" s="5"/>
      <c r="BS130" s="27"/>
      <c r="BT130" s="5"/>
      <c r="BU130" s="27"/>
      <c r="BV130" s="5"/>
      <c r="BW130" s="27"/>
      <c r="BX130" s="5"/>
      <c r="BY130" s="27"/>
      <c r="BZ130" s="5"/>
      <c r="CA130" s="27"/>
      <c r="CB130" s="5"/>
      <c r="CC130" s="27"/>
      <c r="CD130" s="5"/>
      <c r="CE130" s="27"/>
      <c r="CF130" s="5"/>
      <c r="CG130" s="27"/>
      <c r="CH130" s="5"/>
    </row>
    <row r="131" spans="1:86">
      <c r="A131" s="5"/>
      <c r="B131" s="5">
        <v>-0.95825241390919325</v>
      </c>
      <c r="C131" s="5">
        <v>22.172242418441403</v>
      </c>
      <c r="D131" s="5">
        <v>6.4217294318330937</v>
      </c>
      <c r="E131" s="5">
        <v>-2.5138433276472907</v>
      </c>
      <c r="F131" s="5">
        <v>-5.1699252066657923E-2</v>
      </c>
      <c r="G131" s="5">
        <v>9.6470279490880468</v>
      </c>
      <c r="H131" s="5">
        <v>1.5903424747408479</v>
      </c>
      <c r="I131" s="5">
        <v>1.5903424747408479</v>
      </c>
      <c r="J131" s="5">
        <v>1.5903424747408479</v>
      </c>
      <c r="K131" s="5">
        <v>1.5903424747408479</v>
      </c>
      <c r="L131" s="5">
        <v>1.5903424747408479</v>
      </c>
      <c r="M131" s="5">
        <v>1.5903424747408479</v>
      </c>
      <c r="N131" s="5">
        <v>1.5903424747408479</v>
      </c>
      <c r="O131" s="5">
        <v>1.5903424747408479</v>
      </c>
      <c r="P131" s="5">
        <v>1.5903424747408479</v>
      </c>
      <c r="Q131" s="79">
        <v>1.5903424747408479</v>
      </c>
      <c r="R131" s="5">
        <v>1.5903424747408479</v>
      </c>
      <c r="S131" s="5">
        <v>1.5903424747408479</v>
      </c>
      <c r="T131" s="5">
        <v>-13.753065630532401</v>
      </c>
      <c r="U131" s="5">
        <v>4.7442706538183028</v>
      </c>
      <c r="V131" s="5">
        <v>279</v>
      </c>
      <c r="W131" s="5"/>
      <c r="X131" s="5"/>
      <c r="Y131" s="5"/>
      <c r="Z131" s="5"/>
      <c r="AA131" s="5"/>
      <c r="AB131" s="5"/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12"/>
      <c r="AN131" s="5"/>
      <c r="AO131" s="27"/>
      <c r="AP131" s="5"/>
      <c r="AQ131" s="27"/>
      <c r="AR131" s="5"/>
      <c r="AS131" s="27"/>
      <c r="AT131" s="5"/>
      <c r="AU131" s="27"/>
      <c r="AV131" s="5"/>
      <c r="AW131" s="27"/>
      <c r="AX131" s="5"/>
      <c r="AY131" s="27"/>
      <c r="AZ131" s="5"/>
      <c r="BA131" s="27"/>
      <c r="BB131" s="5"/>
      <c r="BC131" s="27"/>
      <c r="BD131" s="5"/>
      <c r="BE131" s="27"/>
      <c r="BF131" s="5"/>
      <c r="BG131" s="27"/>
      <c r="BH131" s="5"/>
      <c r="BI131" s="27"/>
      <c r="BJ131" s="5"/>
      <c r="BK131" s="27"/>
      <c r="BL131" s="5"/>
      <c r="BM131" s="27"/>
      <c r="BN131" s="5"/>
      <c r="BO131" s="27"/>
      <c r="BP131" s="5"/>
      <c r="BQ131" s="27"/>
      <c r="BR131" s="5"/>
      <c r="BS131" s="27"/>
      <c r="BT131" s="5"/>
      <c r="BU131" s="27"/>
      <c r="BV131" s="5"/>
      <c r="BW131" s="27"/>
      <c r="BX131" s="5"/>
      <c r="BY131" s="27"/>
      <c r="BZ131" s="5"/>
      <c r="CA131" s="27"/>
      <c r="CB131" s="5"/>
      <c r="CC131" s="27"/>
      <c r="CD131" s="5"/>
      <c r="CE131" s="27"/>
      <c r="CF131" s="5"/>
      <c r="CG131" s="27"/>
      <c r="CH131" s="5"/>
    </row>
    <row r="132" spans="1:86">
      <c r="A132" s="5"/>
      <c r="B132" s="5">
        <v>-0.52739558860578573</v>
      </c>
      <c r="C132" s="5">
        <v>22.334022265313163</v>
      </c>
      <c r="D132" s="5">
        <v>6.3865326895471748</v>
      </c>
      <c r="E132" s="5">
        <v>-2.5000652485971551</v>
      </c>
      <c r="F132" s="5">
        <v>-5.1415894558266999E-2</v>
      </c>
      <c r="G132" s="5">
        <v>6.3865326895471748</v>
      </c>
      <c r="H132" s="5">
        <v>9.5941537256948983</v>
      </c>
      <c r="I132" s="5">
        <v>1.5816259950411067</v>
      </c>
      <c r="J132" s="5">
        <v>1.5816259950411067</v>
      </c>
      <c r="K132" s="5">
        <v>1.5816259950411067</v>
      </c>
      <c r="L132" s="5">
        <v>1.5816259950411067</v>
      </c>
      <c r="M132" s="5">
        <v>1.5816259950411067</v>
      </c>
      <c r="N132" s="5">
        <v>1.5816259950411067</v>
      </c>
      <c r="O132" s="5">
        <v>1.5816259950411067</v>
      </c>
      <c r="P132" s="5">
        <v>1.5816259950411067</v>
      </c>
      <c r="Q132" s="79">
        <v>1.5816259950411067</v>
      </c>
      <c r="R132" s="5">
        <v>1.5816259950411067</v>
      </c>
      <c r="S132" s="5">
        <v>1.5816259950411067</v>
      </c>
      <c r="T132" s="5">
        <v>-13.340138787456622</v>
      </c>
      <c r="U132" s="5">
        <v>4.7906014219219974</v>
      </c>
      <c r="V132" s="5">
        <v>280</v>
      </c>
      <c r="W132" s="5"/>
      <c r="X132" s="5"/>
      <c r="Y132" s="5"/>
      <c r="Z132" s="5"/>
      <c r="AA132" s="5"/>
      <c r="AB132" s="5"/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12"/>
      <c r="AN132" s="5"/>
      <c r="AO132" s="27"/>
      <c r="AP132" s="5"/>
      <c r="AQ132" s="27"/>
      <c r="AR132" s="5"/>
      <c r="AS132" s="27"/>
      <c r="AT132" s="5"/>
      <c r="AU132" s="27"/>
      <c r="AV132" s="5"/>
      <c r="AW132" s="27"/>
      <c r="AX132" s="5"/>
      <c r="AY132" s="27"/>
      <c r="AZ132" s="5"/>
      <c r="BA132" s="27"/>
      <c r="BB132" s="5"/>
      <c r="BC132" s="27"/>
      <c r="BD132" s="5"/>
      <c r="BE132" s="27"/>
      <c r="BF132" s="5"/>
      <c r="BG132" s="27"/>
      <c r="BH132" s="5"/>
      <c r="BI132" s="27"/>
      <c r="BJ132" s="5"/>
      <c r="BK132" s="27"/>
      <c r="BL132" s="5"/>
      <c r="BM132" s="27"/>
      <c r="BN132" s="5"/>
      <c r="BO132" s="27"/>
      <c r="BP132" s="5"/>
      <c r="BQ132" s="27"/>
      <c r="BR132" s="5"/>
      <c r="BS132" s="27"/>
      <c r="BT132" s="5"/>
      <c r="BU132" s="27"/>
      <c r="BV132" s="5"/>
      <c r="BW132" s="27"/>
      <c r="BX132" s="5"/>
      <c r="BY132" s="27"/>
      <c r="BZ132" s="5"/>
      <c r="CA132" s="27"/>
      <c r="CB132" s="5"/>
      <c r="CC132" s="27"/>
      <c r="CD132" s="5"/>
      <c r="CE132" s="27"/>
      <c r="CF132" s="5"/>
      <c r="CG132" s="27"/>
      <c r="CH132" s="5"/>
    </row>
    <row r="133" spans="1:86">
      <c r="A133" s="5"/>
      <c r="B133" s="5"/>
      <c r="C133" s="5"/>
      <c r="D133" s="5"/>
      <c r="E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79"/>
      <c r="R133" s="5"/>
      <c r="S133" s="5"/>
      <c r="T133" s="5"/>
      <c r="U133" s="5">
        <v>4.8373846389329538</v>
      </c>
      <c r="V133" s="5">
        <v>281</v>
      </c>
      <c r="W133" s="5"/>
      <c r="X133" s="5"/>
      <c r="Y133" s="5"/>
      <c r="Z133" s="5"/>
      <c r="AA133" s="5"/>
      <c r="AB133" s="5"/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12"/>
      <c r="AN133" s="5"/>
      <c r="AO133" s="27"/>
      <c r="AP133" s="5"/>
      <c r="AQ133" s="27"/>
      <c r="AR133" s="5"/>
      <c r="AS133" s="27"/>
      <c r="AT133" s="5"/>
      <c r="AU133" s="27"/>
      <c r="AV133" s="5"/>
      <c r="AW133" s="27"/>
      <c r="AX133" s="5"/>
      <c r="AY133" s="27"/>
      <c r="AZ133" s="5"/>
      <c r="BA133" s="27"/>
      <c r="BB133" s="5"/>
      <c r="BC133" s="27"/>
      <c r="BD133" s="5"/>
      <c r="BE133" s="27"/>
      <c r="BF133" s="5"/>
      <c r="BG133" s="27"/>
      <c r="BH133" s="5"/>
      <c r="BI133" s="27"/>
      <c r="BJ133" s="5"/>
      <c r="BK133" s="27"/>
      <c r="BL133" s="5"/>
      <c r="BM133" s="27"/>
      <c r="BN133" s="5"/>
      <c r="BO133" s="27"/>
      <c r="BP133" s="5"/>
      <c r="BQ133" s="27"/>
      <c r="BR133" s="5"/>
      <c r="BS133" s="27"/>
      <c r="BT133" s="5"/>
      <c r="BU133" s="27"/>
      <c r="BV133" s="5"/>
      <c r="BW133" s="27"/>
      <c r="BX133" s="5"/>
      <c r="BY133" s="27"/>
      <c r="BZ133" s="5"/>
      <c r="CA133" s="27"/>
      <c r="CB133" s="5"/>
      <c r="CC133" s="27"/>
      <c r="CD133" s="5"/>
      <c r="CE133" s="27"/>
      <c r="CF133" s="5"/>
      <c r="CG133" s="27"/>
      <c r="CH133" s="5"/>
    </row>
    <row r="134" spans="1:86">
      <c r="A134" s="5"/>
      <c r="B134" s="5"/>
      <c r="C134" s="5"/>
      <c r="D134" s="5"/>
      <c r="E134" s="5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79"/>
      <c r="R134" s="5"/>
      <c r="S134" s="5"/>
      <c r="T134" s="5"/>
      <c r="U134" s="5">
        <v>4.8846247232975344</v>
      </c>
      <c r="V134" s="5">
        <v>282</v>
      </c>
      <c r="W134" s="5"/>
      <c r="X134" s="5"/>
      <c r="Y134" s="5"/>
      <c r="Z134" s="5"/>
      <c r="AA134" s="5"/>
      <c r="AB134" s="5"/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12"/>
      <c r="AN134" s="5"/>
      <c r="AO134" s="27"/>
      <c r="AP134" s="5"/>
      <c r="AQ134" s="27"/>
      <c r="AR134" s="5"/>
      <c r="AS134" s="27"/>
      <c r="AT134" s="5"/>
      <c r="AU134" s="27"/>
      <c r="AV134" s="5"/>
      <c r="AW134" s="27"/>
      <c r="AX134" s="5"/>
      <c r="AY134" s="27"/>
      <c r="AZ134" s="5"/>
      <c r="BA134" s="27"/>
      <c r="BB134" s="5"/>
      <c r="BC134" s="27"/>
      <c r="BD134" s="5"/>
      <c r="BE134" s="27"/>
      <c r="BF134" s="5"/>
      <c r="BG134" s="27"/>
      <c r="BH134" s="5"/>
      <c r="BI134" s="27"/>
      <c r="BJ134" s="5"/>
      <c r="BK134" s="27"/>
      <c r="BL134" s="5"/>
      <c r="BM134" s="27"/>
      <c r="BN134" s="5"/>
      <c r="BO134" s="27"/>
      <c r="BP134" s="5"/>
      <c r="BQ134" s="27"/>
      <c r="BR134" s="5"/>
      <c r="BS134" s="27"/>
      <c r="BT134" s="5"/>
      <c r="BU134" s="27"/>
      <c r="BV134" s="5"/>
      <c r="BW134" s="27"/>
      <c r="BX134" s="5"/>
      <c r="BY134" s="27"/>
      <c r="BZ134" s="5"/>
      <c r="CA134" s="27"/>
      <c r="CB134" s="5"/>
      <c r="CC134" s="27"/>
      <c r="CD134" s="5"/>
      <c r="CE134" s="27"/>
      <c r="CF134" s="5"/>
      <c r="CG134" s="27"/>
      <c r="CH134" s="5"/>
    </row>
    <row r="135" spans="1:86">
      <c r="A135" s="5"/>
      <c r="B135" s="5"/>
      <c r="C135" s="5"/>
      <c r="D135" s="5"/>
      <c r="E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79"/>
      <c r="R135" s="5"/>
      <c r="S135" s="5"/>
      <c r="T135" s="5"/>
      <c r="U135" s="5">
        <v>4.9227858539482963</v>
      </c>
      <c r="V135" s="5">
        <v>283</v>
      </c>
      <c r="W135" s="5"/>
      <c r="X135" s="5"/>
      <c r="Y135" s="5"/>
      <c r="Z135" s="5"/>
      <c r="AA135" s="5"/>
      <c r="AB135" s="5"/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7"/>
      <c r="AN135" s="7"/>
      <c r="AO135" s="7"/>
      <c r="AP135" s="7"/>
      <c r="AQ135" s="7"/>
      <c r="AR135" s="7"/>
      <c r="AS135" s="7"/>
      <c r="AT135" s="7"/>
      <c r="AU135" s="7"/>
      <c r="AV135" s="7"/>
      <c r="AW135" s="7"/>
      <c r="AX135" s="7"/>
      <c r="AY135" s="7"/>
      <c r="AZ135" s="7"/>
      <c r="BA135" s="7"/>
      <c r="BB135" s="7"/>
      <c r="BC135" s="7"/>
      <c r="BD135" s="7"/>
      <c r="BE135" s="7"/>
      <c r="BF135" s="7"/>
      <c r="BG135" s="7"/>
      <c r="BH135" s="7"/>
      <c r="BI135" s="7"/>
      <c r="BJ135" s="7"/>
      <c r="BK135" s="7"/>
      <c r="BL135" s="7"/>
      <c r="BM135" s="7"/>
      <c r="BN135" s="7"/>
      <c r="BO135" s="7"/>
      <c r="BP135" s="7"/>
      <c r="BQ135" s="7"/>
      <c r="BR135" s="7"/>
      <c r="BS135" s="7"/>
      <c r="BT135" s="7"/>
      <c r="BU135" s="7"/>
      <c r="BV135" s="7"/>
      <c r="BW135" s="7"/>
      <c r="BX135" s="7"/>
      <c r="BY135" s="7"/>
      <c r="BZ135" s="7"/>
      <c r="CA135" s="7"/>
      <c r="CB135" s="7"/>
      <c r="CC135" s="7"/>
      <c r="CD135" s="7"/>
      <c r="CE135" s="7"/>
      <c r="CF135" s="7"/>
      <c r="CG135" s="7"/>
      <c r="CH135" s="7"/>
    </row>
    <row r="136" spans="1:86">
      <c r="A136" s="5"/>
      <c r="B136" s="1"/>
      <c r="C136" s="5"/>
      <c r="D136" s="5"/>
      <c r="E136" s="5"/>
      <c r="F136" s="1"/>
      <c r="G136" s="5"/>
      <c r="H136" s="1"/>
      <c r="I136" s="5"/>
      <c r="J136" s="1"/>
      <c r="K136" s="5"/>
      <c r="L136" s="1"/>
      <c r="M136" s="5"/>
      <c r="N136" s="1"/>
      <c r="O136" s="5"/>
      <c r="P136" s="1"/>
      <c r="Q136" s="79"/>
      <c r="R136" s="1"/>
      <c r="S136" s="5"/>
      <c r="T136" s="1"/>
      <c r="U136" s="5">
        <v>4.9708599345532605</v>
      </c>
      <c r="V136" s="1">
        <v>284</v>
      </c>
      <c r="W136" s="5"/>
      <c r="X136" s="1"/>
      <c r="Y136" s="5"/>
      <c r="Z136" s="1"/>
      <c r="AA136" s="5"/>
      <c r="AB136" s="1"/>
      <c r="AC136" s="5"/>
      <c r="AD136" s="1"/>
      <c r="AE136" s="5"/>
      <c r="AF136" s="1"/>
      <c r="AG136" s="5"/>
      <c r="AH136" s="1"/>
      <c r="AI136" s="5"/>
      <c r="AJ136" s="1"/>
      <c r="AK136" s="5"/>
      <c r="AL136" s="1"/>
      <c r="AM136" s="12"/>
      <c r="AN136" s="1"/>
      <c r="AO136" s="27"/>
      <c r="AP136" s="1"/>
      <c r="AQ136" s="27"/>
      <c r="AR136" s="1"/>
      <c r="AS136" s="27"/>
      <c r="AT136" s="1"/>
      <c r="AU136" s="27"/>
      <c r="AV136" s="1"/>
      <c r="AW136" s="27"/>
      <c r="AX136" s="1"/>
      <c r="AY136" s="27"/>
      <c r="AZ136" s="1"/>
      <c r="BA136" s="27"/>
      <c r="BB136" s="1"/>
      <c r="BC136" s="27"/>
      <c r="BD136" s="1"/>
      <c r="BE136" s="27"/>
      <c r="BF136" s="1"/>
      <c r="BG136" s="27"/>
      <c r="BH136" s="1"/>
      <c r="BI136" s="27"/>
      <c r="BJ136" s="1"/>
      <c r="BK136" s="27"/>
      <c r="BL136" s="1"/>
      <c r="BM136" s="27"/>
      <c r="BN136" s="1"/>
      <c r="BO136" s="27"/>
      <c r="BP136" s="1"/>
      <c r="BQ136" s="27"/>
      <c r="BR136" s="1"/>
      <c r="BS136" s="27"/>
      <c r="BT136" s="1"/>
      <c r="BU136" s="27"/>
      <c r="BV136" s="1"/>
      <c r="BW136" s="27"/>
      <c r="BX136" s="1"/>
      <c r="BY136" s="27"/>
      <c r="BZ136" s="1"/>
      <c r="CA136" s="27"/>
      <c r="CB136" s="1"/>
      <c r="CC136" s="27"/>
      <c r="CD136" s="1"/>
      <c r="CE136" s="27"/>
      <c r="CF136" s="1"/>
      <c r="CG136" s="27"/>
      <c r="CH136" s="1"/>
    </row>
    <row r="137" spans="1:86" ht="18">
      <c r="A137" s="1"/>
      <c r="B137" s="60"/>
      <c r="C137" s="1"/>
      <c r="D137" s="5"/>
      <c r="E137" s="1"/>
      <c r="F137" s="60"/>
      <c r="G137" s="1"/>
      <c r="H137" s="60"/>
      <c r="I137" s="1"/>
      <c r="J137" s="60"/>
      <c r="K137" s="1"/>
      <c r="L137" s="60"/>
      <c r="M137" s="5"/>
      <c r="N137" s="60"/>
      <c r="O137" s="1"/>
      <c r="P137" s="60"/>
      <c r="Q137" s="80"/>
      <c r="R137" s="60"/>
      <c r="S137" s="1"/>
      <c r="T137" s="60"/>
      <c r="U137" s="5">
        <v>5.0194034886016325</v>
      </c>
      <c r="V137" s="60">
        <v>285</v>
      </c>
      <c r="W137" s="5"/>
      <c r="X137" s="60"/>
      <c r="Y137" s="5"/>
      <c r="Z137" s="60"/>
      <c r="AA137" s="1"/>
      <c r="AB137" s="60"/>
      <c r="AC137" s="1"/>
      <c r="AD137" s="60"/>
      <c r="AE137" s="1"/>
      <c r="AF137" s="60"/>
      <c r="AG137" s="1"/>
      <c r="AH137" s="60"/>
      <c r="AI137" s="1"/>
      <c r="AJ137" s="60"/>
      <c r="AK137" s="1"/>
      <c r="AL137" s="60"/>
      <c r="AN137" s="41"/>
      <c r="AP137" s="41"/>
      <c r="AQ137" s="7"/>
      <c r="AR137" s="41"/>
      <c r="AT137" s="41"/>
      <c r="AV137" s="41"/>
      <c r="AX137" s="41"/>
      <c r="AZ137" s="41"/>
      <c r="BB137" s="41"/>
      <c r="BD137" s="41"/>
      <c r="BF137" s="41"/>
      <c r="BH137" s="41"/>
      <c r="BJ137" s="41"/>
      <c r="BL137" s="41"/>
      <c r="BN137" s="41"/>
      <c r="BP137" s="41"/>
      <c r="BR137" s="41"/>
      <c r="BT137" s="41"/>
      <c r="BV137" s="41"/>
      <c r="BX137" s="41"/>
      <c r="BZ137" s="41"/>
      <c r="CB137" s="41"/>
      <c r="CD137" s="41"/>
      <c r="CF137" s="41"/>
      <c r="CH137" s="41"/>
    </row>
    <row r="138" spans="1:86" ht="18">
      <c r="A138" s="59"/>
      <c r="B138" s="60"/>
      <c r="C138" s="61"/>
      <c r="D138" s="5"/>
      <c r="E138" s="61"/>
      <c r="F138" s="60"/>
      <c r="G138" s="61"/>
      <c r="H138" s="60"/>
      <c r="I138" s="61"/>
      <c r="J138" s="60"/>
      <c r="K138" s="61"/>
      <c r="L138" s="60"/>
      <c r="M138" s="61"/>
      <c r="N138" s="60"/>
      <c r="O138" s="61"/>
      <c r="P138" s="60"/>
      <c r="Q138" s="163"/>
      <c r="R138" s="60"/>
      <c r="S138" s="61"/>
      <c r="T138" s="60"/>
      <c r="U138" s="61">
        <v>5.0586175783563325</v>
      </c>
      <c r="V138" s="60">
        <v>286</v>
      </c>
      <c r="W138" s="61"/>
      <c r="X138" s="60"/>
      <c r="Y138" s="61"/>
      <c r="Z138" s="60"/>
      <c r="AA138" s="61"/>
      <c r="AB138" s="60"/>
      <c r="AC138" s="61"/>
      <c r="AD138" s="60"/>
      <c r="AE138" s="61"/>
      <c r="AF138" s="60"/>
      <c r="AG138" s="61"/>
      <c r="AH138" s="60"/>
      <c r="AI138" s="61"/>
      <c r="AJ138" s="60"/>
      <c r="AK138" s="61"/>
      <c r="AL138" s="60"/>
      <c r="AM138" s="42"/>
      <c r="AN138" s="41"/>
      <c r="AO138" s="42"/>
      <c r="AP138" s="41"/>
      <c r="AQ138" s="42"/>
      <c r="AR138" s="41"/>
      <c r="AS138" s="42"/>
      <c r="AT138" s="41"/>
      <c r="AU138" s="42"/>
      <c r="AV138" s="41"/>
      <c r="AW138" s="42"/>
      <c r="AX138" s="41"/>
      <c r="AY138" s="42"/>
      <c r="AZ138" s="41"/>
      <c r="BA138" s="42"/>
      <c r="BB138" s="41"/>
      <c r="BC138" s="42"/>
      <c r="BD138" s="41"/>
      <c r="BE138" s="42"/>
      <c r="BF138" s="41"/>
      <c r="BG138" s="42"/>
      <c r="BH138" s="41"/>
      <c r="BI138" s="42"/>
      <c r="BJ138" s="41"/>
      <c r="BK138" s="42"/>
      <c r="BL138" s="41"/>
      <c r="BM138" s="42"/>
      <c r="BN138" s="41"/>
      <c r="BO138" s="42"/>
      <c r="BP138" s="41"/>
      <c r="BQ138" s="42"/>
      <c r="BR138" s="41"/>
      <c r="BS138" s="42"/>
      <c r="BT138" s="41"/>
      <c r="BU138" s="42"/>
      <c r="BV138" s="41"/>
      <c r="BW138" s="42"/>
      <c r="BX138" s="41"/>
      <c r="BY138" s="42"/>
      <c r="BZ138" s="41"/>
      <c r="CA138" s="42"/>
      <c r="CB138" s="41"/>
      <c r="CC138" s="42"/>
      <c r="CD138" s="41"/>
      <c r="CE138" s="42"/>
      <c r="CF138" s="41"/>
      <c r="CG138" s="42"/>
      <c r="CH138" s="41"/>
    </row>
    <row r="139" spans="1:86">
      <c r="A139" s="1"/>
      <c r="B139" s="1"/>
      <c r="C139" s="61"/>
      <c r="D139" s="5"/>
      <c r="E139" s="61"/>
      <c r="F139" s="1"/>
      <c r="G139" s="61"/>
      <c r="H139" s="1"/>
      <c r="I139" s="61"/>
      <c r="J139" s="1"/>
      <c r="K139" s="61"/>
      <c r="L139" s="1"/>
      <c r="M139" s="61"/>
      <c r="N139" s="1"/>
      <c r="O139" s="61"/>
      <c r="P139" s="1"/>
      <c r="Q139" s="163"/>
      <c r="R139" s="5"/>
      <c r="S139" s="61"/>
      <c r="T139" s="5"/>
      <c r="U139" s="61">
        <v>5.108018140644969</v>
      </c>
      <c r="V139" s="1">
        <v>287</v>
      </c>
      <c r="W139" s="61"/>
      <c r="X139" s="5"/>
      <c r="Y139" s="61"/>
      <c r="Z139" s="1"/>
      <c r="AA139" s="61"/>
      <c r="AB139" s="1"/>
      <c r="AC139" s="61"/>
      <c r="AD139" s="1"/>
      <c r="AE139" s="61"/>
      <c r="AF139" s="1"/>
      <c r="AG139" s="61"/>
      <c r="AH139" s="1"/>
      <c r="AI139" s="61"/>
      <c r="AJ139" s="1"/>
      <c r="AK139" s="61"/>
      <c r="AL139" s="1"/>
      <c r="AM139" s="42"/>
      <c r="AO139" s="42"/>
      <c r="AP139" s="7"/>
      <c r="AQ139" s="42"/>
      <c r="AS139" s="42"/>
      <c r="AU139" s="42"/>
      <c r="AW139" s="42"/>
      <c r="AY139" s="42"/>
      <c r="BA139" s="42"/>
      <c r="BC139" s="42"/>
      <c r="BE139" s="42"/>
      <c r="BG139" s="42"/>
      <c r="BI139" s="42"/>
      <c r="BK139" s="42"/>
      <c r="BM139" s="42"/>
      <c r="BO139" s="42"/>
      <c r="BQ139" s="42"/>
      <c r="BS139" s="42"/>
      <c r="BU139" s="42"/>
      <c r="BW139" s="42"/>
      <c r="BY139" s="42"/>
      <c r="CA139" s="42"/>
      <c r="CC139" s="42"/>
      <c r="CE139" s="42"/>
      <c r="CG139" s="42"/>
    </row>
    <row r="140" spans="1:86">
      <c r="B140" s="22"/>
      <c r="C140" s="42"/>
      <c r="D140" s="5"/>
      <c r="E140" s="42"/>
      <c r="F140" s="22"/>
      <c r="G140" s="42"/>
      <c r="H140" s="22"/>
      <c r="I140" s="42"/>
      <c r="K140" s="42"/>
      <c r="M140" s="42"/>
      <c r="O140" s="42"/>
      <c r="Q140" s="42"/>
      <c r="R140" s="5"/>
      <c r="S140" s="61"/>
      <c r="T140" s="5"/>
      <c r="U140" s="61">
        <v>5.1479245323687577</v>
      </c>
      <c r="V140" s="1">
        <v>288</v>
      </c>
      <c r="W140" s="61"/>
      <c r="X140" s="5"/>
      <c r="Y140" s="61"/>
      <c r="Z140" s="1"/>
      <c r="AA140" s="61"/>
      <c r="AB140" s="1"/>
      <c r="AC140" s="61"/>
      <c r="AD140" s="1"/>
      <c r="AE140" s="61"/>
      <c r="AF140" s="1"/>
      <c r="AG140" s="61"/>
      <c r="AH140" s="1"/>
      <c r="AI140" s="61"/>
      <c r="AJ140" s="1"/>
      <c r="AK140" s="61"/>
      <c r="AL140" s="1"/>
      <c r="AM140" s="42"/>
      <c r="AO140" s="42"/>
      <c r="AP140" s="7"/>
      <c r="AQ140" s="42"/>
      <c r="AS140" s="42"/>
      <c r="AU140" s="42"/>
      <c r="AW140" s="42"/>
      <c r="AY140" s="42"/>
      <c r="BA140" s="42"/>
      <c r="BC140" s="42"/>
      <c r="BE140" s="42"/>
      <c r="BG140" s="42"/>
      <c r="BI140" s="42"/>
      <c r="BK140" s="42"/>
      <c r="BM140" s="42"/>
      <c r="BO140" s="42"/>
      <c r="BQ140" s="42"/>
      <c r="BS140" s="42"/>
      <c r="BU140" s="42"/>
      <c r="BW140" s="42"/>
      <c r="BY140" s="42"/>
      <c r="CA140" s="42"/>
      <c r="CC140" s="42"/>
      <c r="CE140" s="42"/>
      <c r="CG140" s="42"/>
    </row>
    <row r="141" spans="1:86">
      <c r="B141" s="14"/>
      <c r="C141" s="42"/>
      <c r="D141" s="5"/>
      <c r="E141" s="42"/>
      <c r="F141" s="14"/>
      <c r="G141" s="42"/>
      <c r="H141" s="14"/>
      <c r="I141" s="42"/>
      <c r="K141" s="42"/>
      <c r="M141" s="42"/>
      <c r="O141" s="42"/>
      <c r="Q141" s="42"/>
      <c r="R141" s="5"/>
      <c r="S141" s="61"/>
      <c r="T141" s="5"/>
      <c r="U141" s="61">
        <v>5.1981972328801724</v>
      </c>
      <c r="V141" s="1">
        <v>289</v>
      </c>
      <c r="W141" s="61"/>
      <c r="X141" s="5"/>
      <c r="Y141" s="61"/>
      <c r="Z141" s="1"/>
      <c r="AA141" s="61"/>
      <c r="AB141" s="1"/>
      <c r="AC141" s="61"/>
      <c r="AD141" s="1"/>
      <c r="AE141" s="61"/>
      <c r="AF141" s="1"/>
      <c r="AG141" s="61"/>
      <c r="AH141" s="1"/>
      <c r="AI141" s="61"/>
      <c r="AJ141" s="1"/>
      <c r="AK141" s="61"/>
      <c r="AL141" s="1"/>
      <c r="AM141" s="42"/>
      <c r="AO141" s="42"/>
      <c r="AP141" s="7"/>
      <c r="AQ141" s="42"/>
      <c r="AS141" s="42"/>
      <c r="AU141" s="42"/>
      <c r="AW141" s="42"/>
      <c r="AY141" s="42"/>
      <c r="BA141" s="42"/>
      <c r="BC141" s="42"/>
      <c r="BE141" s="42"/>
      <c r="BG141" s="42"/>
      <c r="BI141" s="42"/>
      <c r="BK141" s="42"/>
      <c r="BM141" s="42"/>
      <c r="BO141" s="42"/>
      <c r="BQ141" s="42"/>
      <c r="BS141" s="42"/>
      <c r="BU141" s="42"/>
      <c r="BW141" s="42"/>
      <c r="BY141" s="42"/>
      <c r="CA141" s="42"/>
      <c r="CC141" s="42"/>
      <c r="CE141" s="42"/>
      <c r="CG141" s="42"/>
    </row>
    <row r="142" spans="1:86">
      <c r="B142" s="14"/>
      <c r="C142" s="42"/>
      <c r="D142" s="5"/>
      <c r="E142" s="42"/>
      <c r="F142" s="14"/>
      <c r="G142" s="42"/>
      <c r="H142" s="14"/>
      <c r="I142" s="42"/>
      <c r="K142" s="42"/>
      <c r="M142" s="42"/>
      <c r="O142" s="42"/>
      <c r="Q142" s="42"/>
      <c r="R142" s="5"/>
      <c r="S142" s="61"/>
      <c r="T142" s="5"/>
      <c r="U142" s="61">
        <v>5.2388081487620486</v>
      </c>
      <c r="V142" s="1">
        <v>290</v>
      </c>
      <c r="W142" s="61"/>
      <c r="X142" s="5"/>
      <c r="Y142" s="61"/>
      <c r="Z142" s="1"/>
      <c r="AA142" s="61"/>
      <c r="AB142" s="1"/>
      <c r="AC142" s="61"/>
      <c r="AD142" s="1"/>
      <c r="AE142" s="61"/>
      <c r="AF142" s="1"/>
      <c r="AG142" s="61"/>
      <c r="AH142" s="1"/>
      <c r="AI142" s="61"/>
      <c r="AJ142" s="1"/>
      <c r="AK142" s="61"/>
      <c r="AL142" s="1"/>
      <c r="AM142" s="42"/>
      <c r="AO142" s="42"/>
      <c r="AP142" s="7"/>
      <c r="AQ142" s="42"/>
      <c r="AS142" s="42"/>
      <c r="AU142" s="42"/>
      <c r="AW142" s="42"/>
      <c r="AY142" s="42"/>
      <c r="BA142" s="42"/>
      <c r="BC142" s="42"/>
      <c r="BE142" s="42"/>
      <c r="BG142" s="42"/>
      <c r="BI142" s="42"/>
      <c r="BK142" s="42"/>
      <c r="BM142" s="42"/>
      <c r="BO142" s="42"/>
      <c r="BQ142" s="42"/>
      <c r="BS142" s="42"/>
      <c r="BU142" s="42"/>
      <c r="BW142" s="42"/>
      <c r="BY142" s="42"/>
      <c r="CA142" s="42"/>
      <c r="CC142" s="42"/>
      <c r="CE142" s="42"/>
      <c r="CG142" s="42"/>
    </row>
    <row r="143" spans="1:86">
      <c r="B143" s="14"/>
      <c r="C143" s="42"/>
      <c r="D143" s="5"/>
      <c r="E143" s="42"/>
      <c r="F143" s="14"/>
      <c r="G143" s="42"/>
      <c r="H143" s="14"/>
      <c r="I143" s="42"/>
      <c r="K143" s="42"/>
      <c r="M143" s="42"/>
      <c r="O143" s="42"/>
      <c r="Q143" s="42"/>
      <c r="R143" s="5"/>
      <c r="S143" s="61"/>
      <c r="T143" s="5"/>
      <c r="U143" s="61">
        <v>5.2899683845898027</v>
      </c>
      <c r="V143" s="1">
        <v>291</v>
      </c>
      <c r="W143" s="61"/>
      <c r="X143" s="5"/>
      <c r="Y143" s="61"/>
      <c r="Z143" s="1"/>
      <c r="AA143" s="61"/>
      <c r="AB143" s="1"/>
      <c r="AC143" s="61"/>
      <c r="AD143" s="1"/>
      <c r="AE143" s="61"/>
      <c r="AF143" s="1"/>
      <c r="AG143" s="61"/>
      <c r="AH143" s="1"/>
      <c r="AI143" s="61"/>
      <c r="AJ143" s="1"/>
      <c r="AK143" s="61"/>
      <c r="AL143" s="1"/>
      <c r="AM143" s="42"/>
      <c r="AO143" s="42"/>
      <c r="AP143" s="7"/>
      <c r="AQ143" s="42"/>
      <c r="AS143" s="42"/>
      <c r="AU143" s="42"/>
      <c r="AW143" s="42"/>
      <c r="AY143" s="42"/>
      <c r="BA143" s="42"/>
      <c r="BC143" s="42"/>
      <c r="BE143" s="42"/>
      <c r="BG143" s="42"/>
      <c r="BI143" s="42"/>
      <c r="BK143" s="42"/>
      <c r="BM143" s="42"/>
      <c r="BO143" s="42"/>
      <c r="BQ143" s="42"/>
      <c r="BS143" s="42"/>
      <c r="BU143" s="42"/>
      <c r="BW143" s="42"/>
      <c r="BY143" s="42"/>
      <c r="CA143" s="42"/>
      <c r="CC143" s="42"/>
      <c r="CE143" s="42"/>
      <c r="CG143" s="42"/>
    </row>
    <row r="144" spans="1:86">
      <c r="B144" s="14"/>
      <c r="C144" s="42"/>
      <c r="D144" s="5"/>
      <c r="E144" s="42"/>
      <c r="F144" s="14"/>
      <c r="G144" s="42"/>
      <c r="H144" s="14"/>
      <c r="I144" s="42"/>
      <c r="K144" s="42"/>
      <c r="M144" s="42"/>
      <c r="O144" s="42"/>
      <c r="Q144" s="42"/>
      <c r="R144" s="5"/>
      <c r="S144" s="61"/>
      <c r="T144" s="5"/>
      <c r="U144" s="61">
        <v>5.3312962625944103</v>
      </c>
      <c r="V144" s="1">
        <v>292</v>
      </c>
      <c r="W144" s="61"/>
      <c r="X144" s="5"/>
      <c r="Y144" s="61"/>
      <c r="Z144" s="1"/>
      <c r="AA144" s="61"/>
      <c r="AB144" s="1"/>
      <c r="AC144" s="61"/>
      <c r="AD144" s="1"/>
      <c r="AE144" s="61"/>
      <c r="AF144" s="1"/>
      <c r="AG144" s="61"/>
      <c r="AH144" s="1"/>
      <c r="AI144" s="61"/>
      <c r="AJ144" s="1"/>
      <c r="AK144" s="61"/>
      <c r="AL144" s="1"/>
      <c r="AM144" s="42"/>
      <c r="AO144" s="42"/>
      <c r="AP144" s="7"/>
      <c r="AQ144" s="42"/>
      <c r="AS144" s="42"/>
      <c r="AU144" s="42"/>
      <c r="AW144" s="42"/>
      <c r="AY144" s="42"/>
      <c r="BA144" s="42"/>
      <c r="BC144" s="42"/>
      <c r="BE144" s="42"/>
      <c r="BG144" s="42"/>
      <c r="BI144" s="42"/>
      <c r="BK144" s="42"/>
      <c r="BM144" s="42"/>
      <c r="BO144" s="42"/>
      <c r="BQ144" s="42"/>
      <c r="BS144" s="42"/>
      <c r="BU144" s="42"/>
      <c r="BW144" s="42"/>
      <c r="BY144" s="42"/>
      <c r="CA144" s="42"/>
      <c r="CC144" s="42"/>
      <c r="CE144" s="42"/>
      <c r="CG144" s="42"/>
    </row>
    <row r="145" spans="3:85">
      <c r="C145" s="42"/>
      <c r="D145" s="5"/>
      <c r="E145" s="42"/>
      <c r="G145" s="42"/>
      <c r="I145" s="42"/>
      <c r="K145" s="42"/>
      <c r="M145" s="42"/>
      <c r="O145" s="42"/>
      <c r="Q145" s="42"/>
      <c r="R145" s="5"/>
      <c r="S145" s="61"/>
      <c r="T145" s="5"/>
      <c r="U145" s="61">
        <v>5.3729470146459288</v>
      </c>
      <c r="V145" s="1">
        <v>293</v>
      </c>
      <c r="W145" s="61"/>
      <c r="X145" s="5"/>
      <c r="Y145" s="61"/>
      <c r="Z145" s="1"/>
      <c r="AA145" s="61"/>
      <c r="AB145" s="1"/>
      <c r="AC145" s="61"/>
      <c r="AD145" s="1"/>
      <c r="AE145" s="61"/>
      <c r="AF145" s="1"/>
      <c r="AG145" s="61"/>
      <c r="AH145" s="1"/>
      <c r="AI145" s="61"/>
      <c r="AJ145" s="1"/>
      <c r="AK145" s="61"/>
      <c r="AL145" s="1"/>
      <c r="AM145" s="42"/>
      <c r="AO145" s="42"/>
      <c r="AP145" s="7"/>
      <c r="AQ145" s="42"/>
      <c r="AS145" s="42"/>
      <c r="AU145" s="42"/>
      <c r="AW145" s="42"/>
      <c r="AY145" s="42"/>
      <c r="BA145" s="42"/>
      <c r="BC145" s="42"/>
      <c r="BE145" s="42"/>
      <c r="BG145" s="42"/>
      <c r="BI145" s="42"/>
      <c r="BK145" s="42"/>
      <c r="BM145" s="42"/>
      <c r="BO145" s="42"/>
      <c r="BQ145" s="42"/>
      <c r="BS145" s="42"/>
      <c r="BU145" s="42"/>
      <c r="BW145" s="42"/>
      <c r="BY145" s="42"/>
      <c r="CA145" s="42"/>
      <c r="CC145" s="42"/>
      <c r="CE145" s="42"/>
      <c r="CG145" s="42"/>
    </row>
    <row r="146" spans="3:85">
      <c r="C146" s="42"/>
      <c r="D146" s="5"/>
      <c r="E146" s="42"/>
      <c r="G146" s="42"/>
      <c r="I146" s="42"/>
      <c r="K146" s="42"/>
      <c r="M146" s="42"/>
      <c r="O146" s="42"/>
      <c r="Q146" s="42"/>
      <c r="R146" s="5"/>
      <c r="S146" s="61"/>
      <c r="T146" s="5"/>
      <c r="U146" s="61">
        <v>5.4149231631978498</v>
      </c>
      <c r="V146" s="1">
        <v>294</v>
      </c>
      <c r="W146" s="61"/>
      <c r="X146" s="5"/>
      <c r="Y146" s="61"/>
      <c r="Z146" s="1"/>
      <c r="AA146" s="61"/>
      <c r="AB146" s="1"/>
      <c r="AC146" s="61"/>
      <c r="AD146" s="1"/>
      <c r="AE146" s="61"/>
      <c r="AF146" s="1"/>
      <c r="AG146" s="61"/>
      <c r="AH146" s="1"/>
      <c r="AI146" s="61"/>
      <c r="AJ146" s="1"/>
      <c r="AK146" s="61"/>
      <c r="AL146" s="1"/>
      <c r="AM146" s="42"/>
      <c r="AO146" s="42"/>
      <c r="AP146" s="7"/>
      <c r="AQ146" s="42"/>
      <c r="AS146" s="42"/>
      <c r="AU146" s="42"/>
      <c r="AW146" s="42"/>
      <c r="AY146" s="42"/>
      <c r="BA146" s="42"/>
      <c r="BC146" s="42"/>
      <c r="BE146" s="42"/>
      <c r="BG146" s="42"/>
      <c r="BI146" s="42"/>
      <c r="BK146" s="42"/>
      <c r="BM146" s="42"/>
      <c r="BO146" s="42"/>
      <c r="BQ146" s="42"/>
      <c r="BS146" s="42"/>
      <c r="BU146" s="42"/>
      <c r="BW146" s="42"/>
      <c r="BY146" s="42"/>
      <c r="CA146" s="42"/>
      <c r="CC146" s="42"/>
      <c r="CE146" s="42"/>
      <c r="CG146" s="42"/>
    </row>
    <row r="147" spans="3:85">
      <c r="C147" s="42"/>
      <c r="D147" s="5"/>
      <c r="E147" s="42"/>
      <c r="G147" s="42"/>
      <c r="I147" s="42"/>
      <c r="K147" s="42"/>
      <c r="M147" s="42"/>
      <c r="O147" s="42"/>
      <c r="Q147" s="42"/>
      <c r="R147" s="5"/>
      <c r="S147" s="61"/>
      <c r="T147" s="5"/>
      <c r="U147" s="61">
        <v>5.4678032722134535</v>
      </c>
      <c r="V147" s="1">
        <v>295</v>
      </c>
      <c r="W147" s="61"/>
      <c r="X147" s="5"/>
      <c r="Y147" s="61"/>
      <c r="Z147" s="1"/>
      <c r="AA147" s="61"/>
      <c r="AB147" s="1"/>
      <c r="AC147" s="61"/>
      <c r="AD147" s="1"/>
      <c r="AE147" s="61"/>
      <c r="AF147" s="1"/>
      <c r="AG147" s="61"/>
      <c r="AH147" s="1"/>
      <c r="AI147" s="61"/>
      <c r="AJ147" s="1"/>
      <c r="AK147" s="61"/>
      <c r="AL147" s="1"/>
      <c r="AM147" s="42"/>
      <c r="AO147" s="42"/>
      <c r="AP147" s="7"/>
      <c r="AQ147" s="42"/>
      <c r="AS147" s="42"/>
      <c r="AU147" s="42"/>
      <c r="AW147" s="42"/>
      <c r="AY147" s="42"/>
      <c r="BA147" s="42"/>
      <c r="BC147" s="42"/>
      <c r="BE147" s="42"/>
      <c r="BG147" s="42"/>
      <c r="BI147" s="42"/>
      <c r="BK147" s="42"/>
      <c r="BM147" s="42"/>
      <c r="BO147" s="42"/>
      <c r="BQ147" s="42"/>
      <c r="BS147" s="42"/>
      <c r="BU147" s="42"/>
      <c r="BW147" s="42"/>
      <c r="BY147" s="42"/>
      <c r="CA147" s="42"/>
      <c r="CC147" s="42"/>
      <c r="CE147" s="42"/>
      <c r="CG147" s="42"/>
    </row>
    <row r="148" spans="3:85">
      <c r="C148" s="42"/>
      <c r="D148" s="5"/>
      <c r="E148" s="42"/>
      <c r="G148" s="42"/>
      <c r="I148" s="42"/>
      <c r="K148" s="42"/>
      <c r="M148" s="42"/>
      <c r="O148" s="42"/>
      <c r="Q148" s="42"/>
      <c r="R148" s="5"/>
      <c r="S148" s="61"/>
      <c r="T148" s="5"/>
      <c r="U148" s="61">
        <v>5.5105204852776213</v>
      </c>
      <c r="V148" s="1">
        <v>296</v>
      </c>
      <c r="W148" s="61"/>
      <c r="X148" s="5"/>
      <c r="Y148" s="61"/>
      <c r="Z148" s="1"/>
      <c r="AA148" s="61"/>
      <c r="AB148" s="1"/>
      <c r="AC148" s="61"/>
      <c r="AD148" s="1"/>
      <c r="AE148" s="61"/>
      <c r="AF148" s="1"/>
      <c r="AG148" s="61"/>
      <c r="AH148" s="1"/>
      <c r="AI148" s="61"/>
      <c r="AJ148" s="1"/>
      <c r="AK148" s="61"/>
      <c r="AL148" s="1"/>
      <c r="AM148" s="42"/>
      <c r="AO148" s="42"/>
      <c r="AP148" s="7"/>
      <c r="AQ148" s="42"/>
      <c r="AS148" s="42"/>
      <c r="AU148" s="42"/>
      <c r="AW148" s="42"/>
      <c r="AY148" s="42"/>
      <c r="BA148" s="42"/>
      <c r="BC148" s="42"/>
      <c r="BE148" s="42"/>
      <c r="BG148" s="42"/>
      <c r="BI148" s="42"/>
      <c r="BK148" s="42"/>
      <c r="BM148" s="42"/>
      <c r="BO148" s="42"/>
      <c r="BQ148" s="42"/>
      <c r="BS148" s="42"/>
      <c r="BU148" s="42"/>
      <c r="BW148" s="42"/>
      <c r="BY148" s="42"/>
      <c r="CA148" s="42"/>
      <c r="CC148" s="42"/>
      <c r="CE148" s="42"/>
      <c r="CG148" s="42"/>
    </row>
    <row r="149" spans="3:85">
      <c r="C149" s="42"/>
      <c r="D149" s="5"/>
      <c r="E149" s="42"/>
      <c r="G149" s="42"/>
      <c r="I149" s="42"/>
      <c r="K149" s="42"/>
      <c r="M149" s="42"/>
      <c r="O149" s="42"/>
      <c r="Q149" s="42"/>
      <c r="R149" s="5"/>
      <c r="S149" s="61"/>
      <c r="T149" s="5"/>
      <c r="U149" s="61">
        <v>5.5535714265688529</v>
      </c>
      <c r="V149" s="1">
        <v>297</v>
      </c>
      <c r="W149" s="61"/>
      <c r="X149" s="5"/>
      <c r="Y149" s="61"/>
      <c r="Z149" s="1"/>
      <c r="AA149" s="61"/>
      <c r="AB149" s="1"/>
      <c r="AC149" s="61"/>
      <c r="AD149" s="1"/>
      <c r="AE149" s="61"/>
      <c r="AF149" s="1"/>
      <c r="AG149" s="61"/>
      <c r="AH149" s="1"/>
      <c r="AI149" s="61"/>
      <c r="AJ149" s="1"/>
      <c r="AK149" s="61"/>
      <c r="AL149" s="1"/>
      <c r="AM149" s="42"/>
      <c r="AO149" s="42"/>
      <c r="AP149" s="7"/>
      <c r="AQ149" s="42"/>
      <c r="AS149" s="42"/>
      <c r="AU149" s="42"/>
      <c r="AW149" s="42"/>
      <c r="AY149" s="42"/>
      <c r="BA149" s="42"/>
      <c r="BC149" s="42"/>
      <c r="BE149" s="42"/>
      <c r="BG149" s="42"/>
      <c r="BI149" s="42"/>
      <c r="BK149" s="42"/>
      <c r="BM149" s="42"/>
      <c r="BO149" s="42"/>
      <c r="BQ149" s="42"/>
      <c r="BS149" s="42"/>
      <c r="BU149" s="42"/>
      <c r="BW149" s="42"/>
      <c r="BY149" s="42"/>
      <c r="CA149" s="42"/>
      <c r="CC149" s="42"/>
      <c r="CE149" s="42"/>
      <c r="CG149" s="42"/>
    </row>
    <row r="150" spans="3:85">
      <c r="C150" s="42"/>
      <c r="D150" s="5"/>
      <c r="E150" s="42"/>
      <c r="G150" s="42"/>
      <c r="I150" s="42"/>
      <c r="K150" s="42"/>
      <c r="M150" s="42"/>
      <c r="O150" s="42"/>
      <c r="Q150" s="42"/>
      <c r="R150" s="5"/>
      <c r="S150" s="61"/>
      <c r="T150" s="5"/>
      <c r="U150" s="61">
        <v>5.5969587033389221</v>
      </c>
      <c r="V150" s="1">
        <v>298</v>
      </c>
      <c r="W150" s="61"/>
      <c r="X150" s="5"/>
      <c r="Y150" s="61"/>
      <c r="Z150" s="1"/>
      <c r="AA150" s="61"/>
      <c r="AB150" s="1"/>
      <c r="AC150" s="61"/>
      <c r="AD150" s="1"/>
      <c r="AE150" s="61"/>
      <c r="AF150" s="1"/>
      <c r="AG150" s="61"/>
      <c r="AH150" s="1"/>
      <c r="AI150" s="61"/>
      <c r="AJ150" s="1"/>
      <c r="AK150" s="61"/>
      <c r="AL150" s="1"/>
      <c r="AM150" s="42"/>
      <c r="AO150" s="42"/>
      <c r="AP150" s="7"/>
      <c r="AQ150" s="42"/>
      <c r="AS150" s="42"/>
      <c r="AU150" s="42"/>
      <c r="AW150" s="42"/>
      <c r="AY150" s="42"/>
      <c r="BA150" s="42"/>
      <c r="BC150" s="42"/>
      <c r="BE150" s="42"/>
      <c r="BG150" s="42"/>
      <c r="BI150" s="42"/>
      <c r="BK150" s="42"/>
      <c r="BM150" s="42"/>
      <c r="BO150" s="42"/>
      <c r="BQ150" s="42"/>
      <c r="BS150" s="42"/>
      <c r="BU150" s="42"/>
      <c r="BW150" s="42"/>
      <c r="BY150" s="42"/>
      <c r="CA150" s="42"/>
      <c r="CC150" s="42"/>
      <c r="CE150" s="42"/>
      <c r="CG150" s="42"/>
    </row>
    <row r="151" spans="3:85">
      <c r="C151" s="42"/>
      <c r="D151" s="5"/>
      <c r="E151" s="42"/>
      <c r="G151" s="42"/>
      <c r="I151" s="42"/>
      <c r="K151" s="42"/>
      <c r="M151" s="42"/>
      <c r="O151" s="42"/>
      <c r="Q151" s="42"/>
      <c r="R151" s="5"/>
      <c r="S151" s="61"/>
      <c r="T151" s="5"/>
      <c r="U151" s="61">
        <v>5.6406849432087576</v>
      </c>
      <c r="V151" s="1">
        <v>299</v>
      </c>
      <c r="W151" s="61"/>
      <c r="X151" s="5"/>
      <c r="Y151" s="61"/>
      <c r="Z151" s="1"/>
      <c r="AA151" s="61"/>
      <c r="AB151" s="1"/>
      <c r="AC151" s="61"/>
      <c r="AD151" s="1"/>
      <c r="AE151" s="61"/>
      <c r="AF151" s="1"/>
      <c r="AG151" s="61"/>
      <c r="AH151" s="1"/>
      <c r="AI151" s="61"/>
      <c r="AJ151" s="1"/>
      <c r="AK151" s="61"/>
      <c r="AL151" s="1"/>
      <c r="AM151" s="42"/>
      <c r="AO151" s="42"/>
      <c r="AP151" s="7"/>
      <c r="AQ151" s="42"/>
      <c r="AS151" s="42"/>
      <c r="AU151" s="42"/>
      <c r="AW151" s="42"/>
      <c r="AY151" s="42"/>
      <c r="BA151" s="42"/>
      <c r="BC151" s="42"/>
      <c r="BE151" s="42"/>
      <c r="BG151" s="42"/>
      <c r="BI151" s="42"/>
      <c r="BK151" s="42"/>
      <c r="BM151" s="42"/>
      <c r="BO151" s="42"/>
      <c r="BQ151" s="42"/>
      <c r="BS151" s="42"/>
      <c r="BU151" s="42"/>
      <c r="BW151" s="42"/>
      <c r="BY151" s="42"/>
      <c r="CA151" s="42"/>
      <c r="CC151" s="42"/>
      <c r="CE151" s="42"/>
      <c r="CG151" s="42"/>
    </row>
    <row r="152" spans="3:85">
      <c r="C152" s="42"/>
      <c r="D152" s="5"/>
      <c r="E152" s="42"/>
      <c r="G152" s="42"/>
      <c r="I152" s="42"/>
      <c r="K152" s="42"/>
      <c r="M152" s="42"/>
      <c r="O152" s="42"/>
      <c r="Q152" s="42"/>
      <c r="R152" s="5"/>
      <c r="S152" s="61"/>
      <c r="T152" s="5"/>
      <c r="U152" s="61">
        <v>5.6847527943275757</v>
      </c>
      <c r="V152" s="1">
        <v>300</v>
      </c>
      <c r="W152" s="61"/>
      <c r="X152" s="5"/>
      <c r="Y152" s="61"/>
      <c r="Z152" s="1"/>
      <c r="AA152" s="61"/>
      <c r="AB152" s="1"/>
      <c r="AC152" s="61"/>
      <c r="AD152" s="1"/>
      <c r="AE152" s="61"/>
      <c r="AF152" s="1"/>
      <c r="AG152" s="61"/>
      <c r="AH152" s="1"/>
      <c r="AI152" s="61"/>
      <c r="AJ152" s="1"/>
      <c r="AK152" s="61"/>
      <c r="AL152" s="1"/>
      <c r="AM152" s="42"/>
      <c r="AO152" s="42"/>
      <c r="AP152" s="7"/>
      <c r="AQ152" s="42"/>
      <c r="AS152" s="42"/>
      <c r="AU152" s="42"/>
      <c r="AW152" s="42"/>
      <c r="AY152" s="42"/>
      <c r="BA152" s="42"/>
      <c r="BC152" s="42"/>
      <c r="BE152" s="42"/>
      <c r="BG152" s="42"/>
      <c r="BI152" s="42"/>
      <c r="BK152" s="42"/>
      <c r="BM152" s="42"/>
      <c r="BO152" s="42"/>
      <c r="BQ152" s="42"/>
      <c r="BS152" s="42"/>
      <c r="BU152" s="42"/>
      <c r="BW152" s="42"/>
      <c r="BY152" s="42"/>
      <c r="CA152" s="42"/>
      <c r="CC152" s="42"/>
      <c r="CE152" s="42"/>
      <c r="CG152" s="42"/>
    </row>
    <row r="153" spans="3:85">
      <c r="C153" s="42"/>
      <c r="D153" s="5"/>
      <c r="E153" s="42"/>
      <c r="G153" s="42"/>
      <c r="I153" s="42"/>
      <c r="K153" s="42"/>
      <c r="M153" s="42"/>
      <c r="O153" s="42"/>
      <c r="Q153" s="42"/>
      <c r="R153" s="5"/>
      <c r="S153" s="61"/>
      <c r="T153" s="5"/>
      <c r="U153" s="61">
        <v>5.7291649255332597</v>
      </c>
      <c r="V153" s="1">
        <v>301</v>
      </c>
      <c r="W153" s="61"/>
      <c r="X153" s="5"/>
      <c r="Y153" s="61"/>
      <c r="Z153" s="1"/>
      <c r="AA153" s="61"/>
      <c r="AB153" s="1"/>
      <c r="AC153" s="61"/>
      <c r="AD153" s="1"/>
      <c r="AE153" s="61"/>
      <c r="AF153" s="1"/>
      <c r="AG153" s="61"/>
      <c r="AH153" s="1"/>
      <c r="AI153" s="61"/>
      <c r="AJ153" s="1"/>
      <c r="AK153" s="61"/>
      <c r="AL153" s="1"/>
      <c r="AM153" s="42"/>
      <c r="AO153" s="42"/>
      <c r="AP153" s="7"/>
      <c r="AQ153" s="42"/>
      <c r="AS153" s="42"/>
      <c r="AU153" s="42"/>
      <c r="AW153" s="42"/>
      <c r="AY153" s="42"/>
      <c r="BA153" s="42"/>
      <c r="BC153" s="42"/>
      <c r="BE153" s="42"/>
      <c r="BG153" s="42"/>
      <c r="BI153" s="42"/>
      <c r="BK153" s="42"/>
      <c r="BM153" s="42"/>
      <c r="BO153" s="42"/>
      <c r="BQ153" s="42"/>
      <c r="BS153" s="42"/>
      <c r="BU153" s="42"/>
      <c r="BW153" s="42"/>
      <c r="BY153" s="42"/>
      <c r="CA153" s="42"/>
      <c r="CC153" s="42"/>
      <c r="CE153" s="42"/>
      <c r="CG153" s="42"/>
    </row>
    <row r="154" spans="3:85">
      <c r="C154" s="42"/>
      <c r="D154" s="5"/>
      <c r="E154" s="42"/>
      <c r="G154" s="42"/>
      <c r="I154" s="42"/>
      <c r="K154" s="42"/>
      <c r="M154" s="42"/>
      <c r="O154" s="42"/>
      <c r="Q154" s="42"/>
      <c r="R154" s="5"/>
      <c r="S154" s="61"/>
      <c r="T154" s="5"/>
      <c r="U154" s="61">
        <v>5.7739240265139884</v>
      </c>
      <c r="V154" s="1">
        <v>302</v>
      </c>
      <c r="W154" s="61"/>
      <c r="X154" s="5"/>
      <c r="Y154" s="61"/>
      <c r="Z154" s="1"/>
      <c r="AA154" s="61"/>
      <c r="AB154" s="1"/>
      <c r="AC154" s="61"/>
      <c r="AD154" s="1"/>
      <c r="AE154" s="61"/>
      <c r="AF154" s="1"/>
      <c r="AG154" s="61"/>
      <c r="AH154" s="1"/>
      <c r="AI154" s="61"/>
      <c r="AJ154" s="1"/>
      <c r="AK154" s="61"/>
      <c r="AL154" s="1"/>
      <c r="AM154" s="42"/>
      <c r="AO154" s="42"/>
      <c r="AP154" s="7"/>
      <c r="AQ154" s="42"/>
      <c r="AS154" s="42"/>
      <c r="AU154" s="42"/>
      <c r="AW154" s="42"/>
      <c r="AY154" s="42"/>
      <c r="BA154" s="42"/>
      <c r="BC154" s="42"/>
      <c r="BE154" s="42"/>
      <c r="BG154" s="42"/>
      <c r="BI154" s="42"/>
      <c r="BK154" s="42"/>
      <c r="BM154" s="42"/>
      <c r="BO154" s="42"/>
      <c r="BQ154" s="42"/>
      <c r="BS154" s="42"/>
      <c r="BU154" s="42"/>
      <c r="BW154" s="42"/>
      <c r="BY154" s="42"/>
      <c r="CA154" s="42"/>
      <c r="CC154" s="42"/>
      <c r="CE154" s="42"/>
      <c r="CG154" s="42"/>
    </row>
    <row r="155" spans="3:85">
      <c r="C155" s="42"/>
      <c r="D155" s="5"/>
      <c r="E155" s="42"/>
      <c r="G155" s="42"/>
      <c r="I155" s="42"/>
      <c r="K155" s="42"/>
      <c r="M155" s="42"/>
      <c r="O155" s="42"/>
      <c r="Q155" s="42"/>
      <c r="R155" s="5"/>
      <c r="S155" s="61"/>
      <c r="T155" s="5"/>
      <c r="U155" s="61">
        <v>5.8077556126068437</v>
      </c>
      <c r="V155" s="1">
        <v>303</v>
      </c>
      <c r="W155" s="61"/>
      <c r="X155" s="5"/>
      <c r="Y155" s="61"/>
      <c r="Z155" s="1"/>
      <c r="AA155" s="61"/>
      <c r="AB155" s="1"/>
      <c r="AC155" s="61"/>
      <c r="AD155" s="1"/>
      <c r="AE155" s="61"/>
      <c r="AF155" s="1"/>
      <c r="AG155" s="61"/>
      <c r="AH155" s="1"/>
      <c r="AI155" s="61"/>
      <c r="AJ155" s="1"/>
      <c r="AK155" s="61"/>
      <c r="AL155" s="1"/>
      <c r="AM155" s="42"/>
      <c r="AO155" s="42"/>
      <c r="AP155" s="7"/>
      <c r="AQ155" s="42"/>
      <c r="AS155" s="42"/>
      <c r="AU155" s="42"/>
      <c r="AW155" s="42"/>
      <c r="AY155" s="42"/>
      <c r="BA155" s="42"/>
      <c r="BC155" s="42"/>
      <c r="BE155" s="42"/>
      <c r="BG155" s="42"/>
      <c r="BI155" s="42"/>
      <c r="BK155" s="42"/>
      <c r="BM155" s="42"/>
      <c r="BO155" s="42"/>
      <c r="BQ155" s="42"/>
      <c r="BS155" s="42"/>
      <c r="BU155" s="42"/>
      <c r="BW155" s="42"/>
      <c r="BY155" s="42"/>
      <c r="CA155" s="42"/>
      <c r="CC155" s="42"/>
      <c r="CE155" s="42"/>
      <c r="CG155" s="42"/>
    </row>
    <row r="156" spans="3:85">
      <c r="C156" s="42"/>
      <c r="D156" s="5"/>
      <c r="E156" s="42"/>
      <c r="G156" s="42"/>
      <c r="I156" s="42"/>
      <c r="K156" s="42"/>
      <c r="M156" s="42"/>
      <c r="O156" s="42"/>
      <c r="Q156" s="42"/>
      <c r="R156" s="5"/>
      <c r="S156" s="61"/>
      <c r="T156" s="5"/>
      <c r="U156" s="61">
        <v>5.8531287033303343</v>
      </c>
      <c r="V156" s="1">
        <v>304</v>
      </c>
      <c r="W156" s="61"/>
      <c r="X156" s="5"/>
      <c r="Y156" s="61"/>
      <c r="Z156" s="1"/>
      <c r="AA156" s="61"/>
      <c r="AB156" s="1"/>
      <c r="AC156" s="61"/>
      <c r="AD156" s="1"/>
      <c r="AE156" s="61"/>
      <c r="AF156" s="1"/>
      <c r="AG156" s="61"/>
      <c r="AH156" s="1"/>
      <c r="AI156" s="61"/>
      <c r="AJ156" s="1"/>
      <c r="AK156" s="61"/>
      <c r="AL156" s="1"/>
      <c r="AM156" s="42"/>
      <c r="AO156" s="42"/>
      <c r="AP156" s="7"/>
      <c r="AQ156" s="42"/>
      <c r="AS156" s="42"/>
      <c r="AU156" s="42"/>
      <c r="AW156" s="42"/>
      <c r="AY156" s="42"/>
      <c r="BA156" s="42"/>
      <c r="BC156" s="42"/>
      <c r="BE156" s="42"/>
      <c r="BG156" s="42"/>
      <c r="BI156" s="42"/>
      <c r="BK156" s="42"/>
      <c r="BM156" s="42"/>
      <c r="BO156" s="42"/>
      <c r="BQ156" s="42"/>
      <c r="BS156" s="42"/>
      <c r="BU156" s="42"/>
      <c r="BW156" s="42"/>
      <c r="BY156" s="42"/>
      <c r="CA156" s="42"/>
      <c r="CC156" s="42"/>
      <c r="CE156" s="42"/>
      <c r="CG156" s="42"/>
    </row>
    <row r="157" spans="3:85">
      <c r="C157" s="42"/>
      <c r="D157" s="5"/>
      <c r="E157" s="42"/>
      <c r="G157" s="42"/>
      <c r="I157" s="42"/>
      <c r="K157" s="42"/>
      <c r="M157" s="42"/>
      <c r="O157" s="42"/>
      <c r="Q157" s="42"/>
      <c r="R157" s="5"/>
      <c r="S157" s="61"/>
      <c r="T157" s="5"/>
      <c r="U157" s="61">
        <v>5.8988562713251023</v>
      </c>
      <c r="V157" s="1">
        <v>305</v>
      </c>
      <c r="W157" s="61"/>
      <c r="X157" s="5"/>
      <c r="Y157" s="61"/>
      <c r="Z157" s="1"/>
      <c r="AA157" s="61"/>
      <c r="AB157" s="1"/>
      <c r="AC157" s="61"/>
      <c r="AD157" s="1"/>
      <c r="AE157" s="61"/>
      <c r="AF157" s="1"/>
      <c r="AG157" s="61"/>
      <c r="AH157" s="1"/>
      <c r="AI157" s="61"/>
      <c r="AJ157" s="1"/>
      <c r="AK157" s="61"/>
      <c r="AL157" s="1"/>
      <c r="AM157" s="42"/>
      <c r="AO157" s="42"/>
      <c r="AP157" s="7"/>
      <c r="AQ157" s="42"/>
      <c r="AS157" s="42"/>
      <c r="AU157" s="42"/>
      <c r="AW157" s="42"/>
      <c r="AY157" s="42"/>
      <c r="BA157" s="42"/>
      <c r="BC157" s="42"/>
      <c r="BE157" s="42"/>
      <c r="BG157" s="42"/>
      <c r="BI157" s="42"/>
      <c r="BK157" s="42"/>
      <c r="BM157" s="42"/>
      <c r="BO157" s="42"/>
      <c r="BQ157" s="42"/>
      <c r="BS157" s="42"/>
      <c r="BU157" s="42"/>
      <c r="BW157" s="42"/>
      <c r="BY157" s="42"/>
      <c r="CA157" s="42"/>
      <c r="CC157" s="42"/>
      <c r="CE157" s="42"/>
      <c r="CG157" s="42"/>
    </row>
    <row r="158" spans="3:85">
      <c r="C158" s="42"/>
      <c r="D158" s="5"/>
      <c r="E158" s="42"/>
      <c r="G158" s="42"/>
      <c r="I158" s="42"/>
      <c r="K158" s="42"/>
      <c r="M158" s="42"/>
      <c r="O158" s="42"/>
      <c r="Q158" s="42"/>
      <c r="R158" s="5"/>
      <c r="S158" s="61"/>
      <c r="T158" s="5"/>
      <c r="U158" s="61">
        <v>5.94494108594483</v>
      </c>
      <c r="V158" s="1">
        <v>306</v>
      </c>
      <c r="W158" s="61"/>
      <c r="X158" s="5"/>
      <c r="Y158" s="61"/>
      <c r="Z158" s="1"/>
      <c r="AA158" s="61"/>
      <c r="AB158" s="1"/>
      <c r="AC158" s="61"/>
      <c r="AD158" s="1"/>
      <c r="AE158" s="61"/>
      <c r="AF158" s="1"/>
      <c r="AG158" s="61"/>
      <c r="AH158" s="1"/>
      <c r="AI158" s="61"/>
      <c r="AJ158" s="1"/>
      <c r="AK158" s="61"/>
      <c r="AL158" s="1"/>
      <c r="AM158" s="42"/>
      <c r="AO158" s="42"/>
      <c r="AP158" s="7"/>
      <c r="AQ158" s="42"/>
      <c r="AS158" s="42"/>
      <c r="AU158" s="42"/>
      <c r="AW158" s="42"/>
      <c r="AY158" s="42"/>
      <c r="BA158" s="42"/>
      <c r="BC158" s="42"/>
      <c r="BE158" s="42"/>
      <c r="BG158" s="42"/>
      <c r="BI158" s="42"/>
      <c r="BK158" s="42"/>
      <c r="BM158" s="42"/>
      <c r="BO158" s="42"/>
      <c r="BQ158" s="42"/>
      <c r="BS158" s="42"/>
      <c r="BU158" s="42"/>
      <c r="BW158" s="42"/>
      <c r="BY158" s="42"/>
      <c r="CA158" s="42"/>
      <c r="CC158" s="42"/>
      <c r="CE158" s="42"/>
      <c r="CG158" s="42"/>
    </row>
    <row r="159" spans="3:85">
      <c r="C159" s="42"/>
      <c r="D159" s="5"/>
      <c r="E159" s="42"/>
      <c r="G159" s="42"/>
      <c r="I159" s="42"/>
      <c r="K159" s="42"/>
      <c r="M159" s="42"/>
      <c r="O159" s="42"/>
      <c r="Q159" s="42"/>
      <c r="R159" s="5"/>
      <c r="S159" s="61"/>
      <c r="T159" s="5"/>
      <c r="U159" s="61">
        <v>5.9797747251202882</v>
      </c>
      <c r="V159" s="1">
        <v>307</v>
      </c>
      <c r="W159" s="61"/>
      <c r="X159" s="5"/>
      <c r="Y159" s="61"/>
      <c r="Z159" s="1"/>
      <c r="AA159" s="61"/>
      <c r="AB159" s="1"/>
      <c r="AC159" s="61"/>
      <c r="AD159" s="1"/>
      <c r="AE159" s="61"/>
      <c r="AF159" s="1"/>
      <c r="AG159" s="61"/>
      <c r="AH159" s="1"/>
      <c r="AI159" s="61"/>
      <c r="AJ159" s="1"/>
      <c r="AK159" s="61"/>
      <c r="AL159" s="1"/>
      <c r="AM159" s="42"/>
      <c r="AO159" s="42"/>
      <c r="AP159" s="7"/>
      <c r="AQ159" s="42"/>
      <c r="AS159" s="42"/>
      <c r="AU159" s="42"/>
      <c r="AW159" s="42"/>
      <c r="AY159" s="42"/>
      <c r="BA159" s="42"/>
      <c r="BC159" s="42"/>
      <c r="BE159" s="42"/>
      <c r="BG159" s="42"/>
      <c r="BI159" s="42"/>
      <c r="BK159" s="42"/>
      <c r="BM159" s="42"/>
      <c r="BO159" s="42"/>
      <c r="BQ159" s="42"/>
      <c r="BS159" s="42"/>
      <c r="BU159" s="42"/>
      <c r="BW159" s="42"/>
      <c r="BY159" s="42"/>
      <c r="CA159" s="42"/>
      <c r="CC159" s="42"/>
      <c r="CE159" s="42"/>
      <c r="CG159" s="42"/>
    </row>
    <row r="160" spans="3:85">
      <c r="C160" s="42"/>
      <c r="D160" s="5"/>
      <c r="E160" s="42"/>
      <c r="G160" s="42"/>
      <c r="I160" s="42"/>
      <c r="K160" s="42"/>
      <c r="M160" s="42"/>
      <c r="O160" s="42"/>
      <c r="Q160" s="42"/>
      <c r="R160" s="5"/>
      <c r="S160" s="61"/>
      <c r="T160" s="5"/>
      <c r="U160" s="61">
        <v>6.0264917151602901</v>
      </c>
      <c r="V160" s="1">
        <v>308</v>
      </c>
      <c r="W160" s="61"/>
      <c r="X160" s="5"/>
      <c r="Y160" s="61"/>
      <c r="Z160" s="1"/>
      <c r="AA160" s="61"/>
      <c r="AB160" s="1"/>
      <c r="AC160" s="61"/>
      <c r="AD160" s="1"/>
      <c r="AE160" s="61"/>
      <c r="AF160" s="1"/>
      <c r="AG160" s="61"/>
      <c r="AH160" s="1"/>
      <c r="AI160" s="61"/>
      <c r="AJ160" s="1"/>
      <c r="AK160" s="61"/>
      <c r="AL160" s="1"/>
      <c r="AM160" s="42"/>
      <c r="AO160" s="42"/>
      <c r="AP160" s="7"/>
      <c r="AQ160" s="42"/>
      <c r="AS160" s="42"/>
      <c r="AU160" s="42"/>
      <c r="AW160" s="42"/>
      <c r="AY160" s="42"/>
      <c r="BA160" s="42"/>
      <c r="BC160" s="42"/>
      <c r="BE160" s="42"/>
      <c r="BG160" s="42"/>
      <c r="BI160" s="42"/>
      <c r="BK160" s="42"/>
      <c r="BM160" s="42"/>
      <c r="BO160" s="42"/>
      <c r="BQ160" s="42"/>
      <c r="BS160" s="42"/>
      <c r="BU160" s="42"/>
      <c r="BW160" s="42"/>
      <c r="BY160" s="42"/>
      <c r="CA160" s="42"/>
      <c r="CC160" s="42"/>
      <c r="CE160" s="42"/>
      <c r="CG160" s="42"/>
    </row>
    <row r="161" spans="3:85">
      <c r="C161" s="42"/>
      <c r="D161" s="5"/>
      <c r="E161" s="42"/>
      <c r="G161" s="42"/>
      <c r="I161" s="42"/>
      <c r="K161" s="42"/>
      <c r="M161" s="42"/>
      <c r="O161" s="42"/>
      <c r="Q161" s="42"/>
      <c r="R161" s="5"/>
      <c r="S161" s="61"/>
      <c r="T161" s="5"/>
      <c r="U161" s="61">
        <v>6.0618031900538076</v>
      </c>
      <c r="V161" s="1">
        <v>309</v>
      </c>
      <c r="W161" s="61"/>
      <c r="X161" s="5"/>
      <c r="Y161" s="61"/>
      <c r="Z161" s="1"/>
      <c r="AA161" s="61"/>
      <c r="AB161" s="1"/>
      <c r="AC161" s="61"/>
      <c r="AD161" s="1"/>
      <c r="AE161" s="61"/>
      <c r="AF161" s="1"/>
      <c r="AG161" s="61"/>
      <c r="AH161" s="1"/>
      <c r="AI161" s="61"/>
      <c r="AJ161" s="1"/>
      <c r="AK161" s="61"/>
      <c r="AL161" s="1"/>
      <c r="AM161" s="42"/>
      <c r="AO161" s="42"/>
      <c r="AP161" s="7"/>
      <c r="AQ161" s="42"/>
      <c r="AS161" s="42"/>
      <c r="AU161" s="42"/>
      <c r="AW161" s="42"/>
      <c r="AY161" s="42"/>
      <c r="BA161" s="42"/>
      <c r="BC161" s="42"/>
      <c r="BE161" s="42"/>
      <c r="BG161" s="42"/>
      <c r="BI161" s="42"/>
      <c r="BK161" s="42"/>
      <c r="BM161" s="42"/>
      <c r="BO161" s="42"/>
      <c r="BQ161" s="42"/>
      <c r="BS161" s="42"/>
      <c r="BU161" s="42"/>
      <c r="BW161" s="42"/>
      <c r="BY161" s="42"/>
      <c r="CA161" s="42"/>
      <c r="CC161" s="42"/>
      <c r="CE161" s="42"/>
      <c r="CG161" s="42"/>
    </row>
    <row r="162" spans="3:85">
      <c r="C162" s="42"/>
      <c r="D162" s="5"/>
      <c r="E162" s="42"/>
      <c r="G162" s="42"/>
      <c r="I162" s="42"/>
      <c r="K162" s="42"/>
      <c r="M162" s="42"/>
      <c r="O162" s="42"/>
      <c r="Q162" s="42"/>
      <c r="R162" s="5"/>
      <c r="S162" s="61"/>
      <c r="T162" s="5"/>
      <c r="U162" s="61">
        <v>6.1091610274761035</v>
      </c>
      <c r="V162" s="1">
        <v>310</v>
      </c>
      <c r="W162" s="61"/>
      <c r="X162" s="5"/>
      <c r="Y162" s="61"/>
      <c r="Z162" s="1"/>
      <c r="AA162" s="61"/>
      <c r="AB162" s="1"/>
      <c r="AC162" s="61"/>
      <c r="AD162" s="1"/>
      <c r="AE162" s="61"/>
      <c r="AF162" s="1"/>
      <c r="AG162" s="61"/>
      <c r="AH162" s="1"/>
      <c r="AI162" s="61"/>
      <c r="AJ162" s="1"/>
      <c r="AK162" s="61"/>
      <c r="AL162" s="1"/>
      <c r="AM162" s="42"/>
      <c r="AO162" s="42"/>
      <c r="AP162" s="7"/>
      <c r="AQ162" s="42"/>
      <c r="AS162" s="42"/>
      <c r="AU162" s="42"/>
      <c r="AW162" s="42"/>
      <c r="AY162" s="42"/>
      <c r="BA162" s="42"/>
      <c r="BC162" s="42"/>
      <c r="BE162" s="42"/>
      <c r="BG162" s="42"/>
      <c r="BI162" s="42"/>
      <c r="BK162" s="42"/>
      <c r="BM162" s="42"/>
      <c r="BO162" s="42"/>
      <c r="BQ162" s="42"/>
      <c r="BS162" s="42"/>
      <c r="BU162" s="42"/>
      <c r="BW162" s="42"/>
      <c r="BY162" s="42"/>
      <c r="CA162" s="42"/>
      <c r="CC162" s="42"/>
      <c r="CE162" s="42"/>
      <c r="CG162" s="42"/>
    </row>
    <row r="163" spans="3:85">
      <c r="C163" s="42"/>
      <c r="D163" s="5"/>
      <c r="E163" s="42"/>
      <c r="G163" s="42"/>
      <c r="I163" s="42"/>
      <c r="K163" s="42"/>
      <c r="M163" s="42"/>
      <c r="O163" s="42"/>
      <c r="Q163" s="42"/>
      <c r="R163" s="5"/>
      <c r="S163" s="61"/>
      <c r="T163" s="5"/>
      <c r="U163" s="61">
        <v>6.1449568928714715</v>
      </c>
      <c r="V163" s="1">
        <v>311</v>
      </c>
      <c r="W163" s="61"/>
      <c r="X163" s="5"/>
      <c r="Y163" s="61"/>
      <c r="Z163" s="1"/>
      <c r="AA163" s="61"/>
      <c r="AB163" s="1"/>
      <c r="AC163" s="61"/>
      <c r="AD163" s="1"/>
      <c r="AE163" s="61"/>
      <c r="AF163" s="1"/>
      <c r="AG163" s="61"/>
      <c r="AH163" s="1"/>
      <c r="AI163" s="61"/>
      <c r="AJ163" s="1"/>
      <c r="AK163" s="61"/>
      <c r="AL163" s="1"/>
      <c r="AM163" s="42"/>
      <c r="AO163" s="42"/>
      <c r="AP163" s="7"/>
      <c r="AQ163" s="42"/>
      <c r="AS163" s="42"/>
      <c r="AU163" s="42"/>
      <c r="AW163" s="42"/>
      <c r="AY163" s="42"/>
      <c r="BA163" s="42"/>
      <c r="BC163" s="42"/>
      <c r="BE163" s="42"/>
      <c r="BG163" s="42"/>
      <c r="BI163" s="42"/>
      <c r="BK163" s="42"/>
      <c r="BM163" s="42"/>
      <c r="BO163" s="42"/>
      <c r="BQ163" s="42"/>
      <c r="BS163" s="42"/>
      <c r="BU163" s="42"/>
      <c r="BW163" s="42"/>
      <c r="BY163" s="42"/>
      <c r="CA163" s="42"/>
      <c r="CC163" s="42"/>
      <c r="CE163" s="42"/>
      <c r="CG163" s="42"/>
    </row>
    <row r="164" spans="3:85">
      <c r="C164" s="42"/>
      <c r="E164" s="42"/>
      <c r="G164" s="42"/>
      <c r="I164" s="42"/>
      <c r="K164" s="42"/>
      <c r="M164" s="42"/>
      <c r="O164" s="42"/>
      <c r="Q164" s="42"/>
      <c r="R164" s="5"/>
      <c r="S164" s="61"/>
      <c r="T164" s="5"/>
      <c r="U164" s="61">
        <v>6.1809624996656405</v>
      </c>
      <c r="V164" s="1">
        <v>312</v>
      </c>
      <c r="W164" s="61"/>
      <c r="X164" s="5"/>
      <c r="Y164" s="61"/>
      <c r="Z164" s="1"/>
      <c r="AA164" s="61"/>
      <c r="AB164" s="1"/>
      <c r="AC164" s="61"/>
      <c r="AD164" s="1"/>
      <c r="AE164" s="61"/>
      <c r="AF164" s="1"/>
      <c r="AG164" s="61"/>
      <c r="AH164" s="1"/>
      <c r="AI164" s="61"/>
      <c r="AJ164" s="1"/>
      <c r="AK164" s="61"/>
      <c r="AL164" s="1"/>
      <c r="AM164" s="42"/>
      <c r="AO164" s="42"/>
      <c r="AP164" s="7"/>
      <c r="AQ164" s="42"/>
      <c r="AS164" s="42"/>
      <c r="AU164" s="42"/>
      <c r="AW164" s="42"/>
      <c r="AY164" s="42"/>
      <c r="BA164" s="42"/>
      <c r="BC164" s="42"/>
      <c r="BE164" s="42"/>
      <c r="BG164" s="42"/>
      <c r="BI164" s="42"/>
      <c r="BK164" s="42"/>
      <c r="BM164" s="42"/>
      <c r="BO164" s="42"/>
      <c r="BQ164" s="42"/>
      <c r="BS164" s="42"/>
      <c r="BU164" s="42"/>
      <c r="BW164" s="42"/>
      <c r="BY164" s="42"/>
      <c r="CA164" s="42"/>
      <c r="CC164" s="42"/>
      <c r="CE164" s="42"/>
      <c r="CG164" s="42"/>
    </row>
    <row r="165" spans="3:85">
      <c r="C165" s="42"/>
      <c r="E165" s="42"/>
      <c r="G165" s="42"/>
      <c r="I165" s="42"/>
      <c r="K165" s="42"/>
      <c r="M165" s="42"/>
      <c r="O165" s="42"/>
      <c r="Q165" s="42"/>
      <c r="R165" s="5"/>
      <c r="S165" s="61"/>
      <c r="T165" s="5"/>
      <c r="U165" s="61">
        <v>6.229251269194279</v>
      </c>
      <c r="V165" s="1">
        <v>313</v>
      </c>
      <c r="W165" s="61"/>
      <c r="X165" s="5"/>
      <c r="Y165" s="61"/>
      <c r="Z165" s="1"/>
      <c r="AA165" s="61"/>
      <c r="AB165" s="1"/>
      <c r="AC165" s="61"/>
      <c r="AD165" s="1"/>
      <c r="AE165" s="61"/>
      <c r="AF165" s="1"/>
      <c r="AG165" s="61"/>
      <c r="AH165" s="1"/>
      <c r="AI165" s="61"/>
      <c r="AJ165" s="1"/>
      <c r="AK165" s="61"/>
      <c r="AL165" s="1"/>
      <c r="AM165" s="42"/>
      <c r="AO165" s="42"/>
      <c r="AQ165" s="42"/>
      <c r="AS165" s="42"/>
      <c r="AU165" s="42"/>
      <c r="AW165" s="42"/>
      <c r="AY165" s="42"/>
      <c r="BA165" s="42"/>
      <c r="BC165" s="42"/>
      <c r="BE165" s="42"/>
      <c r="BG165" s="42"/>
      <c r="BI165" s="42"/>
      <c r="BK165" s="42"/>
      <c r="BM165" s="42"/>
      <c r="BO165" s="42"/>
      <c r="BQ165" s="42"/>
      <c r="BS165" s="42"/>
      <c r="BU165" s="42"/>
      <c r="BW165" s="42"/>
      <c r="BY165" s="42"/>
      <c r="CA165" s="42"/>
      <c r="CC165" s="42"/>
      <c r="CE165" s="42"/>
      <c r="CG165" s="42"/>
    </row>
    <row r="166" spans="3:85">
      <c r="C166" s="42"/>
      <c r="E166" s="42"/>
      <c r="G166" s="42"/>
      <c r="I166" s="42"/>
      <c r="K166" s="42"/>
      <c r="M166" s="42"/>
      <c r="O166" s="42"/>
      <c r="Q166" s="42"/>
      <c r="R166" s="5"/>
      <c r="S166" s="61"/>
      <c r="T166" s="5"/>
      <c r="U166" s="61">
        <v>6.2535842819645691</v>
      </c>
      <c r="V166" s="1">
        <v>314</v>
      </c>
      <c r="W166" s="61"/>
      <c r="X166" s="5"/>
      <c r="Y166" s="61"/>
      <c r="Z166" s="1"/>
      <c r="AA166" s="61"/>
      <c r="AB166" s="1"/>
      <c r="AC166" s="61"/>
      <c r="AD166" s="1"/>
      <c r="AE166" s="61"/>
      <c r="AF166" s="1"/>
      <c r="AG166" s="61"/>
      <c r="AH166" s="1"/>
      <c r="AI166" s="61"/>
      <c r="AJ166" s="1"/>
      <c r="AK166" s="61"/>
      <c r="AL166" s="1"/>
      <c r="AM166" s="42"/>
      <c r="AO166" s="42"/>
      <c r="AQ166" s="42"/>
      <c r="AS166" s="42"/>
      <c r="AU166" s="42"/>
      <c r="AW166" s="42"/>
      <c r="AY166" s="42"/>
      <c r="BA166" s="42"/>
      <c r="BC166" s="42"/>
      <c r="BE166" s="42"/>
      <c r="BG166" s="42"/>
      <c r="BI166" s="42"/>
      <c r="BK166" s="42"/>
      <c r="BM166" s="42"/>
      <c r="BO166" s="42"/>
      <c r="BQ166" s="42"/>
      <c r="BS166" s="42"/>
      <c r="BU166" s="42"/>
      <c r="BW166" s="42"/>
      <c r="BY166" s="42"/>
      <c r="CA166" s="42"/>
      <c r="CC166" s="42"/>
      <c r="CE166" s="42"/>
      <c r="CG166" s="42"/>
    </row>
    <row r="167" spans="3:85">
      <c r="C167" s="42"/>
      <c r="E167" s="42"/>
      <c r="G167" s="42"/>
      <c r="I167" s="42"/>
      <c r="K167" s="42"/>
      <c r="M167" s="42"/>
      <c r="O167" s="42"/>
      <c r="Q167" s="42"/>
      <c r="R167" s="5"/>
      <c r="S167" s="61"/>
      <c r="T167" s="5"/>
      <c r="U167" s="61">
        <v>6.3024404091674171</v>
      </c>
      <c r="V167" s="1">
        <v>315</v>
      </c>
      <c r="W167" s="61"/>
      <c r="X167" s="5"/>
      <c r="Y167" s="61"/>
      <c r="Z167" s="1"/>
      <c r="AA167" s="61"/>
      <c r="AB167" s="1"/>
      <c r="AC167" s="61"/>
      <c r="AD167" s="1"/>
      <c r="AE167" s="61"/>
      <c r="AF167" s="1"/>
      <c r="AG167" s="61"/>
      <c r="AH167" s="1"/>
      <c r="AI167" s="61"/>
      <c r="AJ167" s="1"/>
      <c r="AK167" s="61"/>
      <c r="AL167" s="1"/>
      <c r="AM167" s="42"/>
      <c r="AO167" s="42"/>
      <c r="AQ167" s="42"/>
      <c r="AS167" s="42"/>
      <c r="AU167" s="42"/>
      <c r="AW167" s="42"/>
      <c r="AY167" s="42"/>
      <c r="BA167" s="42"/>
      <c r="BC167" s="42"/>
      <c r="BE167" s="42"/>
      <c r="BG167" s="42"/>
      <c r="BI167" s="42"/>
      <c r="BK167" s="42"/>
      <c r="BM167" s="42"/>
      <c r="BO167" s="42"/>
      <c r="BQ167" s="42"/>
      <c r="BS167" s="42"/>
      <c r="BU167" s="42"/>
      <c r="BW167" s="42"/>
      <c r="BY167" s="42"/>
      <c r="CA167" s="42"/>
      <c r="CC167" s="42"/>
      <c r="CE167" s="42"/>
      <c r="CG167" s="42"/>
    </row>
    <row r="168" spans="3:85">
      <c r="C168" s="42"/>
      <c r="E168" s="42"/>
      <c r="G168" s="42"/>
      <c r="I168" s="42"/>
      <c r="K168" s="42"/>
      <c r="M168" s="42"/>
      <c r="O168" s="42"/>
      <c r="Q168" s="42"/>
      <c r="R168" s="5"/>
      <c r="S168" s="61"/>
      <c r="T168" s="5"/>
      <c r="U168" s="61">
        <v>6.3393687709398829</v>
      </c>
      <c r="V168" s="1">
        <v>316</v>
      </c>
      <c r="W168" s="61"/>
      <c r="X168" s="5"/>
      <c r="Y168" s="61"/>
      <c r="Z168" s="1"/>
      <c r="AA168" s="61"/>
      <c r="AB168" s="1"/>
      <c r="AC168" s="61"/>
      <c r="AD168" s="1"/>
      <c r="AE168" s="61"/>
      <c r="AF168" s="1"/>
      <c r="AG168" s="61"/>
      <c r="AH168" s="1"/>
      <c r="AI168" s="61"/>
      <c r="AJ168" s="1"/>
      <c r="AK168" s="61"/>
      <c r="AL168" s="1"/>
      <c r="AM168" s="42"/>
      <c r="AO168" s="42"/>
      <c r="AQ168" s="42"/>
      <c r="AS168" s="42"/>
      <c r="AU168" s="42"/>
      <c r="AW168" s="42"/>
      <c r="AY168" s="42"/>
      <c r="BA168" s="42"/>
      <c r="BC168" s="42"/>
      <c r="BE168" s="42"/>
      <c r="BG168" s="42"/>
      <c r="BI168" s="42"/>
      <c r="BK168" s="42"/>
      <c r="BM168" s="42"/>
      <c r="BO168" s="42"/>
      <c r="BQ168" s="42"/>
      <c r="BS168" s="42"/>
      <c r="BU168" s="42"/>
      <c r="BW168" s="42"/>
      <c r="BY168" s="42"/>
      <c r="CA168" s="42"/>
      <c r="CC168" s="42"/>
      <c r="CE168" s="42"/>
      <c r="CG168" s="42"/>
    </row>
    <row r="169" spans="3:85">
      <c r="C169" s="42"/>
      <c r="E169" s="42"/>
      <c r="G169" s="42"/>
      <c r="I169" s="42"/>
      <c r="K169" s="42"/>
      <c r="M169" s="42"/>
      <c r="O169" s="42"/>
      <c r="Q169" s="42"/>
      <c r="R169" s="5"/>
      <c r="S169" s="61"/>
      <c r="T169" s="5"/>
      <c r="U169" s="61">
        <v>6.3765135098321091</v>
      </c>
      <c r="V169" s="1">
        <v>317</v>
      </c>
      <c r="W169" s="61"/>
      <c r="X169" s="5"/>
      <c r="Y169" s="61"/>
      <c r="Z169" s="1"/>
      <c r="AA169" s="61"/>
      <c r="AB169" s="1"/>
      <c r="AC169" s="61"/>
      <c r="AD169" s="1"/>
      <c r="AE169" s="61"/>
      <c r="AF169" s="1"/>
      <c r="AG169" s="61"/>
      <c r="AH169" s="1"/>
      <c r="AI169" s="61"/>
      <c r="AJ169" s="1"/>
      <c r="AK169" s="61"/>
      <c r="AL169" s="1"/>
      <c r="AM169" s="42"/>
      <c r="AO169" s="42"/>
      <c r="AQ169" s="42"/>
      <c r="AS169" s="42"/>
      <c r="AU169" s="42"/>
      <c r="AW169" s="42"/>
      <c r="AY169" s="42"/>
      <c r="BA169" s="42"/>
      <c r="BC169" s="42"/>
      <c r="BE169" s="42"/>
      <c r="BG169" s="42"/>
      <c r="BI169" s="42"/>
      <c r="BK169" s="42"/>
      <c r="BM169" s="42"/>
      <c r="BO169" s="42"/>
      <c r="BQ169" s="42"/>
      <c r="BS169" s="42"/>
      <c r="BU169" s="42"/>
      <c r="BW169" s="42"/>
      <c r="BY169" s="42"/>
      <c r="CA169" s="42"/>
      <c r="CC169" s="42"/>
      <c r="CE169" s="42"/>
      <c r="CG169" s="42"/>
    </row>
    <row r="170" spans="3:85">
      <c r="C170" s="42"/>
      <c r="E170" s="42"/>
      <c r="G170" s="42"/>
      <c r="I170" s="42"/>
      <c r="K170" s="42"/>
      <c r="M170" s="42"/>
      <c r="O170" s="42"/>
      <c r="Q170" s="42"/>
      <c r="R170" s="5"/>
      <c r="S170" s="61"/>
      <c r="T170" s="5"/>
      <c r="U170" s="61">
        <v>6.4138758936787816</v>
      </c>
      <c r="V170" s="1">
        <v>318</v>
      </c>
      <c r="W170" s="61"/>
      <c r="X170" s="5"/>
      <c r="Y170" s="61"/>
      <c r="Z170" s="1"/>
      <c r="AA170" s="61"/>
      <c r="AB170" s="1"/>
      <c r="AC170" s="61"/>
      <c r="AD170" s="1"/>
      <c r="AE170" s="61"/>
      <c r="AF170" s="1"/>
      <c r="AG170" s="61"/>
      <c r="AH170" s="1"/>
      <c r="AI170" s="61"/>
      <c r="AJ170" s="1"/>
      <c r="AK170" s="61"/>
      <c r="AL170" s="1"/>
      <c r="AM170" s="42"/>
      <c r="AO170" s="42"/>
      <c r="AQ170" s="42"/>
      <c r="AS170" s="42"/>
      <c r="AU170" s="42"/>
      <c r="AW170" s="42"/>
      <c r="AY170" s="42"/>
      <c r="BA170" s="42"/>
      <c r="BC170" s="42"/>
      <c r="BE170" s="42"/>
      <c r="BG170" s="42"/>
      <c r="BI170" s="42"/>
      <c r="BK170" s="42"/>
      <c r="BM170" s="42"/>
      <c r="BO170" s="42"/>
      <c r="BQ170" s="42"/>
      <c r="BS170" s="42"/>
      <c r="BU170" s="42"/>
      <c r="BW170" s="42"/>
      <c r="BY170" s="42"/>
      <c r="CA170" s="42"/>
      <c r="CC170" s="42"/>
      <c r="CE170" s="42"/>
      <c r="CG170" s="42"/>
    </row>
    <row r="171" spans="3:85">
      <c r="C171" s="42"/>
      <c r="E171" s="42"/>
      <c r="G171" s="42"/>
      <c r="I171" s="42"/>
      <c r="K171" s="42"/>
      <c r="M171" s="42"/>
      <c r="O171" s="42"/>
      <c r="Q171" s="42"/>
      <c r="R171" s="5"/>
      <c r="S171" s="61"/>
      <c r="T171" s="5"/>
      <c r="U171" s="61">
        <v>6.4389300963884644</v>
      </c>
      <c r="V171" s="1">
        <v>319</v>
      </c>
      <c r="W171" s="61"/>
      <c r="X171" s="5"/>
      <c r="Y171" s="61"/>
      <c r="Z171" s="1"/>
      <c r="AA171" s="61"/>
      <c r="AB171" s="1"/>
      <c r="AC171" s="61"/>
      <c r="AD171" s="1"/>
      <c r="AE171" s="61"/>
      <c r="AF171" s="1"/>
      <c r="AG171" s="61"/>
      <c r="AH171" s="1"/>
      <c r="AI171" s="61"/>
      <c r="AJ171" s="1"/>
      <c r="AK171" s="61"/>
      <c r="AL171" s="1"/>
      <c r="AM171" s="42"/>
      <c r="AO171" s="42"/>
      <c r="AQ171" s="42"/>
      <c r="AS171" s="42"/>
      <c r="AU171" s="42"/>
      <c r="AW171" s="42"/>
      <c r="AY171" s="42"/>
      <c r="BA171" s="42"/>
      <c r="BC171" s="42"/>
      <c r="BE171" s="42"/>
      <c r="BG171" s="42"/>
      <c r="BI171" s="42"/>
      <c r="BK171" s="42"/>
      <c r="BM171" s="42"/>
      <c r="BO171" s="42"/>
      <c r="BQ171" s="42"/>
      <c r="BS171" s="42"/>
      <c r="BU171" s="42"/>
      <c r="BW171" s="42"/>
      <c r="BY171" s="42"/>
      <c r="CA171" s="42"/>
      <c r="CC171" s="42"/>
      <c r="CE171" s="42"/>
      <c r="CG171" s="42"/>
    </row>
    <row r="172" spans="3:85">
      <c r="C172" s="42"/>
      <c r="E172" s="42"/>
      <c r="G172" s="42"/>
      <c r="I172" s="42"/>
      <c r="K172" s="42"/>
      <c r="M172" s="42"/>
      <c r="O172" s="42"/>
      <c r="Q172" s="42"/>
      <c r="R172" s="5"/>
      <c r="S172" s="61"/>
      <c r="T172" s="5"/>
      <c r="U172" s="61">
        <v>6.4892342377664995</v>
      </c>
      <c r="V172" s="1">
        <v>320</v>
      </c>
      <c r="W172" s="61"/>
      <c r="X172" s="5"/>
      <c r="Y172" s="61"/>
      <c r="Z172" s="1"/>
      <c r="AA172" s="61"/>
      <c r="AB172" s="1"/>
      <c r="AC172" s="61"/>
      <c r="AD172" s="1"/>
      <c r="AE172" s="61"/>
      <c r="AF172" s="1"/>
      <c r="AG172" s="61"/>
      <c r="AH172" s="1"/>
      <c r="AI172" s="61"/>
      <c r="AJ172" s="1"/>
      <c r="AK172" s="61"/>
      <c r="AL172" s="1"/>
      <c r="AM172" s="42"/>
      <c r="AO172" s="42"/>
      <c r="AQ172" s="42"/>
      <c r="AS172" s="42"/>
      <c r="AU172" s="42"/>
      <c r="AW172" s="42"/>
      <c r="AY172" s="42"/>
      <c r="BA172" s="42"/>
      <c r="BC172" s="42"/>
      <c r="BE172" s="42"/>
      <c r="BG172" s="42"/>
      <c r="BI172" s="42"/>
      <c r="BK172" s="42"/>
      <c r="BM172" s="42"/>
      <c r="BO172" s="42"/>
      <c r="BQ172" s="42"/>
      <c r="BS172" s="42"/>
      <c r="BU172" s="42"/>
      <c r="BW172" s="42"/>
      <c r="BY172" s="42"/>
      <c r="CA172" s="42"/>
      <c r="CC172" s="42"/>
      <c r="CE172" s="42"/>
      <c r="CG172" s="42"/>
    </row>
    <row r="173" spans="3:85">
      <c r="C173" s="42"/>
      <c r="E173" s="42"/>
      <c r="R173" s="5"/>
      <c r="S173" s="1"/>
      <c r="T173" s="5"/>
      <c r="U173" s="5">
        <v>6.5145828090077753</v>
      </c>
      <c r="V173" s="1">
        <v>321</v>
      </c>
      <c r="W173" s="5"/>
      <c r="X173" s="5"/>
      <c r="Y173" s="5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</row>
    <row r="174" spans="3:85">
      <c r="C174" s="42"/>
      <c r="E174" s="42"/>
      <c r="R174" s="5"/>
      <c r="S174" s="1"/>
      <c r="T174" s="5"/>
      <c r="U174" s="5">
        <v>6.565477987203149</v>
      </c>
      <c r="V174" s="1">
        <v>322</v>
      </c>
      <c r="W174" s="5"/>
      <c r="X174" s="5"/>
      <c r="Y174" s="5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</row>
    <row r="175" spans="3:85" ht="15.75">
      <c r="C175" s="40"/>
      <c r="R175" s="5"/>
      <c r="S175" s="1"/>
      <c r="T175" s="5"/>
      <c r="U175" s="5">
        <v>6.5911243855906614</v>
      </c>
      <c r="V175" s="1">
        <v>323</v>
      </c>
      <c r="W175" s="5"/>
      <c r="X175" s="5"/>
      <c r="Y175" s="5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</row>
    <row r="176" spans="3:85" ht="15.75">
      <c r="C176" s="40"/>
      <c r="R176" s="5"/>
      <c r="S176" s="1"/>
      <c r="T176" s="5"/>
      <c r="U176" s="5">
        <v>6.6168709652218745</v>
      </c>
      <c r="V176" s="1">
        <v>324</v>
      </c>
      <c r="W176" s="5"/>
      <c r="X176" s="5"/>
      <c r="Y176" s="5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</row>
    <row r="177" spans="3:38" ht="15.75">
      <c r="C177" s="40"/>
      <c r="R177" s="5"/>
      <c r="S177" s="1"/>
      <c r="T177" s="5"/>
      <c r="U177" s="5">
        <v>6.6427181174297729</v>
      </c>
      <c r="V177" s="1">
        <v>325</v>
      </c>
      <c r="W177" s="5"/>
      <c r="X177" s="5"/>
      <c r="Y177" s="5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</row>
    <row r="178" spans="3:38" ht="15.75">
      <c r="C178" s="40"/>
      <c r="R178" s="5"/>
      <c r="S178" s="1"/>
      <c r="T178" s="5"/>
      <c r="U178" s="5">
        <v>6.6946143527221933</v>
      </c>
      <c r="V178" s="1">
        <v>326</v>
      </c>
      <c r="W178" s="5"/>
      <c r="X178" s="5"/>
      <c r="Y178" s="5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</row>
    <row r="179" spans="3:38" ht="15.75">
      <c r="C179" s="40"/>
      <c r="R179" s="5"/>
      <c r="S179" s="1"/>
      <c r="T179" s="5"/>
      <c r="U179" s="5">
        <v>6.7207651900375147</v>
      </c>
      <c r="V179" s="1">
        <v>327</v>
      </c>
      <c r="W179" s="5"/>
      <c r="X179" s="5"/>
      <c r="Y179" s="5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</row>
    <row r="180" spans="3:38" ht="15.75">
      <c r="C180" s="40"/>
      <c r="R180" s="5"/>
      <c r="S180" s="1"/>
      <c r="T180" s="5"/>
      <c r="U180" s="5">
        <v>6.747018179061099</v>
      </c>
      <c r="V180" s="1">
        <v>328</v>
      </c>
      <c r="W180" s="5"/>
      <c r="X180" s="5"/>
      <c r="Y180" s="5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</row>
    <row r="181" spans="3:38" ht="15.75">
      <c r="C181" s="40"/>
      <c r="U181" s="7">
        <v>6.7733737188230565</v>
      </c>
      <c r="V181">
        <v>329</v>
      </c>
    </row>
    <row r="182" spans="3:38" ht="15.75">
      <c r="C182" s="40"/>
      <c r="U182" s="7">
        <v>6.7998322099122088</v>
      </c>
      <c r="V182">
        <v>330</v>
      </c>
    </row>
    <row r="183" spans="3:38" ht="15.75">
      <c r="C183" s="40"/>
      <c r="U183" s="7">
        <v>6.8263940544821784</v>
      </c>
      <c r="V183">
        <v>331</v>
      </c>
    </row>
    <row r="184" spans="3:38">
      <c r="U184" s="7">
        <v>6.8530596562574999</v>
      </c>
      <c r="V184">
        <v>332</v>
      </c>
    </row>
    <row r="185" spans="3:38">
      <c r="U185" s="7">
        <v>6.8530596562574999</v>
      </c>
      <c r="V185">
        <v>333</v>
      </c>
    </row>
    <row r="186" spans="3:38">
      <c r="U186" s="7">
        <v>6.9065991848220118</v>
      </c>
      <c r="V186">
        <v>334</v>
      </c>
    </row>
    <row r="187" spans="3:38">
      <c r="U187" s="7">
        <v>6.9065991848220118</v>
      </c>
      <c r="V187">
        <v>335</v>
      </c>
    </row>
    <row r="188" spans="3:38">
      <c r="U188" s="7">
        <v>6.9065991848220118</v>
      </c>
      <c r="V188">
        <v>336</v>
      </c>
    </row>
    <row r="189" spans="3:38">
      <c r="U189" s="7">
        <v>6.9605569909534335</v>
      </c>
      <c r="V189">
        <v>337</v>
      </c>
    </row>
    <row r="190" spans="3:38">
      <c r="U190" s="7">
        <v>6.9605569909534335</v>
      </c>
      <c r="V190">
        <v>338</v>
      </c>
    </row>
    <row r="191" spans="3:38">
      <c r="U191" s="7">
        <v>6.9605569909534335</v>
      </c>
      <c r="V191">
        <v>339</v>
      </c>
    </row>
    <row r="192" spans="3:38">
      <c r="U192" s="7">
        <v>6.9605569909534335</v>
      </c>
      <c r="V192">
        <v>340</v>
      </c>
    </row>
    <row r="193" spans="21:22">
      <c r="U193" s="7">
        <v>6.9605569909534335</v>
      </c>
      <c r="V193">
        <v>341</v>
      </c>
    </row>
    <row r="194" spans="21:22">
      <c r="U194" s="7">
        <v>6.9605569909534335</v>
      </c>
      <c r="V194">
        <v>342</v>
      </c>
    </row>
    <row r="195" spans="21:22">
      <c r="U195" s="7">
        <v>6.9605569909534335</v>
      </c>
      <c r="V195">
        <v>343</v>
      </c>
    </row>
    <row r="196" spans="21:22">
      <c r="U196" s="7">
        <v>6.9605569909534335</v>
      </c>
      <c r="V196">
        <v>344</v>
      </c>
    </row>
    <row r="197" spans="21:22">
      <c r="U197" s="7">
        <v>6.9605569909534335</v>
      </c>
      <c r="V197">
        <v>345</v>
      </c>
    </row>
    <row r="198" spans="21:22">
      <c r="U198" s="7">
        <v>6.9605569909534335</v>
      </c>
      <c r="V198">
        <v>346</v>
      </c>
    </row>
    <row r="199" spans="21:22">
      <c r="U199" s="7">
        <v>6.9605569909534335</v>
      </c>
      <c r="V199">
        <v>347</v>
      </c>
    </row>
    <row r="200" spans="21:22">
      <c r="U200" s="7">
        <v>6.9605569909534335</v>
      </c>
      <c r="V200">
        <v>348</v>
      </c>
    </row>
    <row r="201" spans="21:22">
      <c r="U201" s="7">
        <v>4.2959687678540721</v>
      </c>
      <c r="V201">
        <v>348</v>
      </c>
    </row>
    <row r="202" spans="21:22">
      <c r="U202" s="7">
        <v>4.1617197438586322</v>
      </c>
      <c r="V202">
        <v>347</v>
      </c>
    </row>
    <row r="203" spans="21:22">
      <c r="U203" s="7">
        <v>4.0316660018630497</v>
      </c>
      <c r="V203">
        <v>346</v>
      </c>
    </row>
    <row r="204" spans="21:22">
      <c r="U204" s="7">
        <v>3.9214251346246072</v>
      </c>
      <c r="V204">
        <v>345</v>
      </c>
    </row>
    <row r="205" spans="21:22">
      <c r="U205" s="7">
        <v>3.798880599167588</v>
      </c>
      <c r="V205">
        <v>344</v>
      </c>
    </row>
    <row r="206" spans="21:22">
      <c r="U206" s="7">
        <v>3.6950049577840991</v>
      </c>
      <c r="V206">
        <v>343</v>
      </c>
    </row>
    <row r="207" spans="21:22">
      <c r="U207" s="7">
        <v>3.59396966596969</v>
      </c>
      <c r="V207">
        <v>342</v>
      </c>
    </row>
    <row r="208" spans="21:22">
      <c r="U208" s="7">
        <v>3.4886775859119847</v>
      </c>
      <c r="V208">
        <v>341</v>
      </c>
    </row>
    <row r="209" spans="21:22">
      <c r="U209" s="7">
        <v>3.3932840581722035</v>
      </c>
      <c r="V209">
        <v>340</v>
      </c>
    </row>
    <row r="210" spans="21:22">
      <c r="U210" s="7">
        <v>3.3004989472065578</v>
      </c>
      <c r="V210">
        <v>339</v>
      </c>
    </row>
    <row r="211" spans="21:22">
      <c r="U211" s="7">
        <v>3.2102509291188781</v>
      </c>
      <c r="V211">
        <v>338</v>
      </c>
    </row>
    <row r="212" spans="21:22">
      <c r="U212" s="7">
        <v>3.1224706302757839</v>
      </c>
      <c r="V212">
        <v>337</v>
      </c>
    </row>
    <row r="213" spans="21:22">
      <c r="U213" s="7">
        <v>3.0370905739791807</v>
      </c>
      <c r="V213">
        <v>336</v>
      </c>
    </row>
    <row r="214" spans="21:22">
      <c r="U214" s="7">
        <v>2.9540451285969374</v>
      </c>
      <c r="V214">
        <v>335</v>
      </c>
    </row>
    <row r="215" spans="21:22">
      <c r="U215" s="7">
        <v>2.873270457111865</v>
      </c>
      <c r="V215">
        <v>334</v>
      </c>
    </row>
    <row r="216" spans="21:22">
      <c r="U216" s="7">
        <v>2.7947044680502122</v>
      </c>
      <c r="V216">
        <v>333</v>
      </c>
    </row>
    <row r="217" spans="21:22">
      <c r="U217" s="7">
        <v>2.7182867677519642</v>
      </c>
      <c r="V217">
        <v>332</v>
      </c>
    </row>
    <row r="218" spans="21:22">
      <c r="U218" s="7">
        <v>2.6439586139462463</v>
      </c>
      <c r="V218">
        <v>331</v>
      </c>
    </row>
    <row r="219" spans="21:22">
      <c r="U219" s="7">
        <v>2.5768268522640172</v>
      </c>
      <c r="V219">
        <v>330</v>
      </c>
    </row>
    <row r="220" spans="21:22">
      <c r="U220" s="7">
        <v>2.506366743022423</v>
      </c>
      <c r="V220">
        <v>329</v>
      </c>
    </row>
    <row r="221" spans="21:22">
      <c r="U221" s="7">
        <v>2.4378332773929037</v>
      </c>
      <c r="V221">
        <v>328</v>
      </c>
    </row>
    <row r="222" spans="21:22">
      <c r="U222" s="7">
        <v>2.3759351668340991</v>
      </c>
      <c r="V222">
        <v>327</v>
      </c>
    </row>
    <row r="223" spans="21:22">
      <c r="U223" s="7">
        <v>2.3109681896159788</v>
      </c>
      <c r="V223">
        <v>326</v>
      </c>
    </row>
    <row r="224" spans="21:22">
      <c r="U224" s="7">
        <v>2.2477776531811671</v>
      </c>
      <c r="V224">
        <v>325</v>
      </c>
    </row>
    <row r="225" spans="21:22">
      <c r="U225" s="7">
        <v>2.1863149829769943</v>
      </c>
      <c r="V225">
        <v>324</v>
      </c>
    </row>
    <row r="226" spans="21:22">
      <c r="U226" s="7">
        <v>2.1308030791123445</v>
      </c>
      <c r="V226">
        <v>323</v>
      </c>
    </row>
    <row r="227" spans="21:22">
      <c r="U227" s="7">
        <v>2.0725389324178662</v>
      </c>
      <c r="V227">
        <v>322</v>
      </c>
    </row>
    <row r="228" spans="21:22">
      <c r="U228" s="7">
        <v>2.015867945984565</v>
      </c>
      <c r="V228">
        <v>321</v>
      </c>
    </row>
    <row r="229" spans="21:22">
      <c r="U229" s="7">
        <v>1.9607465568365494</v>
      </c>
      <c r="V229">
        <v>320</v>
      </c>
    </row>
    <row r="230" spans="21:22">
      <c r="U230" s="7">
        <v>1.9071323931730499</v>
      </c>
      <c r="V230">
        <v>319</v>
      </c>
    </row>
    <row r="231" spans="21:22">
      <c r="U231" s="7">
        <v>1.8549842417972244</v>
      </c>
      <c r="V231">
        <v>318</v>
      </c>
    </row>
    <row r="232" spans="21:22">
      <c r="U232" s="7">
        <v>1.8060735244842117</v>
      </c>
      <c r="V232">
        <v>317</v>
      </c>
    </row>
    <row r="233" spans="21:22">
      <c r="U233" s="7">
        <v>1.7566887015490966</v>
      </c>
      <c r="V233">
        <v>316</v>
      </c>
    </row>
    <row r="234" spans="21:22">
      <c r="U234" s="7">
        <v>1.7086542448661135</v>
      </c>
      <c r="V234">
        <v>315</v>
      </c>
    </row>
    <row r="235" spans="21:22">
      <c r="U235" s="7">
        <v>1.6619332303580556</v>
      </c>
      <c r="V235">
        <v>314</v>
      </c>
    </row>
    <row r="236" spans="21:22">
      <c r="U236" s="7">
        <v>1.6164897435904524</v>
      </c>
      <c r="V236">
        <v>313</v>
      </c>
    </row>
    <row r="237" spans="21:22">
      <c r="U237" s="7">
        <v>1.570710248898926</v>
      </c>
      <c r="V237">
        <v>312</v>
      </c>
    </row>
    <row r="238" spans="21:22">
      <c r="U238" s="7">
        <v>1.527761140530596</v>
      </c>
      <c r="V238">
        <v>311</v>
      </c>
    </row>
    <row r="239" spans="21:22">
      <c r="U239" s="7">
        <v>1.484494467605413</v>
      </c>
      <c r="V239">
        <v>310</v>
      </c>
    </row>
    <row r="240" spans="21:22">
      <c r="U240" s="7">
        <v>1.4439028220068275</v>
      </c>
      <c r="V240">
        <v>309</v>
      </c>
    </row>
    <row r="241" spans="21:22">
      <c r="U241" s="7">
        <v>1.4030110428679623</v>
      </c>
      <c r="V241">
        <v>308</v>
      </c>
    </row>
    <row r="242" spans="21:22">
      <c r="U242" s="7">
        <v>1.3632773316929909</v>
      </c>
      <c r="V242">
        <v>307</v>
      </c>
    </row>
    <row r="243" spans="21:22">
      <c r="U243" s="7">
        <v>1.3246688916352793</v>
      </c>
      <c r="V243">
        <v>306</v>
      </c>
    </row>
    <row r="244" spans="21:22">
      <c r="U244" s="7">
        <v>1.2871538546651395</v>
      </c>
      <c r="V244">
        <v>305</v>
      </c>
    </row>
    <row r="245" spans="21:22">
      <c r="U245" s="7">
        <v>1.2494442690792469</v>
      </c>
      <c r="V245">
        <v>304</v>
      </c>
    </row>
    <row r="246" spans="21:22">
      <c r="U246" s="7">
        <v>1.2140596169275886</v>
      </c>
      <c r="V246">
        <v>303</v>
      </c>
    </row>
    <row r="247" spans="21:22">
      <c r="U247" s="7">
        <v>1.1784914640879129</v>
      </c>
      <c r="V247">
        <v>302</v>
      </c>
    </row>
    <row r="248" spans="21:22">
      <c r="U248" s="7">
        <v>1.1451162175463607</v>
      </c>
      <c r="V248">
        <v>301</v>
      </c>
    </row>
    <row r="249" spans="21:22">
      <c r="U249" s="7">
        <v>1.1115678908604323</v>
      </c>
      <c r="V249">
        <v>300</v>
      </c>
    </row>
    <row r="250" spans="21:22">
      <c r="U250" s="7">
        <v>1.0790024253078805</v>
      </c>
      <c r="V250">
        <v>299</v>
      </c>
    </row>
    <row r="251" spans="21:22">
      <c r="U251" s="7">
        <v>1.0473910261289388</v>
      </c>
      <c r="V251">
        <v>298</v>
      </c>
    </row>
    <row r="252" spans="21:22">
      <c r="U252" s="7">
        <v>1.0167057421603176</v>
      </c>
      <c r="V252">
        <v>297</v>
      </c>
    </row>
    <row r="253" spans="21:22">
      <c r="U253" s="7">
        <v>0.98691944112046448</v>
      </c>
      <c r="V253">
        <v>296</v>
      </c>
    </row>
    <row r="254" spans="21:22">
      <c r="U254" s="7">
        <v>0.9570419971021692</v>
      </c>
      <c r="V254">
        <v>295</v>
      </c>
    </row>
    <row r="255" spans="21:22">
      <c r="U255" s="7">
        <v>0.92806904601802143</v>
      </c>
      <c r="V255">
        <v>294</v>
      </c>
    </row>
    <row r="256" spans="21:22">
      <c r="U256" s="7">
        <v>0.89997320575771034</v>
      </c>
      <c r="V256">
        <v>293</v>
      </c>
    </row>
    <row r="257" spans="21:22">
      <c r="U257" s="7">
        <v>0.8727279231615297</v>
      </c>
      <c r="V257">
        <v>292</v>
      </c>
    </row>
    <row r="258" spans="21:22">
      <c r="U258" s="7">
        <v>0.84630744892519427</v>
      </c>
      <c r="V258">
        <v>291</v>
      </c>
    </row>
    <row r="259" spans="21:22">
      <c r="U259" s="7">
        <v>0.81986034114628192</v>
      </c>
      <c r="V259">
        <v>290</v>
      </c>
    </row>
    <row r="260" spans="21:22">
      <c r="U260" s="7">
        <v>0.79423970548546063</v>
      </c>
      <c r="V260">
        <v>289</v>
      </c>
    </row>
    <row r="261" spans="21:22">
      <c r="U261" s="7">
        <v>0.77019533940142815</v>
      </c>
      <c r="V261">
        <v>288</v>
      </c>
    </row>
    <row r="262" spans="21:22">
      <c r="U262" s="7">
        <v>0.74612673504513349</v>
      </c>
      <c r="V262">
        <v>287</v>
      </c>
    </row>
    <row r="263" spans="21:22">
      <c r="U263" s="7">
        <v>0.72281027457497304</v>
      </c>
      <c r="V263">
        <v>286</v>
      </c>
    </row>
    <row r="264" spans="21:22">
      <c r="U264" s="7">
        <v>0.69951658408574058</v>
      </c>
      <c r="V264">
        <v>285</v>
      </c>
    </row>
    <row r="265" spans="21:22">
      <c r="U265" s="7">
        <v>0.67765669083306124</v>
      </c>
      <c r="V265">
        <v>284</v>
      </c>
    </row>
    <row r="266" spans="21:22">
      <c r="U266" s="7">
        <v>0.65581814513238645</v>
      </c>
      <c r="V266">
        <v>283</v>
      </c>
    </row>
    <row r="267" spans="21:22">
      <c r="U267" s="7">
        <v>0.63468338068964347</v>
      </c>
      <c r="V267">
        <v>282</v>
      </c>
    </row>
    <row r="268" spans="21:22">
      <c r="U268" s="7">
        <v>0.61360990906518265</v>
      </c>
      <c r="V268">
        <v>281</v>
      </c>
    </row>
    <row r="269" spans="21:22">
      <c r="U269" s="7">
        <v>0.59383537098007433</v>
      </c>
      <c r="V269">
        <v>280</v>
      </c>
    </row>
    <row r="270" spans="21:22">
      <c r="U270" s="7">
        <v>0.5741181809280016</v>
      </c>
      <c r="V270">
        <v>279</v>
      </c>
    </row>
    <row r="271" spans="21:22">
      <c r="U271" s="7">
        <v>0.55505566320187649</v>
      </c>
      <c r="V271">
        <v>278</v>
      </c>
    </row>
    <row r="272" spans="21:22">
      <c r="U272" s="7">
        <v>0.53662608063462658</v>
      </c>
      <c r="V272">
        <v>277</v>
      </c>
    </row>
    <row r="273" spans="21:22">
      <c r="U273" s="7">
        <v>0.51880841780105502</v>
      </c>
      <c r="V273">
        <v>276</v>
      </c>
    </row>
    <row r="274" spans="21:22">
      <c r="U274" s="7">
        <v>0.50107570820824554</v>
      </c>
      <c r="V274">
        <v>275</v>
      </c>
    </row>
    <row r="275" spans="21:22">
      <c r="U275" s="7">
        <v>0.48443842883414368</v>
      </c>
      <c r="V275">
        <v>274</v>
      </c>
    </row>
    <row r="276" spans="21:22">
      <c r="U276" s="7">
        <v>0.46740739032044332</v>
      </c>
      <c r="V276">
        <v>273</v>
      </c>
    </row>
    <row r="277" spans="21:22">
      <c r="U277" s="7">
        <v>0.4514315517841001</v>
      </c>
      <c r="V277">
        <v>272</v>
      </c>
    </row>
    <row r="278" spans="21:22">
      <c r="U278" s="7">
        <v>0.43556091129169033</v>
      </c>
      <c r="V278">
        <v>271</v>
      </c>
    </row>
    <row r="279" spans="21:22">
      <c r="U279" s="7">
        <v>0.42067357545652517</v>
      </c>
      <c r="V279">
        <v>270</v>
      </c>
    </row>
    <row r="280" spans="21:22">
      <c r="U280" s="7">
        <v>0.40588427006938166</v>
      </c>
      <c r="V280">
        <v>269</v>
      </c>
    </row>
    <row r="281" spans="21:22">
      <c r="U281" s="7">
        <v>0.39121852984226535</v>
      </c>
      <c r="V281">
        <v>268</v>
      </c>
    </row>
    <row r="282" spans="21:22">
      <c r="U282" s="7">
        <v>0.37746475340249819</v>
      </c>
      <c r="V282">
        <v>267</v>
      </c>
    </row>
    <row r="283" spans="21:22">
      <c r="U283" s="7">
        <v>0.36382589024244694</v>
      </c>
      <c r="V283">
        <v>266</v>
      </c>
    </row>
    <row r="284" spans="21:22">
      <c r="U284" s="7">
        <v>0.35067983756767107</v>
      </c>
      <c r="V284">
        <v>265</v>
      </c>
    </row>
    <row r="285" spans="21:22">
      <c r="U285" s="7">
        <v>0.33766632797043328</v>
      </c>
      <c r="V285">
        <v>264</v>
      </c>
    </row>
    <row r="286" spans="21:22">
      <c r="U286" s="7">
        <v>0.32513574158090547</v>
      </c>
      <c r="V286">
        <v>263</v>
      </c>
    </row>
    <row r="287" spans="21:22">
      <c r="U287" s="7">
        <v>0.31307015742067651</v>
      </c>
      <c r="V287">
        <v>262</v>
      </c>
    </row>
    <row r="288" spans="21:22">
      <c r="U288" s="7">
        <v>0.30145231954764362</v>
      </c>
      <c r="V288">
        <v>261</v>
      </c>
    </row>
    <row r="289" spans="21:22">
      <c r="U289" s="7">
        <v>0.29026561237693027</v>
      </c>
      <c r="V289">
        <v>260</v>
      </c>
    </row>
    <row r="290" spans="21:22">
      <c r="U290" s="7">
        <v>0.27921057440554325</v>
      </c>
      <c r="V290">
        <v>259</v>
      </c>
    </row>
    <row r="291" spans="21:22">
      <c r="U291" s="7">
        <v>0.2685765779193946</v>
      </c>
      <c r="V291">
        <v>258</v>
      </c>
    </row>
    <row r="292" spans="21:22">
      <c r="U292" s="7">
        <v>0.25808530534441826</v>
      </c>
      <c r="V292">
        <v>257</v>
      </c>
    </row>
    <row r="293" spans="21:22">
      <c r="U293" s="7">
        <v>0.24800384810440193</v>
      </c>
      <c r="V293">
        <v>256</v>
      </c>
    </row>
    <row r="294" spans="21:22">
      <c r="U294" s="7">
        <v>0.2383161977878237</v>
      </c>
      <c r="V294">
        <v>255</v>
      </c>
    </row>
    <row r="295" spans="21:22">
      <c r="U295" s="7">
        <v>0.22900697131173686</v>
      </c>
      <c r="V295">
        <v>254</v>
      </c>
    </row>
    <row r="296" spans="21:22">
      <c r="U296" s="7">
        <v>0.21983774687445051</v>
      </c>
      <c r="V296">
        <v>253</v>
      </c>
    </row>
    <row r="297" spans="21:22">
      <c r="U297" s="7">
        <v>0.21103564958748522</v>
      </c>
      <c r="V297">
        <v>252</v>
      </c>
    </row>
    <row r="298" spans="21:22">
      <c r="U298" s="7">
        <v>0.20237989052237351</v>
      </c>
      <c r="V298">
        <v>251</v>
      </c>
    </row>
    <row r="299" spans="21:22">
      <c r="U299" s="7">
        <v>0.1940791528251668</v>
      </c>
      <c r="V299">
        <v>250</v>
      </c>
    </row>
    <row r="300" spans="21:22">
      <c r="U300" s="7">
        <v>0.18611887507257208</v>
      </c>
      <c r="V300">
        <v>249</v>
      </c>
    </row>
    <row r="301" spans="21:22">
      <c r="U301" s="7">
        <v>0.17848509308717364</v>
      </c>
      <c r="V301">
        <v>248</v>
      </c>
    </row>
    <row r="302" spans="21:22">
      <c r="U302" s="7">
        <v>0.17099011359230207</v>
      </c>
      <c r="V302">
        <v>247</v>
      </c>
    </row>
    <row r="303" spans="21:22">
      <c r="U303" s="7">
        <v>0.16380986468168782</v>
      </c>
      <c r="V303">
        <v>246</v>
      </c>
    </row>
    <row r="304" spans="21:22">
      <c r="U304" s="7">
        <v>0.15677115955864654</v>
      </c>
      <c r="V304">
        <v>245</v>
      </c>
    </row>
    <row r="305" spans="21:22">
      <c r="U305" s="7">
        <v>0.15003489879636095</v>
      </c>
      <c r="V305">
        <v>244</v>
      </c>
    </row>
    <row r="306" spans="21:22">
      <c r="U306" s="7">
        <v>0.14358808673870482</v>
      </c>
      <c r="V306">
        <v>243</v>
      </c>
    </row>
    <row r="307" spans="21:22">
      <c r="U307" s="7">
        <v>0.13727806339569532</v>
      </c>
      <c r="V307">
        <v>242</v>
      </c>
    </row>
    <row r="308" spans="21:22">
      <c r="U308" s="7">
        <v>0.13124533600037669</v>
      </c>
      <c r="V308">
        <v>241</v>
      </c>
    </row>
    <row r="309" spans="21:22">
      <c r="U309" s="7">
        <v>0.12534954942223475</v>
      </c>
      <c r="V309">
        <v>240</v>
      </c>
    </row>
    <row r="310" spans="21:22">
      <c r="U310" s="7">
        <v>0.11971861263178279</v>
      </c>
      <c r="V310">
        <v>239</v>
      </c>
    </row>
    <row r="311" spans="21:22">
      <c r="U311" s="7">
        <v>0.11434062807996442</v>
      </c>
      <c r="V311">
        <v>238</v>
      </c>
    </row>
    <row r="312" spans="21:22">
      <c r="U312" s="7">
        <v>0.10909257190832544</v>
      </c>
      <c r="V312">
        <v>237</v>
      </c>
    </row>
    <row r="313" spans="21:22">
      <c r="U313" s="7">
        <v>0.1040853933148769</v>
      </c>
      <c r="V313">
        <v>236</v>
      </c>
    </row>
    <row r="314" spans="21:22">
      <c r="U314" s="7">
        <v>9.9206390503242037E-2</v>
      </c>
      <c r="V314">
        <v>235</v>
      </c>
    </row>
    <row r="315" spans="21:22">
      <c r="U315" s="7">
        <v>9.455609094840256E-2</v>
      </c>
      <c r="V315">
        <v>234</v>
      </c>
    </row>
    <row r="316" spans="21:22">
      <c r="U316" s="7">
        <v>9.0031434252629383E-2</v>
      </c>
      <c r="V316">
        <v>233</v>
      </c>
    </row>
    <row r="317" spans="21:22">
      <c r="U317" s="7">
        <v>8.5723289449525036E-2</v>
      </c>
      <c r="V317">
        <v>232</v>
      </c>
    </row>
    <row r="318" spans="21:22">
      <c r="U318" s="7">
        <v>8.1621296106725499E-2</v>
      </c>
      <c r="V318">
        <v>231</v>
      </c>
    </row>
    <row r="319" spans="21:22">
      <c r="U319" s="7">
        <v>7.7635881257764286E-2</v>
      </c>
      <c r="V319">
        <v>230</v>
      </c>
    </row>
    <row r="320" spans="21:22">
      <c r="U320" s="7">
        <v>7.376925045293424E-2</v>
      </c>
      <c r="V320">
        <v>229</v>
      </c>
    </row>
    <row r="321" spans="21:22">
      <c r="U321" s="7">
        <v>7.009519598701662E-2</v>
      </c>
      <c r="V321">
        <v>228</v>
      </c>
    </row>
    <row r="322" spans="21:22">
      <c r="U322" s="7">
        <v>6.6604126655632007E-2</v>
      </c>
      <c r="V322">
        <v>227</v>
      </c>
    </row>
    <row r="323" spans="21:22">
      <c r="U323" s="7">
        <v>6.3221885848900705E-2</v>
      </c>
      <c r="V323">
        <v>226</v>
      </c>
    </row>
    <row r="324" spans="21:22">
      <c r="U324" s="7">
        <v>6.0011399458136216E-2</v>
      </c>
      <c r="V324">
        <v>225</v>
      </c>
    </row>
    <row r="325" spans="21:22">
      <c r="U325" s="7">
        <v>5.6905340697119403E-2</v>
      </c>
      <c r="V325">
        <v>224</v>
      </c>
    </row>
    <row r="326" spans="21:22">
      <c r="U326" s="7">
        <v>5.3904473121294746E-2</v>
      </c>
      <c r="V326">
        <v>223</v>
      </c>
    </row>
    <row r="327" spans="21:22">
      <c r="U327" s="7">
        <v>5.1061854421538967E-2</v>
      </c>
      <c r="V327">
        <v>222</v>
      </c>
    </row>
    <row r="328" spans="21:22">
      <c r="U328" s="7">
        <v>4.8369139442278122E-2</v>
      </c>
      <c r="V328">
        <v>221</v>
      </c>
    </row>
    <row r="329" spans="21:22">
      <c r="U329" s="7">
        <v>4.5771187616765144E-2</v>
      </c>
      <c r="V329">
        <v>220</v>
      </c>
    </row>
    <row r="330" spans="21:22">
      <c r="U330" s="7">
        <v>4.3268075793973307E-2</v>
      </c>
      <c r="V330">
        <v>219</v>
      </c>
    </row>
    <row r="331" spans="21:22">
      <c r="U331" s="7">
        <v>4.0901852898990398E-2</v>
      </c>
      <c r="V331">
        <v>218</v>
      </c>
    </row>
    <row r="332" spans="21:22">
      <c r="U332" s="7">
        <v>3.8625089602855191E-2</v>
      </c>
      <c r="V332">
        <v>217</v>
      </c>
    </row>
    <row r="333" spans="21:22">
      <c r="U333" s="7">
        <v>3.6475060201133759E-2</v>
      </c>
      <c r="V333">
        <v>216</v>
      </c>
    </row>
    <row r="334" spans="21:22">
      <c r="U334" s="7">
        <v>3.4409089994428918E-2</v>
      </c>
      <c r="V334">
        <v>215</v>
      </c>
    </row>
    <row r="335" spans="21:22">
      <c r="U335" s="7">
        <v>3.2460137631463215E-2</v>
      </c>
      <c r="V335">
        <v>214</v>
      </c>
    </row>
    <row r="336" spans="21:22">
      <c r="U336" s="7">
        <v>3.0558176442119667E-2</v>
      </c>
      <c r="V336">
        <v>213</v>
      </c>
    </row>
    <row r="337" spans="21:22">
      <c r="U337" s="7">
        <v>2.8797500260395972E-2</v>
      </c>
      <c r="V337">
        <v>212</v>
      </c>
    </row>
    <row r="338" spans="21:22">
      <c r="U338" s="7">
        <v>2.7082024170665353E-2</v>
      </c>
      <c r="V338">
        <v>211</v>
      </c>
    </row>
    <row r="339" spans="21:22">
      <c r="U339" s="7">
        <v>2.5468739527686263E-2</v>
      </c>
      <c r="V339">
        <v>210</v>
      </c>
    </row>
    <row r="340" spans="21:22">
      <c r="U340" s="7">
        <v>2.3951558755040889E-2</v>
      </c>
      <c r="V340">
        <v>209</v>
      </c>
    </row>
    <row r="341" spans="21:22">
      <c r="U341" s="7">
        <v>2.2477976526947552E-2</v>
      </c>
      <c r="V341">
        <v>208</v>
      </c>
    </row>
    <row r="342" spans="21:22">
      <c r="U342" s="7">
        <v>2.1095054142965426E-2</v>
      </c>
      <c r="V342">
        <v>207</v>
      </c>
    </row>
    <row r="343" spans="21:22">
      <c r="U343" s="7">
        <v>1.9797213897841576E-2</v>
      </c>
      <c r="V343">
        <v>206</v>
      </c>
    </row>
    <row r="344" spans="21:22">
      <c r="U344" s="7">
        <v>1.8550221420877921E-2</v>
      </c>
      <c r="V344">
        <v>205</v>
      </c>
    </row>
    <row r="345" spans="21:22">
      <c r="U345" s="7">
        <v>1.7372717131466726E-2</v>
      </c>
      <c r="V345">
        <v>204</v>
      </c>
    </row>
    <row r="346" spans="21:22">
      <c r="U346" s="7">
        <v>1.625299122260266E-2</v>
      </c>
      <c r="V346">
        <v>203</v>
      </c>
    </row>
    <row r="347" spans="21:22">
      <c r="U347" s="7">
        <v>1.5205435147708349E-2</v>
      </c>
      <c r="V347">
        <v>202</v>
      </c>
    </row>
    <row r="348" spans="21:22">
      <c r="U348" s="7">
        <v>1.4210548277692275E-2</v>
      </c>
      <c r="V348">
        <v>201</v>
      </c>
    </row>
    <row r="349" spans="21:22">
      <c r="U349" s="7">
        <v>1.3266879056126772E-2</v>
      </c>
      <c r="V349">
        <v>200</v>
      </c>
    </row>
    <row r="350" spans="21:22">
      <c r="U350" s="7">
        <v>1.2372919432227604E-2</v>
      </c>
      <c r="V350">
        <v>199</v>
      </c>
    </row>
    <row r="351" spans="21:22">
      <c r="U351" s="7">
        <v>1.1527114392915171E-2</v>
      </c>
      <c r="V351">
        <v>198</v>
      </c>
    </row>
    <row r="352" spans="21:22">
      <c r="U352" s="7">
        <v>1.0739128057461985E-2</v>
      </c>
      <c r="V352">
        <v>197</v>
      </c>
    </row>
    <row r="353" spans="21:22">
      <c r="U353" s="7">
        <v>9.9945205456653044E-3</v>
      </c>
      <c r="V353">
        <v>196</v>
      </c>
    </row>
    <row r="354" spans="21:22">
      <c r="U354" s="7">
        <v>9.2917808197982132E-3</v>
      </c>
      <c r="V354">
        <v>195</v>
      </c>
    </row>
    <row r="355" spans="21:22">
      <c r="U355" s="7">
        <v>8.6384524809061496E-3</v>
      </c>
      <c r="V355">
        <v>194</v>
      </c>
    </row>
    <row r="356" spans="21:22">
      <c r="U356" s="7">
        <v>8.0141893133406656E-3</v>
      </c>
      <c r="V356">
        <v>193</v>
      </c>
    </row>
    <row r="357" spans="21:22">
      <c r="U357" s="7">
        <v>7.4350389137437817E-3</v>
      </c>
      <c r="V357">
        <v>192</v>
      </c>
    </row>
    <row r="358" spans="21:22">
      <c r="U358" s="7">
        <v>6.886850009458963E-3</v>
      </c>
      <c r="V358">
        <v>191</v>
      </c>
    </row>
    <row r="359" spans="21:22">
      <c r="U359" s="7">
        <v>6.3757166103194304E-3</v>
      </c>
      <c r="V359">
        <v>190</v>
      </c>
    </row>
    <row r="360" spans="21:22">
      <c r="U360" s="7">
        <v>5.8962926073950189E-3</v>
      </c>
      <c r="V360">
        <v>189</v>
      </c>
    </row>
    <row r="361" spans="21:22">
      <c r="U361" s="7">
        <v>5.4471609439411019E-3</v>
      </c>
      <c r="V361">
        <v>188</v>
      </c>
    </row>
    <row r="362" spans="21:22">
      <c r="U362" s="7">
        <v>5.0269209883050218E-3</v>
      </c>
      <c r="V362">
        <v>187</v>
      </c>
    </row>
    <row r="363" spans="21:22">
      <c r="U363" s="7">
        <v>4.6366473373575133E-3</v>
      </c>
      <c r="V363">
        <v>186</v>
      </c>
    </row>
    <row r="364" spans="21:22">
      <c r="U364" s="7">
        <v>4.2698812882110693E-3</v>
      </c>
      <c r="V364">
        <v>185</v>
      </c>
    </row>
    <row r="365" spans="21:22">
      <c r="U365" s="7">
        <v>3.9321270066240612E-3</v>
      </c>
      <c r="V365">
        <v>184</v>
      </c>
    </row>
    <row r="366" spans="21:22">
      <c r="U366" s="7">
        <v>3.6134096808918374E-3</v>
      </c>
      <c r="V366">
        <v>183</v>
      </c>
    </row>
    <row r="367" spans="21:22">
      <c r="U367" s="7">
        <v>3.3169971680061788E-3</v>
      </c>
      <c r="V367">
        <v>182</v>
      </c>
    </row>
    <row r="368" spans="21:22">
      <c r="U368" s="7">
        <v>3.0448997440681719E-3</v>
      </c>
      <c r="V368">
        <v>181</v>
      </c>
    </row>
    <row r="369" spans="21:22">
      <c r="U369" s="7">
        <v>2.7891757421249462E-3</v>
      </c>
      <c r="V369">
        <v>180</v>
      </c>
    </row>
    <row r="370" spans="21:22">
      <c r="U370" s="7">
        <v>2.5522047562217525E-3</v>
      </c>
      <c r="V370">
        <v>179</v>
      </c>
    </row>
    <row r="371" spans="21:22">
      <c r="U371" s="7">
        <v>2.3341208537125697E-3</v>
      </c>
      <c r="V371">
        <v>178</v>
      </c>
    </row>
    <row r="372" spans="21:22">
      <c r="U372" s="7">
        <v>2.1312529279504419E-3</v>
      </c>
      <c r="V372">
        <v>177</v>
      </c>
    </row>
    <row r="373" spans="21:22">
      <c r="U373" s="7">
        <v>1.9439357760797976E-3</v>
      </c>
      <c r="V373">
        <v>176</v>
      </c>
    </row>
    <row r="374" spans="21:22">
      <c r="U374" s="7">
        <v>1.7711836709789562E-3</v>
      </c>
      <c r="V374">
        <v>175</v>
      </c>
    </row>
    <row r="375" spans="21:22">
      <c r="U375" s="7">
        <v>1.6120538880394406E-3</v>
      </c>
      <c r="V375">
        <v>174</v>
      </c>
    </row>
    <row r="376" spans="21:22">
      <c r="U376" s="7">
        <v>1.4640723787858201E-3</v>
      </c>
      <c r="V376">
        <v>173</v>
      </c>
    </row>
    <row r="377" spans="21:22">
      <c r="U377" s="7">
        <v>1.3296751096394653E-3</v>
      </c>
      <c r="V377">
        <v>172</v>
      </c>
    </row>
    <row r="378" spans="21:22">
      <c r="U378" s="7">
        <v>1.2050180681107653E-3</v>
      </c>
      <c r="V378">
        <v>171</v>
      </c>
    </row>
    <row r="379" spans="21:22">
      <c r="U379" s="7">
        <v>1.0908708487682417E-3</v>
      </c>
      <c r="V379">
        <v>170</v>
      </c>
    </row>
    <row r="380" spans="21:22">
      <c r="U380" s="7">
        <v>9.8593844778809329E-4</v>
      </c>
      <c r="V380">
        <v>169</v>
      </c>
    </row>
    <row r="381" spans="21:22">
      <c r="U381" s="7">
        <v>8.901368115039963E-4</v>
      </c>
      <c r="V381">
        <v>168</v>
      </c>
    </row>
    <row r="382" spans="21:22">
      <c r="U382" s="7">
        <v>8.0234011427557481E-4</v>
      </c>
      <c r="V382">
        <v>167</v>
      </c>
    </row>
    <row r="383" spans="21:22">
      <c r="U383" s="7">
        <v>7.2241951695515639E-4</v>
      </c>
      <c r="V383">
        <v>166</v>
      </c>
    </row>
    <row r="384" spans="21:22">
      <c r="U384" s="7">
        <v>6.4940152866916159E-4</v>
      </c>
      <c r="V384">
        <v>165</v>
      </c>
    </row>
    <row r="385" spans="21:22">
      <c r="U385" s="7">
        <v>5.8281250473335888E-4</v>
      </c>
      <c r="V385">
        <v>164</v>
      </c>
    </row>
    <row r="386" spans="21:22">
      <c r="U386" s="7">
        <v>5.2248230404806982E-4</v>
      </c>
      <c r="V386">
        <v>163</v>
      </c>
    </row>
    <row r="387" spans="21:22">
      <c r="U387" s="7">
        <v>4.6737674854299992E-4</v>
      </c>
      <c r="V387">
        <v>162</v>
      </c>
    </row>
    <row r="388" spans="21:22">
      <c r="U388" s="7">
        <v>4.1762668448910639E-4</v>
      </c>
      <c r="V388">
        <v>161</v>
      </c>
    </row>
    <row r="389" spans="21:22">
      <c r="U389" s="7">
        <v>3.7276444299125315E-4</v>
      </c>
      <c r="V389">
        <v>160</v>
      </c>
    </row>
    <row r="390" spans="21:22">
      <c r="U390" s="7">
        <v>3.3199333203908486E-4</v>
      </c>
      <c r="V390">
        <v>159</v>
      </c>
    </row>
    <row r="391" spans="21:22">
      <c r="U391" s="7">
        <v>2.9503313687067115E-4</v>
      </c>
      <c r="V391">
        <v>158</v>
      </c>
    </row>
    <row r="392" spans="21:22">
      <c r="U392" s="7">
        <v>2.6189953263226572E-4</v>
      </c>
      <c r="V392">
        <v>157</v>
      </c>
    </row>
    <row r="393" spans="21:22">
      <c r="U393" s="7">
        <v>2.3223122620126687E-4</v>
      </c>
      <c r="V393">
        <v>156</v>
      </c>
    </row>
    <row r="394" spans="21:22">
      <c r="U394" s="7">
        <v>2.0524341768764307E-4</v>
      </c>
      <c r="V394">
        <v>155</v>
      </c>
    </row>
    <row r="395" spans="21:22">
      <c r="U395" s="7">
        <v>1.8139188770245797E-4</v>
      </c>
      <c r="V395">
        <v>154</v>
      </c>
    </row>
    <row r="396" spans="21:22">
      <c r="U396" s="7">
        <v>1.5978074483165731E-4</v>
      </c>
      <c r="V396">
        <v>153</v>
      </c>
    </row>
    <row r="397" spans="21:22">
      <c r="U397" s="7">
        <v>1.4058833114582347E-4</v>
      </c>
      <c r="V397">
        <v>152</v>
      </c>
    </row>
    <row r="398" spans="21:22">
      <c r="U398" s="7">
        <v>1.2342666962899932E-4</v>
      </c>
      <c r="V398">
        <v>151</v>
      </c>
    </row>
    <row r="399" spans="21:22">
      <c r="U399" s="7">
        <v>1.0823940363949354E-4</v>
      </c>
      <c r="V399">
        <v>150</v>
      </c>
    </row>
  </sheetData>
  <mergeCells count="38">
    <mergeCell ref="AN28:AP28"/>
    <mergeCell ref="AQ28:AS28"/>
    <mergeCell ref="AM28:AM29"/>
    <mergeCell ref="AV28:AV29"/>
    <mergeCell ref="AW28:AY28"/>
    <mergeCell ref="AZ28:BB28"/>
    <mergeCell ref="D27:H28"/>
    <mergeCell ref="A38:B39"/>
    <mergeCell ref="C38:C39"/>
    <mergeCell ref="J37:K37"/>
    <mergeCell ref="J33:K33"/>
    <mergeCell ref="J34:K34"/>
    <mergeCell ref="J35:K35"/>
    <mergeCell ref="J36:K36"/>
    <mergeCell ref="I29:K29"/>
    <mergeCell ref="J30:K30"/>
    <mergeCell ref="J31:K31"/>
    <mergeCell ref="J32:K32"/>
    <mergeCell ref="AG28:AG29"/>
    <mergeCell ref="AH28:AJ28"/>
    <mergeCell ref="B71:C71"/>
    <mergeCell ref="C69:D69"/>
    <mergeCell ref="D70:E70"/>
    <mergeCell ref="A43:C45"/>
    <mergeCell ref="A27:C28"/>
    <mergeCell ref="L40:O40"/>
    <mergeCell ref="P40:S40"/>
    <mergeCell ref="J48:K48"/>
    <mergeCell ref="D45:H45"/>
    <mergeCell ref="D46:H46"/>
    <mergeCell ref="AL1:AL14"/>
    <mergeCell ref="D26:G26"/>
    <mergeCell ref="J12:K12"/>
    <mergeCell ref="J15:K15"/>
    <mergeCell ref="W1:X1"/>
    <mergeCell ref="J6:K6"/>
    <mergeCell ref="J9:K9"/>
    <mergeCell ref="AD1:AI1"/>
  </mergeCells>
  <phoneticPr fontId="21" type="noConversion"/>
  <pageMargins left="0.75" right="0.75" top="1" bottom="1" header="0.5" footer="0.5"/>
  <pageSetup paperSize="9" orientation="portrait" horizontalDpi="200" verticalDpi="2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121" r:id="rId4" name="ComboBox4">
          <controlPr defaultSize="0" autoLine="0" listFillRange="Вспом.лист!D1:D10" r:id="rId5">
            <anchor moveWithCells="1">
              <from>
                <xdr:col>9</xdr:col>
                <xdr:colOff>28575</xdr:colOff>
                <xdr:row>15</xdr:row>
                <xdr:rowOff>19050</xdr:rowOff>
              </from>
              <to>
                <xdr:col>11</xdr:col>
                <xdr:colOff>66675</xdr:colOff>
                <xdr:row>16</xdr:row>
                <xdr:rowOff>133350</xdr:rowOff>
              </to>
            </anchor>
          </controlPr>
        </control>
      </mc:Choice>
      <mc:Fallback>
        <control shapeId="1121" r:id="rId4" name="ComboBox4"/>
      </mc:Fallback>
    </mc:AlternateContent>
    <mc:AlternateContent xmlns:mc="http://schemas.openxmlformats.org/markup-compatibility/2006">
      <mc:Choice Requires="x14">
        <control shapeId="1113" r:id="rId6" name="ComboBox3">
          <controlPr autoLine="0" listFillRange="Вспом.лист!C1:C5" r:id="rId7">
            <anchor moveWithCells="1">
              <from>
                <xdr:col>9</xdr:col>
                <xdr:colOff>19050</xdr:colOff>
                <xdr:row>12</xdr:row>
                <xdr:rowOff>19050</xdr:rowOff>
              </from>
              <to>
                <xdr:col>11</xdr:col>
                <xdr:colOff>38100</xdr:colOff>
                <xdr:row>14</xdr:row>
                <xdr:rowOff>0</xdr:rowOff>
              </to>
            </anchor>
          </controlPr>
        </control>
      </mc:Choice>
      <mc:Fallback>
        <control shapeId="1113" r:id="rId6" name="ComboBox3"/>
      </mc:Fallback>
    </mc:AlternateContent>
    <mc:AlternateContent xmlns:mc="http://schemas.openxmlformats.org/markup-compatibility/2006">
      <mc:Choice Requires="x14">
        <control shapeId="1111" r:id="rId8" name="ComboBox1">
          <controlPr defaultSize="0" autoLine="0" autoPict="0" listFillRange="Вспом.лист!A1:A8" r:id="rId9">
            <anchor moveWithCells="1">
              <from>
                <xdr:col>9</xdr:col>
                <xdr:colOff>19050</xdr:colOff>
                <xdr:row>6</xdr:row>
                <xdr:rowOff>0</xdr:rowOff>
              </from>
              <to>
                <xdr:col>11</xdr:col>
                <xdr:colOff>28575</xdr:colOff>
                <xdr:row>7</xdr:row>
                <xdr:rowOff>123825</xdr:rowOff>
              </to>
            </anchor>
          </controlPr>
        </control>
      </mc:Choice>
      <mc:Fallback>
        <control shapeId="1111" r:id="rId8" name="ComboBox1"/>
      </mc:Fallback>
    </mc:AlternateContent>
    <mc:AlternateContent xmlns:mc="http://schemas.openxmlformats.org/markup-compatibility/2006">
      <mc:Choice Requires="x14">
        <control shapeId="1109" r:id="rId10" name="ComboBox2">
          <controlPr defaultSize="0" autoLine="0" listFillRange="Вспом.лист!B1:B5" r:id="rId11">
            <anchor moveWithCells="1">
              <from>
                <xdr:col>9</xdr:col>
                <xdr:colOff>9525</xdr:colOff>
                <xdr:row>9</xdr:row>
                <xdr:rowOff>19050</xdr:rowOff>
              </from>
              <to>
                <xdr:col>11</xdr:col>
                <xdr:colOff>47625</xdr:colOff>
                <xdr:row>10</xdr:row>
                <xdr:rowOff>142875</xdr:rowOff>
              </to>
            </anchor>
          </controlPr>
        </control>
      </mc:Choice>
      <mc:Fallback>
        <control shapeId="1109" r:id="rId10" name="ComboBox2"/>
      </mc:Fallback>
    </mc:AlternateContent>
    <mc:AlternateContent xmlns:mc="http://schemas.openxmlformats.org/markup-compatibility/2006">
      <mc:Choice Requires="x14">
        <control shapeId="1025" r:id="rId12" name="Кнопка 1">
          <controlPr defaultSize="0" print="0" autoFill="0" autoPict="0" macro="[0]!crit_point">
            <anchor moveWithCells="1" sizeWithCells="1">
              <from>
                <xdr:col>17</xdr:col>
                <xdr:colOff>180975</xdr:colOff>
                <xdr:row>0</xdr:row>
                <xdr:rowOff>19050</xdr:rowOff>
              </from>
              <to>
                <xdr:col>19</xdr:col>
                <xdr:colOff>285750</xdr:colOff>
                <xdr:row>2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7" r:id="rId13" name="Кнопка 3">
          <controlPr defaultSize="0" print="0" autoFill="0" autoPict="0" macro="[0]!Faz_diagramm">
            <anchor moveWithCells="1" sizeWithCells="1">
              <from>
                <xdr:col>15</xdr:col>
                <xdr:colOff>9525</xdr:colOff>
                <xdr:row>0</xdr:row>
                <xdr:rowOff>0</xdr:rowOff>
              </from>
              <to>
                <xdr:col>17</xdr:col>
                <xdr:colOff>180975</xdr:colOff>
                <xdr:row>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7" r:id="rId14" name="Кнопка 13">
          <controlPr defaultSize="0" print="0" autoFill="0" autoPict="0" macro="[0]!CVD_cn">
            <anchor moveWithCells="1" sizeWithCells="1">
              <from>
                <xdr:col>0</xdr:col>
                <xdr:colOff>0</xdr:colOff>
                <xdr:row>46</xdr:row>
                <xdr:rowOff>9525</xdr:rowOff>
              </from>
              <to>
                <xdr:col>2</xdr:col>
                <xdr:colOff>647700</xdr:colOff>
                <xdr:row>47</xdr:row>
                <xdr:rowOff>123825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1" r:id="rId15" name="Кнопка 17">
          <controlPr defaultSize="0" print="0" autoFill="0" autoPict="0" macro="[0]!press_saturation_from_crit_point">
            <anchor moveWithCells="1" sizeWithCells="1">
              <from>
                <xdr:col>24</xdr:col>
                <xdr:colOff>9525</xdr:colOff>
                <xdr:row>0</xdr:row>
                <xdr:rowOff>0</xdr:rowOff>
              </from>
              <to>
                <xdr:col>28</xdr:col>
                <xdr:colOff>247650</xdr:colOff>
                <xdr:row>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70" r:id="rId16" name="Кнопка 46">
          <controlPr defaultSize="0" print="0" autoFill="0" autoPict="0" macro="[0]!flash_calc">
            <anchor moveWithCells="1" sizeWithCells="1">
              <from>
                <xdr:col>22</xdr:col>
                <xdr:colOff>9525</xdr:colOff>
                <xdr:row>3</xdr:row>
                <xdr:rowOff>19050</xdr:rowOff>
              </from>
              <to>
                <xdr:col>23</xdr:col>
                <xdr:colOff>590550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73" r:id="rId17" name="Кнопка 49">
          <controlPr defaultSize="0" print="0" autoFill="0" autoPict="0" macro="[0]!Heptane_plus">
            <anchor moveWithCells="1" sizeWithCells="1">
              <from>
                <xdr:col>9</xdr:col>
                <xdr:colOff>9525</xdr:colOff>
                <xdr:row>0</xdr:row>
                <xdr:rowOff>19050</xdr:rowOff>
              </from>
              <to>
                <xdr:col>11</xdr:col>
                <xdr:colOff>9525</xdr:colOff>
                <xdr:row>1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76" r:id="rId18" name="Кнопка 52">
          <controlPr defaultSize="0" print="0" autoFill="0" autoPict="0" macro="[0]!press_saturation">
            <anchor moveWithCells="1" sizeWithCells="1">
              <from>
                <xdr:col>9</xdr:col>
                <xdr:colOff>9525</xdr:colOff>
                <xdr:row>21</xdr:row>
                <xdr:rowOff>152400</xdr:rowOff>
              </from>
              <to>
                <xdr:col>10</xdr:col>
                <xdr:colOff>552450</xdr:colOff>
                <xdr:row>23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78" r:id="rId19" name="Кнопка 54">
          <controlPr defaultSize="0" print="0" autoFill="0" autoPict="0" macro="[0]!presssp">
            <anchor moveWithCells="1" sizeWithCells="1">
              <from>
                <xdr:col>26</xdr:col>
                <xdr:colOff>19050</xdr:colOff>
                <xdr:row>2</xdr:row>
                <xdr:rowOff>190500</xdr:rowOff>
              </from>
              <to>
                <xdr:col>28</xdr:col>
                <xdr:colOff>247650</xdr:colOff>
                <xdr:row>4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1" r:id="rId20" name="Кнопка 57">
          <controlPr defaultSize="0" print="0" autoFill="0" autoPict="0" macro="[0]!CVD_diff">
            <anchor moveWithCells="1" sizeWithCells="1">
              <from>
                <xdr:col>0</xdr:col>
                <xdr:colOff>0</xdr:colOff>
                <xdr:row>28</xdr:row>
                <xdr:rowOff>9525</xdr:rowOff>
              </from>
              <to>
                <xdr:col>3</xdr:col>
                <xdr:colOff>19050</xdr:colOff>
                <xdr:row>28</xdr:row>
                <xdr:rowOff>628650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4" r:id="rId21" name="Кнопка 70">
          <controlPr defaultSize="0" print="0" autoFill="0" autoPict="0" macro="[0]!Final">
            <anchor moveWithCells="1" sizeWithCells="1">
              <from>
                <xdr:col>8</xdr:col>
                <xdr:colOff>0</xdr:colOff>
                <xdr:row>25</xdr:row>
                <xdr:rowOff>28575</xdr:rowOff>
              </from>
              <to>
                <xdr:col>11</xdr:col>
                <xdr:colOff>0</xdr:colOff>
                <xdr:row>28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7" r:id="rId22" name="Кнопка 73">
          <controlPr defaultSize="0" print="0" autoFill="0" autoPict="0" macro="[0]!Vstav_Param">
            <anchor moveWithCells="1" sizeWithCells="1">
              <from>
                <xdr:col>8</xdr:col>
                <xdr:colOff>0</xdr:colOff>
                <xdr:row>37</xdr:row>
                <xdr:rowOff>28575</xdr:rowOff>
              </from>
              <to>
                <xdr:col>10</xdr:col>
                <xdr:colOff>552450</xdr:colOff>
                <xdr:row>40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10" r:id="rId23" name="Кнопка 86">
          <controlPr defaultSize="0" print="0" autoFill="0" autoPict="0" macro="[0]!Library">
            <anchor moveWithCells="1" sizeWithCells="1">
              <from>
                <xdr:col>9</xdr:col>
                <xdr:colOff>19050</xdr:colOff>
                <xdr:row>16</xdr:row>
                <xdr:rowOff>114300</xdr:rowOff>
              </from>
              <to>
                <xdr:col>11</xdr:col>
                <xdr:colOff>19050</xdr:colOff>
                <xdr:row>19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27" r:id="rId24" name="Кнопка 103">
          <controlPr defaultSize="0" print="0" autoFill="0" autoPict="0" macro="[0]!Remove_MISSING">
            <anchor moveWithCells="1" sizeWithCells="1">
              <from>
                <xdr:col>0</xdr:col>
                <xdr:colOff>19050</xdr:colOff>
                <xdr:row>38</xdr:row>
                <xdr:rowOff>152400</xdr:rowOff>
              </from>
              <to>
                <xdr:col>2</xdr:col>
                <xdr:colOff>676275</xdr:colOff>
                <xdr:row>41</xdr:row>
                <xdr:rowOff>142875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48" r:id="rId25" name="Кнопка 224">
          <controlPr defaultSize="0" print="0" autoFill="0" autoPict="0" macro="[0]!Onephase">
            <anchor moveWithCells="1" sizeWithCells="1">
              <from>
                <xdr:col>29</xdr:col>
                <xdr:colOff>85725</xdr:colOff>
                <xdr:row>2</xdr:row>
                <xdr:rowOff>66675</xdr:rowOff>
              </from>
              <to>
                <xdr:col>31</xdr:col>
                <xdr:colOff>171450</xdr:colOff>
                <xdr:row>5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86622" r:id="rId26" name="Кнопка 1534">
          <controlPr defaultSize="0" print="0" autoFill="0" autoPict="0" macro="[0]!test">
            <anchor moveWithCells="1" sizeWithCells="1">
              <from>
                <xdr:col>29</xdr:col>
                <xdr:colOff>9525</xdr:colOff>
                <xdr:row>19</xdr:row>
                <xdr:rowOff>19050</xdr:rowOff>
              </from>
              <to>
                <xdr:col>31</xdr:col>
                <xdr:colOff>276225</xdr:colOff>
                <xdr:row>22</xdr:row>
                <xdr:rowOff>66675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AH133"/>
  <sheetViews>
    <sheetView topLeftCell="A75" zoomScale="75" workbookViewId="0">
      <selection activeCell="K87" sqref="K87:P101"/>
    </sheetView>
  </sheetViews>
  <sheetFormatPr defaultRowHeight="12.75"/>
  <cols>
    <col min="4" max="4" width="10.42578125" bestFit="1" customWidth="1"/>
    <col min="11" max="11" width="11" customWidth="1"/>
    <col min="15" max="15" width="10.7109375" bestFit="1" customWidth="1"/>
    <col min="18" max="18" width="12.85546875" bestFit="1" customWidth="1"/>
  </cols>
  <sheetData>
    <row r="1" spans="1:34" ht="24.75" thickTop="1" thickBot="1">
      <c r="A1" s="64" t="s">
        <v>0</v>
      </c>
      <c r="B1" s="68" t="s">
        <v>1</v>
      </c>
      <c r="C1" s="68" t="s">
        <v>56</v>
      </c>
      <c r="D1" s="72" t="s">
        <v>3</v>
      </c>
      <c r="E1" s="68" t="s">
        <v>58</v>
      </c>
      <c r="F1" s="71" t="s">
        <v>59</v>
      </c>
      <c r="G1" s="74" t="s">
        <v>26</v>
      </c>
      <c r="J1" s="187" t="s">
        <v>90</v>
      </c>
      <c r="K1" s="31" t="s">
        <v>46</v>
      </c>
      <c r="L1" s="32"/>
    </row>
    <row r="2" spans="1:34" ht="16.5" thickTop="1">
      <c r="A2" s="165">
        <v>1</v>
      </c>
      <c r="B2" s="256" t="s">
        <v>22</v>
      </c>
      <c r="C2" s="277">
        <v>44.01</v>
      </c>
      <c r="D2" s="278">
        <v>0.22500000000000001</v>
      </c>
      <c r="E2" s="278">
        <v>304.7</v>
      </c>
      <c r="F2" s="278">
        <v>7.3865999999999996</v>
      </c>
      <c r="G2" s="180">
        <v>-8.1699999999999995E-2</v>
      </c>
      <c r="J2" s="188" t="s">
        <v>11</v>
      </c>
      <c r="K2" s="154" t="s">
        <v>83</v>
      </c>
      <c r="L2" s="107" t="s">
        <v>84</v>
      </c>
      <c r="M2" s="107" t="s">
        <v>157</v>
      </c>
      <c r="N2" s="107" t="s">
        <v>159</v>
      </c>
      <c r="O2" s="107" t="s">
        <v>193</v>
      </c>
      <c r="P2" s="107" t="s">
        <v>85</v>
      </c>
      <c r="Q2" s="107" t="s">
        <v>4</v>
      </c>
      <c r="R2" s="107" t="s">
        <v>5</v>
      </c>
      <c r="S2" s="154" t="s">
        <v>6</v>
      </c>
      <c r="T2" s="107" t="s">
        <v>7</v>
      </c>
      <c r="U2" s="154" t="s">
        <v>8</v>
      </c>
      <c r="V2" s="154" t="s">
        <v>9</v>
      </c>
      <c r="W2" s="107" t="s">
        <v>10</v>
      </c>
      <c r="X2" s="154" t="s">
        <v>35</v>
      </c>
      <c r="Y2" s="154" t="s">
        <v>36</v>
      </c>
      <c r="Z2" s="154" t="s">
        <v>37</v>
      </c>
      <c r="AA2" s="154" t="s">
        <v>38</v>
      </c>
      <c r="AB2" s="154" t="s">
        <v>39</v>
      </c>
      <c r="AC2" s="154" t="s">
        <v>40</v>
      </c>
      <c r="AD2" s="154" t="s">
        <v>41</v>
      </c>
      <c r="AE2" s="154" t="s">
        <v>42</v>
      </c>
      <c r="AF2" s="154" t="s">
        <v>43</v>
      </c>
      <c r="AG2" s="154" t="s">
        <v>91</v>
      </c>
      <c r="AH2" s="154" t="s">
        <v>92</v>
      </c>
    </row>
    <row r="3" spans="1:34" ht="14.25">
      <c r="A3" s="19">
        <v>2</v>
      </c>
      <c r="B3" s="222" t="s">
        <v>23</v>
      </c>
      <c r="C3" s="277">
        <v>28.013000000000002</v>
      </c>
      <c r="D3" s="278">
        <v>0.04</v>
      </c>
      <c r="E3" s="278">
        <v>126.2</v>
      </c>
      <c r="F3" s="278">
        <v>3.3944000000000001</v>
      </c>
      <c r="G3" s="180">
        <v>-0.19270000000000001</v>
      </c>
      <c r="J3" s="106" t="s">
        <v>83</v>
      </c>
      <c r="K3" s="190">
        <v>0</v>
      </c>
      <c r="L3" s="191">
        <v>0</v>
      </c>
      <c r="O3">
        <v>9.6000000000000002E-2</v>
      </c>
      <c r="P3" s="190">
        <v>0.105</v>
      </c>
      <c r="Q3" s="190">
        <v>0.13</v>
      </c>
      <c r="R3" s="190">
        <v>0.125</v>
      </c>
      <c r="S3" s="190">
        <v>0.12</v>
      </c>
      <c r="T3" s="192">
        <v>0.115</v>
      </c>
      <c r="U3" s="192">
        <v>0.115</v>
      </c>
      <c r="V3" s="192">
        <v>0.115</v>
      </c>
      <c r="W3" s="192">
        <v>0.115</v>
      </c>
      <c r="X3" s="192">
        <v>0.115</v>
      </c>
      <c r="Y3" s="192">
        <v>0.115</v>
      </c>
      <c r="Z3" s="192">
        <v>0.115</v>
      </c>
      <c r="AA3" s="192">
        <v>0.115</v>
      </c>
      <c r="AB3" s="192">
        <v>0.115</v>
      </c>
      <c r="AC3" s="192">
        <v>0.115</v>
      </c>
      <c r="AD3" s="192">
        <v>0.115</v>
      </c>
      <c r="AE3" s="192">
        <v>0.115</v>
      </c>
      <c r="AF3" s="192">
        <v>0.115</v>
      </c>
      <c r="AG3" s="192">
        <v>0.115</v>
      </c>
      <c r="AH3" s="192">
        <v>0.115</v>
      </c>
    </row>
    <row r="4" spans="1:34" ht="14.25">
      <c r="A4" s="19">
        <v>3</v>
      </c>
      <c r="B4" s="1" t="s">
        <v>157</v>
      </c>
      <c r="C4" s="277">
        <v>18</v>
      </c>
      <c r="D4" s="278">
        <v>0.34399999999999997</v>
      </c>
      <c r="E4" s="278">
        <v>647.29999999999995</v>
      </c>
      <c r="F4" s="278">
        <v>22.1</v>
      </c>
      <c r="G4" s="279">
        <v>0.03</v>
      </c>
      <c r="J4" s="105" t="s">
        <v>84</v>
      </c>
      <c r="K4" s="190">
        <v>0</v>
      </c>
      <c r="L4" s="191">
        <v>0</v>
      </c>
      <c r="O4">
        <v>0.17599999999999999</v>
      </c>
      <c r="P4" s="191">
        <v>2.5000000000000001E-2</v>
      </c>
      <c r="Q4" s="191">
        <v>0.01</v>
      </c>
      <c r="R4" s="191">
        <v>0.09</v>
      </c>
      <c r="S4" s="191">
        <v>9.5000000000000001E-2</v>
      </c>
      <c r="T4" s="191">
        <v>9.5000000000000001E-2</v>
      </c>
      <c r="U4" s="191">
        <v>0.1</v>
      </c>
      <c r="V4" s="191">
        <v>0.1</v>
      </c>
      <c r="W4" s="191">
        <v>0.11</v>
      </c>
      <c r="X4" s="191">
        <v>0.115</v>
      </c>
      <c r="Y4" s="191">
        <v>0.12</v>
      </c>
      <c r="Z4" s="191">
        <v>0.12</v>
      </c>
      <c r="AA4" s="191">
        <v>0.12</v>
      </c>
      <c r="AB4" s="191">
        <v>0.12</v>
      </c>
      <c r="AC4" s="191">
        <v>0.12</v>
      </c>
      <c r="AD4" s="191">
        <v>0.12</v>
      </c>
      <c r="AE4" s="191">
        <v>0.12</v>
      </c>
      <c r="AF4" s="191">
        <v>0.12</v>
      </c>
      <c r="AG4" s="191">
        <v>0.12</v>
      </c>
      <c r="AH4" s="191">
        <v>0.12</v>
      </c>
    </row>
    <row r="5" spans="1:34">
      <c r="A5" s="19">
        <v>4</v>
      </c>
      <c r="B5" s="1" t="s">
        <v>159</v>
      </c>
      <c r="C5" s="278">
        <v>32</v>
      </c>
      <c r="D5" s="278"/>
      <c r="E5" s="278">
        <v>512.6</v>
      </c>
      <c r="F5" s="278">
        <v>8.09</v>
      </c>
      <c r="G5" s="278"/>
      <c r="J5" s="105" t="s">
        <v>157</v>
      </c>
      <c r="M5" s="191">
        <v>0</v>
      </c>
    </row>
    <row r="6" spans="1:34">
      <c r="A6" s="19">
        <v>5</v>
      </c>
      <c r="B6" t="s">
        <v>193</v>
      </c>
      <c r="C6" s="278">
        <v>34.08</v>
      </c>
      <c r="D6" s="278">
        <v>0.1</v>
      </c>
      <c r="E6" s="278">
        <v>373.6</v>
      </c>
      <c r="F6" s="278">
        <v>9</v>
      </c>
      <c r="G6" s="278">
        <v>-0.1288</v>
      </c>
      <c r="J6" s="105" t="s">
        <v>159</v>
      </c>
      <c r="N6" s="191">
        <v>0</v>
      </c>
    </row>
    <row r="7" spans="1:34">
      <c r="A7" s="20">
        <v>6</v>
      </c>
      <c r="B7" s="222" t="s">
        <v>24</v>
      </c>
      <c r="C7" s="277">
        <v>16.042999999999999</v>
      </c>
      <c r="D7" s="278">
        <v>1.2999999999999999E-2</v>
      </c>
      <c r="E7" s="278">
        <v>190.6</v>
      </c>
      <c r="F7" s="278">
        <v>4.6041999999999996</v>
      </c>
      <c r="G7" s="180">
        <v>-0.1595</v>
      </c>
      <c r="J7" s="105" t="s">
        <v>193</v>
      </c>
      <c r="K7">
        <v>9.6000000000000002E-2</v>
      </c>
      <c r="L7">
        <v>0.17599999999999999</v>
      </c>
      <c r="O7" s="191">
        <v>0</v>
      </c>
      <c r="P7">
        <v>0.05</v>
      </c>
      <c r="Q7">
        <v>0.05</v>
      </c>
      <c r="R7">
        <v>0.05</v>
      </c>
      <c r="S7">
        <v>0.05</v>
      </c>
      <c r="T7">
        <v>0.05</v>
      </c>
      <c r="U7">
        <v>0.05</v>
      </c>
      <c r="V7">
        <v>0.05</v>
      </c>
      <c r="W7">
        <v>0.05</v>
      </c>
      <c r="X7">
        <v>0.05</v>
      </c>
      <c r="Y7">
        <v>0.05</v>
      </c>
      <c r="Z7">
        <v>0.05</v>
      </c>
      <c r="AA7">
        <v>0.05</v>
      </c>
      <c r="AB7">
        <v>0.05</v>
      </c>
      <c r="AC7">
        <v>0.05</v>
      </c>
      <c r="AD7">
        <v>0.05</v>
      </c>
      <c r="AE7">
        <v>0.05</v>
      </c>
      <c r="AF7">
        <v>0.05</v>
      </c>
      <c r="AG7">
        <v>0.05</v>
      </c>
      <c r="AH7">
        <v>0.05</v>
      </c>
    </row>
    <row r="8" spans="1:34" ht="14.25">
      <c r="A8" s="19">
        <v>7</v>
      </c>
      <c r="B8" s="222" t="s">
        <v>4</v>
      </c>
      <c r="C8" s="277">
        <v>30.07</v>
      </c>
      <c r="D8" s="278">
        <v>9.9000000000000005E-2</v>
      </c>
      <c r="E8" s="278">
        <v>305.43</v>
      </c>
      <c r="F8" s="278">
        <v>4.8838999999999997</v>
      </c>
      <c r="G8" s="180">
        <v>-0.1134</v>
      </c>
      <c r="J8" s="105" t="s">
        <v>85</v>
      </c>
      <c r="K8" s="190">
        <v>0.105</v>
      </c>
      <c r="L8" s="191">
        <v>2.5000000000000001E-2</v>
      </c>
      <c r="O8">
        <v>0.05</v>
      </c>
      <c r="P8" s="191">
        <v>0</v>
      </c>
      <c r="Q8" s="191">
        <v>5.0000000000000001E-3</v>
      </c>
      <c r="R8" s="191">
        <v>0.01</v>
      </c>
      <c r="S8" s="191">
        <v>3.5000000000000003E-2</v>
      </c>
      <c r="T8" s="191">
        <v>2.5000000000000001E-2</v>
      </c>
      <c r="U8" s="191">
        <v>0.05</v>
      </c>
      <c r="V8" s="191">
        <v>0.03</v>
      </c>
      <c r="W8" s="191">
        <v>0.03</v>
      </c>
      <c r="X8" s="191">
        <v>3.5000000000000003E-2</v>
      </c>
      <c r="Y8" s="191">
        <v>0.04</v>
      </c>
      <c r="Z8" s="191">
        <v>0.04</v>
      </c>
      <c r="AA8" s="191">
        <v>4.4999999999999998E-2</v>
      </c>
      <c r="AB8" s="191">
        <v>4.4999999999999998E-2</v>
      </c>
      <c r="AC8" s="191">
        <v>0.05</v>
      </c>
      <c r="AD8" s="191">
        <v>0.05</v>
      </c>
      <c r="AE8" s="191">
        <v>5.5E-2</v>
      </c>
      <c r="AF8" s="191">
        <v>5.5E-2</v>
      </c>
      <c r="AG8" s="191">
        <v>0.06</v>
      </c>
      <c r="AH8" s="191">
        <v>0.06</v>
      </c>
    </row>
    <row r="9" spans="1:34">
      <c r="A9" s="20">
        <v>8</v>
      </c>
      <c r="B9" s="222" t="s">
        <v>5</v>
      </c>
      <c r="C9" s="277">
        <v>44.097000000000001</v>
      </c>
      <c r="D9" s="278">
        <v>0.152</v>
      </c>
      <c r="E9" s="278">
        <v>369.8</v>
      </c>
      <c r="F9" s="278">
        <v>4.2454999999999998</v>
      </c>
      <c r="G9" s="180">
        <v>-8.6300000000000002E-2</v>
      </c>
      <c r="J9" s="105" t="s">
        <v>4</v>
      </c>
      <c r="K9" s="190">
        <v>0.13</v>
      </c>
      <c r="L9" s="191">
        <v>0.01</v>
      </c>
      <c r="O9">
        <v>0.05</v>
      </c>
      <c r="P9" s="191">
        <v>5.0000000000000001E-3</v>
      </c>
      <c r="Q9" s="191">
        <v>0</v>
      </c>
      <c r="R9" s="191">
        <v>5.0000000000000001E-3</v>
      </c>
      <c r="S9" s="191">
        <v>0</v>
      </c>
      <c r="T9" s="191">
        <v>0.01</v>
      </c>
      <c r="U9" s="191">
        <v>0.01</v>
      </c>
      <c r="V9" s="191">
        <v>0.01</v>
      </c>
      <c r="W9" s="191">
        <v>0.02</v>
      </c>
      <c r="X9" s="191">
        <v>0.02</v>
      </c>
      <c r="Y9" s="191">
        <v>0.02</v>
      </c>
      <c r="Z9" s="191">
        <v>0.02</v>
      </c>
      <c r="AA9" s="191">
        <v>0.02</v>
      </c>
      <c r="AB9" s="191">
        <v>0.02</v>
      </c>
      <c r="AC9" s="191">
        <v>0.02</v>
      </c>
      <c r="AD9" s="191">
        <v>0.02</v>
      </c>
      <c r="AE9" s="191">
        <v>0.02</v>
      </c>
      <c r="AF9" s="191">
        <v>0.02</v>
      </c>
      <c r="AG9" s="191">
        <v>0.02</v>
      </c>
      <c r="AH9" s="191">
        <v>0.02</v>
      </c>
    </row>
    <row r="10" spans="1:34">
      <c r="A10" s="19">
        <v>9</v>
      </c>
      <c r="B10" s="155" t="s">
        <v>6</v>
      </c>
      <c r="C10" s="277">
        <v>58.1</v>
      </c>
      <c r="D10" s="278">
        <v>0.185</v>
      </c>
      <c r="E10" s="278">
        <v>408.1</v>
      </c>
      <c r="F10" s="278">
        <v>3.6476999999999999</v>
      </c>
      <c r="G10" s="180">
        <v>-8.4400000000000003E-2</v>
      </c>
      <c r="J10" s="105" t="s">
        <v>5</v>
      </c>
      <c r="K10" s="190">
        <v>0.125</v>
      </c>
      <c r="L10" s="191">
        <v>0.09</v>
      </c>
      <c r="O10">
        <v>0.05</v>
      </c>
      <c r="P10" s="191">
        <v>0.01</v>
      </c>
      <c r="Q10" s="191">
        <v>5.0000000000000001E-3</v>
      </c>
      <c r="R10" s="191">
        <v>0</v>
      </c>
      <c r="S10" s="191">
        <v>0</v>
      </c>
      <c r="T10" s="191">
        <v>0</v>
      </c>
      <c r="U10" s="191">
        <v>1.4999999999999999E-2</v>
      </c>
      <c r="V10" s="191">
        <v>2E-3</v>
      </c>
      <c r="W10" s="191">
        <v>0.01</v>
      </c>
      <c r="X10" s="191">
        <v>5.0000000000000001E-3</v>
      </c>
      <c r="Y10" s="191">
        <v>5.0000000000000001E-3</v>
      </c>
      <c r="Z10" s="191">
        <v>5.0000000000000001E-3</v>
      </c>
      <c r="AA10" s="191">
        <v>5.0000000000000001E-3</v>
      </c>
      <c r="AB10" s="191">
        <v>5.0000000000000001E-3</v>
      </c>
      <c r="AC10" s="191">
        <v>5.0000000000000001E-3</v>
      </c>
      <c r="AD10" s="191">
        <v>5.0000000000000001E-3</v>
      </c>
      <c r="AE10" s="191">
        <v>5.0000000000000001E-3</v>
      </c>
      <c r="AF10" s="191">
        <v>5.0000000000000001E-3</v>
      </c>
      <c r="AG10" s="191">
        <v>5.0000000000000001E-3</v>
      </c>
      <c r="AH10" s="191">
        <v>5.0000000000000001E-3</v>
      </c>
    </row>
    <row r="11" spans="1:34">
      <c r="A11" s="19">
        <v>10</v>
      </c>
      <c r="B11" s="222" t="s">
        <v>7</v>
      </c>
      <c r="C11" s="277">
        <v>58.1</v>
      </c>
      <c r="D11" s="278">
        <v>0.20100000000000001</v>
      </c>
      <c r="E11" s="278">
        <v>425.2</v>
      </c>
      <c r="F11" s="278">
        <v>3.7966000000000002</v>
      </c>
      <c r="G11" s="180">
        <v>-6.7500000000000004E-2</v>
      </c>
      <c r="J11" s="106" t="s">
        <v>6</v>
      </c>
      <c r="K11" s="190">
        <v>0.12</v>
      </c>
      <c r="L11" s="191">
        <v>9.5000000000000001E-2</v>
      </c>
      <c r="O11">
        <v>0.05</v>
      </c>
      <c r="P11" s="191">
        <v>3.5000000000000003E-2</v>
      </c>
      <c r="Q11" s="191">
        <v>0</v>
      </c>
      <c r="R11" s="191">
        <v>0</v>
      </c>
      <c r="S11" s="191">
        <v>0</v>
      </c>
      <c r="T11" s="191">
        <v>5.0000000000000001E-3</v>
      </c>
      <c r="U11" s="191">
        <v>5.0000000000000001E-3</v>
      </c>
      <c r="V11" s="191">
        <v>5.0000000000000001E-3</v>
      </c>
      <c r="W11" s="191">
        <v>5.0000000000000001E-3</v>
      </c>
      <c r="X11" s="191">
        <v>5.0000000000000001E-3</v>
      </c>
      <c r="Y11" s="191">
        <v>5.0000000000000001E-3</v>
      </c>
      <c r="Z11" s="191">
        <v>5.0000000000000001E-3</v>
      </c>
      <c r="AA11" s="191">
        <v>5.0000000000000001E-3</v>
      </c>
      <c r="AB11" s="191">
        <v>5.0000000000000001E-3</v>
      </c>
      <c r="AC11" s="191">
        <v>5.0000000000000001E-3</v>
      </c>
      <c r="AD11" s="191">
        <v>5.0000000000000001E-3</v>
      </c>
      <c r="AE11" s="191">
        <v>5.0000000000000001E-3</v>
      </c>
      <c r="AF11" s="191">
        <v>5.0000000000000001E-3</v>
      </c>
      <c r="AG11" s="191">
        <v>5.0000000000000001E-3</v>
      </c>
      <c r="AH11" s="191">
        <v>5.0000000000000001E-3</v>
      </c>
    </row>
    <row r="12" spans="1:34">
      <c r="A12" s="20">
        <v>11</v>
      </c>
      <c r="B12" s="155" t="s">
        <v>8</v>
      </c>
      <c r="C12" s="277">
        <v>72.2</v>
      </c>
      <c r="D12" s="278">
        <v>0.22700000000000001</v>
      </c>
      <c r="E12" s="278">
        <v>465.9</v>
      </c>
      <c r="F12" s="278">
        <v>3.35893</v>
      </c>
      <c r="G12" s="180">
        <v>-6.08E-2</v>
      </c>
      <c r="J12" s="105" t="s">
        <v>7</v>
      </c>
      <c r="K12" s="192">
        <v>0.115</v>
      </c>
      <c r="L12" s="191">
        <v>9.5000000000000001E-2</v>
      </c>
      <c r="O12">
        <v>0.05</v>
      </c>
      <c r="P12" s="191">
        <v>2.5000000000000001E-2</v>
      </c>
      <c r="Q12" s="191">
        <v>0.01</v>
      </c>
      <c r="R12" s="191">
        <v>0</v>
      </c>
      <c r="S12" s="191">
        <v>5.0000000000000001E-3</v>
      </c>
      <c r="T12" s="191">
        <v>0</v>
      </c>
      <c r="U12" s="191">
        <v>5.0000000000000001E-3</v>
      </c>
      <c r="V12" s="191">
        <v>5.0000000000000001E-3</v>
      </c>
      <c r="W12" s="191">
        <v>5.0000000000000001E-3</v>
      </c>
      <c r="X12" s="191">
        <v>5.0000000000000001E-3</v>
      </c>
      <c r="Y12" s="191">
        <v>5.0000000000000001E-3</v>
      </c>
      <c r="Z12" s="191">
        <v>5.0000000000000001E-3</v>
      </c>
      <c r="AA12" s="191">
        <v>5.0000000000000001E-3</v>
      </c>
      <c r="AB12" s="191">
        <v>5.0000000000000001E-3</v>
      </c>
      <c r="AC12" s="191">
        <v>5.0000000000000001E-3</v>
      </c>
      <c r="AD12" s="191">
        <v>5.0000000000000001E-3</v>
      </c>
      <c r="AE12" s="191">
        <v>5.0000000000000001E-3</v>
      </c>
      <c r="AF12" s="191">
        <v>5.0000000000000001E-3</v>
      </c>
      <c r="AG12" s="191">
        <v>5.0000000000000001E-3</v>
      </c>
      <c r="AH12" s="191">
        <v>5.0000000000000001E-3</v>
      </c>
    </row>
    <row r="13" spans="1:34">
      <c r="A13" s="20">
        <v>12</v>
      </c>
      <c r="B13" s="222" t="s">
        <v>9</v>
      </c>
      <c r="C13" s="277">
        <v>72.2</v>
      </c>
      <c r="D13" s="278">
        <v>0.251</v>
      </c>
      <c r="E13" s="278">
        <v>469.6</v>
      </c>
      <c r="F13" s="278">
        <v>3.3700999999999999</v>
      </c>
      <c r="G13" s="180">
        <v>-3.9E-2</v>
      </c>
      <c r="J13" s="106" t="s">
        <v>8</v>
      </c>
      <c r="K13" s="192">
        <v>0.115</v>
      </c>
      <c r="L13" s="191">
        <v>0.1</v>
      </c>
      <c r="O13">
        <v>0.05</v>
      </c>
      <c r="P13" s="191">
        <v>0.05</v>
      </c>
      <c r="Q13" s="191">
        <v>0.01</v>
      </c>
      <c r="R13" s="191">
        <v>1.4999999999999999E-2</v>
      </c>
      <c r="S13" s="191">
        <v>5.0000000000000001E-3</v>
      </c>
      <c r="T13" s="191">
        <v>5.0000000000000001E-3</v>
      </c>
      <c r="U13" s="191">
        <v>0</v>
      </c>
      <c r="V13" s="191">
        <v>0</v>
      </c>
      <c r="W13" s="191">
        <v>0</v>
      </c>
      <c r="X13" s="191">
        <v>0</v>
      </c>
      <c r="Y13" s="191">
        <v>0</v>
      </c>
      <c r="Z13" s="191">
        <v>0</v>
      </c>
      <c r="AA13" s="191">
        <v>0</v>
      </c>
      <c r="AB13" s="191">
        <v>0</v>
      </c>
      <c r="AC13" s="191">
        <v>0</v>
      </c>
      <c r="AD13" s="191">
        <v>0</v>
      </c>
      <c r="AE13" s="191">
        <v>0</v>
      </c>
      <c r="AF13" s="191">
        <v>0</v>
      </c>
      <c r="AG13" s="191">
        <v>0</v>
      </c>
      <c r="AH13" s="191">
        <v>0</v>
      </c>
    </row>
    <row r="14" spans="1:34">
      <c r="A14" s="20">
        <v>13</v>
      </c>
      <c r="B14" s="222" t="s">
        <v>10</v>
      </c>
      <c r="C14" s="277">
        <v>84</v>
      </c>
      <c r="D14" s="278">
        <v>0.25196000000000002</v>
      </c>
      <c r="E14" s="278">
        <v>507.5</v>
      </c>
      <c r="F14" s="278">
        <v>3.1040000000000001</v>
      </c>
      <c r="G14" s="180">
        <v>-8.0000000000000002E-3</v>
      </c>
      <c r="J14" s="106" t="s">
        <v>9</v>
      </c>
      <c r="K14" s="192">
        <v>0.115</v>
      </c>
      <c r="L14" s="191">
        <v>0.1</v>
      </c>
      <c r="O14">
        <v>0.05</v>
      </c>
      <c r="P14" s="191">
        <v>0.03</v>
      </c>
      <c r="Q14" s="191">
        <v>0.01</v>
      </c>
      <c r="R14" s="191">
        <v>2E-3</v>
      </c>
      <c r="S14" s="191">
        <v>5.0000000000000001E-3</v>
      </c>
      <c r="T14" s="191">
        <v>5.0000000000000001E-3</v>
      </c>
      <c r="U14" s="191">
        <v>0</v>
      </c>
      <c r="V14" s="191">
        <v>0</v>
      </c>
      <c r="W14" s="191">
        <v>0</v>
      </c>
      <c r="X14" s="191">
        <v>0</v>
      </c>
      <c r="Y14" s="191">
        <v>0</v>
      </c>
      <c r="Z14" s="191">
        <v>0</v>
      </c>
      <c r="AA14" s="191">
        <v>0</v>
      </c>
      <c r="AB14" s="191">
        <v>0</v>
      </c>
      <c r="AC14" s="191">
        <v>0</v>
      </c>
      <c r="AD14" s="191">
        <v>0</v>
      </c>
      <c r="AE14" s="191">
        <v>0</v>
      </c>
      <c r="AF14" s="191">
        <v>0</v>
      </c>
      <c r="AG14" s="191">
        <v>0</v>
      </c>
      <c r="AH14" s="191">
        <v>0</v>
      </c>
    </row>
    <row r="15" spans="1:34">
      <c r="A15" s="19">
        <v>14</v>
      </c>
      <c r="B15" s="155" t="s">
        <v>35</v>
      </c>
      <c r="C15" s="277">
        <v>96</v>
      </c>
      <c r="D15" s="278">
        <v>0.28000000000000003</v>
      </c>
      <c r="E15" s="278">
        <v>548</v>
      </c>
      <c r="F15" s="278">
        <v>3.0710000000000002</v>
      </c>
      <c r="G15" s="180">
        <v>3.3E-3</v>
      </c>
      <c r="J15" s="105" t="s">
        <v>10</v>
      </c>
      <c r="K15" s="192">
        <v>0.115</v>
      </c>
      <c r="L15" s="191">
        <v>0.11</v>
      </c>
      <c r="O15">
        <v>0.05</v>
      </c>
      <c r="P15" s="191">
        <v>0.03</v>
      </c>
      <c r="Q15" s="191">
        <v>0.02</v>
      </c>
      <c r="R15" s="191">
        <v>0.01</v>
      </c>
      <c r="S15" s="191">
        <v>5.0000000000000001E-3</v>
      </c>
      <c r="T15" s="191">
        <v>5.0000000000000001E-3</v>
      </c>
      <c r="U15" s="191">
        <v>0</v>
      </c>
      <c r="V15" s="191">
        <v>0</v>
      </c>
      <c r="W15" s="191">
        <v>0</v>
      </c>
      <c r="X15" s="191">
        <v>0</v>
      </c>
      <c r="Y15" s="191">
        <v>0</v>
      </c>
      <c r="Z15" s="191">
        <v>0</v>
      </c>
      <c r="AA15" s="191">
        <v>0</v>
      </c>
      <c r="AB15" s="191">
        <v>0</v>
      </c>
      <c r="AC15" s="191">
        <v>0</v>
      </c>
      <c r="AD15" s="191">
        <v>0</v>
      </c>
      <c r="AE15" s="191">
        <v>0</v>
      </c>
      <c r="AF15" s="191">
        <v>0</v>
      </c>
      <c r="AG15" s="191">
        <v>0</v>
      </c>
      <c r="AH15" s="191">
        <v>0</v>
      </c>
    </row>
    <row r="16" spans="1:34">
      <c r="A16" s="19">
        <v>15</v>
      </c>
      <c r="B16" s="155" t="s">
        <v>36</v>
      </c>
      <c r="C16" s="277">
        <v>107</v>
      </c>
      <c r="D16" s="278">
        <v>0.312</v>
      </c>
      <c r="E16" s="278">
        <v>575</v>
      </c>
      <c r="F16" s="278">
        <v>2.9384000000000001</v>
      </c>
      <c r="G16" s="180">
        <v>3.1399999999999997E-2</v>
      </c>
      <c r="J16" s="106" t="s">
        <v>35</v>
      </c>
      <c r="K16" s="192">
        <v>0.115</v>
      </c>
      <c r="L16" s="191">
        <v>0.115</v>
      </c>
      <c r="O16">
        <v>0.05</v>
      </c>
      <c r="P16" s="191">
        <v>3.5000000000000003E-2</v>
      </c>
      <c r="Q16" s="191">
        <v>0.02</v>
      </c>
      <c r="R16" s="191">
        <v>5.0000000000000001E-3</v>
      </c>
      <c r="S16" s="191">
        <v>5.0000000000000001E-3</v>
      </c>
      <c r="T16" s="191">
        <v>5.0000000000000001E-3</v>
      </c>
      <c r="U16" s="191">
        <v>0</v>
      </c>
      <c r="V16" s="191">
        <v>0</v>
      </c>
      <c r="W16" s="191">
        <v>0</v>
      </c>
      <c r="X16" s="191">
        <v>0</v>
      </c>
      <c r="Y16" s="191">
        <v>0</v>
      </c>
      <c r="Z16" s="191">
        <v>0</v>
      </c>
      <c r="AA16" s="191">
        <v>0</v>
      </c>
      <c r="AB16" s="191">
        <v>0</v>
      </c>
      <c r="AC16" s="191">
        <v>0</v>
      </c>
      <c r="AD16" s="191">
        <v>0</v>
      </c>
      <c r="AE16" s="191">
        <v>0</v>
      </c>
      <c r="AF16" s="191">
        <v>0</v>
      </c>
      <c r="AG16" s="191">
        <v>0</v>
      </c>
      <c r="AH16" s="191">
        <v>0</v>
      </c>
    </row>
    <row r="17" spans="1:34">
      <c r="A17" s="19">
        <v>16</v>
      </c>
      <c r="B17" s="155" t="s">
        <v>37</v>
      </c>
      <c r="C17" s="277">
        <v>121</v>
      </c>
      <c r="D17" s="278">
        <v>0.35199999999999998</v>
      </c>
      <c r="E17" s="278">
        <v>603</v>
      </c>
      <c r="F17" s="278">
        <v>2.8797000000000001</v>
      </c>
      <c r="G17" s="180">
        <v>3.9522000000000002E-2</v>
      </c>
      <c r="J17" s="106" t="s">
        <v>36</v>
      </c>
      <c r="K17" s="192">
        <v>0.115</v>
      </c>
      <c r="L17" s="191">
        <v>0.12</v>
      </c>
      <c r="O17">
        <v>0.05</v>
      </c>
      <c r="P17" s="191">
        <v>0.04</v>
      </c>
      <c r="Q17" s="191">
        <v>0.02</v>
      </c>
      <c r="R17" s="191">
        <v>5.0000000000000001E-3</v>
      </c>
      <c r="S17" s="191">
        <v>5.0000000000000001E-3</v>
      </c>
      <c r="T17" s="191">
        <v>5.0000000000000001E-3</v>
      </c>
      <c r="U17" s="191">
        <v>0</v>
      </c>
      <c r="V17" s="191">
        <v>0</v>
      </c>
      <c r="W17" s="191">
        <v>0</v>
      </c>
      <c r="X17" s="191">
        <v>0</v>
      </c>
      <c r="Y17" s="191">
        <v>0</v>
      </c>
      <c r="Z17" s="191">
        <v>0</v>
      </c>
      <c r="AA17" s="191">
        <v>0</v>
      </c>
      <c r="AB17" s="191">
        <v>0</v>
      </c>
      <c r="AC17" s="191">
        <v>0</v>
      </c>
      <c r="AD17" s="191">
        <v>0</v>
      </c>
      <c r="AE17" s="191">
        <v>0</v>
      </c>
      <c r="AF17" s="191">
        <v>0</v>
      </c>
      <c r="AG17" s="191">
        <v>0</v>
      </c>
      <c r="AH17" s="191">
        <v>0</v>
      </c>
    </row>
    <row r="18" spans="1:34">
      <c r="A18" s="19">
        <v>17</v>
      </c>
      <c r="B18" s="155" t="s">
        <v>38</v>
      </c>
      <c r="C18" s="278">
        <v>134</v>
      </c>
      <c r="D18" s="278">
        <v>0.44230000000000003</v>
      </c>
      <c r="E18" s="278">
        <v>626</v>
      </c>
      <c r="F18" s="278">
        <v>2.4196</v>
      </c>
      <c r="G18" s="180">
        <v>4.0271000000000001E-2</v>
      </c>
      <c r="J18" s="106" t="s">
        <v>37</v>
      </c>
      <c r="K18" s="192">
        <v>0.115</v>
      </c>
      <c r="L18" s="191">
        <v>0.12</v>
      </c>
      <c r="O18">
        <v>0.05</v>
      </c>
      <c r="P18" s="191">
        <v>0.04</v>
      </c>
      <c r="Q18" s="191">
        <v>0.02</v>
      </c>
      <c r="R18" s="191">
        <v>5.0000000000000001E-3</v>
      </c>
      <c r="S18" s="191">
        <v>5.0000000000000001E-3</v>
      </c>
      <c r="T18" s="191">
        <v>5.0000000000000001E-3</v>
      </c>
      <c r="U18" s="191">
        <v>0</v>
      </c>
      <c r="V18" s="191">
        <v>0</v>
      </c>
      <c r="W18" s="191">
        <v>0</v>
      </c>
      <c r="X18" s="191">
        <v>0</v>
      </c>
      <c r="Y18" s="191">
        <v>0</v>
      </c>
      <c r="Z18" s="191">
        <v>0</v>
      </c>
      <c r="AA18" s="191">
        <v>0</v>
      </c>
      <c r="AB18" s="191">
        <v>0</v>
      </c>
      <c r="AC18" s="191">
        <v>0</v>
      </c>
      <c r="AD18" s="191">
        <v>0</v>
      </c>
      <c r="AE18" s="191">
        <v>0</v>
      </c>
      <c r="AF18" s="191">
        <v>0</v>
      </c>
      <c r="AG18" s="191">
        <v>0</v>
      </c>
      <c r="AH18" s="191">
        <v>0</v>
      </c>
    </row>
    <row r="19" spans="1:34">
      <c r="A19" s="19">
        <v>18</v>
      </c>
      <c r="B19" s="155" t="s">
        <v>39</v>
      </c>
      <c r="C19" s="280">
        <v>185</v>
      </c>
      <c r="D19" s="281">
        <v>0.57999999999999996</v>
      </c>
      <c r="E19" s="280">
        <v>670</v>
      </c>
      <c r="F19" s="281">
        <v>2.34</v>
      </c>
      <c r="G19" s="181">
        <v>0.10708685051073952</v>
      </c>
      <c r="J19" s="106" t="s">
        <v>38</v>
      </c>
      <c r="K19" s="192">
        <v>0.115</v>
      </c>
      <c r="L19" s="191">
        <v>0.12</v>
      </c>
      <c r="O19">
        <v>0.05</v>
      </c>
      <c r="P19" s="191">
        <v>4.4999999999999998E-2</v>
      </c>
      <c r="Q19" s="191">
        <v>0.02</v>
      </c>
      <c r="R19" s="191">
        <v>5.0000000000000001E-3</v>
      </c>
      <c r="S19" s="191">
        <v>5.0000000000000001E-3</v>
      </c>
      <c r="T19" s="191">
        <v>5.0000000000000001E-3</v>
      </c>
      <c r="U19" s="191">
        <v>0</v>
      </c>
      <c r="V19" s="191">
        <v>0</v>
      </c>
      <c r="W19" s="191">
        <v>0</v>
      </c>
      <c r="X19" s="191">
        <v>0</v>
      </c>
      <c r="Y19" s="191">
        <v>0</v>
      </c>
      <c r="Z19" s="191">
        <v>0</v>
      </c>
      <c r="AA19" s="191">
        <v>0</v>
      </c>
      <c r="AB19" s="191">
        <v>0</v>
      </c>
      <c r="AC19" s="191">
        <v>0</v>
      </c>
      <c r="AD19" s="191">
        <v>0</v>
      </c>
      <c r="AE19" s="191">
        <v>0</v>
      </c>
      <c r="AF19" s="191">
        <v>0</v>
      </c>
      <c r="AG19" s="191">
        <v>0</v>
      </c>
      <c r="AH19" s="191">
        <v>0</v>
      </c>
    </row>
    <row r="20" spans="1:34">
      <c r="A20" s="19">
        <v>19</v>
      </c>
      <c r="B20" s="155" t="s">
        <v>40</v>
      </c>
      <c r="C20" s="282"/>
      <c r="D20" s="282"/>
      <c r="E20" s="282"/>
      <c r="F20" s="282"/>
      <c r="G20" s="182"/>
      <c r="J20" s="106" t="s">
        <v>39</v>
      </c>
      <c r="K20" s="192">
        <v>0.115</v>
      </c>
      <c r="L20" s="191">
        <v>0.12</v>
      </c>
      <c r="O20">
        <v>0.05</v>
      </c>
      <c r="P20" s="191">
        <v>4.4999999999999998E-2</v>
      </c>
      <c r="Q20" s="191">
        <v>0.02</v>
      </c>
      <c r="R20" s="191">
        <v>5.0000000000000001E-3</v>
      </c>
      <c r="S20" s="191">
        <v>5.0000000000000001E-3</v>
      </c>
      <c r="T20" s="191">
        <v>5.0000000000000001E-3</v>
      </c>
      <c r="U20" s="191">
        <v>0</v>
      </c>
      <c r="V20" s="191">
        <v>0</v>
      </c>
      <c r="W20" s="191">
        <v>0</v>
      </c>
      <c r="X20" s="191">
        <v>0</v>
      </c>
      <c r="Y20" s="191">
        <v>0</v>
      </c>
      <c r="Z20" s="191">
        <v>0</v>
      </c>
      <c r="AA20" s="191">
        <v>0</v>
      </c>
      <c r="AB20" s="191">
        <v>0</v>
      </c>
      <c r="AC20" s="191">
        <v>0</v>
      </c>
      <c r="AD20" s="191">
        <v>0</v>
      </c>
      <c r="AE20" s="191">
        <v>0</v>
      </c>
      <c r="AF20" s="191">
        <v>0</v>
      </c>
      <c r="AG20" s="191">
        <v>0</v>
      </c>
      <c r="AH20" s="191">
        <v>0</v>
      </c>
    </row>
    <row r="21" spans="1:34">
      <c r="A21" s="19">
        <v>20</v>
      </c>
      <c r="B21" s="155" t="s">
        <v>41</v>
      </c>
      <c r="C21" s="282"/>
      <c r="D21" s="282"/>
      <c r="E21" s="282"/>
      <c r="F21" s="282"/>
      <c r="G21" s="183"/>
      <c r="J21" s="106" t="s">
        <v>40</v>
      </c>
      <c r="K21" s="192">
        <v>0.115</v>
      </c>
      <c r="L21" s="191">
        <v>0.12</v>
      </c>
      <c r="O21">
        <v>0.05</v>
      </c>
      <c r="P21" s="191">
        <v>0.05</v>
      </c>
      <c r="Q21" s="191">
        <v>0.02</v>
      </c>
      <c r="R21" s="191">
        <v>5.0000000000000001E-3</v>
      </c>
      <c r="S21" s="191">
        <v>5.0000000000000001E-3</v>
      </c>
      <c r="T21" s="191">
        <v>5.0000000000000001E-3</v>
      </c>
      <c r="U21" s="191">
        <v>0</v>
      </c>
      <c r="V21" s="191">
        <v>0</v>
      </c>
      <c r="W21" s="191">
        <v>0</v>
      </c>
      <c r="X21" s="191">
        <v>0</v>
      </c>
      <c r="Y21" s="191">
        <v>0</v>
      </c>
      <c r="Z21" s="191">
        <v>0</v>
      </c>
      <c r="AA21" s="191">
        <v>0</v>
      </c>
      <c r="AB21" s="191">
        <v>0</v>
      </c>
      <c r="AC21" s="191">
        <v>0</v>
      </c>
      <c r="AD21" s="191">
        <v>0</v>
      </c>
      <c r="AE21" s="191">
        <v>0</v>
      </c>
      <c r="AF21" s="191">
        <v>0</v>
      </c>
      <c r="AG21" s="191">
        <v>0</v>
      </c>
      <c r="AH21" s="191">
        <v>0</v>
      </c>
    </row>
    <row r="22" spans="1:34">
      <c r="A22" s="19">
        <v>21</v>
      </c>
      <c r="B22" s="155" t="s">
        <v>42</v>
      </c>
      <c r="C22" s="282"/>
      <c r="D22" s="282"/>
      <c r="E22" s="282"/>
      <c r="F22" s="282"/>
      <c r="G22" s="184"/>
      <c r="J22" s="106" t="s">
        <v>41</v>
      </c>
      <c r="K22" s="192">
        <v>0.115</v>
      </c>
      <c r="L22" s="191">
        <v>0.12</v>
      </c>
      <c r="O22">
        <v>0.05</v>
      </c>
      <c r="P22" s="191">
        <v>0.05</v>
      </c>
      <c r="Q22" s="191">
        <v>0.02</v>
      </c>
      <c r="R22" s="191">
        <v>5.0000000000000001E-3</v>
      </c>
      <c r="S22" s="191">
        <v>5.0000000000000001E-3</v>
      </c>
      <c r="T22" s="191">
        <v>5.0000000000000001E-3</v>
      </c>
      <c r="U22" s="191">
        <v>0</v>
      </c>
      <c r="V22" s="191">
        <v>0</v>
      </c>
      <c r="W22" s="191">
        <v>0</v>
      </c>
      <c r="X22" s="191">
        <v>0</v>
      </c>
      <c r="Y22" s="191">
        <v>0</v>
      </c>
      <c r="Z22" s="191">
        <v>0</v>
      </c>
      <c r="AA22" s="191">
        <v>0</v>
      </c>
      <c r="AB22" s="191">
        <v>0</v>
      </c>
      <c r="AC22" s="191">
        <v>0</v>
      </c>
      <c r="AD22" s="191">
        <v>0</v>
      </c>
      <c r="AE22" s="191">
        <v>0</v>
      </c>
      <c r="AF22" s="191">
        <v>0</v>
      </c>
      <c r="AG22" s="191">
        <v>0</v>
      </c>
      <c r="AH22" s="191">
        <v>0</v>
      </c>
    </row>
    <row r="23" spans="1:34">
      <c r="A23" s="19">
        <v>22</v>
      </c>
      <c r="B23" s="155" t="s">
        <v>43</v>
      </c>
      <c r="C23" s="282"/>
      <c r="D23" s="282"/>
      <c r="E23" s="282"/>
      <c r="F23" s="282"/>
      <c r="G23" s="184"/>
      <c r="J23" s="106" t="s">
        <v>42</v>
      </c>
      <c r="K23" s="192">
        <v>0.115</v>
      </c>
      <c r="L23" s="191">
        <v>0.12</v>
      </c>
      <c r="O23">
        <v>0.05</v>
      </c>
      <c r="P23" s="191">
        <v>5.5E-2</v>
      </c>
      <c r="Q23" s="191">
        <v>0.02</v>
      </c>
      <c r="R23" s="191">
        <v>5.0000000000000001E-3</v>
      </c>
      <c r="S23" s="191">
        <v>5.0000000000000001E-3</v>
      </c>
      <c r="T23" s="191">
        <v>5.0000000000000001E-3</v>
      </c>
      <c r="U23" s="191">
        <v>0</v>
      </c>
      <c r="V23" s="191">
        <v>0</v>
      </c>
      <c r="W23" s="191">
        <v>0</v>
      </c>
      <c r="X23" s="191">
        <v>0</v>
      </c>
      <c r="Y23" s="191">
        <v>0</v>
      </c>
      <c r="Z23" s="191">
        <v>0</v>
      </c>
      <c r="AA23" s="191">
        <v>0</v>
      </c>
      <c r="AB23" s="191">
        <v>0</v>
      </c>
      <c r="AC23" s="191">
        <v>0</v>
      </c>
      <c r="AD23" s="191">
        <v>0</v>
      </c>
      <c r="AE23" s="191">
        <v>0</v>
      </c>
      <c r="AF23" s="191">
        <v>0</v>
      </c>
      <c r="AG23" s="191">
        <v>0</v>
      </c>
      <c r="AH23" s="191">
        <v>0</v>
      </c>
    </row>
    <row r="24" spans="1:34">
      <c r="A24" s="19">
        <v>23</v>
      </c>
      <c r="B24" s="155" t="s">
        <v>44</v>
      </c>
      <c r="C24" s="282"/>
      <c r="D24" s="282"/>
      <c r="E24" s="282"/>
      <c r="F24" s="282"/>
      <c r="G24" s="184"/>
      <c r="J24" s="106" t="s">
        <v>43</v>
      </c>
      <c r="K24" s="192">
        <v>0.115</v>
      </c>
      <c r="L24" s="191">
        <v>0.12</v>
      </c>
      <c r="O24">
        <v>0.05</v>
      </c>
      <c r="P24" s="191">
        <v>5.5E-2</v>
      </c>
      <c r="Q24" s="191">
        <v>0.02</v>
      </c>
      <c r="R24" s="191">
        <v>5.0000000000000001E-3</v>
      </c>
      <c r="S24" s="191">
        <v>5.0000000000000001E-3</v>
      </c>
      <c r="T24" s="191">
        <v>5.0000000000000001E-3</v>
      </c>
      <c r="U24" s="191">
        <v>0</v>
      </c>
      <c r="V24" s="191">
        <v>0</v>
      </c>
      <c r="W24" s="191">
        <v>0</v>
      </c>
      <c r="X24" s="191">
        <v>0</v>
      </c>
      <c r="Y24" s="191">
        <v>0</v>
      </c>
      <c r="Z24" s="191">
        <v>0</v>
      </c>
      <c r="AA24" s="191">
        <v>0</v>
      </c>
      <c r="AB24" s="191">
        <v>0</v>
      </c>
      <c r="AC24" s="191">
        <v>0</v>
      </c>
      <c r="AD24" s="191">
        <v>0</v>
      </c>
      <c r="AE24" s="191">
        <v>0</v>
      </c>
      <c r="AF24" s="191">
        <v>0</v>
      </c>
      <c r="AG24" s="191">
        <v>0</v>
      </c>
      <c r="AH24" s="191">
        <v>0</v>
      </c>
    </row>
    <row r="25" spans="1:34" ht="13.5" thickBot="1">
      <c r="A25" s="254">
        <v>24</v>
      </c>
      <c r="B25" s="155" t="s">
        <v>45</v>
      </c>
      <c r="C25" s="282"/>
      <c r="D25" s="282"/>
      <c r="E25" s="282"/>
      <c r="F25" s="282"/>
      <c r="G25" s="184"/>
      <c r="J25" s="106" t="s">
        <v>91</v>
      </c>
      <c r="K25" s="192">
        <v>0.115</v>
      </c>
      <c r="L25" s="191">
        <v>0.12</v>
      </c>
      <c r="O25">
        <v>0.05</v>
      </c>
      <c r="P25" s="191">
        <v>0.06</v>
      </c>
      <c r="Q25" s="191">
        <v>0.02</v>
      </c>
      <c r="R25" s="191">
        <v>5.0000000000000001E-3</v>
      </c>
      <c r="S25" s="191">
        <v>5.0000000000000001E-3</v>
      </c>
      <c r="T25" s="191">
        <v>5.0000000000000001E-3</v>
      </c>
      <c r="U25" s="191">
        <v>0</v>
      </c>
      <c r="V25" s="191">
        <v>0</v>
      </c>
      <c r="W25" s="191">
        <v>0</v>
      </c>
      <c r="X25" s="191">
        <v>0</v>
      </c>
      <c r="Y25" s="191">
        <v>0</v>
      </c>
      <c r="Z25" s="191">
        <v>0</v>
      </c>
      <c r="AA25" s="191">
        <v>0</v>
      </c>
      <c r="AB25" s="191">
        <v>0</v>
      </c>
      <c r="AC25" s="191">
        <v>0</v>
      </c>
      <c r="AD25" s="191">
        <v>0</v>
      </c>
      <c r="AE25" s="191">
        <v>0</v>
      </c>
      <c r="AF25" s="191">
        <v>0</v>
      </c>
      <c r="AG25" s="191">
        <v>0</v>
      </c>
      <c r="AH25" s="191">
        <v>0</v>
      </c>
    </row>
    <row r="26" spans="1:34" ht="13.5" thickTop="1">
      <c r="B26" s="283"/>
      <c r="C26" s="284"/>
      <c r="D26" s="285"/>
      <c r="E26" s="284"/>
      <c r="F26" s="286"/>
      <c r="G26" s="287"/>
      <c r="J26" s="106" t="s">
        <v>92</v>
      </c>
      <c r="K26" s="192">
        <v>0.115</v>
      </c>
      <c r="L26" s="191">
        <v>0.12</v>
      </c>
      <c r="O26">
        <v>0.05</v>
      </c>
      <c r="P26" s="191">
        <v>0.06</v>
      </c>
      <c r="Q26" s="191">
        <v>0.02</v>
      </c>
      <c r="R26" s="191">
        <v>5.0000000000000001E-3</v>
      </c>
      <c r="S26" s="191">
        <v>5.0000000000000001E-3</v>
      </c>
      <c r="T26" s="191">
        <v>5.0000000000000001E-3</v>
      </c>
      <c r="U26" s="191">
        <v>0</v>
      </c>
      <c r="V26" s="191">
        <v>0</v>
      </c>
      <c r="W26" s="191">
        <v>0</v>
      </c>
      <c r="X26" s="191">
        <v>0</v>
      </c>
      <c r="Y26" s="191">
        <v>0</v>
      </c>
      <c r="Z26" s="191">
        <v>0</v>
      </c>
      <c r="AA26" s="191">
        <v>0</v>
      </c>
      <c r="AB26" s="191">
        <v>0</v>
      </c>
      <c r="AC26" s="191">
        <v>0</v>
      </c>
      <c r="AD26" s="191">
        <v>0</v>
      </c>
      <c r="AE26" s="191">
        <v>0</v>
      </c>
      <c r="AF26" s="191">
        <v>0</v>
      </c>
      <c r="AG26" s="191">
        <v>0</v>
      </c>
      <c r="AH26" s="191">
        <v>0</v>
      </c>
    </row>
    <row r="27" spans="1:34" ht="13.5" thickBot="1">
      <c r="B27" s="196"/>
      <c r="C27" s="70"/>
      <c r="D27" s="73"/>
      <c r="E27" s="70"/>
      <c r="F27" s="185"/>
      <c r="G27" s="186"/>
      <c r="L27" s="38"/>
      <c r="M27" s="9"/>
      <c r="N27" s="9"/>
      <c r="O27" s="9"/>
      <c r="Q27" s="9"/>
      <c r="S27" s="9"/>
      <c r="U27" s="9"/>
      <c r="W27" s="9"/>
      <c r="Y27" s="9"/>
      <c r="AA27" s="9"/>
    </row>
    <row r="28" spans="1:34" ht="13.5" thickTop="1">
      <c r="L28" s="5"/>
      <c r="M28" s="1"/>
      <c r="N28" s="1"/>
      <c r="O28" s="1"/>
      <c r="Q28" s="1"/>
      <c r="S28" s="1"/>
      <c r="U28" s="1"/>
      <c r="W28" s="1"/>
      <c r="Y28" s="1"/>
      <c r="AA28" s="1"/>
    </row>
    <row r="29" spans="1:34" ht="24" thickBot="1">
      <c r="J29" s="187" t="s">
        <v>90</v>
      </c>
      <c r="K29" s="30" t="s">
        <v>47</v>
      </c>
      <c r="L29" s="32"/>
    </row>
    <row r="30" spans="1:34" ht="17.25" thickTop="1" thickBot="1">
      <c r="J30" s="188" t="s">
        <v>11</v>
      </c>
      <c r="K30" s="154" t="s">
        <v>83</v>
      </c>
      <c r="L30" s="107" t="s">
        <v>84</v>
      </c>
      <c r="M30" s="107" t="s">
        <v>85</v>
      </c>
      <c r="N30" s="107" t="s">
        <v>4</v>
      </c>
      <c r="O30" s="107" t="s">
        <v>5</v>
      </c>
      <c r="P30" s="154" t="s">
        <v>6</v>
      </c>
      <c r="Q30" s="107" t="s">
        <v>7</v>
      </c>
      <c r="R30" s="154" t="s">
        <v>8</v>
      </c>
      <c r="S30" s="154" t="s">
        <v>9</v>
      </c>
      <c r="T30" s="107" t="s">
        <v>10</v>
      </c>
      <c r="U30" s="154" t="s">
        <v>35</v>
      </c>
      <c r="V30" s="154" t="s">
        <v>36</v>
      </c>
      <c r="W30" s="154" t="s">
        <v>37</v>
      </c>
      <c r="X30" s="154" t="s">
        <v>38</v>
      </c>
      <c r="Y30" s="154" t="s">
        <v>39</v>
      </c>
      <c r="Z30" s="154" t="s">
        <v>40</v>
      </c>
      <c r="AA30" s="154" t="s">
        <v>41</v>
      </c>
      <c r="AB30" s="154" t="s">
        <v>42</v>
      </c>
      <c r="AC30" s="154" t="s">
        <v>43</v>
      </c>
      <c r="AD30" s="154" t="s">
        <v>91</v>
      </c>
      <c r="AE30" s="154" t="s">
        <v>92</v>
      </c>
      <c r="AF30" s="154" t="s">
        <v>93</v>
      </c>
      <c r="AG30" s="154" t="s">
        <v>94</v>
      </c>
      <c r="AH30" s="111" t="s">
        <v>95</v>
      </c>
    </row>
    <row r="31" spans="1:34" ht="15" thickTop="1">
      <c r="A31" s="448" t="s">
        <v>165</v>
      </c>
      <c r="B31" s="423" t="s">
        <v>169</v>
      </c>
      <c r="C31" s="423"/>
      <c r="D31" s="424"/>
      <c r="E31" s="450" t="s">
        <v>170</v>
      </c>
      <c r="F31" s="423"/>
      <c r="G31" s="424"/>
      <c r="J31" s="106" t="s">
        <v>83</v>
      </c>
      <c r="K31" s="197">
        <v>0</v>
      </c>
      <c r="L31" s="197">
        <v>-1.2E-2</v>
      </c>
      <c r="M31" s="205">
        <v>3.9899999999999998E-2</v>
      </c>
      <c r="N31" s="205">
        <v>8.4699999999999998E-2</v>
      </c>
      <c r="O31" s="205">
        <v>0.10970000000000001</v>
      </c>
      <c r="P31" s="205">
        <v>0.14330000000000001</v>
      </c>
      <c r="Q31" s="205">
        <v>0.14330000000000001</v>
      </c>
      <c r="R31" s="205">
        <v>0.1749</v>
      </c>
      <c r="S31" s="205">
        <v>0.1749</v>
      </c>
      <c r="T31" s="205">
        <v>0.2742</v>
      </c>
      <c r="U31" s="205">
        <v>0.26200000000000001</v>
      </c>
      <c r="V31" s="205">
        <v>0.2505</v>
      </c>
      <c r="W31" s="205">
        <v>0.26900000000000002</v>
      </c>
      <c r="X31" s="205">
        <v>0.22589999999999999</v>
      </c>
      <c r="Y31" s="205">
        <v>0.22589999999999999</v>
      </c>
      <c r="Z31" s="205">
        <v>0.22589999999999999</v>
      </c>
      <c r="AA31" s="205">
        <v>0.22589999999999999</v>
      </c>
      <c r="AB31" s="205">
        <v>0.22589999999999999</v>
      </c>
      <c r="AC31" s="205">
        <v>0.22589999999999999</v>
      </c>
      <c r="AD31" s="205">
        <v>0.22589999999999999</v>
      </c>
      <c r="AE31" s="205">
        <v>0.22589999999999999</v>
      </c>
      <c r="AF31" s="205">
        <v>0.22589999999999999</v>
      </c>
      <c r="AG31" s="205">
        <v>0.22589999999999999</v>
      </c>
      <c r="AH31" s="206">
        <v>0.22589999999999999</v>
      </c>
    </row>
    <row r="32" spans="1:34" ht="18">
      <c r="A32" s="449"/>
      <c r="B32" s="222" t="s">
        <v>166</v>
      </c>
      <c r="C32" s="222" t="s">
        <v>167</v>
      </c>
      <c r="D32" s="293" t="s">
        <v>168</v>
      </c>
      <c r="E32" s="294" t="s">
        <v>166</v>
      </c>
      <c r="F32" s="222" t="s">
        <v>167</v>
      </c>
      <c r="G32" s="293" t="s">
        <v>168</v>
      </c>
      <c r="J32" s="105" t="s">
        <v>84</v>
      </c>
      <c r="K32" s="197">
        <v>-1.2E-2</v>
      </c>
      <c r="L32" s="197">
        <v>0</v>
      </c>
      <c r="M32" s="205">
        <v>3.4599999999999999E-2</v>
      </c>
      <c r="N32" s="205">
        <v>5.0200000000000002E-2</v>
      </c>
      <c r="O32" s="205">
        <v>3.5400000000000001E-2</v>
      </c>
      <c r="P32" s="205">
        <v>6.4199999999999993E-2</v>
      </c>
      <c r="Q32" s="205">
        <v>6.4199999999999993E-2</v>
      </c>
      <c r="R32" s="205">
        <v>0.1147</v>
      </c>
      <c r="S32" s="205">
        <v>0.1147</v>
      </c>
      <c r="T32" s="205">
        <v>0.1167</v>
      </c>
      <c r="U32" s="205">
        <v>0.1353</v>
      </c>
      <c r="V32" s="205">
        <v>0.14180000000000001</v>
      </c>
      <c r="W32" s="205">
        <v>0.15479999999999999</v>
      </c>
      <c r="X32" s="205">
        <v>0.1593</v>
      </c>
      <c r="Y32" s="205">
        <v>0.1593</v>
      </c>
      <c r="Z32" s="205">
        <v>0.17349999999999999</v>
      </c>
      <c r="AA32" s="205">
        <v>0.17349999999999999</v>
      </c>
      <c r="AB32" s="205">
        <v>0.17349999999999999</v>
      </c>
      <c r="AC32" s="205">
        <v>0.17349999999999999</v>
      </c>
      <c r="AD32" s="205">
        <v>0.17349999999999999</v>
      </c>
      <c r="AE32" s="205">
        <v>0.17349999999999999</v>
      </c>
      <c r="AF32" s="205">
        <v>0.17349999999999999</v>
      </c>
      <c r="AG32" s="205">
        <v>0.17349999999999999</v>
      </c>
      <c r="AH32" s="206">
        <v>0.17349999999999999</v>
      </c>
    </row>
    <row r="33" spans="1:34" ht="16.5">
      <c r="A33" s="318" t="s">
        <v>171</v>
      </c>
      <c r="B33" s="299">
        <v>247</v>
      </c>
      <c r="C33" s="299">
        <v>2970</v>
      </c>
      <c r="D33" s="300">
        <v>0.4</v>
      </c>
      <c r="E33" s="301">
        <v>16</v>
      </c>
      <c r="F33" s="299">
        <v>1652</v>
      </c>
      <c r="G33" s="116">
        <v>0.15</v>
      </c>
      <c r="J33" s="105" t="s">
        <v>85</v>
      </c>
      <c r="K33" s="205">
        <v>3.9899999999999998E-2</v>
      </c>
      <c r="L33" s="205">
        <v>3.4599999999999999E-2</v>
      </c>
      <c r="M33" s="205">
        <v>0</v>
      </c>
      <c r="N33" s="205">
        <v>5.4000000000000003E-3</v>
      </c>
      <c r="O33" s="205">
        <v>1.8100000000000002E-2</v>
      </c>
      <c r="P33" s="205">
        <v>2.0500000000000001E-2</v>
      </c>
      <c r="Q33" s="205">
        <v>2.0500000000000001E-2</v>
      </c>
      <c r="R33" s="205">
        <v>3.0099999999999998E-2</v>
      </c>
      <c r="S33" s="205">
        <v>3.0099999999999998E-2</v>
      </c>
      <c r="T33" s="205">
        <v>4.19E-2</v>
      </c>
      <c r="U33" s="205">
        <v>4.7600000000000003E-2</v>
      </c>
      <c r="V33" s="205">
        <v>6.5799999999999997E-2</v>
      </c>
      <c r="W33" s="205">
        <v>7.1300000000000002E-2</v>
      </c>
      <c r="X33" s="205">
        <v>0.1497</v>
      </c>
      <c r="Y33" s="205">
        <v>0.1497</v>
      </c>
      <c r="Z33" s="205">
        <v>0.14130000000000001</v>
      </c>
      <c r="AA33" s="205">
        <v>0.14130000000000001</v>
      </c>
      <c r="AB33" s="205">
        <v>0.14130000000000001</v>
      </c>
      <c r="AC33" s="205">
        <v>0.14130000000000001</v>
      </c>
      <c r="AD33" s="205">
        <v>0.14130000000000001</v>
      </c>
      <c r="AE33" s="205">
        <v>0.14130000000000001</v>
      </c>
      <c r="AF33" s="205">
        <v>0.14130000000000001</v>
      </c>
      <c r="AG33" s="205">
        <v>0.14130000000000001</v>
      </c>
      <c r="AH33" s="206">
        <v>0.14130000000000001</v>
      </c>
    </row>
    <row r="34" spans="1:34" ht="16.5">
      <c r="A34" s="319" t="s">
        <v>172</v>
      </c>
      <c r="B34" s="299">
        <v>357</v>
      </c>
      <c r="C34" s="299">
        <v>1130</v>
      </c>
      <c r="D34" s="300">
        <v>0.4</v>
      </c>
      <c r="E34" s="301">
        <v>689</v>
      </c>
      <c r="F34" s="299">
        <v>3921</v>
      </c>
      <c r="G34" s="116">
        <v>0.15</v>
      </c>
      <c r="J34" s="105" t="s">
        <v>4</v>
      </c>
      <c r="K34" s="205">
        <v>8.4699999999999998E-2</v>
      </c>
      <c r="L34" s="205">
        <v>5.0200000000000002E-2</v>
      </c>
      <c r="M34" s="205">
        <v>5.4000000000000003E-3</v>
      </c>
      <c r="N34" s="205">
        <v>0</v>
      </c>
      <c r="O34" s="205">
        <v>1.8E-3</v>
      </c>
      <c r="P34" s="205">
        <v>1.8E-3</v>
      </c>
      <c r="Q34" s="205">
        <v>1.8E-3</v>
      </c>
      <c r="R34" s="205">
        <v>1.0999999999999999E-2</v>
      </c>
      <c r="S34" s="205">
        <v>1.0999999999999999E-2</v>
      </c>
      <c r="T34" s="205">
        <v>2.1700000000000001E-2</v>
      </c>
      <c r="U34" s="205">
        <v>0.03</v>
      </c>
      <c r="V34" s="205">
        <v>4.5199999999999997E-2</v>
      </c>
      <c r="W34" s="205">
        <v>0.05</v>
      </c>
      <c r="X34" s="205">
        <v>0.1</v>
      </c>
      <c r="Y34" s="205">
        <v>0.1</v>
      </c>
      <c r="Z34" s="205">
        <v>0.1</v>
      </c>
      <c r="AA34" s="205">
        <v>0.1</v>
      </c>
      <c r="AB34" s="205">
        <v>0.1</v>
      </c>
      <c r="AC34" s="205">
        <v>0.1</v>
      </c>
      <c r="AD34" s="205">
        <v>0.1</v>
      </c>
      <c r="AE34" s="205">
        <v>0.1</v>
      </c>
      <c r="AF34" s="205">
        <v>0.1</v>
      </c>
      <c r="AG34" s="205">
        <v>0.1</v>
      </c>
      <c r="AH34" s="206">
        <v>0.1</v>
      </c>
    </row>
    <row r="35" spans="1:34" ht="15">
      <c r="A35" s="319" t="s">
        <v>164</v>
      </c>
      <c r="B35" s="299">
        <v>288</v>
      </c>
      <c r="C35" s="299">
        <v>276</v>
      </c>
      <c r="D35" s="300">
        <v>1.2</v>
      </c>
      <c r="E35" s="309">
        <v>0</v>
      </c>
      <c r="F35" s="308">
        <v>0</v>
      </c>
      <c r="G35" s="310">
        <v>0</v>
      </c>
      <c r="J35" s="105" t="s">
        <v>5</v>
      </c>
      <c r="K35" s="205">
        <v>0.10970000000000001</v>
      </c>
      <c r="L35" s="205">
        <v>3.5400000000000001E-2</v>
      </c>
      <c r="M35" s="205">
        <v>1.8100000000000002E-2</v>
      </c>
      <c r="N35" s="205">
        <v>1.8E-3</v>
      </c>
      <c r="O35" s="205">
        <v>0</v>
      </c>
      <c r="P35" s="205">
        <v>-1E-4</v>
      </c>
      <c r="Q35" s="205">
        <v>-1E-4</v>
      </c>
      <c r="R35" s="205">
        <v>6.4000000000000003E-3</v>
      </c>
      <c r="S35" s="205">
        <v>6.4000000000000003E-3</v>
      </c>
      <c r="T35" s="205">
        <v>1.14E-2</v>
      </c>
      <c r="U35" s="205">
        <v>1.34E-2</v>
      </c>
      <c r="V35" s="205">
        <v>2.5399999999999999E-2</v>
      </c>
      <c r="W35" s="205">
        <v>0.04</v>
      </c>
      <c r="X35" s="205">
        <v>0.05</v>
      </c>
      <c r="Y35" s="205">
        <v>0.05</v>
      </c>
      <c r="Z35" s="205">
        <v>0.05</v>
      </c>
      <c r="AA35" s="205">
        <v>0.05</v>
      </c>
      <c r="AB35" s="205">
        <v>0.05</v>
      </c>
      <c r="AC35" s="205">
        <v>0.05</v>
      </c>
      <c r="AD35" s="205">
        <v>0.05</v>
      </c>
      <c r="AE35" s="205">
        <v>0.05</v>
      </c>
      <c r="AF35" s="205">
        <v>0.05</v>
      </c>
      <c r="AG35" s="205">
        <v>0.05</v>
      </c>
      <c r="AH35" s="206">
        <v>0.05</v>
      </c>
    </row>
    <row r="36" spans="1:34" ht="15">
      <c r="A36" s="319" t="s">
        <v>159</v>
      </c>
      <c r="B36" s="308">
        <v>0</v>
      </c>
      <c r="C36" s="308">
        <v>0</v>
      </c>
      <c r="D36" s="311">
        <v>0</v>
      </c>
      <c r="E36" s="301">
        <v>276</v>
      </c>
      <c r="F36" s="299">
        <v>288</v>
      </c>
      <c r="G36" s="116">
        <v>1.2</v>
      </c>
      <c r="J36" s="106" t="s">
        <v>6</v>
      </c>
      <c r="K36" s="205">
        <v>0.14330000000000001</v>
      </c>
      <c r="L36" s="205">
        <v>6.4199999999999993E-2</v>
      </c>
      <c r="M36" s="205">
        <v>2.0500000000000001E-2</v>
      </c>
      <c r="N36" s="205">
        <v>1.8E-3</v>
      </c>
      <c r="O36" s="205">
        <v>-1E-4</v>
      </c>
      <c r="P36" s="205">
        <v>0</v>
      </c>
      <c r="Q36" s="205">
        <v>0</v>
      </c>
      <c r="R36" s="205">
        <v>2.0000000000000001E-4</v>
      </c>
      <c r="S36" s="205">
        <v>2.0000000000000001E-4</v>
      </c>
      <c r="T36" s="205">
        <v>7.0000000000000001E-3</v>
      </c>
      <c r="U36" s="205">
        <v>0.01</v>
      </c>
      <c r="V36" s="205">
        <v>1.3599999999999999E-2</v>
      </c>
      <c r="W36" s="205">
        <v>0.04</v>
      </c>
      <c r="X36" s="205">
        <v>0.02</v>
      </c>
      <c r="Y36" s="205">
        <v>0.02</v>
      </c>
      <c r="Z36" s="205">
        <v>0.02</v>
      </c>
      <c r="AA36" s="205">
        <v>0.02</v>
      </c>
      <c r="AB36" s="205">
        <v>0.02</v>
      </c>
      <c r="AC36" s="205">
        <v>0.02</v>
      </c>
      <c r="AD36" s="205">
        <v>0.02</v>
      </c>
      <c r="AE36" s="205">
        <v>0.02</v>
      </c>
      <c r="AF36" s="205">
        <v>0.02</v>
      </c>
      <c r="AG36" s="205">
        <v>0.02</v>
      </c>
      <c r="AH36" s="206">
        <v>0.02</v>
      </c>
    </row>
    <row r="37" spans="1:34" ht="15">
      <c r="A37" s="331" t="s">
        <v>193</v>
      </c>
      <c r="B37" s="332">
        <v>58</v>
      </c>
      <c r="C37" s="332">
        <v>886</v>
      </c>
      <c r="D37" s="333">
        <v>0.4</v>
      </c>
      <c r="E37" s="334">
        <v>118</v>
      </c>
      <c r="F37" s="332">
        <v>1294</v>
      </c>
      <c r="G37" s="335">
        <v>0.15</v>
      </c>
      <c r="J37" s="105" t="s">
        <v>7</v>
      </c>
      <c r="K37" s="205">
        <v>0.14330000000000001</v>
      </c>
      <c r="L37" s="205">
        <v>6.4199999999999993E-2</v>
      </c>
      <c r="M37" s="205">
        <v>2.0500000000000001E-2</v>
      </c>
      <c r="N37" s="205">
        <v>1.8E-3</v>
      </c>
      <c r="O37" s="205">
        <v>-1E-4</v>
      </c>
      <c r="P37" s="205">
        <v>0</v>
      </c>
      <c r="Q37" s="205">
        <v>0</v>
      </c>
      <c r="R37" s="205">
        <v>2.0000000000000001E-4</v>
      </c>
      <c r="S37" s="205">
        <v>2.0000000000000001E-4</v>
      </c>
      <c r="T37" s="205">
        <v>7.0000000000000001E-3</v>
      </c>
      <c r="U37" s="205">
        <v>0.01</v>
      </c>
      <c r="V37" s="205">
        <v>1.3599999999999999E-2</v>
      </c>
      <c r="W37" s="205">
        <v>0.02</v>
      </c>
      <c r="X37" s="205">
        <v>0.01</v>
      </c>
      <c r="Y37" s="205">
        <v>0.01</v>
      </c>
      <c r="Z37" s="205">
        <v>0.01</v>
      </c>
      <c r="AA37" s="205">
        <v>0.01</v>
      </c>
      <c r="AB37" s="205">
        <v>0.01</v>
      </c>
      <c r="AC37" s="205">
        <v>0.01</v>
      </c>
      <c r="AD37" s="205">
        <v>0.01</v>
      </c>
      <c r="AE37" s="205">
        <v>0.01</v>
      </c>
      <c r="AF37" s="205">
        <v>0.01</v>
      </c>
      <c r="AG37" s="205">
        <v>0.01</v>
      </c>
      <c r="AH37" s="206">
        <v>0.01</v>
      </c>
    </row>
    <row r="38" spans="1:34" ht="16.5">
      <c r="A38" s="319" t="s">
        <v>173</v>
      </c>
      <c r="B38" s="299">
        <v>77</v>
      </c>
      <c r="C38" s="299">
        <v>2094</v>
      </c>
      <c r="D38" s="300">
        <v>0.4</v>
      </c>
      <c r="E38" s="301">
        <v>410</v>
      </c>
      <c r="F38" s="299">
        <v>2291</v>
      </c>
      <c r="G38" s="116">
        <v>0.1</v>
      </c>
      <c r="J38" s="106" t="s">
        <v>8</v>
      </c>
      <c r="K38" s="205">
        <v>0.1749</v>
      </c>
      <c r="L38" s="205">
        <v>0.1147</v>
      </c>
      <c r="M38" s="205">
        <v>3.0099999999999998E-2</v>
      </c>
      <c r="N38" s="205">
        <v>1.0999999999999999E-2</v>
      </c>
      <c r="O38" s="205">
        <v>6.4000000000000003E-3</v>
      </c>
      <c r="P38" s="205">
        <v>2.0000000000000001E-4</v>
      </c>
      <c r="Q38" s="205">
        <v>2.0000000000000001E-4</v>
      </c>
      <c r="R38" s="205">
        <v>0</v>
      </c>
      <c r="S38" s="205">
        <v>0</v>
      </c>
      <c r="T38" s="205">
        <v>6.9999999999999999E-4</v>
      </c>
      <c r="U38" s="205">
        <v>3.8999999999999998E-3</v>
      </c>
      <c r="V38" s="205">
        <v>6.7000000000000002E-3</v>
      </c>
      <c r="W38" s="205">
        <v>0.01</v>
      </c>
      <c r="X38" s="205">
        <v>0.01</v>
      </c>
      <c r="Y38" s="205">
        <v>0.01</v>
      </c>
      <c r="Z38" s="205">
        <v>0.01</v>
      </c>
      <c r="AA38" s="205">
        <v>0.01</v>
      </c>
      <c r="AB38" s="205">
        <v>0.01</v>
      </c>
      <c r="AC38" s="205">
        <v>0.01</v>
      </c>
      <c r="AD38" s="205">
        <v>0.01</v>
      </c>
      <c r="AE38" s="205">
        <v>0.01</v>
      </c>
      <c r="AF38" s="205">
        <v>0.01</v>
      </c>
      <c r="AG38" s="205">
        <v>0.01</v>
      </c>
      <c r="AH38" s="206">
        <v>0.01</v>
      </c>
    </row>
    <row r="39" spans="1:34" ht="15">
      <c r="A39" s="319" t="s">
        <v>4</v>
      </c>
      <c r="B39" s="299">
        <v>255</v>
      </c>
      <c r="C39" s="299">
        <v>1610</v>
      </c>
      <c r="D39" s="300">
        <v>0.4</v>
      </c>
      <c r="E39" s="301">
        <v>492</v>
      </c>
      <c r="F39" s="299">
        <v>2281</v>
      </c>
      <c r="G39" s="116">
        <v>0.15</v>
      </c>
      <c r="J39" s="106" t="s">
        <v>9</v>
      </c>
      <c r="K39" s="205">
        <v>0.1749</v>
      </c>
      <c r="L39" s="205">
        <v>0.1147</v>
      </c>
      <c r="M39" s="205">
        <v>3.0099999999999998E-2</v>
      </c>
      <c r="N39" s="205">
        <v>1.0999999999999999E-2</v>
      </c>
      <c r="O39" s="205">
        <v>6.4000000000000003E-3</v>
      </c>
      <c r="P39" s="205">
        <v>2.0000000000000001E-4</v>
      </c>
      <c r="Q39" s="205">
        <v>2.0000000000000001E-4</v>
      </c>
      <c r="R39" s="205">
        <v>0</v>
      </c>
      <c r="S39" s="205">
        <v>0</v>
      </c>
      <c r="T39" s="205">
        <v>6.9999999999999999E-4</v>
      </c>
      <c r="U39" s="205">
        <v>3.8999999999999998E-3</v>
      </c>
      <c r="V39" s="205">
        <v>6.7000000000000002E-3</v>
      </c>
      <c r="W39" s="205">
        <v>5.0000000000000001E-3</v>
      </c>
      <c r="X39" s="205">
        <v>5.0000000000000001E-3</v>
      </c>
      <c r="Y39" s="205">
        <v>5.0000000000000001E-3</v>
      </c>
      <c r="Z39" s="205">
        <v>5.0000000000000001E-3</v>
      </c>
      <c r="AA39" s="205">
        <v>5.0000000000000001E-3</v>
      </c>
      <c r="AB39" s="205">
        <v>5.0000000000000001E-3</v>
      </c>
      <c r="AC39" s="205">
        <v>5.0000000000000001E-3</v>
      </c>
      <c r="AD39" s="205">
        <v>5.0000000000000001E-3</v>
      </c>
      <c r="AE39" s="205">
        <v>5.0000000000000001E-3</v>
      </c>
      <c r="AF39" s="205">
        <v>5.0000000000000001E-3</v>
      </c>
      <c r="AG39" s="205">
        <v>5.0000000000000001E-3</v>
      </c>
      <c r="AH39" s="206">
        <v>5.0000000000000001E-3</v>
      </c>
    </row>
    <row r="40" spans="1:34" ht="15">
      <c r="A40" s="319" t="s">
        <v>5</v>
      </c>
      <c r="B40" s="299">
        <v>465</v>
      </c>
      <c r="C40" s="299">
        <v>1418</v>
      </c>
      <c r="D40" s="300">
        <v>0.4</v>
      </c>
      <c r="E40" s="301">
        <v>847</v>
      </c>
      <c r="F40" s="299">
        <v>2650</v>
      </c>
      <c r="G40" s="116">
        <v>0.15</v>
      </c>
      <c r="J40" s="105" t="s">
        <v>10</v>
      </c>
      <c r="K40" s="205">
        <v>0.2742</v>
      </c>
      <c r="L40" s="205">
        <v>0.1167</v>
      </c>
      <c r="M40" s="205">
        <v>4.19E-2</v>
      </c>
      <c r="N40" s="205">
        <v>2.1700000000000001E-2</v>
      </c>
      <c r="O40" s="205">
        <v>1.14E-2</v>
      </c>
      <c r="P40" s="205">
        <v>7.0000000000000001E-3</v>
      </c>
      <c r="Q40" s="205">
        <v>7.0000000000000001E-3</v>
      </c>
      <c r="R40" s="205">
        <v>6.9999999999999999E-4</v>
      </c>
      <c r="S40" s="205" t="s">
        <v>261</v>
      </c>
      <c r="T40" s="205">
        <v>0</v>
      </c>
      <c r="U40" s="205">
        <v>3.0000000000000001E-3</v>
      </c>
      <c r="V40" s="205">
        <v>3.2000000000000002E-3</v>
      </c>
      <c r="W40" s="205">
        <v>5.0000000000000001E-3</v>
      </c>
      <c r="X40" s="205">
        <v>5.0000000000000001E-3</v>
      </c>
      <c r="Y40" s="205">
        <v>5.0000000000000001E-3</v>
      </c>
      <c r="Z40" s="205">
        <v>5.0000000000000001E-3</v>
      </c>
      <c r="AA40" s="205">
        <v>5.0000000000000001E-3</v>
      </c>
      <c r="AB40" s="205">
        <v>5.0000000000000001E-3</v>
      </c>
      <c r="AC40" s="205">
        <v>5.0000000000000001E-3</v>
      </c>
      <c r="AD40" s="205">
        <v>5.0000000000000001E-3</v>
      </c>
      <c r="AE40" s="205">
        <v>5.0000000000000001E-3</v>
      </c>
      <c r="AF40" s="205">
        <v>5.0000000000000001E-3</v>
      </c>
      <c r="AG40" s="205">
        <v>5.0000000000000001E-3</v>
      </c>
      <c r="AH40" s="206">
        <v>5.0000000000000001E-3</v>
      </c>
    </row>
    <row r="41" spans="1:34" ht="15">
      <c r="A41" s="318" t="s">
        <v>6</v>
      </c>
      <c r="B41" s="299">
        <v>516</v>
      </c>
      <c r="C41" s="299">
        <v>1049</v>
      </c>
      <c r="D41" s="300">
        <v>0.4</v>
      </c>
      <c r="E41" s="301"/>
      <c r="F41" s="299"/>
      <c r="G41" s="116">
        <v>0.15</v>
      </c>
      <c r="J41" s="106" t="s">
        <v>35</v>
      </c>
      <c r="K41" s="205">
        <v>0.26200000000000001</v>
      </c>
      <c r="L41" s="205">
        <v>0.1353</v>
      </c>
      <c r="M41" s="205">
        <v>4.7600000000000003E-2</v>
      </c>
      <c r="N41" s="205">
        <v>0.03</v>
      </c>
      <c r="O41" s="205">
        <v>1.34E-2</v>
      </c>
      <c r="P41" s="205">
        <v>0.01</v>
      </c>
      <c r="Q41" s="205">
        <v>0.01</v>
      </c>
      <c r="R41" s="205">
        <v>3.8999999999999998E-3</v>
      </c>
      <c r="S41" s="205">
        <v>3.8999999999999998E-3</v>
      </c>
      <c r="T41" s="205">
        <v>3.0000000000000001E-3</v>
      </c>
      <c r="U41" s="205">
        <v>0</v>
      </c>
      <c r="V41" s="205">
        <v>5.9999999999999995E-4</v>
      </c>
      <c r="W41" s="205">
        <v>2E-3</v>
      </c>
      <c r="X41" s="205">
        <v>1E-3</v>
      </c>
      <c r="Y41" s="205">
        <v>1E-3</v>
      </c>
      <c r="Z41" s="205">
        <v>1E-3</v>
      </c>
      <c r="AA41" s="205">
        <v>1E-3</v>
      </c>
      <c r="AB41" s="205">
        <v>1E-3</v>
      </c>
      <c r="AC41" s="205">
        <v>1E-3</v>
      </c>
      <c r="AD41" s="205">
        <v>1E-3</v>
      </c>
      <c r="AE41" s="205">
        <v>1E-3</v>
      </c>
      <c r="AF41" s="205">
        <v>1E-3</v>
      </c>
      <c r="AG41" s="205">
        <v>1E-3</v>
      </c>
      <c r="AH41" s="206">
        <v>1E-3</v>
      </c>
    </row>
    <row r="42" spans="1:34" ht="15">
      <c r="A42" s="319" t="s">
        <v>7</v>
      </c>
      <c r="B42" s="299">
        <v>516</v>
      </c>
      <c r="C42" s="299">
        <v>1049</v>
      </c>
      <c r="D42" s="300">
        <v>0.4</v>
      </c>
      <c r="E42" s="301">
        <v>793</v>
      </c>
      <c r="F42" s="299">
        <v>2501</v>
      </c>
      <c r="G42" s="116">
        <v>0.15</v>
      </c>
      <c r="J42" s="106" t="s">
        <v>36</v>
      </c>
      <c r="K42" s="205">
        <v>0.2505</v>
      </c>
      <c r="L42" s="205">
        <v>0.14180000000000001</v>
      </c>
      <c r="M42" s="205">
        <v>6.5799999999999997E-2</v>
      </c>
      <c r="N42" s="205">
        <v>4.5199999999999997E-2</v>
      </c>
      <c r="O42" s="205">
        <v>2.5399999999999999E-2</v>
      </c>
      <c r="P42" s="205">
        <v>1.3599999999999999E-2</v>
      </c>
      <c r="Q42" s="205">
        <v>1.3599999999999999E-2</v>
      </c>
      <c r="R42" s="205">
        <v>6.7000000000000002E-3</v>
      </c>
      <c r="S42" s="205">
        <v>6.7000000000000002E-3</v>
      </c>
      <c r="T42" s="205">
        <v>3.2000000000000002E-3</v>
      </c>
      <c r="U42" s="205">
        <v>5.9999999999999995E-4</v>
      </c>
      <c r="V42" s="205">
        <v>0</v>
      </c>
      <c r="W42" s="205">
        <v>1E-3</v>
      </c>
      <c r="X42" s="205">
        <v>1E-3</v>
      </c>
      <c r="Y42" s="205">
        <v>1E-3</v>
      </c>
      <c r="Z42" s="205">
        <v>1E-3</v>
      </c>
      <c r="AA42" s="205">
        <v>1E-3</v>
      </c>
      <c r="AB42" s="205">
        <v>1E-3</v>
      </c>
      <c r="AC42" s="205">
        <v>1E-3</v>
      </c>
      <c r="AD42" s="205">
        <v>1E-3</v>
      </c>
      <c r="AE42" s="205">
        <v>1E-3</v>
      </c>
      <c r="AF42" s="205">
        <v>1E-3</v>
      </c>
      <c r="AG42" s="205">
        <v>1E-3</v>
      </c>
      <c r="AH42" s="206">
        <v>1E-3</v>
      </c>
    </row>
    <row r="43" spans="1:34" ht="15">
      <c r="A43" s="318" t="s">
        <v>8</v>
      </c>
      <c r="B43" s="299">
        <v>675</v>
      </c>
      <c r="C43" s="299">
        <v>1056</v>
      </c>
      <c r="D43" s="300">
        <v>0.4</v>
      </c>
      <c r="E43" s="302">
        <v>1120</v>
      </c>
      <c r="F43" s="299">
        <v>2900</v>
      </c>
      <c r="G43" s="116">
        <v>0.15</v>
      </c>
      <c r="J43" s="106" t="s">
        <v>37</v>
      </c>
      <c r="K43" s="205">
        <v>0.26900000000000002</v>
      </c>
      <c r="L43" s="205">
        <v>0.15479999999999999</v>
      </c>
      <c r="M43" s="205">
        <v>7.1300000000000002E-2</v>
      </c>
      <c r="N43" s="205">
        <v>0.05</v>
      </c>
      <c r="O43" s="205">
        <v>0.04</v>
      </c>
      <c r="P43" s="205">
        <v>0.04</v>
      </c>
      <c r="Q43" s="205">
        <v>0.02</v>
      </c>
      <c r="R43" s="205">
        <v>0.01</v>
      </c>
      <c r="S43" s="205">
        <v>5.0000000000000001E-3</v>
      </c>
      <c r="T43" s="205">
        <v>5.0000000000000001E-3</v>
      </c>
      <c r="U43" s="205">
        <v>2E-3</v>
      </c>
      <c r="V43" s="205">
        <v>1E-3</v>
      </c>
      <c r="W43" s="205">
        <v>0</v>
      </c>
      <c r="X43" s="205">
        <v>0</v>
      </c>
      <c r="Y43" s="205">
        <v>0</v>
      </c>
      <c r="Z43" s="205">
        <v>0</v>
      </c>
      <c r="AA43" s="205">
        <v>0</v>
      </c>
      <c r="AB43" s="205">
        <v>0</v>
      </c>
      <c r="AC43" s="205">
        <v>0</v>
      </c>
      <c r="AD43" s="205">
        <v>0</v>
      </c>
      <c r="AE43" s="205">
        <v>0</v>
      </c>
      <c r="AF43" s="205">
        <v>0</v>
      </c>
      <c r="AG43" s="205">
        <v>0</v>
      </c>
      <c r="AH43" s="206">
        <v>0</v>
      </c>
    </row>
    <row r="44" spans="1:34" ht="15">
      <c r="A44" s="318" t="s">
        <v>9</v>
      </c>
      <c r="B44" s="299">
        <v>774</v>
      </c>
      <c r="C44" s="299">
        <v>1195</v>
      </c>
      <c r="D44" s="300">
        <v>0.4</v>
      </c>
      <c r="E44" s="301">
        <v>1109</v>
      </c>
      <c r="F44" s="299">
        <v>2901</v>
      </c>
      <c r="G44" s="116">
        <v>0.15</v>
      </c>
      <c r="J44" s="106" t="s">
        <v>38</v>
      </c>
      <c r="K44" s="205">
        <v>0.22589999999999999</v>
      </c>
      <c r="L44" s="205">
        <v>0.1593</v>
      </c>
      <c r="M44" s="205">
        <v>0.1497</v>
      </c>
      <c r="N44" s="205">
        <v>0.1</v>
      </c>
      <c r="O44" s="205">
        <v>0.05</v>
      </c>
      <c r="P44" s="205">
        <v>0.02</v>
      </c>
      <c r="Q44" s="205">
        <v>0.01</v>
      </c>
      <c r="R44" s="205">
        <v>0.01</v>
      </c>
      <c r="S44" s="205">
        <v>5.0000000000000001E-3</v>
      </c>
      <c r="T44" s="205">
        <v>5.0000000000000001E-3</v>
      </c>
      <c r="U44" s="205">
        <v>1E-3</v>
      </c>
      <c r="V44" s="205">
        <v>1E-3</v>
      </c>
      <c r="W44" s="205">
        <v>0</v>
      </c>
      <c r="X44" s="205">
        <v>0</v>
      </c>
      <c r="Y44" s="205">
        <v>0</v>
      </c>
      <c r="Z44" s="205">
        <v>0</v>
      </c>
      <c r="AA44" s="205">
        <v>0</v>
      </c>
      <c r="AB44" s="205">
        <v>0</v>
      </c>
      <c r="AC44" s="205">
        <v>0</v>
      </c>
      <c r="AD44" s="205">
        <v>0</v>
      </c>
      <c r="AE44" s="205">
        <v>0</v>
      </c>
      <c r="AF44" s="205">
        <v>0</v>
      </c>
      <c r="AG44" s="205">
        <v>0</v>
      </c>
      <c r="AH44" s="206">
        <v>0</v>
      </c>
    </row>
    <row r="45" spans="1:34" ht="15">
      <c r="A45" s="319" t="s">
        <v>10</v>
      </c>
      <c r="B45" s="299">
        <v>829</v>
      </c>
      <c r="C45" s="299">
        <v>1164</v>
      </c>
      <c r="D45" s="300">
        <v>0.4</v>
      </c>
      <c r="E45" s="301">
        <v>1187</v>
      </c>
      <c r="F45" s="299">
        <v>2878</v>
      </c>
      <c r="G45" s="116">
        <v>0.15</v>
      </c>
      <c r="J45" s="106" t="s">
        <v>39</v>
      </c>
      <c r="K45" s="205">
        <v>0.22589999999999999</v>
      </c>
      <c r="L45" s="205">
        <v>0.1593</v>
      </c>
      <c r="M45" s="205">
        <v>0.1497</v>
      </c>
      <c r="N45" s="205">
        <v>0.1</v>
      </c>
      <c r="O45" s="205">
        <v>0.05</v>
      </c>
      <c r="P45" s="205">
        <v>0.02</v>
      </c>
      <c r="Q45" s="205">
        <v>0.01</v>
      </c>
      <c r="R45" s="205">
        <v>0.01</v>
      </c>
      <c r="S45" s="205">
        <v>5.0000000000000001E-3</v>
      </c>
      <c r="T45" s="205">
        <v>5.0000000000000001E-3</v>
      </c>
      <c r="U45" s="205">
        <v>1E-3</v>
      </c>
      <c r="V45" s="205">
        <v>1E-3</v>
      </c>
      <c r="W45" s="205">
        <v>0</v>
      </c>
      <c r="X45" s="205">
        <v>0</v>
      </c>
      <c r="Y45" s="205">
        <v>0</v>
      </c>
      <c r="Z45" s="205">
        <v>0</v>
      </c>
      <c r="AA45" s="205">
        <v>0</v>
      </c>
      <c r="AB45" s="205">
        <v>0</v>
      </c>
      <c r="AC45" s="205">
        <v>0</v>
      </c>
      <c r="AD45" s="205">
        <v>0</v>
      </c>
      <c r="AE45" s="205">
        <v>0</v>
      </c>
      <c r="AF45" s="205">
        <v>0</v>
      </c>
      <c r="AG45" s="205">
        <v>0</v>
      </c>
      <c r="AH45" s="206">
        <v>0</v>
      </c>
    </row>
    <row r="46" spans="1:34" ht="15">
      <c r="A46" s="318" t="s">
        <v>35</v>
      </c>
      <c r="B46" s="299">
        <v>829</v>
      </c>
      <c r="C46" s="299">
        <v>1164</v>
      </c>
      <c r="D46" s="300">
        <v>0.4</v>
      </c>
      <c r="E46" s="301">
        <v>1187</v>
      </c>
      <c r="F46" s="299">
        <v>2878</v>
      </c>
      <c r="G46" s="116">
        <v>0.15</v>
      </c>
      <c r="J46" s="106" t="s">
        <v>40</v>
      </c>
      <c r="K46" s="205">
        <v>0.22589999999999999</v>
      </c>
      <c r="L46" s="205">
        <v>0.17349999999999999</v>
      </c>
      <c r="M46" s="205">
        <v>0.14130000000000001</v>
      </c>
      <c r="N46" s="205">
        <v>0.1</v>
      </c>
      <c r="O46" s="205">
        <v>0.05</v>
      </c>
      <c r="P46" s="205">
        <v>0.02</v>
      </c>
      <c r="Q46" s="205">
        <v>0.01</v>
      </c>
      <c r="R46" s="205">
        <v>0.01</v>
      </c>
      <c r="S46" s="205">
        <v>5.0000000000000001E-3</v>
      </c>
      <c r="T46" s="205">
        <v>5.0000000000000001E-3</v>
      </c>
      <c r="U46" s="205">
        <v>1E-3</v>
      </c>
      <c r="V46" s="205">
        <v>1E-3</v>
      </c>
      <c r="W46" s="205">
        <v>0</v>
      </c>
      <c r="X46" s="205">
        <v>0</v>
      </c>
      <c r="Y46" s="205">
        <v>0</v>
      </c>
      <c r="Z46" s="205">
        <v>0</v>
      </c>
      <c r="AA46" s="205">
        <v>0</v>
      </c>
      <c r="AB46" s="205">
        <v>0</v>
      </c>
      <c r="AC46" s="205">
        <v>0</v>
      </c>
      <c r="AD46" s="205">
        <v>0</v>
      </c>
      <c r="AE46" s="205">
        <v>0</v>
      </c>
      <c r="AF46" s="205">
        <v>0</v>
      </c>
      <c r="AG46" s="205">
        <v>0</v>
      </c>
      <c r="AH46" s="206">
        <v>0</v>
      </c>
    </row>
    <row r="47" spans="1:34">
      <c r="A47" s="19" t="s">
        <v>163</v>
      </c>
      <c r="B47" s="299">
        <v>829</v>
      </c>
      <c r="C47" s="299">
        <v>1164</v>
      </c>
      <c r="D47" s="300">
        <v>0.4</v>
      </c>
      <c r="E47" s="301">
        <v>1187</v>
      </c>
      <c r="F47" s="299">
        <v>2878</v>
      </c>
      <c r="G47" s="116">
        <v>0.15</v>
      </c>
      <c r="J47" s="106" t="s">
        <v>41</v>
      </c>
      <c r="K47" s="205">
        <v>0.22589999999999999</v>
      </c>
      <c r="L47" s="205">
        <v>0.17349999999999999</v>
      </c>
      <c r="M47" s="205">
        <v>0.14130000000000001</v>
      </c>
      <c r="N47" s="205">
        <v>0.1</v>
      </c>
      <c r="O47" s="205">
        <v>0.05</v>
      </c>
      <c r="P47" s="205">
        <v>0.02</v>
      </c>
      <c r="Q47" s="205">
        <v>0.01</v>
      </c>
      <c r="R47" s="205">
        <v>0.01</v>
      </c>
      <c r="S47" s="205">
        <v>5.0000000000000001E-3</v>
      </c>
      <c r="T47" s="205">
        <v>5.0000000000000001E-3</v>
      </c>
      <c r="U47" s="205">
        <v>1E-3</v>
      </c>
      <c r="V47" s="205">
        <v>1E-3</v>
      </c>
      <c r="W47" s="205">
        <v>0</v>
      </c>
      <c r="X47" s="205">
        <v>0</v>
      </c>
      <c r="Y47" s="205">
        <v>0</v>
      </c>
      <c r="Z47" s="205">
        <v>0</v>
      </c>
      <c r="AA47" s="205">
        <v>0</v>
      </c>
      <c r="AB47" s="205">
        <v>0</v>
      </c>
      <c r="AC47" s="205">
        <v>0</v>
      </c>
      <c r="AD47" s="205">
        <v>0</v>
      </c>
      <c r="AE47" s="205">
        <v>0</v>
      </c>
      <c r="AF47" s="205">
        <v>0</v>
      </c>
      <c r="AG47" s="205">
        <v>0</v>
      </c>
      <c r="AH47" s="206">
        <v>0</v>
      </c>
    </row>
    <row r="48" spans="1:34">
      <c r="A48" s="19" t="s">
        <v>178</v>
      </c>
      <c r="B48" s="299">
        <v>829</v>
      </c>
      <c r="C48" s="299">
        <v>1164</v>
      </c>
      <c r="D48" s="300">
        <v>0.4</v>
      </c>
      <c r="E48" s="301">
        <v>1187</v>
      </c>
      <c r="F48" s="299">
        <v>2878</v>
      </c>
      <c r="G48" s="116">
        <v>0.15</v>
      </c>
      <c r="J48" s="106" t="s">
        <v>42</v>
      </c>
      <c r="K48" s="205">
        <v>0.22589999999999999</v>
      </c>
      <c r="L48" s="205">
        <v>0.17349999999999999</v>
      </c>
      <c r="M48" s="205">
        <v>0.14130000000000001</v>
      </c>
      <c r="N48" s="205">
        <v>0.1</v>
      </c>
      <c r="O48" s="205">
        <v>0.05</v>
      </c>
      <c r="P48" s="205">
        <v>0.02</v>
      </c>
      <c r="Q48" s="205">
        <v>0.01</v>
      </c>
      <c r="R48" s="205">
        <v>0.01</v>
      </c>
      <c r="S48" s="205">
        <v>5.0000000000000001E-3</v>
      </c>
      <c r="T48" s="205">
        <v>5.0000000000000001E-3</v>
      </c>
      <c r="U48" s="205">
        <v>1E-3</v>
      </c>
      <c r="V48" s="205">
        <v>1E-3</v>
      </c>
      <c r="W48" s="205">
        <v>0</v>
      </c>
      <c r="X48" s="205">
        <v>0</v>
      </c>
      <c r="Y48" s="205">
        <v>0</v>
      </c>
      <c r="Z48" s="205">
        <v>0</v>
      </c>
      <c r="AA48" s="205">
        <v>0</v>
      </c>
      <c r="AB48" s="205">
        <v>0</v>
      </c>
      <c r="AC48" s="205">
        <v>0</v>
      </c>
      <c r="AD48" s="205">
        <v>0</v>
      </c>
      <c r="AE48" s="205">
        <v>0</v>
      </c>
      <c r="AF48" s="205">
        <v>0</v>
      </c>
      <c r="AG48" s="205">
        <v>0</v>
      </c>
      <c r="AH48" s="206">
        <v>0</v>
      </c>
    </row>
    <row r="49" spans="1:34">
      <c r="A49" s="19" t="s">
        <v>179</v>
      </c>
      <c r="B49" s="299">
        <v>829</v>
      </c>
      <c r="C49" s="299">
        <v>1164</v>
      </c>
      <c r="D49" s="300">
        <v>0.4</v>
      </c>
      <c r="E49" s="301">
        <v>1187</v>
      </c>
      <c r="F49" s="299">
        <v>2878</v>
      </c>
      <c r="G49" s="116">
        <v>0.15</v>
      </c>
      <c r="J49" s="106" t="s">
        <v>43</v>
      </c>
      <c r="K49" s="205">
        <v>0.22589999999999999</v>
      </c>
      <c r="L49" s="205">
        <v>0.17349999999999999</v>
      </c>
      <c r="M49" s="205">
        <v>0.14130000000000001</v>
      </c>
      <c r="N49" s="205">
        <v>0.1</v>
      </c>
      <c r="O49" s="205">
        <v>0.05</v>
      </c>
      <c r="P49" s="205">
        <v>0.02</v>
      </c>
      <c r="Q49" s="205">
        <v>0.01</v>
      </c>
      <c r="R49" s="205">
        <v>0.01</v>
      </c>
      <c r="S49" s="205">
        <v>5.0000000000000001E-3</v>
      </c>
      <c r="T49" s="205">
        <v>5.0000000000000001E-3</v>
      </c>
      <c r="U49" s="205">
        <v>1E-3</v>
      </c>
      <c r="V49" s="205">
        <v>1E-3</v>
      </c>
      <c r="W49" s="205">
        <v>0</v>
      </c>
      <c r="X49" s="205">
        <v>0</v>
      </c>
      <c r="Y49" s="205">
        <v>0</v>
      </c>
      <c r="Z49" s="205">
        <v>0</v>
      </c>
      <c r="AA49" s="205">
        <v>0</v>
      </c>
      <c r="AB49" s="205">
        <v>0</v>
      </c>
      <c r="AC49" s="205">
        <v>0</v>
      </c>
      <c r="AD49" s="205">
        <v>0</v>
      </c>
      <c r="AE49" s="205">
        <v>0</v>
      </c>
      <c r="AF49" s="205">
        <v>0</v>
      </c>
      <c r="AG49" s="205">
        <v>0</v>
      </c>
      <c r="AH49" s="206">
        <v>0</v>
      </c>
    </row>
    <row r="50" spans="1:34">
      <c r="A50" s="19" t="s">
        <v>180</v>
      </c>
      <c r="B50" s="299">
        <v>829</v>
      </c>
      <c r="C50" s="299">
        <v>1164</v>
      </c>
      <c r="D50" s="300">
        <v>0.4</v>
      </c>
      <c r="E50" s="301">
        <v>1187</v>
      </c>
      <c r="F50" s="299">
        <v>2878</v>
      </c>
      <c r="G50" s="116">
        <v>0.15</v>
      </c>
      <c r="J50" s="106" t="s">
        <v>91</v>
      </c>
      <c r="K50" s="205">
        <v>0.22589999999999999</v>
      </c>
      <c r="L50" s="205">
        <v>0.17349999999999999</v>
      </c>
      <c r="M50" s="205">
        <v>0.14130000000000001</v>
      </c>
      <c r="N50" s="205">
        <v>0.1</v>
      </c>
      <c r="O50" s="205">
        <v>0.05</v>
      </c>
      <c r="P50" s="205">
        <v>0.02</v>
      </c>
      <c r="Q50" s="205">
        <v>0.01</v>
      </c>
      <c r="R50" s="205">
        <v>0.01</v>
      </c>
      <c r="S50" s="205">
        <v>5.0000000000000001E-3</v>
      </c>
      <c r="T50" s="205">
        <v>5.0000000000000001E-3</v>
      </c>
      <c r="U50" s="205">
        <v>1E-3</v>
      </c>
      <c r="V50" s="205">
        <v>1E-3</v>
      </c>
      <c r="W50" s="205">
        <v>0</v>
      </c>
      <c r="X50" s="205">
        <v>0</v>
      </c>
      <c r="Y50" s="205">
        <v>0</v>
      </c>
      <c r="Z50" s="205">
        <v>0</v>
      </c>
      <c r="AA50" s="205">
        <v>0</v>
      </c>
      <c r="AB50" s="205">
        <v>0</v>
      </c>
      <c r="AC50" s="205">
        <v>0</v>
      </c>
      <c r="AD50" s="205">
        <v>0</v>
      </c>
      <c r="AE50" s="205">
        <v>0</v>
      </c>
      <c r="AF50" s="205">
        <v>0</v>
      </c>
      <c r="AG50" s="205">
        <v>0</v>
      </c>
      <c r="AH50" s="206">
        <v>0</v>
      </c>
    </row>
    <row r="51" spans="1:34">
      <c r="A51" s="19" t="s">
        <v>181</v>
      </c>
      <c r="B51" s="299">
        <v>829</v>
      </c>
      <c r="C51" s="299">
        <v>1164</v>
      </c>
      <c r="D51" s="300">
        <v>0.4</v>
      </c>
      <c r="E51" s="301">
        <v>1187</v>
      </c>
      <c r="F51" s="299">
        <v>2878</v>
      </c>
      <c r="G51" s="116">
        <v>0.15</v>
      </c>
      <c r="J51" s="106" t="s">
        <v>92</v>
      </c>
      <c r="K51" s="205">
        <v>0.22589999999999999</v>
      </c>
      <c r="L51" s="205">
        <v>0.17349999999999999</v>
      </c>
      <c r="M51" s="205">
        <v>0.14130000000000001</v>
      </c>
      <c r="N51" s="205">
        <v>0.1</v>
      </c>
      <c r="O51" s="205">
        <v>0.05</v>
      </c>
      <c r="P51" s="205">
        <v>0.02</v>
      </c>
      <c r="Q51" s="205">
        <v>0.01</v>
      </c>
      <c r="R51" s="205">
        <v>0.01</v>
      </c>
      <c r="S51" s="205">
        <v>5.0000000000000001E-3</v>
      </c>
      <c r="T51" s="205">
        <v>5.0000000000000001E-3</v>
      </c>
      <c r="U51" s="205">
        <v>1E-3</v>
      </c>
      <c r="V51" s="205">
        <v>1E-3</v>
      </c>
      <c r="W51" s="205">
        <v>0</v>
      </c>
      <c r="X51" s="205">
        <v>0</v>
      </c>
      <c r="Y51" s="205">
        <v>0</v>
      </c>
      <c r="Z51" s="205">
        <v>0</v>
      </c>
      <c r="AA51" s="205">
        <v>0</v>
      </c>
      <c r="AB51" s="205">
        <v>0</v>
      </c>
      <c r="AC51" s="205">
        <v>0</v>
      </c>
      <c r="AD51" s="205">
        <v>0</v>
      </c>
      <c r="AE51" s="205">
        <v>0</v>
      </c>
      <c r="AF51" s="205">
        <v>0</v>
      </c>
      <c r="AG51" s="205">
        <v>0</v>
      </c>
      <c r="AH51" s="206">
        <v>0</v>
      </c>
    </row>
    <row r="52" spans="1:34">
      <c r="A52" s="19" t="s">
        <v>182</v>
      </c>
      <c r="B52" s="299">
        <v>829</v>
      </c>
      <c r="C52" s="299">
        <v>1164</v>
      </c>
      <c r="D52" s="300">
        <v>0.4</v>
      </c>
      <c r="E52" s="301">
        <v>1187</v>
      </c>
      <c r="F52" s="299">
        <v>2878</v>
      </c>
      <c r="G52" s="116">
        <v>0.15</v>
      </c>
      <c r="J52" s="106" t="s">
        <v>93</v>
      </c>
      <c r="K52" s="205">
        <v>0.22589999999999999</v>
      </c>
      <c r="L52" s="205">
        <v>0.17349999999999999</v>
      </c>
      <c r="M52" s="205">
        <v>0.14130000000000001</v>
      </c>
      <c r="N52" s="205">
        <v>0.1</v>
      </c>
      <c r="O52" s="205">
        <v>0.05</v>
      </c>
      <c r="P52" s="205">
        <v>0.02</v>
      </c>
      <c r="Q52" s="205">
        <v>0.01</v>
      </c>
      <c r="R52" s="205">
        <v>0.01</v>
      </c>
      <c r="S52" s="205">
        <v>5.0000000000000001E-3</v>
      </c>
      <c r="T52" s="205">
        <v>5.0000000000000001E-3</v>
      </c>
      <c r="U52" s="205">
        <v>1E-3</v>
      </c>
      <c r="V52" s="205">
        <v>1E-3</v>
      </c>
      <c r="W52" s="205">
        <v>0</v>
      </c>
      <c r="X52" s="205">
        <v>0</v>
      </c>
      <c r="Y52" s="205">
        <v>0</v>
      </c>
      <c r="Z52" s="205">
        <v>0</v>
      </c>
      <c r="AA52" s="205">
        <v>0</v>
      </c>
      <c r="AB52" s="205">
        <v>0</v>
      </c>
      <c r="AC52" s="205">
        <v>0</v>
      </c>
      <c r="AD52" s="205">
        <v>0</v>
      </c>
      <c r="AE52" s="205">
        <v>0</v>
      </c>
      <c r="AF52" s="205">
        <v>0</v>
      </c>
      <c r="AG52" s="205">
        <v>0</v>
      </c>
      <c r="AH52" s="206">
        <v>0</v>
      </c>
    </row>
    <row r="53" spans="1:34">
      <c r="A53" s="19" t="s">
        <v>183</v>
      </c>
      <c r="B53" s="299">
        <v>829</v>
      </c>
      <c r="C53" s="299">
        <v>1164</v>
      </c>
      <c r="D53" s="300">
        <v>0.4</v>
      </c>
      <c r="E53" s="301">
        <v>1187</v>
      </c>
      <c r="F53" s="299">
        <v>2878</v>
      </c>
      <c r="G53" s="116">
        <v>0.15</v>
      </c>
      <c r="J53" s="106" t="s">
        <v>94</v>
      </c>
      <c r="K53" s="205">
        <v>0.22589999999999999</v>
      </c>
      <c r="L53" s="205">
        <v>0.17349999999999999</v>
      </c>
      <c r="M53" s="205">
        <v>0.14130000000000001</v>
      </c>
      <c r="N53" s="205">
        <v>0.1</v>
      </c>
      <c r="O53" s="205">
        <v>0.05</v>
      </c>
      <c r="P53" s="205">
        <v>0.02</v>
      </c>
      <c r="Q53" s="205">
        <v>0.01</v>
      </c>
      <c r="R53" s="205">
        <v>0.01</v>
      </c>
      <c r="S53" s="205">
        <v>5.0000000000000001E-3</v>
      </c>
      <c r="T53" s="205">
        <v>5.0000000000000001E-3</v>
      </c>
      <c r="U53" s="205">
        <v>1E-3</v>
      </c>
      <c r="V53" s="205">
        <v>1E-3</v>
      </c>
      <c r="W53" s="205">
        <v>0</v>
      </c>
      <c r="X53" s="205">
        <v>0</v>
      </c>
      <c r="Y53" s="205">
        <v>0</v>
      </c>
      <c r="Z53" s="205">
        <v>0</v>
      </c>
      <c r="AA53" s="205">
        <v>0</v>
      </c>
      <c r="AB53" s="205">
        <v>0</v>
      </c>
      <c r="AC53" s="205">
        <v>0</v>
      </c>
      <c r="AD53" s="205">
        <v>0</v>
      </c>
      <c r="AE53" s="205">
        <v>0</v>
      </c>
      <c r="AF53" s="205">
        <v>0</v>
      </c>
      <c r="AG53" s="205">
        <v>0</v>
      </c>
      <c r="AH53" s="206">
        <v>0</v>
      </c>
    </row>
    <row r="54" spans="1:34" ht="13.5" thickBot="1">
      <c r="A54" s="19" t="s">
        <v>184</v>
      </c>
      <c r="B54" s="299">
        <v>829</v>
      </c>
      <c r="C54" s="299">
        <v>1164</v>
      </c>
      <c r="D54" s="300">
        <v>0.4</v>
      </c>
      <c r="E54" s="301">
        <v>1187</v>
      </c>
      <c r="F54" s="299">
        <v>2878</v>
      </c>
      <c r="G54" s="116">
        <v>0.15</v>
      </c>
      <c r="J54" s="189" t="s">
        <v>95</v>
      </c>
      <c r="K54" s="207">
        <v>0.22589999999999999</v>
      </c>
      <c r="L54" s="207">
        <v>0.17349999999999999</v>
      </c>
      <c r="M54" s="207">
        <v>0.14130000000000001</v>
      </c>
      <c r="N54" s="207">
        <v>0.1</v>
      </c>
      <c r="O54" s="194"/>
      <c r="P54" s="207">
        <v>0.02</v>
      </c>
      <c r="Q54" s="207">
        <v>0.01</v>
      </c>
      <c r="R54" s="207">
        <v>0.01</v>
      </c>
      <c r="S54" s="207">
        <v>5.0000000000000001E-3</v>
      </c>
      <c r="T54" s="207">
        <v>5.0000000000000001E-3</v>
      </c>
      <c r="U54" s="207">
        <v>1E-3</v>
      </c>
      <c r="V54" s="207">
        <v>1E-3</v>
      </c>
      <c r="W54" s="207">
        <v>0</v>
      </c>
      <c r="X54" s="207">
        <v>0</v>
      </c>
      <c r="Y54" s="207">
        <v>0</v>
      </c>
      <c r="Z54" s="207">
        <v>0</v>
      </c>
      <c r="AA54" s="207">
        <v>0</v>
      </c>
      <c r="AB54" s="207">
        <v>0</v>
      </c>
      <c r="AC54" s="207">
        <v>0</v>
      </c>
      <c r="AD54" s="207">
        <v>0</v>
      </c>
      <c r="AE54" s="207">
        <v>0</v>
      </c>
      <c r="AF54" s="207">
        <v>0</v>
      </c>
      <c r="AG54" s="207">
        <v>0</v>
      </c>
      <c r="AH54" s="208">
        <v>0</v>
      </c>
    </row>
    <row r="55" spans="1:34" ht="13.5" thickTop="1">
      <c r="A55" s="19" t="s">
        <v>91</v>
      </c>
      <c r="B55" s="299">
        <v>829</v>
      </c>
      <c r="C55" s="299">
        <v>1164</v>
      </c>
      <c r="D55" s="300">
        <v>0.4</v>
      </c>
      <c r="E55" s="301">
        <v>1187</v>
      </c>
      <c r="F55" s="299">
        <v>2878</v>
      </c>
      <c r="G55" s="116">
        <v>0.15</v>
      </c>
      <c r="L55" s="38"/>
      <c r="O55" s="9"/>
    </row>
    <row r="56" spans="1:34">
      <c r="A56" s="19" t="s">
        <v>92</v>
      </c>
      <c r="B56" s="299">
        <v>829</v>
      </c>
      <c r="C56" s="299">
        <v>1164</v>
      </c>
      <c r="D56" s="300">
        <v>0.4</v>
      </c>
      <c r="E56" s="301">
        <v>1187</v>
      </c>
      <c r="F56" s="299">
        <v>2878</v>
      </c>
      <c r="G56" s="116">
        <v>0.15</v>
      </c>
      <c r="L56" s="5"/>
      <c r="O56" s="1"/>
    </row>
    <row r="57" spans="1:34" ht="24" thickBot="1">
      <c r="A57" s="254"/>
      <c r="B57" s="304">
        <v>829</v>
      </c>
      <c r="C57" s="304">
        <v>1164</v>
      </c>
      <c r="D57" s="305">
        <v>0.4</v>
      </c>
      <c r="E57" s="306">
        <v>1187</v>
      </c>
      <c r="F57" s="304">
        <v>2878</v>
      </c>
      <c r="G57" s="118">
        <v>0.15</v>
      </c>
      <c r="J57" s="187" t="s">
        <v>90</v>
      </c>
      <c r="K57" s="30" t="s">
        <v>48</v>
      </c>
      <c r="L57" s="32"/>
    </row>
    <row r="58" spans="1:34" ht="17.25" thickTop="1" thickBot="1">
      <c r="J58" s="209" t="s">
        <v>11</v>
      </c>
      <c r="K58" s="210" t="s">
        <v>83</v>
      </c>
      <c r="L58" s="211" t="s">
        <v>84</v>
      </c>
      <c r="M58" s="211" t="s">
        <v>85</v>
      </c>
      <c r="N58" s="211" t="s">
        <v>4</v>
      </c>
      <c r="O58" s="211" t="s">
        <v>5</v>
      </c>
      <c r="P58" s="210" t="s">
        <v>6</v>
      </c>
      <c r="Q58" s="211" t="s">
        <v>7</v>
      </c>
      <c r="R58" s="210" t="s">
        <v>8</v>
      </c>
      <c r="S58" s="210" t="s">
        <v>9</v>
      </c>
      <c r="T58" s="211" t="s">
        <v>10</v>
      </c>
      <c r="U58" s="210" t="s">
        <v>35</v>
      </c>
      <c r="V58" s="210" t="s">
        <v>36</v>
      </c>
      <c r="W58" s="210" t="s">
        <v>37</v>
      </c>
      <c r="X58" s="210" t="s">
        <v>38</v>
      </c>
      <c r="Y58" s="210" t="s">
        <v>39</v>
      </c>
      <c r="Z58" s="210" t="s">
        <v>40</v>
      </c>
      <c r="AA58" s="210" t="s">
        <v>41</v>
      </c>
      <c r="AB58" s="210" t="s">
        <v>42</v>
      </c>
      <c r="AC58" s="210" t="s">
        <v>43</v>
      </c>
      <c r="AD58" s="210" t="s">
        <v>91</v>
      </c>
      <c r="AE58" s="210" t="s">
        <v>92</v>
      </c>
      <c r="AF58" s="210" t="s">
        <v>93</v>
      </c>
      <c r="AG58" s="210" t="s">
        <v>94</v>
      </c>
      <c r="AH58" s="212" t="s">
        <v>95</v>
      </c>
    </row>
    <row r="59" spans="1:34" ht="15" thickTop="1">
      <c r="J59" s="110" t="s">
        <v>83</v>
      </c>
      <c r="K59" s="213">
        <v>0</v>
      </c>
      <c r="L59" s="213">
        <f>K60</f>
        <v>8.9836518869607196E-2</v>
      </c>
      <c r="M59" s="213">
        <f>K61</f>
        <v>6.6999067302817572E-2</v>
      </c>
      <c r="N59" s="213">
        <f>K62</f>
        <v>3.2894117830498559E-2</v>
      </c>
      <c r="O59" s="213">
        <f>K63</f>
        <v>2.6895809116070701E-2</v>
      </c>
      <c r="P59" s="213">
        <f>K64</f>
        <v>7.1576609184109685E-7</v>
      </c>
      <c r="Q59" s="213">
        <f>K65</f>
        <v>4.668560848307246E-3</v>
      </c>
      <c r="R59" s="213">
        <f>K66</f>
        <v>1.0577393145356995E-2</v>
      </c>
      <c r="S59" s="213">
        <f>K67</f>
        <v>1.3721679272614584E-2</v>
      </c>
      <c r="T59" s="213">
        <f>K68</f>
        <v>2.212448196863781E-2</v>
      </c>
      <c r="U59" s="213">
        <f>K69</f>
        <v>2.2940509284711808E-2</v>
      </c>
      <c r="V59" s="213">
        <f>K70</f>
        <v>3.167474047453811E-2</v>
      </c>
      <c r="W59" s="213">
        <f>K71</f>
        <v>4.1570353447496045E-2</v>
      </c>
      <c r="X59" s="213">
        <f>K72</f>
        <v>5.0983712971474082E-2</v>
      </c>
      <c r="Y59" s="213">
        <f>K73</f>
        <v>6.7839436444106949E-2</v>
      </c>
      <c r="Z59" s="213">
        <f>K74</f>
        <v>9.1013412409097327E-2</v>
      </c>
      <c r="AA59" s="213">
        <f>K75</f>
        <v>0.10249264455891793</v>
      </c>
      <c r="AB59" s="213">
        <f>K76</f>
        <v>8.0654318184625651E-2</v>
      </c>
      <c r="AC59" s="213">
        <f t="shared" ref="AC59:AH59" si="0">K77</f>
        <v>1</v>
      </c>
      <c r="AD59" s="213">
        <f t="shared" si="0"/>
        <v>1</v>
      </c>
      <c r="AE59" s="213">
        <f t="shared" si="0"/>
        <v>1</v>
      </c>
      <c r="AF59" s="213">
        <f t="shared" si="0"/>
        <v>1</v>
      </c>
      <c r="AG59" s="213">
        <f t="shared" si="0"/>
        <v>1</v>
      </c>
      <c r="AH59" s="214">
        <f t="shared" si="0"/>
        <v>1</v>
      </c>
    </row>
    <row r="60" spans="1:34" ht="15" thickBot="1">
      <c r="J60" s="105" t="s">
        <v>84</v>
      </c>
      <c r="K60" s="205">
        <f>1-2*(PVT_Mod!$F$2*PVT_Mod!F3)^(1/2)/(PVT_Mod!$F$2+PVT_Mod!F3)</f>
        <v>8.9836518869607196E-2</v>
      </c>
      <c r="L60" s="205">
        <v>0</v>
      </c>
      <c r="M60" s="205">
        <f>L61</f>
        <v>0.26098686311621122</v>
      </c>
      <c r="N60" s="205">
        <f>L62</f>
        <v>0.20368652174687873</v>
      </c>
      <c r="O60" s="205">
        <f>L63</f>
        <v>2.0879940086337423E-2</v>
      </c>
      <c r="P60" s="205">
        <f>L64</f>
        <v>9.0288055662084643E-2</v>
      </c>
      <c r="Q60" s="205">
        <f>L65</f>
        <v>0.1289131652508706</v>
      </c>
      <c r="R60" s="205">
        <f>L66</f>
        <v>0.15051092813063616</v>
      </c>
      <c r="S60" s="205">
        <f>M67</f>
        <v>2.167730974502402E-2</v>
      </c>
      <c r="T60" s="205">
        <f>M68</f>
        <v>1.3366274201680239E-2</v>
      </c>
      <c r="U60" s="205">
        <f>L69</f>
        <v>0.18280967098999346</v>
      </c>
      <c r="V60" s="205">
        <f>L70</f>
        <v>0.20128104838066552</v>
      </c>
      <c r="W60" s="205">
        <f>K71</f>
        <v>4.1570353447496045E-2</v>
      </c>
      <c r="X60" s="205">
        <f>L72</f>
        <v>0.23600452086946022</v>
      </c>
      <c r="Y60" s="205">
        <f>L73</f>
        <v>0.26222997693596473</v>
      </c>
      <c r="Z60" s="205">
        <f>L74</f>
        <v>0.29449317845421619</v>
      </c>
      <c r="AA60" s="205">
        <f>L75</f>
        <v>0.30930102799307058</v>
      </c>
      <c r="AB60" s="205">
        <f>L76</f>
        <v>0.28051208690326512</v>
      </c>
      <c r="AC60" s="205">
        <f t="shared" ref="AC60:AH60" si="1">L77</f>
        <v>1</v>
      </c>
      <c r="AD60" s="205">
        <f t="shared" si="1"/>
        <v>1</v>
      </c>
      <c r="AE60" s="205">
        <f t="shared" si="1"/>
        <v>1</v>
      </c>
      <c r="AF60" s="205">
        <f t="shared" si="1"/>
        <v>1</v>
      </c>
      <c r="AG60" s="205">
        <f t="shared" si="1"/>
        <v>1</v>
      </c>
      <c r="AH60" s="206">
        <f t="shared" si="1"/>
        <v>1</v>
      </c>
    </row>
    <row r="61" spans="1:34" ht="15" thickTop="1">
      <c r="A61" s="451" t="s">
        <v>165</v>
      </c>
      <c r="B61" s="422" t="s">
        <v>170</v>
      </c>
      <c r="C61" s="423"/>
      <c r="D61" s="424"/>
      <c r="E61" s="422" t="s">
        <v>170</v>
      </c>
      <c r="F61" s="423"/>
      <c r="G61" s="424"/>
      <c r="J61" s="105" t="s">
        <v>85</v>
      </c>
      <c r="K61" s="205">
        <f>1-2*(PVT_Mod!$F$2*PVT_Mod!F4)^(1/2)/(PVT_Mod!$F$2+PVT_Mod!F4)</f>
        <v>6.6999067302817572E-2</v>
      </c>
      <c r="L61" s="205">
        <f>1-2*(PVT_Mod!$F$3*PVT_Mod!F4)^(1/2)/(PVT_Mod!$F$3+PVT_Mod!F4)</f>
        <v>0.26098686311621122</v>
      </c>
      <c r="M61" s="205">
        <v>0</v>
      </c>
      <c r="N61" s="205">
        <f>M62</f>
        <v>6.7660596298322329E-3</v>
      </c>
      <c r="O61" s="205">
        <f>M63</f>
        <v>0.16159848019585799</v>
      </c>
      <c r="P61" s="205">
        <f>M64</f>
        <v>6.6597833550210983E-2</v>
      </c>
      <c r="Q61" s="205">
        <f>M65</f>
        <v>3.7939025067498022E-2</v>
      </c>
      <c r="R61" s="205">
        <f>M66</f>
        <v>2.602231514642428E-2</v>
      </c>
      <c r="S61" s="205">
        <f>M67</f>
        <v>2.167730974502402E-2</v>
      </c>
      <c r="T61" s="205">
        <f>M68</f>
        <v>1.3366274201680239E-2</v>
      </c>
      <c r="U61" s="205">
        <f>M69</f>
        <v>1.273770188716461E-2</v>
      </c>
      <c r="V61" s="205">
        <f>M70</f>
        <v>7.3547991097587806E-3</v>
      </c>
      <c r="W61" s="205">
        <f>M71</f>
        <v>3.4567337661111086E-3</v>
      </c>
      <c r="X61" s="205">
        <f>M72</f>
        <v>1.2688611912892167E-3</v>
      </c>
      <c r="Y61" s="205">
        <f>M73</f>
        <v>3.1161502599408308E-6</v>
      </c>
      <c r="Z61" s="205">
        <f>M74</f>
        <v>2.2471605505655079E-3</v>
      </c>
      <c r="AA61" s="205">
        <f>M75</f>
        <v>4.6601605449420047E-3</v>
      </c>
      <c r="AB61" s="205">
        <f>M76</f>
        <v>7.6529491677646E-4</v>
      </c>
      <c r="AC61" s="205">
        <f t="shared" ref="AC61:AH61" si="2">M77</f>
        <v>1</v>
      </c>
      <c r="AD61" s="205">
        <f t="shared" si="2"/>
        <v>1</v>
      </c>
      <c r="AE61" s="205">
        <f t="shared" si="2"/>
        <v>1</v>
      </c>
      <c r="AF61" s="205">
        <f t="shared" si="2"/>
        <v>1</v>
      </c>
      <c r="AG61" s="205">
        <f t="shared" si="2"/>
        <v>1</v>
      </c>
      <c r="AH61" s="206">
        <f t="shared" si="2"/>
        <v>1</v>
      </c>
    </row>
    <row r="62" spans="1:34" ht="18">
      <c r="A62" s="452"/>
      <c r="B62" s="105" t="s">
        <v>174</v>
      </c>
      <c r="C62" s="222" t="s">
        <v>175</v>
      </c>
      <c r="D62" s="293" t="s">
        <v>168</v>
      </c>
      <c r="E62" s="105" t="s">
        <v>176</v>
      </c>
      <c r="F62" s="222" t="s">
        <v>177</v>
      </c>
      <c r="G62" s="293"/>
      <c r="J62" s="105" t="s">
        <v>4</v>
      </c>
      <c r="K62" s="205">
        <f>1-2*(PVT_Mod!$F$2*PVT_Mod!F5)^(1/2)/(PVT_Mod!$F$2+PVT_Mod!F5)</f>
        <v>3.2894117830498559E-2</v>
      </c>
      <c r="L62" s="205">
        <f>1-2*(PVT_Mod!$F$3*PVT_Mod!F5)^(1/2)/(PVT_Mod!$F$3+PVT_Mod!F5)</f>
        <v>0.20368652174687873</v>
      </c>
      <c r="M62" s="205">
        <f>1-2*(PVT_Mod!$F$4*PVT_Mod!F5)^(1/2)/(PVT_Mod!$F$4+PVT_Mod!F5)</f>
        <v>6.7660596298322329E-3</v>
      </c>
      <c r="N62" s="205">
        <v>0</v>
      </c>
      <c r="O62" s="205">
        <f>N63</f>
        <v>0.11099975087349778</v>
      </c>
      <c r="P62" s="205">
        <f>N64</f>
        <v>3.2600381866637496E-2</v>
      </c>
      <c r="Q62" s="205">
        <f>N65</f>
        <v>1.3181572927602914E-2</v>
      </c>
      <c r="R62" s="205">
        <f>N66</f>
        <v>6.4620719890468026E-3</v>
      </c>
      <c r="S62" s="205">
        <f>N67</f>
        <v>4.3522970805875971E-3</v>
      </c>
      <c r="T62" s="205">
        <f>N68</f>
        <v>1.1395401302979336E-3</v>
      </c>
      <c r="U62" s="205">
        <f>N69</f>
        <v>9.5877190749182883E-4</v>
      </c>
      <c r="V62" s="205">
        <f>N70</f>
        <v>1.249762747534966E-5</v>
      </c>
      <c r="W62" s="205">
        <f>N71</f>
        <v>5.5717842251157279E-4</v>
      </c>
      <c r="X62" s="205">
        <f>N72</f>
        <v>2.1908260507620403E-3</v>
      </c>
      <c r="Y62" s="205">
        <f>N73</f>
        <v>7.0570239023149961E-3</v>
      </c>
      <c r="Z62" s="205">
        <f>N74</f>
        <v>1.6649458592425836E-2</v>
      </c>
      <c r="AA62" s="205">
        <f>N75</f>
        <v>2.2342883378535405E-2</v>
      </c>
      <c r="AB62" s="205">
        <f>N76</f>
        <v>1.2014086168031124E-2</v>
      </c>
      <c r="AC62" s="205">
        <f t="shared" ref="AC62:AH62" si="3">N77</f>
        <v>1</v>
      </c>
      <c r="AD62" s="205">
        <f t="shared" si="3"/>
        <v>1</v>
      </c>
      <c r="AE62" s="205">
        <f t="shared" si="3"/>
        <v>1</v>
      </c>
      <c r="AF62" s="205">
        <f t="shared" si="3"/>
        <v>1</v>
      </c>
      <c r="AG62" s="205">
        <f t="shared" si="3"/>
        <v>1</v>
      </c>
      <c r="AH62" s="206">
        <f t="shared" si="3"/>
        <v>1</v>
      </c>
    </row>
    <row r="63" spans="1:34" ht="16.5">
      <c r="A63" s="295" t="s">
        <v>171</v>
      </c>
      <c r="B63" s="298">
        <v>-4127</v>
      </c>
      <c r="C63" s="299">
        <v>3932</v>
      </c>
      <c r="D63" s="140">
        <v>0.03</v>
      </c>
      <c r="E63" s="313">
        <v>8.9</v>
      </c>
      <c r="F63" s="191">
        <v>-5.89</v>
      </c>
      <c r="G63" s="116"/>
      <c r="J63" s="105" t="s">
        <v>5</v>
      </c>
      <c r="K63" s="205">
        <f>1-2*(PVT_Mod!$F$2*PVT_Mod!F7)^(1/2)/(PVT_Mod!$F$2+PVT_Mod!F7)</f>
        <v>2.6895809116070701E-2</v>
      </c>
      <c r="L63" s="205">
        <f>1-2*(PVT_Mod!$F$3*PVT_Mod!F7)^(1/2)/(PVT_Mod!$F$3+PVT_Mod!F7)</f>
        <v>2.0879940086337423E-2</v>
      </c>
      <c r="M63" s="205">
        <f>1-2*(PVT_Mod!$F$4*PVT_Mod!F7)^(1/2)/(PVT_Mod!$F$4+PVT_Mod!F7)</f>
        <v>0.16159848019585799</v>
      </c>
      <c r="N63" s="205">
        <f>1-2*(PVT_Mod!$F$5*PVT_Mod!F7)^(1/2)/(PVT_Mod!$F$5+PVT_Mod!F7)</f>
        <v>0.11099975087349778</v>
      </c>
      <c r="O63" s="205">
        <v>0</v>
      </c>
      <c r="P63" s="205">
        <f>O64</f>
        <v>2.7164642876280176E-2</v>
      </c>
      <c r="Q63" s="205">
        <f>O65</f>
        <v>5.2505340844218762E-2</v>
      </c>
      <c r="R63" s="205">
        <f>O66</f>
        <v>6.8322766770679944E-2</v>
      </c>
      <c r="S63" s="205">
        <f>O67</f>
        <v>7.5411713367448341E-2</v>
      </c>
      <c r="T63" s="205">
        <f>O68</f>
        <v>9.2173055371442936E-2</v>
      </c>
      <c r="U63" s="205">
        <f>O69</f>
        <v>9.3683330334921155E-2</v>
      </c>
      <c r="V63" s="205">
        <f>O70</f>
        <v>0.10897102049955654</v>
      </c>
      <c r="W63" s="205">
        <f>O71</f>
        <v>0.12487030677052469</v>
      </c>
      <c r="X63" s="205">
        <f>O72</f>
        <v>0.13902971011391263</v>
      </c>
      <c r="Y63" s="205">
        <f>O73</f>
        <v>0.16274035274747856</v>
      </c>
      <c r="Z63" s="205">
        <f>O74</f>
        <v>0.19295549561654757</v>
      </c>
      <c r="AA63" s="205">
        <f>O75</f>
        <v>0.20717567738468512</v>
      </c>
      <c r="AB63" s="205">
        <f>O76</f>
        <v>0.17972821555632146</v>
      </c>
      <c r="AC63" s="205">
        <f t="shared" ref="AC63:AH63" si="4">O77</f>
        <v>1</v>
      </c>
      <c r="AD63" s="205">
        <f t="shared" si="4"/>
        <v>1</v>
      </c>
      <c r="AE63" s="205">
        <f t="shared" si="4"/>
        <v>1</v>
      </c>
      <c r="AF63" s="205">
        <f t="shared" si="4"/>
        <v>1</v>
      </c>
      <c r="AG63" s="205">
        <f t="shared" si="4"/>
        <v>1</v>
      </c>
      <c r="AH63" s="206">
        <f t="shared" si="4"/>
        <v>1</v>
      </c>
    </row>
    <row r="64" spans="1:34" ht="16.5">
      <c r="A64" s="296" t="s">
        <v>172</v>
      </c>
      <c r="B64" s="298">
        <v>-64.5</v>
      </c>
      <c r="C64" s="299">
        <v>4643</v>
      </c>
      <c r="D64" s="140">
        <v>0.08</v>
      </c>
      <c r="E64" s="313">
        <v>-1.05</v>
      </c>
      <c r="F64" s="191">
        <v>-2.1</v>
      </c>
      <c r="G64" s="116"/>
      <c r="J64" s="106" t="s">
        <v>6</v>
      </c>
      <c r="K64" s="205">
        <f>1-2*(PVT_Mod!$F$2*PVT_Mod!F8)^(1/2)/(PVT_Mod!$F$2+PVT_Mod!F8)</f>
        <v>7.1576609184109685E-7</v>
      </c>
      <c r="L64" s="205">
        <f>1-2*(PVT_Mod!$F$3*PVT_Mod!F8)^(1/2)/(PVT_Mod!$F$3+PVT_Mod!F8)</f>
        <v>9.0288055662084643E-2</v>
      </c>
      <c r="M64" s="205">
        <f>1-2*(PVT_Mod!$F$4*PVT_Mod!F8)^(1/2)/(PVT_Mod!$F$4+PVT_Mod!F8)</f>
        <v>6.6597833550210983E-2</v>
      </c>
      <c r="N64" s="205">
        <f>1-2*(PVT_Mod!$F$5*PVT_Mod!F8)^(1/2)/(PVT_Mod!$F$5+PVT_Mod!F8)</f>
        <v>3.2600381866637496E-2</v>
      </c>
      <c r="O64" s="205">
        <f>1-2*(PVT_Mod!$F$7*PVT_Mod!F8)^(1/2)/(PVT_Mod!$F$7+PVT_Mod!F8)</f>
        <v>2.7164642876280176E-2</v>
      </c>
      <c r="P64" s="205">
        <v>0</v>
      </c>
      <c r="Q64" s="205">
        <f>P65</f>
        <v>4.5543211275131945E-3</v>
      </c>
      <c r="R64" s="205">
        <f>P66</f>
        <v>1.0406346007915568E-2</v>
      </c>
      <c r="S64" s="205">
        <f>P67</f>
        <v>1.3527531303664908E-2</v>
      </c>
      <c r="T64" s="205">
        <f>P68</f>
        <v>2.1880372274651116E-2</v>
      </c>
      <c r="U64" s="205">
        <f>P69</f>
        <v>2.2692183458569271E-2</v>
      </c>
      <c r="V64" s="205">
        <f>P70</f>
        <v>3.138606179935477E-2</v>
      </c>
      <c r="W64" s="205">
        <f>P71</f>
        <v>4.1243733025227103E-2</v>
      </c>
      <c r="X64" s="205">
        <f>P72</f>
        <v>5.062632785794019E-2</v>
      </c>
      <c r="Y64" s="205">
        <f>P73</f>
        <v>6.7436140471606509E-2</v>
      </c>
      <c r="Z64" s="205">
        <f>P74</f>
        <v>9.0560509631384067E-2</v>
      </c>
      <c r="AA64" s="205">
        <f>P75</f>
        <v>0.10201947559046298</v>
      </c>
      <c r="AB64" s="205">
        <f>P76</f>
        <v>8.022199016085485E-2</v>
      </c>
      <c r="AC64" s="205">
        <f t="shared" ref="AC64:AH64" si="5">P77</f>
        <v>1</v>
      </c>
      <c r="AD64" s="205">
        <f t="shared" si="5"/>
        <v>1</v>
      </c>
      <c r="AE64" s="205">
        <f t="shared" si="5"/>
        <v>1</v>
      </c>
      <c r="AF64" s="205">
        <f t="shared" si="5"/>
        <v>1</v>
      </c>
      <c r="AG64" s="205">
        <f t="shared" si="5"/>
        <v>1</v>
      </c>
      <c r="AH64" s="206">
        <f t="shared" si="5"/>
        <v>1</v>
      </c>
    </row>
    <row r="65" spans="1:34" ht="15">
      <c r="A65" s="296" t="s">
        <v>164</v>
      </c>
      <c r="B65" s="307">
        <v>0</v>
      </c>
      <c r="C65" s="308">
        <v>0</v>
      </c>
      <c r="D65" s="312">
        <v>0</v>
      </c>
      <c r="E65" s="314">
        <v>0</v>
      </c>
      <c r="F65" s="315">
        <v>0</v>
      </c>
      <c r="G65" s="116"/>
      <c r="J65" s="105" t="s">
        <v>7</v>
      </c>
      <c r="K65" s="205">
        <f>1-2*(PVT_Mod!$F$2*PVT_Mod!F9)^(1/2)/(PVT_Mod!$F$2+PVT_Mod!F9)</f>
        <v>4.668560848307246E-3</v>
      </c>
      <c r="L65" s="205">
        <f>1-2*(PVT_Mod!$F$3*PVT_Mod!F9)^(1/2)/(PVT_Mod!$F$3+PVT_Mod!F9)</f>
        <v>0.1289131652508706</v>
      </c>
      <c r="M65" s="205">
        <f>1-2*(PVT_Mod!$F$4*PVT_Mod!F9)^(1/2)/(PVT_Mod!$F$4+PVT_Mod!F9)</f>
        <v>3.7939025067498022E-2</v>
      </c>
      <c r="N65" s="205">
        <f>1-2*(PVT_Mod!$F$5*PVT_Mod!F9)^(1/2)/(PVT_Mod!$F$5+PVT_Mod!F9)</f>
        <v>1.3181572927602914E-2</v>
      </c>
      <c r="O65" s="205">
        <f>1-2*(PVT_Mod!$F$7*PVT_Mod!F9)^(1/2)/(PVT_Mod!$F$7+PVT_Mod!F9)</f>
        <v>5.2505340844218762E-2</v>
      </c>
      <c r="P65" s="205">
        <f>1-2*(PVT_Mod!$F$8*PVT_Mod!F9)^(1/2)/(PVT_Mod!$F$8+PVT_Mod!F9)</f>
        <v>4.5543211275131945E-3</v>
      </c>
      <c r="Q65" s="205">
        <v>0</v>
      </c>
      <c r="R65" s="205">
        <f>Q66</f>
        <v>1.2127839527859008E-3</v>
      </c>
      <c r="S65" s="205">
        <f>Q67</f>
        <v>2.4309917260163516E-3</v>
      </c>
      <c r="T65" s="205">
        <f>Q68</f>
        <v>6.6337464672080459E-3</v>
      </c>
      <c r="U65" s="205">
        <f>Q69</f>
        <v>7.0931009727218663E-3</v>
      </c>
      <c r="V65" s="205">
        <f>Q70</f>
        <v>1.2394856693006773E-2</v>
      </c>
      <c r="W65" s="205">
        <f>Q71</f>
        <v>1.9030115289599858E-2</v>
      </c>
      <c r="X65" s="205">
        <f>Q72</f>
        <v>2.5773978551557608E-2</v>
      </c>
      <c r="Y65" s="205">
        <f>Q73</f>
        <v>3.8596853234925677E-2</v>
      </c>
      <c r="Z65" s="205">
        <f>Q74</f>
        <v>5.7333316792143929E-2</v>
      </c>
      <c r="AA65" s="205">
        <f>Q75</f>
        <v>6.696969656978824E-2</v>
      </c>
      <c r="AB65" s="205">
        <f>Q76</f>
        <v>4.8826207989218551E-2</v>
      </c>
      <c r="AC65" s="205">
        <f t="shared" ref="AC65:AH65" si="6">Q77</f>
        <v>1</v>
      </c>
      <c r="AD65" s="205">
        <f t="shared" si="6"/>
        <v>1</v>
      </c>
      <c r="AE65" s="205">
        <f t="shared" si="6"/>
        <v>1</v>
      </c>
      <c r="AF65" s="205">
        <f t="shared" si="6"/>
        <v>1</v>
      </c>
      <c r="AG65" s="205">
        <f t="shared" si="6"/>
        <v>1</v>
      </c>
      <c r="AH65" s="206">
        <f t="shared" si="6"/>
        <v>1</v>
      </c>
    </row>
    <row r="66" spans="1:34" ht="15">
      <c r="A66" s="296" t="s">
        <v>159</v>
      </c>
      <c r="B66" s="298">
        <v>276</v>
      </c>
      <c r="C66" s="299">
        <v>288</v>
      </c>
      <c r="D66" s="116">
        <v>1.2</v>
      </c>
      <c r="E66" s="316">
        <v>0</v>
      </c>
      <c r="F66" s="317">
        <v>0</v>
      </c>
      <c r="G66" s="116"/>
      <c r="J66" s="106" t="s">
        <v>8</v>
      </c>
      <c r="K66" s="205">
        <f>1-2*(PVT_Mod!$F$2*PVT_Mod!F10)^(1/2)/(PVT_Mod!$F$2+PVT_Mod!F10)</f>
        <v>1.0577393145356995E-2</v>
      </c>
      <c r="L66" s="205">
        <f>1-2*(PVT_Mod!$F$3*PVT_Mod!F10)^(1/2)/(PVT_Mod!$F$3+PVT_Mod!F10)</f>
        <v>0.15051092813063616</v>
      </c>
      <c r="M66" s="205">
        <f>1-2*(PVT_Mod!$F$4*PVT_Mod!F10)^(1/2)/(PVT_Mod!$F$4+PVT_Mod!F10)</f>
        <v>2.602231514642428E-2</v>
      </c>
      <c r="N66" s="205">
        <f>1-2*(PVT_Mod!$F$5*PVT_Mod!F10)^(1/2)/(PVT_Mod!$F$5+PVT_Mod!F10)</f>
        <v>6.4620719890468026E-3</v>
      </c>
      <c r="O66" s="205">
        <f>1-2*(PVT_Mod!$F$7*PVT_Mod!F10)^(1/2)/(PVT_Mod!$F$7+PVT_Mod!F10)</f>
        <v>6.8322766770679944E-2</v>
      </c>
      <c r="P66" s="205">
        <f>1-2*(PVT_Mod!$F$8*PVT_Mod!F10)^(1/2)/(PVT_Mod!$F$8+PVT_Mod!F10)</f>
        <v>1.0406346007915568E-2</v>
      </c>
      <c r="Q66" s="205">
        <f>1-2*(PVT_Mod!$F$9*PVT_Mod!F10)^(1/2)/(PVT_Mod!$F$9+PVT_Mod!F10)</f>
        <v>1.2127839527859008E-3</v>
      </c>
      <c r="R66" s="205">
        <v>0</v>
      </c>
      <c r="S66" s="205">
        <f>R67</f>
        <v>2.1057421457648662E-4</v>
      </c>
      <c r="T66" s="205">
        <f>R68</f>
        <v>2.1891647542733317E-3</v>
      </c>
      <c r="U66" s="205">
        <f>R69</f>
        <v>2.4578880098846678E-3</v>
      </c>
      <c r="V66" s="205">
        <f>R70</f>
        <v>5.9103953393905284E-3</v>
      </c>
      <c r="W66" s="205">
        <f>R71</f>
        <v>1.0763222360646973E-2</v>
      </c>
      <c r="X66" s="205">
        <f>R72</f>
        <v>1.602734030305486E-2</v>
      </c>
      <c r="Y66" s="205">
        <f>R73</f>
        <v>2.6576119776286489E-2</v>
      </c>
      <c r="Z66" s="205">
        <f>R74</f>
        <v>4.2747455583142191E-2</v>
      </c>
      <c r="AA66" s="205">
        <f>R75</f>
        <v>5.129525246985378E-2</v>
      </c>
      <c r="AB66" s="205">
        <f>R76</f>
        <v>3.5319814588953724E-2</v>
      </c>
      <c r="AC66" s="205">
        <f t="shared" ref="AC66:AH66" si="7">R77</f>
        <v>1</v>
      </c>
      <c r="AD66" s="205">
        <f t="shared" si="7"/>
        <v>1</v>
      </c>
      <c r="AE66" s="205">
        <f t="shared" si="7"/>
        <v>1</v>
      </c>
      <c r="AF66" s="205">
        <f t="shared" si="7"/>
        <v>1</v>
      </c>
      <c r="AG66" s="205">
        <f t="shared" si="7"/>
        <v>1</v>
      </c>
      <c r="AH66" s="206">
        <f t="shared" si="7"/>
        <v>1</v>
      </c>
    </row>
    <row r="67" spans="1:34">
      <c r="A67" s="298" t="s">
        <v>193</v>
      </c>
      <c r="B67" s="334">
        <v>118</v>
      </c>
      <c r="C67" s="332">
        <v>1294</v>
      </c>
      <c r="D67" s="140">
        <v>0.15</v>
      </c>
      <c r="E67" s="316">
        <v>0</v>
      </c>
      <c r="F67" s="316">
        <v>0</v>
      </c>
      <c r="G67" s="116"/>
      <c r="J67" s="106" t="s">
        <v>9</v>
      </c>
      <c r="K67" s="205">
        <f>1-2*(PVT_Mod!$F$2*PVT_Mod!F11)^(1/2)/(PVT_Mod!$F$2+PVT_Mod!F11)</f>
        <v>1.3721679272614584E-2</v>
      </c>
      <c r="L67" s="205">
        <f>1-2*(PVT_Mod!$F$3*PVT_Mod!F11)^(1/2)/(PVT_Mod!$F$3+PVT_Mod!F11)</f>
        <v>0.15978672431119012</v>
      </c>
      <c r="M67" s="205">
        <f>1-2*(PVT_Mod!$F$4*PVT_Mod!F11)^(1/2)/(PVT_Mod!$F$4+PVT_Mod!F11)</f>
        <v>2.167730974502402E-2</v>
      </c>
      <c r="N67" s="205">
        <f>1-2*(PVT_Mod!$F$5*PVT_Mod!F11)^(1/2)/(PVT_Mod!$F$5+PVT_Mod!F11)</f>
        <v>4.3522970805875971E-3</v>
      </c>
      <c r="O67" s="205">
        <f>1-2*(PVT_Mod!$F$7*PVT_Mod!F11)^(1/2)/(PVT_Mod!$F$7+PVT_Mod!F11)</f>
        <v>7.5411713367448341E-2</v>
      </c>
      <c r="P67" s="205">
        <f>1-2*(PVT_Mod!$F$8*PVT_Mod!F11)^(1/2)/(PVT_Mod!$F$8+PVT_Mod!F11)</f>
        <v>1.3527531303664908E-2</v>
      </c>
      <c r="Q67" s="205">
        <f>1-2*(PVT_Mod!$F$9*PVT_Mod!F11)^(1/2)/(PVT_Mod!$F$9+PVT_Mod!F11)</f>
        <v>2.4309917260163516E-3</v>
      </c>
      <c r="R67" s="205">
        <f>1-2*(PVT_Mod!$F$10*PVT_Mod!F11)^(1/2)/(PVT_Mod!$F$10+PVT_Mod!F11)</f>
        <v>2.1057421457648662E-4</v>
      </c>
      <c r="S67" s="205">
        <v>0</v>
      </c>
      <c r="T67" s="205">
        <f>S68</f>
        <v>1.0435964874875303E-3</v>
      </c>
      <c r="U67" s="205">
        <f>S69</f>
        <v>1.2318322362190326E-3</v>
      </c>
      <c r="V67" s="205">
        <f>S70</f>
        <v>3.9006192253604466E-3</v>
      </c>
      <c r="W67" s="205">
        <f>S71</f>
        <v>7.992849582929451E-3</v>
      </c>
      <c r="X67" s="205">
        <f>S72</f>
        <v>1.2621464536583527E-2</v>
      </c>
      <c r="Y67" s="205">
        <f>S73</f>
        <v>2.2185870289560983E-2</v>
      </c>
      <c r="Z67" s="205">
        <f>S74</f>
        <v>3.7234322239343198E-2</v>
      </c>
      <c r="AA67" s="205">
        <f>S75</f>
        <v>4.5301002384791844E-2</v>
      </c>
      <c r="AB67" s="205">
        <f>S76</f>
        <v>3.0280966181376323E-2</v>
      </c>
      <c r="AC67" s="205">
        <f t="shared" ref="AC67:AH67" si="8">S77</f>
        <v>1</v>
      </c>
      <c r="AD67" s="205">
        <f t="shared" si="8"/>
        <v>1</v>
      </c>
      <c r="AE67" s="205">
        <f t="shared" si="8"/>
        <v>1</v>
      </c>
      <c r="AF67" s="205">
        <f t="shared" si="8"/>
        <v>1</v>
      </c>
      <c r="AG67" s="205">
        <f t="shared" si="8"/>
        <v>1</v>
      </c>
      <c r="AH67" s="206">
        <f t="shared" si="8"/>
        <v>1</v>
      </c>
    </row>
    <row r="68" spans="1:34" ht="16.5">
      <c r="A68" s="296" t="s">
        <v>173</v>
      </c>
      <c r="B68" s="298">
        <v>-570.5</v>
      </c>
      <c r="C68" s="299">
        <v>4559</v>
      </c>
      <c r="D68" s="140">
        <v>0.15</v>
      </c>
      <c r="E68" s="313">
        <v>3.46</v>
      </c>
      <c r="F68" s="191">
        <v>-6.54</v>
      </c>
      <c r="G68" s="116"/>
      <c r="J68" s="105" t="s">
        <v>10</v>
      </c>
      <c r="K68" s="205">
        <f>1-2*(PVT_Mod!$F$2*PVT_Mod!F12)^(1/2)/(PVT_Mod!$F$2+PVT_Mod!F12)</f>
        <v>2.212448196863781E-2</v>
      </c>
      <c r="L68" s="205">
        <f>1-2*(PVT_Mod!$F$3*PVT_Mod!F12)^(1/2)/(PVT_Mod!$F$3+PVT_Mod!F12)</f>
        <v>0.1809489578248471</v>
      </c>
      <c r="M68" s="205">
        <f>1-2*(PVT_Mod!$F$4*PVT_Mod!F12)^(1/2)/(PVT_Mod!$F$4+PVT_Mod!F12)</f>
        <v>1.3366274201680239E-2</v>
      </c>
      <c r="N68" s="205">
        <f>1-2*(PVT_Mod!$F$5*PVT_Mod!F12)^(1/2)/(PVT_Mod!$F$5+PVT_Mod!F12)</f>
        <v>1.1395401302979336E-3</v>
      </c>
      <c r="O68" s="205">
        <f>1-2*(PVT_Mod!$F$7*PVT_Mod!F12)^(1/2)/(PVT_Mod!$F$7+PVT_Mod!F12)</f>
        <v>9.2173055371442936E-2</v>
      </c>
      <c r="P68" s="205">
        <f>1-2*(PVT_Mod!$F$8*PVT_Mod!F12)^(1/2)/(PVT_Mod!$F$8+PVT_Mod!F12)</f>
        <v>2.1880372274651116E-2</v>
      </c>
      <c r="Q68" s="205">
        <f>1-2*(PVT_Mod!$F$9*PVT_Mod!F12)^(1/2)/(PVT_Mod!$F$9+PVT_Mod!F12)</f>
        <v>6.6337464672080459E-3</v>
      </c>
      <c r="R68" s="205">
        <f>1-2*(PVT_Mod!$F$10*PVT_Mod!F12)^(1/2)/(PVT_Mod!$F$10+PVT_Mod!F12)</f>
        <v>2.1891647542733317E-3</v>
      </c>
      <c r="S68" s="205">
        <f>1-2*(PVT_Mod!$F$11*PVT_Mod!F12)^(1/2)/(PVT_Mod!$F$11+PVT_Mod!F12)</f>
        <v>1.0435964874875303E-3</v>
      </c>
      <c r="T68" s="205">
        <v>0</v>
      </c>
      <c r="U68" s="205">
        <f>T69</f>
        <v>7.8214552923228098E-6</v>
      </c>
      <c r="V68" s="205">
        <f>T70</f>
        <v>9.1363435181113228E-4</v>
      </c>
      <c r="W68" s="205">
        <f>T71</f>
        <v>3.2838229338336689E-3</v>
      </c>
      <c r="X68" s="205">
        <f>T72</f>
        <v>6.4649107584704435E-3</v>
      </c>
      <c r="Y68" s="205">
        <f>T73</f>
        <v>1.3770553302299038E-2</v>
      </c>
      <c r="Z68" s="205">
        <f>T74</f>
        <v>2.6215397357910786E-2</v>
      </c>
      <c r="AA68" s="205">
        <f>T75</f>
        <v>3.315663999980778E-2</v>
      </c>
      <c r="AB68" s="205">
        <f>T76</f>
        <v>2.0365506248555265E-2</v>
      </c>
      <c r="AC68" s="205">
        <f t="shared" ref="AC68:AH68" si="9">T77</f>
        <v>1</v>
      </c>
      <c r="AD68" s="205">
        <f t="shared" si="9"/>
        <v>1</v>
      </c>
      <c r="AE68" s="205">
        <f t="shared" si="9"/>
        <v>1</v>
      </c>
      <c r="AF68" s="205">
        <f t="shared" si="9"/>
        <v>1</v>
      </c>
      <c r="AG68" s="205">
        <f t="shared" si="9"/>
        <v>1</v>
      </c>
      <c r="AH68" s="206">
        <f t="shared" si="9"/>
        <v>1</v>
      </c>
    </row>
    <row r="69" spans="1:34" ht="15">
      <c r="A69" s="296" t="s">
        <v>4</v>
      </c>
      <c r="B69" s="298">
        <v>-504.3</v>
      </c>
      <c r="C69" s="299">
        <v>3640</v>
      </c>
      <c r="D69" s="140">
        <v>0.09</v>
      </c>
      <c r="E69" s="313">
        <v>0.8</v>
      </c>
      <c r="F69" s="191">
        <v>-2.14</v>
      </c>
      <c r="G69" s="116"/>
      <c r="J69" s="106" t="s">
        <v>35</v>
      </c>
      <c r="K69" s="205">
        <f>1-2*(PVT_Mod!$F$2*PVT_Mod!F13)^(1/2)/(PVT_Mod!$F$2+PVT_Mod!F13)</f>
        <v>2.2940509284711808E-2</v>
      </c>
      <c r="L69" s="205">
        <f>1-2*(PVT_Mod!$F$3*PVT_Mod!F13)^(1/2)/(PVT_Mod!$F$3+PVT_Mod!F13)</f>
        <v>0.18280967098999346</v>
      </c>
      <c r="M69" s="205">
        <f>1-2*(PVT_Mod!$F$4*PVT_Mod!F13)^(1/2)/(PVT_Mod!$F$4+PVT_Mod!F13)</f>
        <v>1.273770188716461E-2</v>
      </c>
      <c r="N69" s="205">
        <f>1-2*(PVT_Mod!$F$5*PVT_Mod!F13)^(1/2)/(PVT_Mod!$F$5+PVT_Mod!F13)</f>
        <v>9.5877190749182883E-4</v>
      </c>
      <c r="O69" s="205">
        <f>1-2*(PVT_Mod!$F$7*PVT_Mod!F13)^(1/2)/(PVT_Mod!$F$7+PVT_Mod!F13)</f>
        <v>9.3683330334921155E-2</v>
      </c>
      <c r="P69" s="205">
        <f>1-2*(PVT_Mod!$F$8*PVT_Mod!F13)^(1/2)/(PVT_Mod!$F$8+PVT_Mod!F13)</f>
        <v>2.2692183458569271E-2</v>
      </c>
      <c r="Q69" s="205">
        <f>1-2*(PVT_Mod!$F$9*PVT_Mod!F13)^(1/2)/(PVT_Mod!$F$9+PVT_Mod!F13)</f>
        <v>7.0931009727218663E-3</v>
      </c>
      <c r="R69" s="205">
        <f>1-2*(PVT_Mod!$F$10*PVT_Mod!F13)^(1/2)/(PVT_Mod!$F$10+PVT_Mod!F13)</f>
        <v>2.4578880098846678E-3</v>
      </c>
      <c r="S69" s="205">
        <f>1-2*(PVT_Mod!$F$11*PVT_Mod!F13)^(1/2)/(PVT_Mod!$F$11+PVT_Mod!F13)</f>
        <v>1.2318322362190326E-3</v>
      </c>
      <c r="T69" s="205">
        <f>1-2*(PVT_Mod!$F$12*PVT_Mod!F13)^(1/2)/(PVT_Mod!$F$12+PVT_Mod!F13)</f>
        <v>7.8214552923228098E-6</v>
      </c>
      <c r="U69" s="205">
        <v>0</v>
      </c>
      <c r="V69" s="205">
        <f>U70</f>
        <v>7.525473695230156E-4</v>
      </c>
      <c r="W69" s="205">
        <f>U71</f>
        <v>2.9723082142745216E-3</v>
      </c>
      <c r="X69" s="205">
        <f>U72</f>
        <v>6.0263825613425803E-3</v>
      </c>
      <c r="Y69" s="205">
        <f>U73</f>
        <v>1.3132750961624362E-2</v>
      </c>
      <c r="Z69" s="205">
        <f>U74</f>
        <v>2.5346141292064583E-2</v>
      </c>
      <c r="AA69" s="205">
        <f>U75</f>
        <v>3.2186695598906079E-2</v>
      </c>
      <c r="AB69" s="205">
        <f>U76</f>
        <v>1.9594587518959927E-2</v>
      </c>
      <c r="AC69" s="205">
        <f t="shared" ref="AC69:AH69" si="10">U77</f>
        <v>1</v>
      </c>
      <c r="AD69" s="205">
        <f t="shared" si="10"/>
        <v>1</v>
      </c>
      <c r="AE69" s="205">
        <f t="shared" si="10"/>
        <v>1</v>
      </c>
      <c r="AF69" s="205">
        <f t="shared" si="10"/>
        <v>1</v>
      </c>
      <c r="AG69" s="205">
        <f t="shared" si="10"/>
        <v>1</v>
      </c>
      <c r="AH69" s="206">
        <f t="shared" si="10"/>
        <v>0</v>
      </c>
    </row>
    <row r="70" spans="1:34" ht="15">
      <c r="A70" s="296" t="s">
        <v>5</v>
      </c>
      <c r="B70" s="298">
        <v>-1584</v>
      </c>
      <c r="C70" s="299">
        <v>3517</v>
      </c>
      <c r="D70" s="140">
        <v>7.0000000000000007E-2</v>
      </c>
      <c r="E70" s="313">
        <v>-0.442</v>
      </c>
      <c r="F70" s="191">
        <v>-9.7000000000000003E-2</v>
      </c>
      <c r="G70" s="116"/>
      <c r="J70" s="106" t="s">
        <v>36</v>
      </c>
      <c r="K70" s="205">
        <f>1-2*(PVT_Mod!$F$2*PVT_Mod!F14)^(1/2)/(PVT_Mod!$F$2+PVT_Mod!F14)</f>
        <v>3.167474047453811E-2</v>
      </c>
      <c r="L70" s="205">
        <f>1-2*(PVT_Mod!$F$3*PVT_Mod!F14)^(1/2)/(PVT_Mod!$F$3+PVT_Mod!F14)</f>
        <v>0.20128104838066552</v>
      </c>
      <c r="M70" s="205">
        <f>1-2*(PVT_Mod!$F$4*PVT_Mod!F14)^(1/2)/(PVT_Mod!$F$4+PVT_Mod!F14)</f>
        <v>7.3547991097587806E-3</v>
      </c>
      <c r="N70" s="205">
        <f>1-2*(PVT_Mod!$F$5*PVT_Mod!F14)^(1/2)/(PVT_Mod!$F$5+PVT_Mod!F14)</f>
        <v>1.249762747534966E-5</v>
      </c>
      <c r="O70" s="205">
        <f>1-2*(PVT_Mod!$F$7*PVT_Mod!F14)^(1/2)/(PVT_Mod!$F$7+PVT_Mod!F14)</f>
        <v>0.10897102049955654</v>
      </c>
      <c r="P70" s="205">
        <f>1-2*(PVT_Mod!$F$8*PVT_Mod!F14)^(1/2)/(PVT_Mod!$F$8+PVT_Mod!F14)</f>
        <v>3.138606179935477E-2</v>
      </c>
      <c r="Q70" s="205">
        <f>1-2*(PVT_Mod!$F$9*PVT_Mod!F14)^(1/2)/(PVT_Mod!$F$9+PVT_Mod!F14)</f>
        <v>1.2394856693006773E-2</v>
      </c>
      <c r="R70" s="205">
        <f>1-2*(PVT_Mod!$F$10*PVT_Mod!F14)^(1/2)/(PVT_Mod!$F$10+PVT_Mod!F14)</f>
        <v>5.9103953393905284E-3</v>
      </c>
      <c r="S70" s="205">
        <f>1-2*(PVT_Mod!$F$11*PVT_Mod!F14)^(1/2)/(PVT_Mod!$F$11+PVT_Mod!F14)</f>
        <v>3.9006192253604466E-3</v>
      </c>
      <c r="T70" s="205">
        <f>1-2*(PVT_Mod!$F$12*PVT_Mod!F14)^(1/2)/(PVT_Mod!$F$12+PVT_Mod!F14)</f>
        <v>9.1363435181113228E-4</v>
      </c>
      <c r="U70" s="205">
        <f>1-2*(PVT_Mod!$F$13*PVT_Mod!F14)^(1/2)/(PVT_Mod!$F$13+PVT_Mod!F14)</f>
        <v>7.525473695230156E-4</v>
      </c>
      <c r="V70" s="205">
        <v>0</v>
      </c>
      <c r="W70" s="205">
        <f>V71</f>
        <v>7.3641650861855368E-4</v>
      </c>
      <c r="X70" s="205">
        <f>V72</f>
        <v>2.5332149136821913E-3</v>
      </c>
      <c r="Y70" s="205">
        <f>V73</f>
        <v>7.6577987265087355E-3</v>
      </c>
      <c r="Z70" s="205">
        <f>V74</f>
        <v>1.7554304770416307E-2</v>
      </c>
      <c r="AA70" s="205">
        <f>V75</f>
        <v>2.3381456536344047E-2</v>
      </c>
      <c r="AB70" s="205">
        <f>V76</f>
        <v>1.2789196178179751E-2</v>
      </c>
      <c r="AC70" s="205">
        <f t="shared" ref="AC70:AH70" si="11">V77</f>
        <v>1</v>
      </c>
      <c r="AD70" s="205">
        <f t="shared" si="11"/>
        <v>1</v>
      </c>
      <c r="AE70" s="205">
        <f t="shared" si="11"/>
        <v>1</v>
      </c>
      <c r="AF70" s="205">
        <f t="shared" si="11"/>
        <v>1</v>
      </c>
      <c r="AG70" s="205">
        <f t="shared" si="11"/>
        <v>0</v>
      </c>
      <c r="AH70" s="206">
        <f t="shared" si="11"/>
        <v>0</v>
      </c>
    </row>
    <row r="71" spans="1:34" ht="15">
      <c r="A71" s="295" t="s">
        <v>6</v>
      </c>
      <c r="B71" s="298">
        <v>4968</v>
      </c>
      <c r="C71" s="299">
        <v>-3067</v>
      </c>
      <c r="D71" s="140">
        <v>0.06</v>
      </c>
      <c r="E71" s="313">
        <v>-19.600000000000001</v>
      </c>
      <c r="F71" s="191">
        <v>15.7</v>
      </c>
      <c r="G71" s="116"/>
      <c r="J71" s="106" t="s">
        <v>37</v>
      </c>
      <c r="K71" s="205">
        <f>1-2*(PVT_Mod!$F$2*PVT_Mod!F15)^(1/2)/(PVT_Mod!$F$2+PVT_Mod!F15)</f>
        <v>4.1570353447496045E-2</v>
      </c>
      <c r="L71" s="205">
        <f>1-2*(PVT_Mod!$F$3*PVT_Mod!F15)^(1/2)/(PVT_Mod!$F$3+PVT_Mod!F15)</f>
        <v>0.21988037347041811</v>
      </c>
      <c r="M71" s="205">
        <f>1-2*(PVT_Mod!$F$4*PVT_Mod!F15)^(1/2)/(PVT_Mod!$F$4+PVT_Mod!F15)</f>
        <v>3.4567337661111086E-3</v>
      </c>
      <c r="N71" s="205">
        <f>1-2*(PVT_Mod!$F$5*PVT_Mod!F15)^(1/2)/(PVT_Mod!$F$5+PVT_Mod!F15)</f>
        <v>5.5717842251157279E-4</v>
      </c>
      <c r="O71" s="205">
        <f>1-2*(PVT_Mod!$F$7*PVT_Mod!F15)^(1/2)/(PVT_Mod!$F$7+PVT_Mod!F15)</f>
        <v>0.12487030677052469</v>
      </c>
      <c r="P71" s="205">
        <f>1-2*(PVT_Mod!$F$8*PVT_Mod!F15)^(1/2)/(PVT_Mod!$F$8+PVT_Mod!F15)</f>
        <v>4.1243733025227103E-2</v>
      </c>
      <c r="Q71" s="205">
        <f>1-2*(PVT_Mod!$F$9*PVT_Mod!F15)^(1/2)/(PVT_Mod!$F$9+PVT_Mod!F15)</f>
        <v>1.9030115289599858E-2</v>
      </c>
      <c r="R71" s="205">
        <f>1-2*(PVT_Mod!$F$10*PVT_Mod!F15)^(1/2)/(PVT_Mod!$F$10+PVT_Mod!F15)</f>
        <v>1.0763222360646973E-2</v>
      </c>
      <c r="S71" s="205">
        <f>1-2*(PVT_Mod!$F$11*PVT_Mod!F15)^(1/2)/(PVT_Mod!$F$11+PVT_Mod!F15)</f>
        <v>7.992849582929451E-3</v>
      </c>
      <c r="T71" s="205">
        <f>1-2*(PVT_Mod!$F$12*PVT_Mod!F15)^(1/2)/(PVT_Mod!$F$12+PVT_Mod!F15)</f>
        <v>3.2838229338336689E-3</v>
      </c>
      <c r="U71" s="205">
        <f>1-2*(PVT_Mod!$F$13*PVT_Mod!F15)^(1/2)/(PVT_Mod!$F$13+PVT_Mod!F15)</f>
        <v>2.9723082142745216E-3</v>
      </c>
      <c r="V71" s="205">
        <f>1-2*(PVT_Mod!$F$14*PVT_Mod!F15)^(1/2)/(PVT_Mod!$F$14+PVT_Mod!F15)</f>
        <v>7.3641650861855368E-4</v>
      </c>
      <c r="W71" s="205">
        <v>0</v>
      </c>
      <c r="X71" s="205">
        <f>W72</f>
        <v>5.3980534894615406E-4</v>
      </c>
      <c r="Y71" s="205">
        <f>W73</f>
        <v>3.6664727383750595E-3</v>
      </c>
      <c r="Z71" s="205">
        <f>W74</f>
        <v>1.1200003415362869E-2</v>
      </c>
      <c r="AA71" s="205">
        <f>W75</f>
        <v>1.59836401238731E-2</v>
      </c>
      <c r="AB71" s="205">
        <f>W76</f>
        <v>7.4447072306396134E-3</v>
      </c>
      <c r="AC71" s="205">
        <f t="shared" ref="AC71:AH71" si="12">W77</f>
        <v>1</v>
      </c>
      <c r="AD71" s="205">
        <f t="shared" si="12"/>
        <v>1</v>
      </c>
      <c r="AE71" s="205">
        <f t="shared" si="12"/>
        <v>1</v>
      </c>
      <c r="AF71" s="205">
        <f t="shared" si="12"/>
        <v>0</v>
      </c>
      <c r="AG71" s="205">
        <f t="shared" si="12"/>
        <v>0</v>
      </c>
      <c r="AH71" s="206">
        <f t="shared" si="12"/>
        <v>0</v>
      </c>
    </row>
    <row r="72" spans="1:34" ht="15">
      <c r="A72" s="296" t="s">
        <v>7</v>
      </c>
      <c r="B72" s="298">
        <v>4968</v>
      </c>
      <c r="C72" s="299">
        <v>-3067</v>
      </c>
      <c r="D72" s="140">
        <v>0.06</v>
      </c>
      <c r="E72" s="313">
        <v>-19.600000000000001</v>
      </c>
      <c r="F72" s="191">
        <v>15.7</v>
      </c>
      <c r="G72" s="116"/>
      <c r="J72" s="106" t="s">
        <v>38</v>
      </c>
      <c r="K72" s="205">
        <f>1-2*(PVT_Mod!$F$2*PVT_Mod!F16)^(1/2)/(PVT_Mod!$F$2+PVT_Mod!F16)</f>
        <v>5.0983712971474082E-2</v>
      </c>
      <c r="L72" s="205">
        <f>1-2*(PVT_Mod!$F$3*PVT_Mod!F16)^(1/2)/(PVT_Mod!$F$3+PVT_Mod!F16)</f>
        <v>0.23600452086946022</v>
      </c>
      <c r="M72" s="205">
        <f>1-2*(PVT_Mod!$F$4*PVT_Mod!F16)^(1/2)/(PVT_Mod!$F$4+PVT_Mod!F16)</f>
        <v>1.2688611912892167E-3</v>
      </c>
      <c r="N72" s="205">
        <f>1-2*(PVT_Mod!$F$5*PVT_Mod!F16)^(1/2)/(PVT_Mod!$F$5+PVT_Mod!F16)</f>
        <v>2.1908260507620403E-3</v>
      </c>
      <c r="O72" s="205">
        <f>1-2*(PVT_Mod!$F$7*PVT_Mod!F16)^(1/2)/(PVT_Mod!$F$7+PVT_Mod!F16)</f>
        <v>0.13902971011391263</v>
      </c>
      <c r="P72" s="205">
        <f>1-2*(PVT_Mod!$F$8*PVT_Mod!F16)^(1/2)/(PVT_Mod!$F$8+PVT_Mod!F16)</f>
        <v>5.062632785794019E-2</v>
      </c>
      <c r="Q72" s="205">
        <f>1-2*(PVT_Mod!$F$9*PVT_Mod!F16)^(1/2)/(PVT_Mod!$F$9+PVT_Mod!F16)</f>
        <v>2.5773978551557608E-2</v>
      </c>
      <c r="R72" s="205">
        <f>1-2*(PVT_Mod!$F$10*PVT_Mod!F16)^(1/2)/(PVT_Mod!$F$10+PVT_Mod!F16)</f>
        <v>1.602734030305486E-2</v>
      </c>
      <c r="S72" s="205">
        <f>1-2*(PVT_Mod!$F$11*PVT_Mod!F16)^(1/2)/(PVT_Mod!$F$11+PVT_Mod!F16)</f>
        <v>1.2621464536583527E-2</v>
      </c>
      <c r="T72" s="205">
        <f>1-2*(PVT_Mod!$F$12*PVT_Mod!F16)^(1/2)/(PVT_Mod!$F$12+PVT_Mod!F16)</f>
        <v>6.4649107584704435E-3</v>
      </c>
      <c r="U72" s="205">
        <f>1-2*(PVT_Mod!$F$13*PVT_Mod!F16)^(1/2)/(PVT_Mod!$F$13+PVT_Mod!F16)</f>
        <v>6.0263825613425803E-3</v>
      </c>
      <c r="V72" s="205">
        <f>1-2*(PVT_Mod!$F$14*PVT_Mod!F16)^(1/2)/(PVT_Mod!$F$14+PVT_Mod!F16)</f>
        <v>2.5332149136821913E-3</v>
      </c>
      <c r="W72" s="205">
        <f>1-2*(PVT_Mod!$F$15*PVT_Mod!F16)^(1/2)/(PVT_Mod!$F$15+PVT_Mod!F16)</f>
        <v>5.3980534894615406E-4</v>
      </c>
      <c r="X72" s="205">
        <v>0</v>
      </c>
      <c r="Y72" s="205">
        <f>X73</f>
        <v>1.3975187695519642E-3</v>
      </c>
      <c r="Z72" s="205">
        <f>X74</f>
        <v>6.8642196107984166E-3</v>
      </c>
      <c r="AA72" s="205">
        <f>X75</f>
        <v>1.0727177247825681E-2</v>
      </c>
      <c r="AB72" s="205">
        <f>X76</f>
        <v>3.9951534342942407E-3</v>
      </c>
      <c r="AC72" s="205">
        <f t="shared" ref="AC72:AH72" si="13">X77</f>
        <v>1</v>
      </c>
      <c r="AD72" s="205">
        <f t="shared" si="13"/>
        <v>1</v>
      </c>
      <c r="AE72" s="205">
        <f t="shared" si="13"/>
        <v>0</v>
      </c>
      <c r="AF72" s="205">
        <f t="shared" si="13"/>
        <v>0</v>
      </c>
      <c r="AG72" s="205">
        <f t="shared" si="13"/>
        <v>0</v>
      </c>
      <c r="AH72" s="206">
        <f t="shared" si="13"/>
        <v>0</v>
      </c>
    </row>
    <row r="73" spans="1:34" ht="15">
      <c r="A73" s="295" t="s">
        <v>8</v>
      </c>
      <c r="B73" s="298"/>
      <c r="C73" s="299"/>
      <c r="D73" s="116">
        <v>0.15</v>
      </c>
      <c r="E73" s="302"/>
      <c r="F73" s="299"/>
      <c r="G73" s="116"/>
      <c r="J73" s="106" t="s">
        <v>39</v>
      </c>
      <c r="K73" s="205">
        <f>1-2*(PVT_Mod!$F$2*PVT_Mod!F17)^(1/2)/(PVT_Mod!$F$2+PVT_Mod!F17)</f>
        <v>6.7839436444106949E-2</v>
      </c>
      <c r="L73" s="205">
        <f>1-2*(PVT_Mod!$F$3*PVT_Mod!F17)^(1/2)/(PVT_Mod!$F$3+PVT_Mod!F17)</f>
        <v>0.26222997693596473</v>
      </c>
      <c r="M73" s="205">
        <f>1-2*(PVT_Mod!$F$4*PVT_Mod!F17)^(1/2)/(PVT_Mod!$F$4+PVT_Mod!F17)</f>
        <v>3.1161502599408308E-6</v>
      </c>
      <c r="N73" s="205">
        <f>1-2*(PVT_Mod!$F$5*PVT_Mod!F17)^(1/2)/(PVT_Mod!$F$5+PVT_Mod!F17)</f>
        <v>7.0570239023149961E-3</v>
      </c>
      <c r="O73" s="205">
        <f>1-2*(PVT_Mod!$F$7*PVT_Mod!F17)^(1/2)/(PVT_Mod!$F$7+PVT_Mod!F17)</f>
        <v>0.16274035274747856</v>
      </c>
      <c r="P73" s="205">
        <f>1-2*(PVT_Mod!$F$8*PVT_Mod!F17)^(1/2)/(PVT_Mod!$F$8+PVT_Mod!F17)</f>
        <v>6.7436140471606509E-2</v>
      </c>
      <c r="Q73" s="205">
        <f>1-2*(PVT_Mod!$F$9*PVT_Mod!F17)^(1/2)/(PVT_Mod!$F$9+PVT_Mod!F17)</f>
        <v>3.8596853234925677E-2</v>
      </c>
      <c r="R73" s="205">
        <f>1-2*(PVT_Mod!$F$10*PVT_Mod!F17)^(1/2)/(PVT_Mod!$F$10+PVT_Mod!F17)</f>
        <v>2.6576119776286489E-2</v>
      </c>
      <c r="S73" s="205">
        <f>1-2*(PVT_Mod!$F$11*PVT_Mod!F17)^(1/2)/(PVT_Mod!$F$11+PVT_Mod!F17)</f>
        <v>2.2185870289560983E-2</v>
      </c>
      <c r="T73" s="205">
        <f>1-2*(PVT_Mod!$F$12*PVT_Mod!F17)^(1/2)/(PVT_Mod!$F$12+PVT_Mod!F17)</f>
        <v>1.3770553302299038E-2</v>
      </c>
      <c r="U73" s="205">
        <f>1-2*(PVT_Mod!$F$13*PVT_Mod!F17)^(1/2)/(PVT_Mod!$F$13+PVT_Mod!F17)</f>
        <v>1.3132750961624362E-2</v>
      </c>
      <c r="V73" s="205">
        <f>1-2*(PVT_Mod!$F$14*PVT_Mod!F17)^(1/2)/(PVT_Mod!$F$14+PVT_Mod!F17)</f>
        <v>7.6577987265087355E-3</v>
      </c>
      <c r="W73" s="205">
        <f>1-2*(PVT_Mod!$F$15*PVT_Mod!F17)^(1/2)/(PVT_Mod!$F$15+PVT_Mod!F17)</f>
        <v>3.6664727383750595E-3</v>
      </c>
      <c r="X73" s="205">
        <f>1-2*(PVT_Mod!$F$16*PVT_Mod!F17)^(1/2)/(PVT_Mod!$F$16+PVT_Mod!F17)</f>
        <v>1.3975187695519642E-3</v>
      </c>
      <c r="Y73" s="205">
        <v>0</v>
      </c>
      <c r="Z73" s="205">
        <f>Y74</f>
        <v>2.0833505912168926E-3</v>
      </c>
      <c r="AA73" s="205">
        <f>Y75</f>
        <v>4.4235956774814067E-3</v>
      </c>
      <c r="AB73" s="205">
        <f>Y76</f>
        <v>6.7082465726753249E-4</v>
      </c>
      <c r="AC73" s="205">
        <f t="shared" ref="AC73:AH73" si="14">Y77</f>
        <v>1</v>
      </c>
      <c r="AD73" s="205">
        <f t="shared" si="14"/>
        <v>0</v>
      </c>
      <c r="AE73" s="205">
        <f t="shared" si="14"/>
        <v>0</v>
      </c>
      <c r="AF73" s="205">
        <f t="shared" si="14"/>
        <v>0</v>
      </c>
      <c r="AG73" s="205">
        <f t="shared" si="14"/>
        <v>0</v>
      </c>
      <c r="AH73" s="206">
        <f t="shared" si="14"/>
        <v>0</v>
      </c>
    </row>
    <row r="74" spans="1:34" ht="15">
      <c r="A74" s="295" t="s">
        <v>9</v>
      </c>
      <c r="B74" s="298"/>
      <c r="C74" s="299"/>
      <c r="D74" s="116">
        <v>0.15</v>
      </c>
      <c r="E74" s="301"/>
      <c r="F74" s="299"/>
      <c r="G74" s="116"/>
      <c r="J74" s="106" t="s">
        <v>40</v>
      </c>
      <c r="K74" s="205">
        <f>1-2*(PVT_Mod!$F$2*PVT_Mod!F18)^(1/2)/(PVT_Mod!$F$2+PVT_Mod!F18)</f>
        <v>9.1013412409097327E-2</v>
      </c>
      <c r="L74" s="205">
        <f>1-2*(PVT_Mod!$F$3*PVT_Mod!F18)^(1/2)/(PVT_Mod!$F$3+PVT_Mod!F18)</f>
        <v>0.29449317845421619</v>
      </c>
      <c r="M74" s="205">
        <f>1-2*(PVT_Mod!$F$4*PVT_Mod!F18)^(1/2)/(PVT_Mod!$F$4+PVT_Mod!F18)</f>
        <v>2.2471605505655079E-3</v>
      </c>
      <c r="N74" s="205">
        <f>1-2*(PVT_Mod!$F$5*PVT_Mod!F18)^(1/2)/(PVT_Mod!$F$5+PVT_Mod!F18)</f>
        <v>1.6649458592425836E-2</v>
      </c>
      <c r="O74" s="205">
        <f>1-2*(PVT_Mod!$F$7*PVT_Mod!F18)^(1/2)/(PVT_Mod!$F$7+PVT_Mod!F18)</f>
        <v>0.19295549561654757</v>
      </c>
      <c r="P74" s="205">
        <f>1-2*(PVT_Mod!$F$8*PVT_Mod!F18)^(1/2)/(PVT_Mod!$F$8+PVT_Mod!F18)</f>
        <v>9.0560509631384067E-2</v>
      </c>
      <c r="Q74" s="205">
        <f>1-2*(PVT_Mod!$F$9*PVT_Mod!F18)^(1/2)/(PVT_Mod!$F$9+PVT_Mod!F18)</f>
        <v>5.7333316792143929E-2</v>
      </c>
      <c r="R74" s="205">
        <f>1-2*(PVT_Mod!$F$10*PVT_Mod!F18)^(1/2)/(PVT_Mod!$F$10+PVT_Mod!F18)</f>
        <v>4.2747455583142191E-2</v>
      </c>
      <c r="S74" s="205">
        <f>1-2*(PVT_Mod!$F$11*PVT_Mod!F18)^(1/2)/(PVT_Mod!$F$11+PVT_Mod!F18)</f>
        <v>3.7234322239343198E-2</v>
      </c>
      <c r="T74" s="205">
        <f>1-2*(PVT_Mod!$F$12*PVT_Mod!F18)^(1/2)/(PVT_Mod!$F$12+PVT_Mod!F18)</f>
        <v>2.6215397357910786E-2</v>
      </c>
      <c r="U74" s="205">
        <f>1-2*(PVT_Mod!$F$13*PVT_Mod!F18)^(1/2)/(PVT_Mod!$F$13+PVT_Mod!F18)</f>
        <v>2.5346141292064583E-2</v>
      </c>
      <c r="V74" s="205">
        <f>1-2*(PVT_Mod!$F$14*PVT_Mod!F18)^(1/2)/(PVT_Mod!$F$14+PVT_Mod!F18)</f>
        <v>1.7554304770416307E-2</v>
      </c>
      <c r="W74" s="205">
        <f>1-2*(PVT_Mod!$F$15*PVT_Mod!F18)^(1/2)/(PVT_Mod!$F$15+PVT_Mod!F18)</f>
        <v>1.1200003415362869E-2</v>
      </c>
      <c r="X74" s="205">
        <f>1-2*(PVT_Mod!$F$16*PVT_Mod!F18)^(1/2)/(PVT_Mod!$F$16+PVT_Mod!F18)</f>
        <v>6.8642196107984166E-3</v>
      </c>
      <c r="Y74" s="205">
        <f>1-2*(PVT_Mod!$F$17*PVT_Mod!F18)^(1/2)/(PVT_Mod!$F$17+PVT_Mod!F18)</f>
        <v>2.0833505912168926E-3</v>
      </c>
      <c r="Z74" s="205">
        <v>0</v>
      </c>
      <c r="AA74" s="205">
        <v>0</v>
      </c>
      <c r="AB74" s="205">
        <v>0</v>
      </c>
      <c r="AC74" s="205">
        <v>0</v>
      </c>
      <c r="AD74" s="205">
        <v>0</v>
      </c>
      <c r="AE74" s="205">
        <v>0</v>
      </c>
      <c r="AF74" s="205">
        <v>0</v>
      </c>
      <c r="AG74" s="205">
        <v>0</v>
      </c>
      <c r="AH74" s="206">
        <v>0</v>
      </c>
    </row>
    <row r="75" spans="1:34" ht="15">
      <c r="A75" s="296" t="s">
        <v>10</v>
      </c>
      <c r="B75" s="298"/>
      <c r="C75" s="299"/>
      <c r="D75" s="116">
        <v>0.15</v>
      </c>
      <c r="E75" s="301"/>
      <c r="F75" s="299"/>
      <c r="G75" s="116"/>
      <c r="J75" s="106" t="s">
        <v>41</v>
      </c>
      <c r="K75" s="205">
        <f>1-2*(PVT_Mod!$F$2*PVT_Mod!F19)^(1/2)/(PVT_Mod!$F$2+PVT_Mod!F19)</f>
        <v>0.10249264455891793</v>
      </c>
      <c r="L75" s="205">
        <f>1-2*(PVT_Mod!$F$3*PVT_Mod!F19)^(1/2)/(PVT_Mod!$F$3+PVT_Mod!F19)</f>
        <v>0.30930102799307058</v>
      </c>
      <c r="M75" s="205">
        <f>1-2*(PVT_Mod!$F$4*PVT_Mod!F19)^(1/2)/(PVT_Mod!$F$4+PVT_Mod!F19)</f>
        <v>4.6601605449420047E-3</v>
      </c>
      <c r="N75" s="205">
        <f>1-2*(PVT_Mod!$F$5*PVT_Mod!F19)^(1/2)/(PVT_Mod!$F$5+PVT_Mod!F19)</f>
        <v>2.2342883378535405E-2</v>
      </c>
      <c r="O75" s="205">
        <f>1-2*(PVT_Mod!$F$7*PVT_Mod!F19)^(1/2)/(PVT_Mod!$F$7+PVT_Mod!F19)</f>
        <v>0.20717567738468512</v>
      </c>
      <c r="P75" s="205">
        <f>1-2*(PVT_Mod!$F$8*PVT_Mod!F19)^(1/2)/(PVT_Mod!$F$8+PVT_Mod!F19)</f>
        <v>0.10201947559046298</v>
      </c>
      <c r="Q75" s="205">
        <f>1-2*(PVT_Mod!$F$9*PVT_Mod!F19)^(1/2)/(PVT_Mod!$F$9+PVT_Mod!F19)</f>
        <v>6.696969656978824E-2</v>
      </c>
      <c r="R75" s="205">
        <f>1-2*(PVT_Mod!$F$10*PVT_Mod!F19)^(1/2)/(PVT_Mod!$F$10+PVT_Mod!F19)</f>
        <v>5.129525246985378E-2</v>
      </c>
      <c r="S75" s="205">
        <f>1-2*(PVT_Mod!$F$11*PVT_Mod!F19)^(1/2)/(PVT_Mod!$F$11+PVT_Mod!F19)</f>
        <v>4.5301002384791844E-2</v>
      </c>
      <c r="T75" s="205">
        <f>1-2*(PVT_Mod!$F$12*PVT_Mod!F19)^(1/2)/(PVT_Mod!$F$12+PVT_Mod!F19)</f>
        <v>3.315663999980778E-2</v>
      </c>
      <c r="U75" s="205">
        <f>1-2*(PVT_Mod!$F$13*PVT_Mod!F19)^(1/2)/(PVT_Mod!$F$13+PVT_Mod!F19)</f>
        <v>3.2186695598906079E-2</v>
      </c>
      <c r="V75" s="205">
        <f>1-2*(PVT_Mod!$F$14*PVT_Mod!F19)^(1/2)/(PVT_Mod!$F$14+PVT_Mod!F19)</f>
        <v>2.3381456536344047E-2</v>
      </c>
      <c r="W75" s="205">
        <f>1-2*(PVT_Mod!$F$15*PVT_Mod!F19)^(1/2)/(PVT_Mod!$F$15+PVT_Mod!F19)</f>
        <v>1.59836401238731E-2</v>
      </c>
      <c r="X75" s="205">
        <f>1-2*(PVT_Mod!$F$16*PVT_Mod!F19)^(1/2)/(PVT_Mod!$F$16+PVT_Mod!F19)</f>
        <v>1.0727177247825681E-2</v>
      </c>
      <c r="Y75" s="205">
        <f>1-2*(PVT_Mod!$F$17*PVT_Mod!F19)^(1/2)/(PVT_Mod!$F$17+PVT_Mod!F19)</f>
        <v>4.4235956774814067E-3</v>
      </c>
      <c r="Z75" s="205">
        <v>0</v>
      </c>
      <c r="AA75" s="205">
        <v>0</v>
      </c>
      <c r="AB75" s="205">
        <v>0</v>
      </c>
      <c r="AC75" s="205">
        <v>0</v>
      </c>
      <c r="AD75" s="205">
        <v>0</v>
      </c>
      <c r="AE75" s="205">
        <v>0</v>
      </c>
      <c r="AF75" s="205">
        <v>0</v>
      </c>
      <c r="AG75" s="205">
        <v>0</v>
      </c>
      <c r="AH75" s="206">
        <v>0</v>
      </c>
    </row>
    <row r="76" spans="1:34" ht="15.75" thickBot="1">
      <c r="A76" s="297" t="s">
        <v>35</v>
      </c>
      <c r="B76" s="303"/>
      <c r="C76" s="304"/>
      <c r="D76" s="116">
        <v>0.15</v>
      </c>
      <c r="E76" s="306"/>
      <c r="F76" s="304"/>
      <c r="G76" s="118"/>
      <c r="J76" s="106" t="s">
        <v>42</v>
      </c>
      <c r="K76" s="205">
        <f>1-2*(PVT_Mod!$F$2*PVT_Mod!F20)^(1/2)/(PVT_Mod!$F$2+PVT_Mod!F20)</f>
        <v>8.0654318184625651E-2</v>
      </c>
      <c r="L76" s="205">
        <f>1-2*(PVT_Mod!$F$3*PVT_Mod!F20)^(1/2)/(PVT_Mod!$F$3+PVT_Mod!F20)</f>
        <v>0.28051208690326512</v>
      </c>
      <c r="M76" s="205">
        <f>1-2*(PVT_Mod!$F$4*PVT_Mod!F20)^(1/2)/(PVT_Mod!$F$4+PVT_Mod!F20)</f>
        <v>7.6529491677646E-4</v>
      </c>
      <c r="N76" s="205">
        <f>1-2*(PVT_Mod!$F$5*PVT_Mod!F20)^(1/2)/(PVT_Mod!$F$5+PVT_Mod!F20)</f>
        <v>1.2014086168031124E-2</v>
      </c>
      <c r="O76" s="205">
        <f>1-2*(PVT_Mod!$F$7*PVT_Mod!F20)^(1/2)/(PVT_Mod!$F$7+PVT_Mod!F20)</f>
        <v>0.17972821555632146</v>
      </c>
      <c r="P76" s="205">
        <f>1-2*(PVT_Mod!$F$8*PVT_Mod!F20)^(1/2)/(PVT_Mod!$F$8+PVT_Mod!F20)</f>
        <v>8.022199016085485E-2</v>
      </c>
      <c r="Q76" s="205">
        <f>1-2*(PVT_Mod!$F$9*PVT_Mod!F20)^(1/2)/(PVT_Mod!$F$9+PVT_Mod!F20)</f>
        <v>4.8826207989218551E-2</v>
      </c>
      <c r="R76" s="205">
        <f>1-2*(PVT_Mod!$F$10*PVT_Mod!F20)^(1/2)/(PVT_Mod!$F$10+PVT_Mod!F20)</f>
        <v>3.5319814588953724E-2</v>
      </c>
      <c r="S76" s="205">
        <f>1-2*(PVT_Mod!$F$11*PVT_Mod!F20)^(1/2)/(PVT_Mod!$F$11+PVT_Mod!F20)</f>
        <v>3.0280966181376323E-2</v>
      </c>
      <c r="T76" s="205">
        <f>1-2*(PVT_Mod!$F$12*PVT_Mod!F20)^(1/2)/(PVT_Mod!$F$12+PVT_Mod!F20)</f>
        <v>2.0365506248555265E-2</v>
      </c>
      <c r="U76" s="205">
        <f>1-2*(PVT_Mod!$F$13*PVT_Mod!F20)^(1/2)/(PVT_Mod!$F$13+PVT_Mod!F20)</f>
        <v>1.9594587518959927E-2</v>
      </c>
      <c r="V76" s="205">
        <f>1-2*(PVT_Mod!$F$14*PVT_Mod!F20)^(1/2)/(PVT_Mod!$F$14+PVT_Mod!F20)</f>
        <v>1.2789196178179751E-2</v>
      </c>
      <c r="W76" s="205">
        <f>1-2*(PVT_Mod!$F$15*PVT_Mod!F20)^(1/2)/(PVT_Mod!$F$15+PVT_Mod!F20)</f>
        <v>7.4447072306396134E-3</v>
      </c>
      <c r="X76" s="205">
        <f>1-2*(PVT_Mod!$F$16*PVT_Mod!F20)^(1/2)/(PVT_Mod!$F$16+PVT_Mod!F20)</f>
        <v>3.9951534342942407E-3</v>
      </c>
      <c r="Y76" s="205">
        <f>1-2*(PVT_Mod!$F$17*PVT_Mod!F20)^(1/2)/(PVT_Mod!$F$17+PVT_Mod!F20)</f>
        <v>6.7082465726753249E-4</v>
      </c>
      <c r="Z76" s="205">
        <v>0</v>
      </c>
      <c r="AA76" s="205">
        <v>0</v>
      </c>
      <c r="AB76" s="205">
        <v>0</v>
      </c>
      <c r="AC76" s="205">
        <v>0</v>
      </c>
      <c r="AD76" s="205">
        <v>0</v>
      </c>
      <c r="AE76" s="205">
        <v>0</v>
      </c>
      <c r="AF76" s="205">
        <v>0</v>
      </c>
      <c r="AG76" s="205">
        <v>0</v>
      </c>
      <c r="AH76" s="206">
        <v>0</v>
      </c>
    </row>
    <row r="77" spans="1:34" ht="13.5" thickTop="1">
      <c r="A77" s="19" t="s">
        <v>163</v>
      </c>
      <c r="B77" s="1"/>
      <c r="C77" s="1"/>
      <c r="D77" s="116">
        <v>0.15</v>
      </c>
      <c r="E77" s="1"/>
      <c r="F77" s="1"/>
      <c r="G77" s="1"/>
      <c r="J77" s="106" t="s">
        <v>43</v>
      </c>
      <c r="K77" s="205">
        <f>1-2*(PVT_Mod!$F$2*PVT_Mod!F21)^(1/2)/(PVT_Mod!$F$2+PVT_Mod!F21)</f>
        <v>1</v>
      </c>
      <c r="L77" s="205">
        <f>1-2*(PVT_Mod!$F$3*PVT_Mod!F21)^(1/2)/(PVT_Mod!$F$3+PVT_Mod!F21)</f>
        <v>1</v>
      </c>
      <c r="M77" s="205">
        <f>1-2*(PVT_Mod!$F$4*PVT_Mod!F21)^(1/2)/(PVT_Mod!$F$4+PVT_Mod!F21)</f>
        <v>1</v>
      </c>
      <c r="N77" s="205">
        <f>1-2*(PVT_Mod!$F$5*PVT_Mod!F21)^(1/2)/(PVT_Mod!$F$5+PVT_Mod!F21)</f>
        <v>1</v>
      </c>
      <c r="O77" s="205">
        <f>1-2*(PVT_Mod!$F$7*PVT_Mod!F21)^(1/2)/(PVT_Mod!$F$7+PVT_Mod!F21)</f>
        <v>1</v>
      </c>
      <c r="P77" s="205">
        <f>1-2*(PVT_Mod!$F$8*PVT_Mod!F21)^(1/2)/(PVT_Mod!$F$8+PVT_Mod!F21)</f>
        <v>1</v>
      </c>
      <c r="Q77" s="205">
        <f>1-2*(PVT_Mod!$F$9*PVT_Mod!F21)^(1/2)/(PVT_Mod!$F$9+PVT_Mod!F21)</f>
        <v>1</v>
      </c>
      <c r="R77" s="205">
        <f>1-2*(PVT_Mod!$F$10*PVT_Mod!F21)^(1/2)/(PVT_Mod!$F$10+PVT_Mod!F21)</f>
        <v>1</v>
      </c>
      <c r="S77" s="205">
        <f>1-2*(PVT_Mod!$F$11*PVT_Mod!F21)^(1/2)/(PVT_Mod!$F$11+PVT_Mod!F21)</f>
        <v>1</v>
      </c>
      <c r="T77" s="205">
        <f>1-2*(PVT_Mod!$F$12*PVT_Mod!F21)^(1/2)/(PVT_Mod!$F$12+PVT_Mod!F21)</f>
        <v>1</v>
      </c>
      <c r="U77" s="205">
        <f>1-2*(PVT_Mod!$F$13*PVT_Mod!F21)^(1/2)/(PVT_Mod!$F$13+PVT_Mod!F21)</f>
        <v>1</v>
      </c>
      <c r="V77" s="205">
        <f>1-2*(PVT_Mod!$F$14*PVT_Mod!F21)^(1/2)/(PVT_Mod!$F$14+PVT_Mod!F21)</f>
        <v>1</v>
      </c>
      <c r="W77" s="205">
        <f>1-2*(PVT_Mod!$F$15*PVT_Mod!F21)^(1/2)/(PVT_Mod!$F$15+PVT_Mod!F21)</f>
        <v>1</v>
      </c>
      <c r="X77" s="205">
        <f>1-2*(PVT_Mod!$F$16*PVT_Mod!F21)^(1/2)/(PVT_Mod!$F$16+PVT_Mod!F21)</f>
        <v>1</v>
      </c>
      <c r="Y77" s="205">
        <f>1-2*(PVT_Mod!$F$17*PVT_Mod!F21)^(1/2)/(PVT_Mod!$F$17+PVT_Mod!F21)</f>
        <v>1</v>
      </c>
      <c r="Z77" s="205">
        <v>0</v>
      </c>
      <c r="AA77" s="205">
        <v>0</v>
      </c>
      <c r="AB77" s="205">
        <v>0</v>
      </c>
      <c r="AC77" s="205">
        <v>0</v>
      </c>
      <c r="AD77" s="205">
        <v>0</v>
      </c>
      <c r="AE77" s="205">
        <v>0</v>
      </c>
      <c r="AF77" s="205">
        <v>0</v>
      </c>
      <c r="AG77" s="205">
        <v>0</v>
      </c>
      <c r="AH77" s="206">
        <v>0</v>
      </c>
    </row>
    <row r="78" spans="1:34">
      <c r="A78" s="19" t="s">
        <v>178</v>
      </c>
      <c r="B78" s="1"/>
      <c r="C78" s="1"/>
      <c r="D78" s="116">
        <v>0.15</v>
      </c>
      <c r="E78" s="1"/>
      <c r="F78" s="1"/>
      <c r="G78" s="1"/>
      <c r="J78" s="106" t="s">
        <v>91</v>
      </c>
      <c r="K78" s="205">
        <f>1-2*(PVT_Mod!$F$2*PVT_Mod!F22)^(1/2)/(PVT_Mod!$F$2+PVT_Mod!F22)</f>
        <v>1</v>
      </c>
      <c r="L78" s="205">
        <f>1-2*(PVT_Mod!$F$3*PVT_Mod!F22)^(1/2)/(PVT_Mod!$F$3+PVT_Mod!F22)</f>
        <v>1</v>
      </c>
      <c r="M78" s="205">
        <f>1-2*(PVT_Mod!$F$4*PVT_Mod!F22)^(1/2)/(PVT_Mod!$F$4+PVT_Mod!F22)</f>
        <v>1</v>
      </c>
      <c r="N78" s="205">
        <f>1-2*(PVT_Mod!$F$5*PVT_Mod!F22)^(1/2)/(PVT_Mod!$F$5+PVT_Mod!F22)</f>
        <v>1</v>
      </c>
      <c r="O78" s="205">
        <f>1-2*(PVT_Mod!$F$7*PVT_Mod!F22)^(1/2)/(PVT_Mod!$F$7+PVT_Mod!F22)</f>
        <v>1</v>
      </c>
      <c r="P78" s="205">
        <f>1-2*(PVT_Mod!$F$8*PVT_Mod!F22)^(1/2)/(PVT_Mod!$F$8+PVT_Mod!F22)</f>
        <v>1</v>
      </c>
      <c r="Q78" s="205">
        <f>1-2*(PVT_Mod!$F$9*PVT_Mod!F22)^(1/2)/(PVT_Mod!$F$9+PVT_Mod!F22)</f>
        <v>1</v>
      </c>
      <c r="R78" s="205">
        <f>1-2*(PVT_Mod!$F$10*PVT_Mod!F22)^(1/2)/(PVT_Mod!$F$10+PVT_Mod!F22)</f>
        <v>1</v>
      </c>
      <c r="S78" s="205">
        <f>1-2*(PVT_Mod!$F$11*PVT_Mod!F22)^(1/2)/(PVT_Mod!$F$11+PVT_Mod!F22)</f>
        <v>1</v>
      </c>
      <c r="T78" s="205">
        <f>1-2*(PVT_Mod!$F$12*PVT_Mod!F22)^(1/2)/(PVT_Mod!$F$12+PVT_Mod!F22)</f>
        <v>1</v>
      </c>
      <c r="U78" s="205">
        <f>1-2*(PVT_Mod!$F$13*PVT_Mod!F22)^(1/2)/(PVT_Mod!$F$13+PVT_Mod!F22)</f>
        <v>1</v>
      </c>
      <c r="V78" s="205">
        <f>1-2*(PVT_Mod!$F$14*PVT_Mod!F22)^(1/2)/(PVT_Mod!$F$14+PVT_Mod!F22)</f>
        <v>1</v>
      </c>
      <c r="W78" s="205">
        <f>1-2*(PVT_Mod!$F$15*PVT_Mod!F22)^(1/2)/(PVT_Mod!$F$15+PVT_Mod!F22)</f>
        <v>1</v>
      </c>
      <c r="X78" s="205">
        <f>1-2*(PVT_Mod!$F$16*PVT_Mod!F22)^(1/2)/(PVT_Mod!$F$16+PVT_Mod!F22)</f>
        <v>1</v>
      </c>
      <c r="Y78" s="205">
        <f>1-2*(PVT_Mod!$F$17*PVT_Mod!F22)^(1/2)/(PVT_Mod!$F$17+PVT_Mod!F22)</f>
        <v>1</v>
      </c>
      <c r="Z78" s="205">
        <v>0</v>
      </c>
      <c r="AA78" s="205">
        <v>0</v>
      </c>
      <c r="AB78" s="205">
        <v>0</v>
      </c>
      <c r="AC78" s="205">
        <v>0</v>
      </c>
      <c r="AD78" s="205">
        <v>0</v>
      </c>
      <c r="AE78" s="205">
        <v>0</v>
      </c>
      <c r="AF78" s="205">
        <v>0</v>
      </c>
      <c r="AG78" s="205">
        <v>0</v>
      </c>
      <c r="AH78" s="206">
        <v>0</v>
      </c>
    </row>
    <row r="79" spans="1:34">
      <c r="A79" s="19" t="s">
        <v>179</v>
      </c>
      <c r="B79" s="1"/>
      <c r="C79" s="1"/>
      <c r="D79" s="116">
        <v>0.15</v>
      </c>
      <c r="E79" s="1"/>
      <c r="F79" s="1"/>
      <c r="G79" s="1"/>
      <c r="J79" s="106" t="s">
        <v>92</v>
      </c>
      <c r="K79" s="205">
        <f>1-2*(PVT_Mod!$F$2*PVT_Mod!F23)^(1/2)/(PVT_Mod!$F$2+PVT_Mod!F23)</f>
        <v>1</v>
      </c>
      <c r="L79" s="205">
        <f>1-2*(PVT_Mod!$F$3*PVT_Mod!F23)^(1/2)/(PVT_Mod!$F$3+PVT_Mod!F23)</f>
        <v>1</v>
      </c>
      <c r="M79" s="205">
        <f>1-2*(PVT_Mod!$F$4*PVT_Mod!F23)^(1/2)/(PVT_Mod!$F$4+PVT_Mod!F23)</f>
        <v>1</v>
      </c>
      <c r="N79" s="205">
        <f>1-2*(PVT_Mod!$F$5*PVT_Mod!F23)^(1/2)/(PVT_Mod!$F$5+PVT_Mod!F23)</f>
        <v>1</v>
      </c>
      <c r="O79" s="205">
        <f>1-2*(PVT_Mod!$F$7*PVT_Mod!F23)^(1/2)/(PVT_Mod!$F$7+PVT_Mod!F23)</f>
        <v>1</v>
      </c>
      <c r="P79" s="205">
        <f>1-2*(PVT_Mod!$F$8*PVT_Mod!F23)^(1/2)/(PVT_Mod!$F$8+PVT_Mod!F23)</f>
        <v>1</v>
      </c>
      <c r="Q79" s="205">
        <f>1-2*(PVT_Mod!$F$9*PVT_Mod!F23)^(1/2)/(PVT_Mod!$F$9+PVT_Mod!F23)</f>
        <v>1</v>
      </c>
      <c r="R79" s="205">
        <f>1-2*(PVT_Mod!$F$10*PVT_Mod!F23)^(1/2)/(PVT_Mod!$F$10+PVT_Mod!F23)</f>
        <v>1</v>
      </c>
      <c r="S79" s="205">
        <f>1-2*(PVT_Mod!$F$11*PVT_Mod!F23)^(1/2)/(PVT_Mod!$F$11+PVT_Mod!F23)</f>
        <v>1</v>
      </c>
      <c r="T79" s="205">
        <f>1-2*(PVT_Mod!$F$12*PVT_Mod!F23)^(1/2)/(PVT_Mod!$F$12+PVT_Mod!F23)</f>
        <v>1</v>
      </c>
      <c r="U79" s="205">
        <f>1-2*(PVT_Mod!$F$13*PVT_Mod!F23)^(1/2)/(PVT_Mod!$F$13+PVT_Mod!F23)</f>
        <v>1</v>
      </c>
      <c r="V79" s="205">
        <f>1-2*(PVT_Mod!$F$14*PVT_Mod!F23)^(1/2)/(PVT_Mod!$F$14+PVT_Mod!F23)</f>
        <v>1</v>
      </c>
      <c r="W79" s="205">
        <f>1-2*(PVT_Mod!$F$15*PVT_Mod!F23)^(1/2)/(PVT_Mod!$F$15+PVT_Mod!F23)</f>
        <v>1</v>
      </c>
      <c r="X79" s="205">
        <f>1-2*(PVT_Mod!$F$16*PVT_Mod!F23)^(1/2)/(PVT_Mod!$F$16+PVT_Mod!F23)</f>
        <v>1</v>
      </c>
      <c r="Y79" s="205">
        <f>1-2*(PVT_Mod!$F$17*PVT_Mod!F23)^(1/2)/(PVT_Mod!$F$17+PVT_Mod!F23)</f>
        <v>1</v>
      </c>
      <c r="Z79" s="205">
        <v>0</v>
      </c>
      <c r="AA79" s="205">
        <v>0</v>
      </c>
      <c r="AB79" s="205">
        <v>0</v>
      </c>
      <c r="AC79" s="205">
        <v>0</v>
      </c>
      <c r="AD79" s="205">
        <v>0</v>
      </c>
      <c r="AE79" s="205">
        <v>0</v>
      </c>
      <c r="AF79" s="205">
        <v>0</v>
      </c>
      <c r="AG79" s="205">
        <v>0</v>
      </c>
      <c r="AH79" s="206">
        <v>0</v>
      </c>
    </row>
    <row r="80" spans="1:34">
      <c r="A80" s="19" t="s">
        <v>180</v>
      </c>
      <c r="B80" s="1"/>
      <c r="C80" s="1"/>
      <c r="D80" s="116">
        <v>0.15</v>
      </c>
      <c r="E80" s="1"/>
      <c r="F80" s="1"/>
      <c r="G80" s="1"/>
      <c r="J80" s="106" t="s">
        <v>93</v>
      </c>
      <c r="K80" s="205">
        <f>1-2*(PVT_Mod!$F$2*PVT_Mod!F24)^(1/2)/(PVT_Mod!$F$2+PVT_Mod!F24)</f>
        <v>1</v>
      </c>
      <c r="L80" s="205">
        <f>1-2*(PVT_Mod!$F$3*PVT_Mod!F24)^(1/2)/(PVT_Mod!$F$3+PVT_Mod!F24)</f>
        <v>1</v>
      </c>
      <c r="M80" s="205">
        <f>1-2*(PVT_Mod!$F$4*PVT_Mod!F24)^(1/2)/(PVT_Mod!$F$4+PVT_Mod!F24)</f>
        <v>1</v>
      </c>
      <c r="N80" s="205">
        <f>1-2*(PVT_Mod!$F$5*PVT_Mod!F24)^(1/2)/(PVT_Mod!$F$5+PVT_Mod!F24)</f>
        <v>1</v>
      </c>
      <c r="O80" s="205">
        <f>1-2*(PVT_Mod!$F$7*PVT_Mod!F24)^(1/2)/(PVT_Mod!$F$7+PVT_Mod!F24)</f>
        <v>1</v>
      </c>
      <c r="P80" s="205">
        <f>1-2*(PVT_Mod!$F$8*PVT_Mod!F24)^(1/2)/(PVT_Mod!$F$8+PVT_Mod!F24)</f>
        <v>1</v>
      </c>
      <c r="Q80" s="205">
        <f>1-2*(PVT_Mod!$F$9*PVT_Mod!F24)^(1/2)/(PVT_Mod!$F$9+PVT_Mod!F24)</f>
        <v>1</v>
      </c>
      <c r="R80" s="205">
        <f>1-2*(PVT_Mod!$F$10*PVT_Mod!F24)^(1/2)/(PVT_Mod!$F$10+PVT_Mod!F24)</f>
        <v>1</v>
      </c>
      <c r="S80" s="205">
        <f>1-2*(PVT_Mod!$F$11*PVT_Mod!F24)^(1/2)/(PVT_Mod!$F$11+PVT_Mod!F24)</f>
        <v>1</v>
      </c>
      <c r="T80" s="205">
        <f>1-2*(PVT_Mod!$F$12*PVT_Mod!F24)^(1/2)/(PVT_Mod!$F$12+PVT_Mod!F24)</f>
        <v>1</v>
      </c>
      <c r="U80" s="205">
        <f>1-2*(PVT_Mod!$F$13*PVT_Mod!F24)^(1/2)/(PVT_Mod!$F$13+PVT_Mod!F24)</f>
        <v>1</v>
      </c>
      <c r="V80" s="205">
        <f>1-2*(PVT_Mod!$F$14*PVT_Mod!F24)^(1/2)/(PVT_Mod!$F$14+PVT_Mod!F24)</f>
        <v>1</v>
      </c>
      <c r="W80" s="205">
        <f>1-2*(PVT_Mod!$F$15*PVT_Mod!F24)^(1/2)/(PVT_Mod!$F$15+PVT_Mod!F24)</f>
        <v>1</v>
      </c>
      <c r="X80" s="205">
        <f>1-2*(PVT_Mod!$F$16*PVT_Mod!F24)^(1/2)/(PVT_Mod!$F$16+PVT_Mod!F24)</f>
        <v>1</v>
      </c>
      <c r="Y80" s="205">
        <f>1-2*(PVT_Mod!$F$17*PVT_Mod!F24)^(1/2)/(PVT_Mod!$F$17+PVT_Mod!F24)</f>
        <v>1</v>
      </c>
      <c r="Z80" s="205">
        <v>0</v>
      </c>
      <c r="AA80" s="205">
        <v>0</v>
      </c>
      <c r="AB80" s="205">
        <v>0</v>
      </c>
      <c r="AC80" s="205">
        <v>0</v>
      </c>
      <c r="AD80" s="205">
        <v>0</v>
      </c>
      <c r="AE80" s="205">
        <v>0</v>
      </c>
      <c r="AF80" s="205">
        <v>0</v>
      </c>
      <c r="AG80" s="205">
        <v>0</v>
      </c>
      <c r="AH80" s="206">
        <v>0</v>
      </c>
    </row>
    <row r="81" spans="1:34">
      <c r="A81" s="19" t="s">
        <v>181</v>
      </c>
      <c r="B81" s="1"/>
      <c r="C81" s="1"/>
      <c r="D81" s="116">
        <v>0.15</v>
      </c>
      <c r="E81" s="1"/>
      <c r="F81" s="1"/>
      <c r="G81" s="1"/>
      <c r="J81" s="106" t="s">
        <v>94</v>
      </c>
      <c r="K81" s="205">
        <f>1-2*(PVT_Mod!$F$2*PVT_Mod!F25)^(1/2)/(PVT_Mod!$F$2+PVT_Mod!F25)</f>
        <v>1</v>
      </c>
      <c r="L81" s="205">
        <f>1-2*(PVT_Mod!$F$3*PVT_Mod!F25)^(1/2)/(PVT_Mod!$F$3+PVT_Mod!F25)</f>
        <v>1</v>
      </c>
      <c r="M81" s="205">
        <f>1-2*(PVT_Mod!$F$4*PVT_Mod!F25)^(1/2)/(PVT_Mod!$F$4+PVT_Mod!F25)</f>
        <v>1</v>
      </c>
      <c r="N81" s="205">
        <f>1-2*(PVT_Mod!$F$5*PVT_Mod!F25)^(1/2)/(PVT_Mod!$F$5+PVT_Mod!F25)</f>
        <v>1</v>
      </c>
      <c r="O81" s="205">
        <f>1-2*(PVT_Mod!$F$7*PVT_Mod!F25)^(1/2)/(PVT_Mod!$F$7+PVT_Mod!F25)</f>
        <v>1</v>
      </c>
      <c r="P81" s="205">
        <f>1-2*(PVT_Mod!$F$8*PVT_Mod!F25)^(1/2)/(PVT_Mod!$F$8+PVT_Mod!F25)</f>
        <v>1</v>
      </c>
      <c r="Q81" s="205">
        <f>1-2*(PVT_Mod!$F$9*PVT_Mod!F25)^(1/2)/(PVT_Mod!$F$9+PVT_Mod!F25)</f>
        <v>1</v>
      </c>
      <c r="R81" s="205">
        <f>1-2*(PVT_Mod!$F$10*PVT_Mod!F25)^(1/2)/(PVT_Mod!$F$10+PVT_Mod!F25)</f>
        <v>1</v>
      </c>
      <c r="S81" s="205">
        <f>1-2*(PVT_Mod!$F$11*PVT_Mod!F25)^(1/2)/(PVT_Mod!$F$11+PVT_Mod!F25)</f>
        <v>1</v>
      </c>
      <c r="T81" s="205">
        <f>1-2*(PVT_Mod!$F$12*PVT_Mod!F25)^(1/2)/(PVT_Mod!$F$12+PVT_Mod!F25)</f>
        <v>1</v>
      </c>
      <c r="U81" s="205">
        <f>1-2*(PVT_Mod!$F$13*PVT_Mod!F25)^(1/2)/(PVT_Mod!$F$13+PVT_Mod!F25)</f>
        <v>1</v>
      </c>
      <c r="V81" s="205">
        <f>1-2*(PVT_Mod!$F$14*PVT_Mod!F25)^(1/2)/(PVT_Mod!$F$14+PVT_Mod!F25)</f>
        <v>1</v>
      </c>
      <c r="W81" s="205">
        <f>1-2*(PVT_Mod!$F$15*PVT_Mod!F25)^(1/2)/(PVT_Mod!$F$15+PVT_Mod!F25)</f>
        <v>1</v>
      </c>
      <c r="X81" s="205">
        <f>1-2*(PVT_Mod!$F$16*PVT_Mod!F25)^(1/2)/(PVT_Mod!$F$16+PVT_Mod!F25)</f>
        <v>1</v>
      </c>
      <c r="Y81" s="205">
        <f>1-2*(PVT_Mod!$F$17*PVT_Mod!F25)^(1/2)/(PVT_Mod!$F$17+PVT_Mod!F25)</f>
        <v>1</v>
      </c>
      <c r="Z81" s="205">
        <v>0</v>
      </c>
      <c r="AA81" s="205">
        <v>0</v>
      </c>
      <c r="AB81" s="205">
        <v>0</v>
      </c>
      <c r="AC81" s="205">
        <v>0</v>
      </c>
      <c r="AD81" s="205">
        <v>0</v>
      </c>
      <c r="AE81" s="205">
        <v>0</v>
      </c>
      <c r="AF81" s="205">
        <v>0</v>
      </c>
      <c r="AG81" s="205">
        <v>0</v>
      </c>
      <c r="AH81" s="206">
        <v>0</v>
      </c>
    </row>
    <row r="82" spans="1:34" ht="13.5" thickBot="1">
      <c r="A82" s="19" t="s">
        <v>182</v>
      </c>
      <c r="B82" s="1"/>
      <c r="C82" s="1"/>
      <c r="D82" s="116">
        <v>0.15</v>
      </c>
      <c r="E82" s="1"/>
      <c r="F82" s="1"/>
      <c r="G82" s="1"/>
      <c r="J82" s="189" t="s">
        <v>95</v>
      </c>
      <c r="K82" s="207" t="e">
        <f>1-2*(PVT_Mod!$F$2*PVT_Mod!#REF!)^(1/2)/(PVT_Mod!$F$2+PVT_Mod!#REF!)</f>
        <v>#REF!</v>
      </c>
      <c r="L82" s="207" t="e">
        <f>1-2*(PVT_Mod!$F$3*PVT_Mod!#REF!)^(1/2)/(PVT_Mod!$F$3+PVT_Mod!#REF!)</f>
        <v>#REF!</v>
      </c>
      <c r="M82" s="207" t="e">
        <f>1-2*(PVT_Mod!$F$4*PVT_Mod!#REF!)^(1/2)/(PVT_Mod!$F$4+PVT_Mod!#REF!)</f>
        <v>#REF!</v>
      </c>
      <c r="N82" s="207" t="e">
        <f>1-2*(PVT_Mod!$F$5*PVT_Mod!#REF!)^(1/2)/(PVT_Mod!$F$5+PVT_Mod!#REF!)</f>
        <v>#REF!</v>
      </c>
      <c r="O82" s="207" t="e">
        <f>1-2*(PVT_Mod!$F$7*PVT_Mod!#REF!)^(1/2)/(PVT_Mod!$F$7+PVT_Mod!#REF!)</f>
        <v>#REF!</v>
      </c>
      <c r="P82" s="207" t="e">
        <f>1-2*(PVT_Mod!$F$8*PVT_Mod!#REF!)^(1/2)/(PVT_Mod!$F$8+PVT_Mod!#REF!)</f>
        <v>#REF!</v>
      </c>
      <c r="Q82" s="207" t="e">
        <f>1-2*(PVT_Mod!$F$9*PVT_Mod!#REF!)^(1/2)/(PVT_Mod!$F$9+PVT_Mod!#REF!)</f>
        <v>#REF!</v>
      </c>
      <c r="R82" s="207" t="e">
        <f>1-2*(PVT_Mod!$F$10*PVT_Mod!#REF!)^(1/2)/(PVT_Mod!$F$10+PVT_Mod!#REF!)</f>
        <v>#REF!</v>
      </c>
      <c r="S82" s="207" t="e">
        <f>1-2*(PVT_Mod!$F$11*PVT_Mod!#REF!)^(1/2)/(PVT_Mod!$F$11+PVT_Mod!#REF!)</f>
        <v>#REF!</v>
      </c>
      <c r="T82" s="207" t="e">
        <f>1-2*(PVT_Mod!$F$12*PVT_Mod!#REF!)^(1/2)/(PVT_Mod!$F$12+PVT_Mod!#REF!)</f>
        <v>#REF!</v>
      </c>
      <c r="U82" s="207" t="e">
        <f>1-2*(PVT_Mod!$F$13*PVT_Mod!#REF!)^(1/2)/(PVT_Mod!$F$13+PVT_Mod!#REF!)</f>
        <v>#REF!</v>
      </c>
      <c r="V82" s="207" t="e">
        <f>1-2*(PVT_Mod!$F$14*PVT_Mod!#REF!)^(1/2)/(PVT_Mod!$F$14+PVT_Mod!#REF!)</f>
        <v>#REF!</v>
      </c>
      <c r="W82" s="207" t="e">
        <f>1-2*(PVT_Mod!$F$15*PVT_Mod!#REF!)^(1/2)/(PVT_Mod!$F$15+PVT_Mod!#REF!)</f>
        <v>#REF!</v>
      </c>
      <c r="X82" s="207" t="e">
        <f>1-2*(PVT_Mod!$F$16*PVT_Mod!#REF!)^(1/2)/(PVT_Mod!$F$16+PVT_Mod!#REF!)</f>
        <v>#REF!</v>
      </c>
      <c r="Y82" s="207" t="e">
        <f>1-2*(PVT_Mod!$F$17*PVT_Mod!#REF!)^(1/2)/(PVT_Mod!$F$17+PVT_Mod!#REF!)</f>
        <v>#REF!</v>
      </c>
      <c r="Z82" s="207">
        <v>0</v>
      </c>
      <c r="AA82" s="207">
        <v>0</v>
      </c>
      <c r="AB82" s="207">
        <v>0</v>
      </c>
      <c r="AC82" s="207">
        <v>0</v>
      </c>
      <c r="AD82" s="207">
        <v>0</v>
      </c>
      <c r="AE82" s="207">
        <v>0</v>
      </c>
      <c r="AF82" s="207">
        <v>0</v>
      </c>
      <c r="AG82" s="207">
        <v>0</v>
      </c>
      <c r="AH82" s="208">
        <v>0</v>
      </c>
    </row>
    <row r="83" spans="1:34" ht="13.5" thickTop="1">
      <c r="A83" s="19" t="s">
        <v>183</v>
      </c>
      <c r="B83" s="1"/>
      <c r="C83" s="1"/>
      <c r="D83" s="116">
        <v>0.15</v>
      </c>
      <c r="E83" s="1"/>
      <c r="F83" s="1"/>
      <c r="G83" s="1"/>
    </row>
    <row r="84" spans="1:34">
      <c r="A84" s="19" t="s">
        <v>184</v>
      </c>
      <c r="B84" s="1"/>
      <c r="C84" s="1"/>
      <c r="D84" s="116">
        <v>0.15</v>
      </c>
      <c r="E84" s="1"/>
      <c r="F84" s="1"/>
      <c r="G84" s="1"/>
    </row>
    <row r="85" spans="1:34" ht="24" thickBot="1">
      <c r="A85" s="19" t="s">
        <v>91</v>
      </c>
      <c r="B85" s="1"/>
      <c r="C85" s="1"/>
      <c r="D85" s="116">
        <v>0.15</v>
      </c>
      <c r="E85" s="1"/>
      <c r="F85" s="1"/>
      <c r="G85" s="1"/>
      <c r="J85" s="187" t="s">
        <v>90</v>
      </c>
      <c r="K85" s="30" t="s">
        <v>108</v>
      </c>
      <c r="L85" s="32"/>
    </row>
    <row r="86" spans="1:34" ht="17.25" thickTop="1" thickBot="1">
      <c r="A86" s="19" t="s">
        <v>92</v>
      </c>
      <c r="B86" s="1"/>
      <c r="C86" s="1"/>
      <c r="D86" s="118">
        <v>0.15</v>
      </c>
      <c r="E86" s="1"/>
      <c r="F86" s="1"/>
      <c r="G86" s="1"/>
      <c r="J86" s="209" t="s">
        <v>11</v>
      </c>
      <c r="K86" s="210" t="s">
        <v>83</v>
      </c>
      <c r="L86" s="211" t="s">
        <v>84</v>
      </c>
      <c r="M86" s="211" t="s">
        <v>85</v>
      </c>
      <c r="N86" s="211" t="s">
        <v>4</v>
      </c>
      <c r="O86" s="211" t="s">
        <v>5</v>
      </c>
      <c r="P86" s="210" t="s">
        <v>6</v>
      </c>
      <c r="Q86" s="211" t="s">
        <v>7</v>
      </c>
      <c r="R86" s="210" t="s">
        <v>8</v>
      </c>
      <c r="S86" s="210" t="s">
        <v>9</v>
      </c>
      <c r="T86" s="211" t="s">
        <v>10</v>
      </c>
      <c r="U86" s="210" t="s">
        <v>35</v>
      </c>
      <c r="V86" s="210" t="s">
        <v>36</v>
      </c>
      <c r="W86" s="210" t="s">
        <v>37</v>
      </c>
      <c r="X86" s="210" t="s">
        <v>38</v>
      </c>
      <c r="Y86" s="210" t="s">
        <v>39</v>
      </c>
      <c r="Z86" s="210" t="s">
        <v>40</v>
      </c>
      <c r="AA86" s="210" t="s">
        <v>41</v>
      </c>
      <c r="AB86" s="210" t="s">
        <v>42</v>
      </c>
      <c r="AC86" s="210" t="s">
        <v>43</v>
      </c>
      <c r="AD86" s="210" t="s">
        <v>91</v>
      </c>
      <c r="AE86" s="210" t="s">
        <v>92</v>
      </c>
      <c r="AF86" s="210" t="s">
        <v>93</v>
      </c>
      <c r="AG86" s="210" t="s">
        <v>94</v>
      </c>
      <c r="AH86" s="212" t="s">
        <v>95</v>
      </c>
    </row>
    <row r="87" spans="1:34" ht="15.75" thickTop="1" thickBot="1">
      <c r="A87" s="254"/>
      <c r="B87" s="1"/>
      <c r="C87" s="1"/>
      <c r="D87" s="118"/>
      <c r="E87" s="1"/>
      <c r="F87" s="1"/>
      <c r="G87" s="1"/>
      <c r="J87" s="110" t="s">
        <v>83</v>
      </c>
      <c r="K87" s="191">
        <v>0</v>
      </c>
      <c r="L87" s="191">
        <f>K88</f>
        <v>7.8842268107504054E-5</v>
      </c>
      <c r="M87" s="191">
        <f>K89</f>
        <v>3.8493557133341127E-3</v>
      </c>
      <c r="N87" s="191">
        <f>K90</f>
        <v>9.0359168358991049E-3</v>
      </c>
      <c r="O87" s="191">
        <f>K91</f>
        <v>5.141410554299064E-6</v>
      </c>
      <c r="P87" s="191">
        <f>K92</f>
        <v>8.2914546531983602E-3</v>
      </c>
      <c r="Q87" s="191">
        <f>K93</f>
        <v>2.2901918734085758E-2</v>
      </c>
      <c r="R87" s="191">
        <f>K94</f>
        <v>4.0053958941838164E-2</v>
      </c>
      <c r="S87" s="191">
        <f>K95</f>
        <v>1</v>
      </c>
      <c r="T87" s="191">
        <f>K96</f>
        <v>5.0070484071858545E-2</v>
      </c>
      <c r="U87" s="191">
        <f>K97</f>
        <v>5.2093059982389556E-2</v>
      </c>
      <c r="V87" s="191">
        <f>K98</f>
        <v>7.3394256378375933E-2</v>
      </c>
      <c r="W87" s="191">
        <f>K99</f>
        <v>8.1221024824747912E-2</v>
      </c>
      <c r="X87" s="191">
        <f>K100</f>
        <v>7.8180508865288378E-2</v>
      </c>
      <c r="Y87" s="191">
        <f>K101</f>
        <v>0.1125318233992848</v>
      </c>
      <c r="Z87" s="191">
        <f>K102</f>
        <v>0.15553842922459515</v>
      </c>
      <c r="AA87" s="191">
        <f>K103</f>
        <v>0.19731180713975971</v>
      </c>
      <c r="AB87" s="191">
        <f>K104</f>
        <v>6.6593824668237822E-2</v>
      </c>
      <c r="AC87" s="191" t="e">
        <f>K105</f>
        <v>#DIV/0!</v>
      </c>
      <c r="AD87" s="191">
        <f>K106</f>
        <v>1</v>
      </c>
      <c r="AE87" s="191">
        <f>K107</f>
        <v>1</v>
      </c>
      <c r="AF87" s="191">
        <f>K108</f>
        <v>1</v>
      </c>
      <c r="AG87" s="191">
        <f>K109</f>
        <v>1</v>
      </c>
      <c r="AH87" s="193">
        <f>K110</f>
        <v>1</v>
      </c>
    </row>
    <row r="88" spans="1:34" ht="15" thickTop="1">
      <c r="J88" s="105" t="s">
        <v>84</v>
      </c>
      <c r="K88" s="191">
        <f>1-8*($C$115*C116)^(1/2)/($C$115^(1/3)+C116^(1/3))^3</f>
        <v>7.8842268107504054E-5</v>
      </c>
      <c r="L88" s="191">
        <v>0</v>
      </c>
      <c r="M88" s="191">
        <f>L89</f>
        <v>2.8292532458353836E-3</v>
      </c>
      <c r="N88" s="191">
        <f>L90</f>
        <v>1.0786143200821496E-2</v>
      </c>
      <c r="O88" s="191">
        <f>L91</f>
        <v>1.2424622395501572E-4</v>
      </c>
      <c r="P88" s="191">
        <f>L92</f>
        <v>9.9725571878540586E-3</v>
      </c>
      <c r="Q88" s="191">
        <f>L93</f>
        <v>2.5605041106323778E-2</v>
      </c>
      <c r="R88" s="191">
        <f>L94</f>
        <v>4.3544614388448033E-2</v>
      </c>
      <c r="S88" s="191">
        <f>L95</f>
        <v>1</v>
      </c>
      <c r="T88" s="191">
        <f>L96</f>
        <v>5.3925901153551004E-2</v>
      </c>
      <c r="U88" s="191">
        <f>L97</f>
        <v>5.6016174964729659E-2</v>
      </c>
      <c r="V88" s="191">
        <f>L98</f>
        <v>7.7938608926744979E-2</v>
      </c>
      <c r="W88" s="191">
        <f>L99</f>
        <v>8.5959833634922433E-2</v>
      </c>
      <c r="X88" s="191">
        <f>L100</f>
        <v>8.2845594930115785E-2</v>
      </c>
      <c r="Y88" s="191">
        <f>L101</f>
        <v>0.11791893409615362</v>
      </c>
      <c r="Z88" s="191">
        <f>L102</f>
        <v>0.16157259869238605</v>
      </c>
      <c r="AA88" s="191">
        <f>L103</f>
        <v>0.20378560345140195</v>
      </c>
      <c r="AB88" s="191">
        <f>L104</f>
        <v>7.0955892640268359E-2</v>
      </c>
      <c r="AC88" s="191" t="e">
        <f>L105</f>
        <v>#DIV/0!</v>
      </c>
      <c r="AD88" s="191">
        <f>L106</f>
        <v>1</v>
      </c>
      <c r="AE88" s="191">
        <f>M107</f>
        <v>1</v>
      </c>
      <c r="AF88" s="191">
        <f>L108</f>
        <v>1</v>
      </c>
      <c r="AG88" s="191">
        <f>L109</f>
        <v>1</v>
      </c>
      <c r="AH88" s="193">
        <f>L110</f>
        <v>1</v>
      </c>
    </row>
    <row r="89" spans="1:34" ht="14.25">
      <c r="J89" s="105" t="s">
        <v>85</v>
      </c>
      <c r="K89" s="191">
        <f t="shared" ref="K89:K110" si="15">1-8*($C$115*C117)^(1/2)/($C$115^(1/3)+C117^(1/3))^3</f>
        <v>3.8493557133341127E-3</v>
      </c>
      <c r="L89" s="191">
        <f>1-8*($C$116*C117)^(1/2)/($C$116^(1/3)+C117^(1/3))^3</f>
        <v>2.8292532458353836E-3</v>
      </c>
      <c r="M89" s="191">
        <v>0</v>
      </c>
      <c r="N89" s="191">
        <f>M90</f>
        <v>2.4415628442942316E-2</v>
      </c>
      <c r="O89" s="191">
        <f>M91</f>
        <v>4.1347922161479866E-3</v>
      </c>
      <c r="P89" s="191">
        <f>M92</f>
        <v>2.3198661158686962E-2</v>
      </c>
      <c r="Q89" s="191">
        <f>M93</f>
        <v>4.4754508175508412E-2</v>
      </c>
      <c r="R89" s="191">
        <f>M94</f>
        <v>6.7194225601913793E-2</v>
      </c>
      <c r="S89" s="191">
        <f>M95</f>
        <v>1</v>
      </c>
      <c r="T89" s="191">
        <f>M96</f>
        <v>7.9638470952540841E-2</v>
      </c>
      <c r="U89" s="191">
        <f>M97</f>
        <v>8.2109990956412582E-2</v>
      </c>
      <c r="V89" s="191">
        <f>M98</f>
        <v>0.10750464992461617</v>
      </c>
      <c r="W89" s="191">
        <f>M99</f>
        <v>0.11660195000988538</v>
      </c>
      <c r="X89" s="191">
        <f>M100</f>
        <v>0.11308040988351409</v>
      </c>
      <c r="Y89" s="191">
        <f>M101</f>
        <v>0.1521028306397133</v>
      </c>
      <c r="Z89" s="191">
        <f>M102</f>
        <v>0.19919533466645656</v>
      </c>
      <c r="AA89" s="191">
        <f>M103</f>
        <v>0.24365042235622991</v>
      </c>
      <c r="AB89" s="191">
        <f>M104</f>
        <v>9.9508299811471246E-2</v>
      </c>
      <c r="AC89" s="191" t="e">
        <f>M105</f>
        <v>#DIV/0!</v>
      </c>
      <c r="AD89" s="191">
        <f>M106</f>
        <v>1</v>
      </c>
      <c r="AE89" s="191">
        <f>M107</f>
        <v>1</v>
      </c>
      <c r="AF89" s="191">
        <f>M108</f>
        <v>1</v>
      </c>
      <c r="AG89" s="191">
        <f>M109</f>
        <v>1</v>
      </c>
      <c r="AH89" s="193">
        <f>M110</f>
        <v>1</v>
      </c>
    </row>
    <row r="90" spans="1:34">
      <c r="J90" s="105" t="s">
        <v>4</v>
      </c>
      <c r="K90" s="191">
        <f t="shared" si="15"/>
        <v>9.0359168358991049E-3</v>
      </c>
      <c r="L90" s="191">
        <f t="shared" ref="L90:L110" si="16">1-8*($C$116*C118)^(1/2)/($C$116^(1/3)+C118^(1/3))^3</f>
        <v>1.0786143200821496E-2</v>
      </c>
      <c r="M90" s="191">
        <f>1-8*($C$117*C118)^(1/2)/($C$117^(1/3)+C118^(1/3))^3</f>
        <v>2.4415628442942316E-2</v>
      </c>
      <c r="N90" s="191">
        <v>0</v>
      </c>
      <c r="O90" s="191">
        <f>N91</f>
        <v>8.6133837954806003E-3</v>
      </c>
      <c r="P90" s="191">
        <f>N92</f>
        <v>1.6257195926461243E-5</v>
      </c>
      <c r="Q90" s="191">
        <f>N93</f>
        <v>3.2523185479035321E-3</v>
      </c>
      <c r="R90" s="191">
        <f>N94</f>
        <v>1.1437344607055921E-2</v>
      </c>
      <c r="S90" s="191">
        <f>N95</f>
        <v>1</v>
      </c>
      <c r="T90" s="191">
        <f>N96</f>
        <v>1.7232286147083609E-2</v>
      </c>
      <c r="U90" s="191">
        <f>N97</f>
        <v>1.8466111084030845E-2</v>
      </c>
      <c r="V90" s="191">
        <f>N98</f>
        <v>3.2443865989990939E-2</v>
      </c>
      <c r="W90" s="191">
        <f>N99</f>
        <v>3.7943142366413718E-2</v>
      </c>
      <c r="X90" s="191">
        <f>N100</f>
        <v>3.5787201389832601E-2</v>
      </c>
      <c r="Y90" s="191">
        <f>N101</f>
        <v>6.134382050267051E-2</v>
      </c>
      <c r="Z90" s="191">
        <f>N102</f>
        <v>9.6137106485800761E-2</v>
      </c>
      <c r="AA90" s="191">
        <f>N103</f>
        <v>0.13201587962169592</v>
      </c>
      <c r="AB90" s="191">
        <f>N104</f>
        <v>2.7809181533998695E-2</v>
      </c>
      <c r="AC90" s="191" t="e">
        <f>N105</f>
        <v>#DIV/0!</v>
      </c>
      <c r="AD90" s="191">
        <f>N106</f>
        <v>1</v>
      </c>
      <c r="AE90" s="191">
        <f>N107</f>
        <v>1</v>
      </c>
      <c r="AF90" s="191">
        <f>N108</f>
        <v>1</v>
      </c>
      <c r="AG90" s="191">
        <f>N109</f>
        <v>1</v>
      </c>
      <c r="AH90" s="193">
        <f>N110</f>
        <v>1</v>
      </c>
    </row>
    <row r="91" spans="1:34">
      <c r="J91" s="105" t="s">
        <v>5</v>
      </c>
      <c r="K91" s="191">
        <f t="shared" si="15"/>
        <v>5.141410554299064E-6</v>
      </c>
      <c r="L91" s="191">
        <f t="shared" si="16"/>
        <v>1.2424622395501572E-4</v>
      </c>
      <c r="M91" s="191">
        <f t="shared" ref="M91:M110" si="17">1-8*($C$117*C119)^(1/2)/($C$117^(1/3)+C119^(1/3))^3</f>
        <v>4.1347922161479866E-3</v>
      </c>
      <c r="N91" s="191">
        <f>1-8*($C$118*C119)^(1/2)/($C$118^(1/3)+C119^(1/3))^3</f>
        <v>8.6133837954806003E-3</v>
      </c>
      <c r="O91" s="191">
        <v>0</v>
      </c>
      <c r="P91" s="191">
        <f>O92</f>
        <v>7.8866428386386023E-3</v>
      </c>
      <c r="Q91" s="191">
        <f>O93</f>
        <v>2.2234774000135071E-2</v>
      </c>
      <c r="R91" s="191">
        <f>O94</f>
        <v>3.918416568798555E-2</v>
      </c>
      <c r="S91" s="191">
        <f>O95</f>
        <v>1</v>
      </c>
      <c r="T91" s="191">
        <f>O96</f>
        <v>4.9106661407083529E-2</v>
      </c>
      <c r="U91" s="191">
        <f>O97</f>
        <v>5.1111773045445674E-2</v>
      </c>
      <c r="V91" s="191">
        <f>O98</f>
        <v>7.2252497593562448E-2</v>
      </c>
      <c r="W91" s="191">
        <f>O99</f>
        <v>8.0028950310086722E-2</v>
      </c>
      <c r="X91" s="191">
        <f>O100</f>
        <v>7.7007515456970266E-2</v>
      </c>
      <c r="Y91" s="191">
        <f>O101</f>
        <v>0.1111716350856885</v>
      </c>
      <c r="Z91" s="191">
        <f>O102</f>
        <v>0.1540096804941361</v>
      </c>
      <c r="AA91" s="191">
        <f>O103</f>
        <v>0.19566777851553308</v>
      </c>
      <c r="AB91" s="191">
        <f>O104</f>
        <v>6.54991930642701E-2</v>
      </c>
      <c r="AC91" s="191" t="e">
        <f>O105</f>
        <v>#DIV/0!</v>
      </c>
      <c r="AD91" s="191">
        <f>O106</f>
        <v>1</v>
      </c>
      <c r="AE91" s="191">
        <f>O107</f>
        <v>1</v>
      </c>
      <c r="AF91" s="191">
        <f>O108</f>
        <v>1</v>
      </c>
      <c r="AG91" s="191">
        <f>O109</f>
        <v>1</v>
      </c>
      <c r="AH91" s="193">
        <f>O110</f>
        <v>1</v>
      </c>
    </row>
    <row r="92" spans="1:34">
      <c r="J92" s="106" t="s">
        <v>6</v>
      </c>
      <c r="K92" s="191">
        <f t="shared" si="15"/>
        <v>8.2914546531983602E-3</v>
      </c>
      <c r="L92" s="191">
        <f t="shared" si="16"/>
        <v>9.9725571878540586E-3</v>
      </c>
      <c r="M92" s="191">
        <f t="shared" si="17"/>
        <v>2.3198661158686962E-2</v>
      </c>
      <c r="N92" s="191">
        <f t="shared" ref="N92:N110" si="18">1-8*($C$118*C120)^(1/2)/($C$118^(1/3)+C120^(1/3))^3</f>
        <v>1.6257195926461243E-5</v>
      </c>
      <c r="O92" s="191">
        <f>1-8*($C$119*C120)^(1/2)/($C$119^(1/3)+C120^(1/3))^3</f>
        <v>7.8866428386386023E-3</v>
      </c>
      <c r="P92" s="191">
        <v>0</v>
      </c>
      <c r="Q92" s="191">
        <f>P93</f>
        <v>3.7268892824529054E-3</v>
      </c>
      <c r="R92" s="191">
        <f>P94</f>
        <v>1.2306278155059913E-2</v>
      </c>
      <c r="S92" s="191">
        <f>P95</f>
        <v>1</v>
      </c>
      <c r="T92" s="191">
        <f>P96</f>
        <v>1.8289355855805822E-2</v>
      </c>
      <c r="U92" s="191">
        <f>P97</f>
        <v>1.9558519624581439E-2</v>
      </c>
      <c r="V92" s="191">
        <f>P98</f>
        <v>3.3867442666266068E-2</v>
      </c>
      <c r="W92" s="191">
        <f>P99</f>
        <v>3.9473215680394413E-2</v>
      </c>
      <c r="X92" s="191">
        <f>P100</f>
        <v>3.7276724069487233E-2</v>
      </c>
      <c r="Y92" s="191">
        <f>P101</f>
        <v>6.3241117738800923E-2</v>
      </c>
      <c r="Z92" s="191">
        <f>P102</f>
        <v>9.8426749658926171E-2</v>
      </c>
      <c r="AA92" s="191">
        <f>P103</f>
        <v>0.1345976467900909</v>
      </c>
      <c r="AB92" s="191">
        <f>P104</f>
        <v>2.9134224398605912E-2</v>
      </c>
      <c r="AC92" s="191" t="e">
        <f>P105</f>
        <v>#DIV/0!</v>
      </c>
      <c r="AD92" s="191">
        <f>P106</f>
        <v>1</v>
      </c>
      <c r="AE92" s="191">
        <f>P107</f>
        <v>1</v>
      </c>
      <c r="AF92" s="191">
        <f>P108</f>
        <v>1</v>
      </c>
      <c r="AG92" s="191">
        <f>P109</f>
        <v>1</v>
      </c>
      <c r="AH92" s="193">
        <f>P110</f>
        <v>1</v>
      </c>
    </row>
    <row r="93" spans="1:34">
      <c r="J93" s="105" t="s">
        <v>7</v>
      </c>
      <c r="K93" s="191">
        <f t="shared" si="15"/>
        <v>2.2901918734085758E-2</v>
      </c>
      <c r="L93" s="191">
        <f t="shared" si="16"/>
        <v>2.5605041106323778E-2</v>
      </c>
      <c r="M93" s="191">
        <f t="shared" si="17"/>
        <v>4.4754508175508412E-2</v>
      </c>
      <c r="N93" s="191">
        <f t="shared" si="18"/>
        <v>3.2523185479035321E-3</v>
      </c>
      <c r="O93" s="191">
        <f t="shared" ref="O93:O110" si="19">1-8*($C$119*C121)^(1/2)/($C$119^(1/3)+C121^(1/3))^3</f>
        <v>2.2234774000135071E-2</v>
      </c>
      <c r="P93" s="191">
        <f>1-8*($C$120*C121)^(1/2)/($C$120^(1/3)+C121^(1/3))^3</f>
        <v>3.7268892824529054E-3</v>
      </c>
      <c r="Q93" s="191">
        <v>0</v>
      </c>
      <c r="R93" s="191">
        <f>Q94</f>
        <v>2.5197579596132336E-3</v>
      </c>
      <c r="S93" s="191">
        <f>Q95</f>
        <v>1</v>
      </c>
      <c r="T93" s="191">
        <f>Q96</f>
        <v>5.5884706791041738E-3</v>
      </c>
      <c r="U93" s="191">
        <f>Q97</f>
        <v>6.3084304665553814E-3</v>
      </c>
      <c r="V93" s="191">
        <f>Q98</f>
        <v>1.5441650526515138E-2</v>
      </c>
      <c r="W93" s="191">
        <f>Q99</f>
        <v>1.9371215981901502E-2</v>
      </c>
      <c r="X93" s="191">
        <f>Q100</f>
        <v>1.7813688396539185E-2</v>
      </c>
      <c r="Y93" s="191">
        <f>Q101</f>
        <v>3.730912274932674E-2</v>
      </c>
      <c r="Z93" s="191">
        <f>Q102</f>
        <v>6.6161713206429051E-2</v>
      </c>
      <c r="AA93" s="191">
        <f>Q103</f>
        <v>9.7519526799367928E-2</v>
      </c>
      <c r="AB93" s="191">
        <f>Q104</f>
        <v>1.2254030022731288E-2</v>
      </c>
      <c r="AC93" s="191" t="e">
        <f>Q105</f>
        <v>#DIV/0!</v>
      </c>
      <c r="AD93" s="191">
        <f>Q106</f>
        <v>1</v>
      </c>
      <c r="AE93" s="191">
        <f>Q107</f>
        <v>1</v>
      </c>
      <c r="AF93" s="191">
        <f>Q108</f>
        <v>1</v>
      </c>
      <c r="AG93" s="191">
        <f>Q109</f>
        <v>1</v>
      </c>
      <c r="AH93" s="193">
        <f>Q110</f>
        <v>1</v>
      </c>
    </row>
    <row r="94" spans="1:34">
      <c r="J94" s="106" t="s">
        <v>8</v>
      </c>
      <c r="K94" s="191">
        <f t="shared" si="15"/>
        <v>4.0053958941838164E-2</v>
      </c>
      <c r="L94" s="191">
        <f t="shared" si="16"/>
        <v>4.3544614388448033E-2</v>
      </c>
      <c r="M94" s="191">
        <f t="shared" si="17"/>
        <v>6.7194225601913793E-2</v>
      </c>
      <c r="N94" s="191">
        <f t="shared" si="18"/>
        <v>1.1437344607055921E-2</v>
      </c>
      <c r="O94" s="191">
        <f t="shared" si="19"/>
        <v>3.918416568798555E-2</v>
      </c>
      <c r="P94" s="191">
        <f t="shared" ref="P94:P110" si="20">1-8*($C$120*C122)^(1/2)/($C$120^(1/3)+C122^(1/3))^3</f>
        <v>1.2306278155059913E-2</v>
      </c>
      <c r="Q94" s="1">
        <f>1-8*($C$121*C122)^(1/2)/($C$121^(1/3)+C122^(1/3))^3</f>
        <v>2.5197579596132336E-3</v>
      </c>
      <c r="R94" s="191">
        <v>0</v>
      </c>
      <c r="S94" s="191">
        <f>R95</f>
        <v>1</v>
      </c>
      <c r="T94" s="191">
        <f>R96</f>
        <v>6.073106670969608E-4</v>
      </c>
      <c r="U94" s="191">
        <f>R97</f>
        <v>8.6058206600414522E-4</v>
      </c>
      <c r="V94" s="191">
        <f>R98</f>
        <v>5.5492766672751159E-3</v>
      </c>
      <c r="W94" s="191">
        <f>R99</f>
        <v>8.0205174698717574E-3</v>
      </c>
      <c r="X94" s="191">
        <f>R100</f>
        <v>7.020041007178901E-3</v>
      </c>
      <c r="Y94" s="191">
        <f>R101</f>
        <v>2.0805940963605551E-2</v>
      </c>
      <c r="Z94" s="191">
        <f>R102</f>
        <v>4.3894189291941887E-2</v>
      </c>
      <c r="AA94" s="191">
        <f>R103</f>
        <v>7.0715197790038653E-2</v>
      </c>
      <c r="AB94" s="191">
        <f>R104</f>
        <v>3.6979334943085806E-3</v>
      </c>
      <c r="AC94" s="191" t="e">
        <f>R105</f>
        <v>#DIV/0!</v>
      </c>
      <c r="AD94" s="191">
        <f>R106</f>
        <v>1</v>
      </c>
      <c r="AE94" s="191">
        <f>R107</f>
        <v>1</v>
      </c>
      <c r="AF94" s="191">
        <f>R109</f>
        <v>1</v>
      </c>
      <c r="AG94" s="191">
        <f>R109</f>
        <v>1</v>
      </c>
      <c r="AH94" s="193">
        <f>R110</f>
        <v>1</v>
      </c>
    </row>
    <row r="95" spans="1:34">
      <c r="J95" s="106" t="s">
        <v>9</v>
      </c>
      <c r="K95" s="191">
        <f t="shared" si="15"/>
        <v>1</v>
      </c>
      <c r="L95" s="191">
        <f t="shared" si="16"/>
        <v>1</v>
      </c>
      <c r="M95" s="191">
        <f t="shared" si="17"/>
        <v>1</v>
      </c>
      <c r="N95" s="191">
        <f t="shared" si="18"/>
        <v>1</v>
      </c>
      <c r="O95" s="191">
        <f t="shared" si="19"/>
        <v>1</v>
      </c>
      <c r="P95" s="191">
        <f t="shared" si="20"/>
        <v>1</v>
      </c>
      <c r="Q95" s="1">
        <f t="shared" ref="Q95:Q110" si="21">1-8*($C$121*C123)^(1/2)/($C$121^(1/3)+C123^(1/3))^3</f>
        <v>1</v>
      </c>
      <c r="R95" s="191">
        <f>1-8*($C$122*C123)^(1/2)/($C$122^(1/3)+C123^(1/3))^3</f>
        <v>1</v>
      </c>
      <c r="S95" s="191">
        <v>0</v>
      </c>
      <c r="T95" s="191">
        <f>S96</f>
        <v>1</v>
      </c>
      <c r="U95" s="191">
        <f>S97</f>
        <v>1</v>
      </c>
      <c r="V95" s="191">
        <f>S98</f>
        <v>1</v>
      </c>
      <c r="W95" s="191">
        <f>S99</f>
        <v>1</v>
      </c>
      <c r="X95" s="191">
        <f>S100</f>
        <v>1</v>
      </c>
      <c r="Y95" s="191">
        <f>S101</f>
        <v>1</v>
      </c>
      <c r="Z95" s="191">
        <f>S102</f>
        <v>1</v>
      </c>
      <c r="AA95" s="191">
        <f>S103</f>
        <v>1</v>
      </c>
      <c r="AB95" s="191">
        <f>S104</f>
        <v>1</v>
      </c>
      <c r="AC95" s="191">
        <f>S105</f>
        <v>1</v>
      </c>
      <c r="AD95" s="191">
        <f>S106</f>
        <v>1</v>
      </c>
      <c r="AE95" s="191">
        <f>S107</f>
        <v>1</v>
      </c>
      <c r="AF95" s="191">
        <f>S108</f>
        <v>1</v>
      </c>
      <c r="AG95" s="191">
        <f>U109</f>
        <v>1</v>
      </c>
      <c r="AH95" s="193">
        <f>T110</f>
        <v>1</v>
      </c>
    </row>
    <row r="96" spans="1:34">
      <c r="J96" s="105" t="s">
        <v>10</v>
      </c>
      <c r="K96" s="191">
        <f t="shared" si="15"/>
        <v>5.0070484071858545E-2</v>
      </c>
      <c r="L96" s="191">
        <f t="shared" si="16"/>
        <v>5.3925901153551004E-2</v>
      </c>
      <c r="M96" s="191">
        <f t="shared" si="17"/>
        <v>7.9638470952540841E-2</v>
      </c>
      <c r="N96" s="191">
        <f t="shared" si="18"/>
        <v>1.7232286147083609E-2</v>
      </c>
      <c r="O96" s="191">
        <f t="shared" si="19"/>
        <v>4.9106661407083529E-2</v>
      </c>
      <c r="P96" s="191">
        <f t="shared" si="20"/>
        <v>1.8289355855805822E-2</v>
      </c>
      <c r="Q96" s="1">
        <f t="shared" si="21"/>
        <v>5.5884706791041738E-3</v>
      </c>
      <c r="R96" s="191">
        <f t="shared" ref="R96:R110" si="22">1-8*($C$122*C124)^(1/2)/($C$122^(1/3)+C124^(1/3))^3</f>
        <v>6.073106670969608E-4</v>
      </c>
      <c r="S96" s="191">
        <f t="shared" ref="S96:S109" si="23">1-8*($C$123*C119)^(1/2)/($C$123^(1/3)+C119^(1/3))^3</f>
        <v>1</v>
      </c>
      <c r="T96" s="191">
        <v>0</v>
      </c>
      <c r="U96" s="191">
        <f>T97</f>
        <v>2.2044120224218311E-5</v>
      </c>
      <c r="V96" s="191">
        <f>T98</f>
        <v>2.4933885995946925E-3</v>
      </c>
      <c r="W96" s="191">
        <f>T99</f>
        <v>4.2308919923986776E-3</v>
      </c>
      <c r="X96" s="191">
        <f>T100</f>
        <v>3.5110598218683897E-3</v>
      </c>
      <c r="Y96" s="191">
        <f>T101</f>
        <v>1.4397680817747727E-2</v>
      </c>
      <c r="Z96" s="191">
        <f>T102</f>
        <v>3.450185218509072E-2</v>
      </c>
      <c r="AA96" s="191">
        <f>T103</f>
        <v>5.8924206585318606E-2</v>
      </c>
      <c r="AB96" s="191">
        <f>T104</f>
        <v>1.3116509092671036E-3</v>
      </c>
      <c r="AC96" s="191" t="e">
        <f>T105</f>
        <v>#DIV/0!</v>
      </c>
      <c r="AD96" s="191">
        <f>T106</f>
        <v>1</v>
      </c>
      <c r="AE96" s="191">
        <f>U107</f>
        <v>1</v>
      </c>
      <c r="AF96" s="191">
        <f>T108</f>
        <v>1</v>
      </c>
      <c r="AG96" s="191">
        <f>T109</f>
        <v>1</v>
      </c>
      <c r="AH96" s="193">
        <f>T110</f>
        <v>1</v>
      </c>
    </row>
    <row r="97" spans="10:34">
      <c r="J97" s="106" t="s">
        <v>35</v>
      </c>
      <c r="K97" s="191">
        <f t="shared" si="15"/>
        <v>5.2093059982389556E-2</v>
      </c>
      <c r="L97" s="191">
        <f t="shared" si="16"/>
        <v>5.6016174964729659E-2</v>
      </c>
      <c r="M97" s="191">
        <f t="shared" si="17"/>
        <v>8.2109990956412582E-2</v>
      </c>
      <c r="N97" s="191">
        <f t="shared" si="18"/>
        <v>1.8466111084030845E-2</v>
      </c>
      <c r="O97" s="191">
        <f t="shared" si="19"/>
        <v>5.1111773045445674E-2</v>
      </c>
      <c r="P97" s="191">
        <f t="shared" si="20"/>
        <v>1.9558519624581439E-2</v>
      </c>
      <c r="Q97" s="1">
        <f t="shared" si="21"/>
        <v>6.3084304665553814E-3</v>
      </c>
      <c r="R97" s="191">
        <f t="shared" si="22"/>
        <v>8.6058206600414522E-4</v>
      </c>
      <c r="S97" s="191">
        <f t="shared" si="23"/>
        <v>1</v>
      </c>
      <c r="T97" s="191">
        <f>1-8*($C$124*C125)^(1/2)/($C$124^(1/3)+C125^(1/3))^3</f>
        <v>2.2044120224218311E-5</v>
      </c>
      <c r="U97" s="191">
        <v>0</v>
      </c>
      <c r="V97" s="191">
        <f>U98</f>
        <v>2.0474223229778321E-3</v>
      </c>
      <c r="W97" s="191">
        <f>U99</f>
        <v>3.6441860050983044E-3</v>
      </c>
      <c r="X97" s="191">
        <f>U100</f>
        <v>2.9782123049651998E-3</v>
      </c>
      <c r="Y97" s="191">
        <f>U101</f>
        <v>1.3306738287056974E-2</v>
      </c>
      <c r="Z97" s="191">
        <f>U102</f>
        <v>3.2832260983241435E-2</v>
      </c>
      <c r="AA97" s="191">
        <f>U103</f>
        <v>5.6785805287460245E-2</v>
      </c>
      <c r="AB97" s="191">
        <f>U104</f>
        <v>9.9392141081988683E-4</v>
      </c>
      <c r="AC97" s="191" t="e">
        <f>U105</f>
        <v>#DIV/0!</v>
      </c>
      <c r="AD97" s="191">
        <f>U106</f>
        <v>1</v>
      </c>
      <c r="AE97" s="191">
        <f>U107</f>
        <v>1</v>
      </c>
      <c r="AF97" s="191">
        <f>U108</f>
        <v>1</v>
      </c>
      <c r="AG97" s="191">
        <f>U109</f>
        <v>1</v>
      </c>
      <c r="AH97" s="193">
        <f>U110</f>
        <v>1</v>
      </c>
    </row>
    <row r="98" spans="10:34">
      <c r="J98" s="106" t="s">
        <v>36</v>
      </c>
      <c r="K98" s="191">
        <f t="shared" si="15"/>
        <v>7.3394256378375933E-2</v>
      </c>
      <c r="L98" s="191">
        <f t="shared" si="16"/>
        <v>7.7938608926744979E-2</v>
      </c>
      <c r="M98" s="191">
        <f t="shared" si="17"/>
        <v>0.10750464992461617</v>
      </c>
      <c r="N98" s="191">
        <f t="shared" si="18"/>
        <v>3.2443865989990939E-2</v>
      </c>
      <c r="O98" s="191">
        <f t="shared" si="19"/>
        <v>7.2252497593562448E-2</v>
      </c>
      <c r="P98" s="191">
        <f t="shared" si="20"/>
        <v>3.3867442666266068E-2</v>
      </c>
      <c r="Q98" s="1">
        <f t="shared" si="21"/>
        <v>1.5441650526515138E-2</v>
      </c>
      <c r="R98" s="191">
        <f t="shared" si="22"/>
        <v>5.5492766672751159E-3</v>
      </c>
      <c r="S98" s="191">
        <f t="shared" si="23"/>
        <v>1</v>
      </c>
      <c r="T98" s="191">
        <f t="shared" ref="T98:T110" si="24">1-8*($C$124*C126)^(1/2)/($C$124^(1/3)+C126^(1/3))^3</f>
        <v>2.4933885995946925E-3</v>
      </c>
      <c r="U98" s="191">
        <f>1-8*($C$125*C126)^(1/2)/($C$125^(1/3)+C126^(1/3))^3</f>
        <v>2.0474223229778321E-3</v>
      </c>
      <c r="V98" s="191">
        <v>0</v>
      </c>
      <c r="W98" s="191">
        <f>V99</f>
        <v>2.2972250082065049E-4</v>
      </c>
      <c r="X98" s="191">
        <f>V100</f>
        <v>8.7342225804643014E-5</v>
      </c>
      <c r="Y98" s="191">
        <f>V101</f>
        <v>4.9623036695269906E-3</v>
      </c>
      <c r="Z98" s="191">
        <f>V102</f>
        <v>1.8763326658789325E-2</v>
      </c>
      <c r="AA98" s="191">
        <f>V103</f>
        <v>3.8017833194676443E-2</v>
      </c>
      <c r="AB98" s="191">
        <f>V104</f>
        <v>1.8878486386997295E-4</v>
      </c>
      <c r="AC98" s="191" t="e">
        <f>V105</f>
        <v>#DIV/0!</v>
      </c>
      <c r="AD98" s="191">
        <f>V106</f>
        <v>1</v>
      </c>
      <c r="AE98" s="191">
        <f>V107</f>
        <v>1</v>
      </c>
      <c r="AF98" s="191">
        <f>V108</f>
        <v>1</v>
      </c>
      <c r="AG98" s="191">
        <f>V109</f>
        <v>1</v>
      </c>
      <c r="AH98" s="193">
        <f>V110</f>
        <v>1</v>
      </c>
    </row>
    <row r="99" spans="10:34">
      <c r="J99" s="106" t="s">
        <v>37</v>
      </c>
      <c r="K99" s="191">
        <f t="shared" si="15"/>
        <v>8.1221024824747912E-2</v>
      </c>
      <c r="L99" s="191">
        <f t="shared" si="16"/>
        <v>8.5959833634922433E-2</v>
      </c>
      <c r="M99" s="191">
        <f t="shared" si="17"/>
        <v>0.11660195000988538</v>
      </c>
      <c r="N99" s="191">
        <f t="shared" si="18"/>
        <v>3.7943142366413718E-2</v>
      </c>
      <c r="O99" s="191">
        <f t="shared" si="19"/>
        <v>8.0028950310086722E-2</v>
      </c>
      <c r="P99" s="191">
        <f t="shared" si="20"/>
        <v>3.9473215680394413E-2</v>
      </c>
      <c r="Q99" s="1">
        <f t="shared" si="21"/>
        <v>1.9371215981901502E-2</v>
      </c>
      <c r="R99" s="191">
        <f t="shared" si="22"/>
        <v>8.0205174698717574E-3</v>
      </c>
      <c r="S99" s="191">
        <f t="shared" si="23"/>
        <v>1</v>
      </c>
      <c r="T99" s="191">
        <f t="shared" si="24"/>
        <v>4.2308919923986776E-3</v>
      </c>
      <c r="U99" s="191">
        <f t="shared" ref="U99:U110" si="25">1-8*($C$125*C127)^(1/2)/($C$125^(1/3)+C127^(1/3))^3</f>
        <v>3.6441860050983044E-3</v>
      </c>
      <c r="V99" s="191">
        <f>1-8*($C$126*C127)^(1/2)/($C$126^(1/3)+C127^(1/3))^3</f>
        <v>2.2972250082065049E-4</v>
      </c>
      <c r="W99" s="191">
        <v>0</v>
      </c>
      <c r="X99" s="191">
        <f>W100</f>
        <v>3.3775247758938143E-5</v>
      </c>
      <c r="Y99" s="191">
        <f>W101</f>
        <v>3.0626480293057812E-3</v>
      </c>
      <c r="Z99" s="191">
        <f>W102</f>
        <v>1.4897470644811506E-2</v>
      </c>
      <c r="AA99" s="191">
        <f>W103</f>
        <v>3.2513297705688671E-2</v>
      </c>
      <c r="AB99" s="191">
        <f>W104</f>
        <v>8.3468897503069517E-4</v>
      </c>
      <c r="AC99" s="191" t="e">
        <f>W105</f>
        <v>#DIV/0!</v>
      </c>
      <c r="AD99" s="191">
        <f>W106</f>
        <v>1</v>
      </c>
      <c r="AE99" s="191">
        <f>W107</f>
        <v>1</v>
      </c>
      <c r="AF99" s="191">
        <f>W108</f>
        <v>1</v>
      </c>
      <c r="AG99" s="191">
        <f>W109</f>
        <v>1</v>
      </c>
      <c r="AH99" s="193">
        <f>W110</f>
        <v>1</v>
      </c>
    </row>
    <row r="100" spans="10:34">
      <c r="J100" s="106" t="s">
        <v>38</v>
      </c>
      <c r="K100" s="191">
        <f t="shared" si="15"/>
        <v>7.8180508865288378E-2</v>
      </c>
      <c r="L100" s="191">
        <f t="shared" si="16"/>
        <v>8.2845594930115785E-2</v>
      </c>
      <c r="M100" s="191">
        <f t="shared" si="17"/>
        <v>0.11308040988351409</v>
      </c>
      <c r="N100" s="191">
        <f t="shared" si="18"/>
        <v>3.5787201389832601E-2</v>
      </c>
      <c r="O100" s="191">
        <f t="shared" si="19"/>
        <v>7.7007515456970266E-2</v>
      </c>
      <c r="P100" s="191">
        <f t="shared" si="20"/>
        <v>3.7276724069487233E-2</v>
      </c>
      <c r="Q100" s="1">
        <f t="shared" si="21"/>
        <v>1.7813688396539185E-2</v>
      </c>
      <c r="R100" s="191">
        <f t="shared" si="22"/>
        <v>7.020041007178901E-3</v>
      </c>
      <c r="S100" s="191">
        <f>1-8*($C$123*C128)^(1/2)/($C$123^(1/3)+C128^(1/3))^3</f>
        <v>1</v>
      </c>
      <c r="T100" s="191">
        <f t="shared" si="24"/>
        <v>3.5110598218683897E-3</v>
      </c>
      <c r="U100" s="191">
        <f t="shared" si="25"/>
        <v>2.9782123049651998E-3</v>
      </c>
      <c r="V100" s="191">
        <f t="shared" ref="V100:V110" si="26">1-8*($C$126*C128)^(1/2)/($C$126^(1/3)+C128^(1/3))^3</f>
        <v>8.7342225804643014E-5</v>
      </c>
      <c r="W100" s="191">
        <f>1-8*($C$127*C128)^(1/2)/($C$127^(1/3)+C128^(1/3))^3</f>
        <v>3.3775247758938143E-5</v>
      </c>
      <c r="X100" s="191">
        <v>0</v>
      </c>
      <c r="Y100" s="191">
        <f>X101</f>
        <v>3.737465834661724E-3</v>
      </c>
      <c r="Z100" s="191">
        <f>X102</f>
        <v>1.6328669654219308E-2</v>
      </c>
      <c r="AA100" s="191">
        <f>X103</f>
        <v>3.4576338788504413E-2</v>
      </c>
      <c r="AB100" s="191">
        <f>X104</f>
        <v>5.3281979229624632E-4</v>
      </c>
      <c r="AC100" s="191" t="e">
        <f>X105</f>
        <v>#DIV/0!</v>
      </c>
      <c r="AD100" s="191">
        <f>X106</f>
        <v>1</v>
      </c>
      <c r="AE100" s="191">
        <f>X107</f>
        <v>1</v>
      </c>
      <c r="AF100" s="191">
        <f>X108</f>
        <v>1</v>
      </c>
      <c r="AG100" s="191">
        <f>X109</f>
        <v>1</v>
      </c>
      <c r="AH100" s="193">
        <f>X110</f>
        <v>1</v>
      </c>
    </row>
    <row r="101" spans="10:34">
      <c r="J101" s="106" t="s">
        <v>39</v>
      </c>
      <c r="K101" s="191">
        <f t="shared" si="15"/>
        <v>0.1125318233992848</v>
      </c>
      <c r="L101" s="191">
        <f t="shared" si="16"/>
        <v>0.11791893409615362</v>
      </c>
      <c r="M101" s="191">
        <f t="shared" si="17"/>
        <v>0.1521028306397133</v>
      </c>
      <c r="N101" s="191">
        <f t="shared" si="18"/>
        <v>6.134382050267051E-2</v>
      </c>
      <c r="O101" s="191">
        <f t="shared" si="19"/>
        <v>0.1111716350856885</v>
      </c>
      <c r="P101" s="191">
        <f t="shared" si="20"/>
        <v>6.3241117738800923E-2</v>
      </c>
      <c r="Q101" s="1">
        <f t="shared" si="21"/>
        <v>3.730912274932674E-2</v>
      </c>
      <c r="R101" s="191">
        <f t="shared" si="22"/>
        <v>2.0805940963605551E-2</v>
      </c>
      <c r="S101" s="191">
        <f t="shared" si="23"/>
        <v>1</v>
      </c>
      <c r="T101" s="191">
        <f t="shared" si="24"/>
        <v>1.4397680817747727E-2</v>
      </c>
      <c r="U101" s="191">
        <f t="shared" si="25"/>
        <v>1.3306738287056974E-2</v>
      </c>
      <c r="V101" s="191">
        <f t="shared" si="26"/>
        <v>4.9623036695269906E-3</v>
      </c>
      <c r="W101" s="191">
        <f t="shared" ref="W101:W110" si="27">1-8*($C$127*C129)^(1/2)/($C$127^(1/3)+C129^(1/3))^3</f>
        <v>3.0626480293057812E-3</v>
      </c>
      <c r="X101" s="191">
        <f>1-8*($C$128*C129)^(1/2)/($C$128^(1/3)+C129^(1/3))^3</f>
        <v>3.737465834661724E-3</v>
      </c>
      <c r="Y101" s="191">
        <v>0</v>
      </c>
      <c r="Z101" s="191">
        <f>Y102</f>
        <v>4.5064244476341608E-3</v>
      </c>
      <c r="AA101" s="191">
        <f>Y103</f>
        <v>1.5908423553935069E-2</v>
      </c>
      <c r="AB101" s="191">
        <f>Y104</f>
        <v>7.0743023704922248E-3</v>
      </c>
      <c r="AC101" s="191" t="e">
        <f>Y105</f>
        <v>#DIV/0!</v>
      </c>
      <c r="AD101" s="191">
        <f>Y106</f>
        <v>1</v>
      </c>
      <c r="AE101" s="191">
        <f>Y107</f>
        <v>1</v>
      </c>
      <c r="AF101" s="191">
        <f>Y108</f>
        <v>1</v>
      </c>
      <c r="AG101" s="191">
        <f>Y109</f>
        <v>1</v>
      </c>
      <c r="AH101" s="193">
        <f>Y110</f>
        <v>1</v>
      </c>
    </row>
    <row r="102" spans="10:34">
      <c r="J102" s="106" t="s">
        <v>40</v>
      </c>
      <c r="K102" s="191">
        <f t="shared" si="15"/>
        <v>0.15553842922459515</v>
      </c>
      <c r="L102" s="191">
        <f t="shared" si="16"/>
        <v>0.16157259869238605</v>
      </c>
      <c r="M102" s="191">
        <f t="shared" si="17"/>
        <v>0.19919533466645656</v>
      </c>
      <c r="N102" s="191">
        <f t="shared" si="18"/>
        <v>9.6137106485800761E-2</v>
      </c>
      <c r="O102" s="191">
        <f t="shared" si="19"/>
        <v>0.1540096804941361</v>
      </c>
      <c r="P102" s="191">
        <f t="shared" si="20"/>
        <v>9.8426749658926171E-2</v>
      </c>
      <c r="Q102" s="1">
        <f t="shared" si="21"/>
        <v>6.6161713206429051E-2</v>
      </c>
      <c r="R102" s="191">
        <f t="shared" si="22"/>
        <v>4.3894189291941887E-2</v>
      </c>
      <c r="S102" s="191">
        <f t="shared" si="23"/>
        <v>1</v>
      </c>
      <c r="T102" s="191">
        <f t="shared" si="24"/>
        <v>3.450185218509072E-2</v>
      </c>
      <c r="U102" s="191">
        <f t="shared" si="25"/>
        <v>3.2832260983241435E-2</v>
      </c>
      <c r="V102" s="191">
        <f t="shared" si="26"/>
        <v>1.8763326658789325E-2</v>
      </c>
      <c r="W102" s="191">
        <f t="shared" si="27"/>
        <v>1.4897470644811506E-2</v>
      </c>
      <c r="X102" s="191">
        <f t="shared" ref="X102:X110" si="28">1-8*($C$128*C130)^(1/2)/($C$128^(1/3)+C130^(1/3))^3</f>
        <v>1.6328669654219308E-2</v>
      </c>
      <c r="Y102" s="191">
        <f>1-8*($C$129*C130)^(1/2)/($C$129^(1/3)+C130^(1/3))^3</f>
        <v>4.5064244476341608E-3</v>
      </c>
      <c r="Z102" s="191">
        <v>0</v>
      </c>
      <c r="AA102" s="191">
        <f>Z103</f>
        <v>3.5355499717323324E-3</v>
      </c>
      <c r="AB102" s="191">
        <f>Z104</f>
        <v>2.2638006871546379E-2</v>
      </c>
      <c r="AC102" s="191" t="e">
        <f>Z105</f>
        <v>#DIV/0!</v>
      </c>
      <c r="AD102" s="191">
        <f>Z106</f>
        <v>1</v>
      </c>
      <c r="AE102" s="191">
        <f>Z107</f>
        <v>1</v>
      </c>
      <c r="AF102" s="191">
        <f>Z108</f>
        <v>1</v>
      </c>
      <c r="AG102" s="191">
        <f>Z109</f>
        <v>1</v>
      </c>
      <c r="AH102" s="193">
        <f>Z110</f>
        <v>1</v>
      </c>
    </row>
    <row r="103" spans="10:34">
      <c r="J103" s="106" t="s">
        <v>41</v>
      </c>
      <c r="K103" s="191">
        <f t="shared" si="15"/>
        <v>0.19731180713975971</v>
      </c>
      <c r="L103" s="191">
        <f t="shared" si="16"/>
        <v>0.20378560345140195</v>
      </c>
      <c r="M103" s="191">
        <f t="shared" si="17"/>
        <v>0.24365042235622991</v>
      </c>
      <c r="N103" s="191">
        <f t="shared" si="18"/>
        <v>0.13201587962169592</v>
      </c>
      <c r="O103" s="191">
        <f t="shared" si="19"/>
        <v>0.19566777851553308</v>
      </c>
      <c r="P103" s="191">
        <f t="shared" si="20"/>
        <v>0.1345976467900909</v>
      </c>
      <c r="Q103" s="1">
        <f t="shared" si="21"/>
        <v>9.7519526799367928E-2</v>
      </c>
      <c r="R103" s="191">
        <f t="shared" si="22"/>
        <v>7.0715197790038653E-2</v>
      </c>
      <c r="S103" s="191">
        <f t="shared" si="23"/>
        <v>1</v>
      </c>
      <c r="T103" s="191">
        <f t="shared" si="24"/>
        <v>5.8924206585318606E-2</v>
      </c>
      <c r="U103" s="191">
        <f t="shared" si="25"/>
        <v>5.6785805287460245E-2</v>
      </c>
      <c r="V103" s="191">
        <f t="shared" si="26"/>
        <v>3.8017833194676443E-2</v>
      </c>
      <c r="W103" s="191">
        <f t="shared" si="27"/>
        <v>3.2513297705688671E-2</v>
      </c>
      <c r="X103" s="191">
        <f t="shared" si="28"/>
        <v>3.4576338788504413E-2</v>
      </c>
      <c r="Y103" s="191">
        <f t="shared" ref="Y103:Y110" si="29">1-8*($C$129*C131)^(1/2)/($C$129^(1/3)+C131^(1/3))^3</f>
        <v>1.5908423553935069E-2</v>
      </c>
      <c r="Z103" s="191">
        <f>1-8*($C$130*C131)^(1/2)/($C$130^(1/3)+C131^(1/3))^3</f>
        <v>3.5355499717323324E-3</v>
      </c>
      <c r="AA103" s="191">
        <v>0</v>
      </c>
      <c r="AB103" s="191">
        <f>AA104</f>
        <v>4.3351013660756554E-2</v>
      </c>
      <c r="AC103" s="191" t="e">
        <f>AA105</f>
        <v>#DIV/0!</v>
      </c>
      <c r="AD103" s="191">
        <f>AA106</f>
        <v>1</v>
      </c>
      <c r="AE103" s="191">
        <f>AA107</f>
        <v>1</v>
      </c>
      <c r="AF103" s="191">
        <f>AA108</f>
        <v>1</v>
      </c>
      <c r="AG103" s="191">
        <f>AA109</f>
        <v>1</v>
      </c>
      <c r="AH103" s="193">
        <f>AA110</f>
        <v>1</v>
      </c>
    </row>
    <row r="104" spans="10:34">
      <c r="J104" s="106" t="s">
        <v>42</v>
      </c>
      <c r="K104" s="191">
        <f t="shared" si="15"/>
        <v>6.6593824668237822E-2</v>
      </c>
      <c r="L104" s="191">
        <f t="shared" si="16"/>
        <v>7.0955892640268359E-2</v>
      </c>
      <c r="M104" s="191">
        <f t="shared" si="17"/>
        <v>9.9508299811471246E-2</v>
      </c>
      <c r="N104" s="191">
        <f t="shared" si="18"/>
        <v>2.7809181533998695E-2</v>
      </c>
      <c r="O104" s="191">
        <f t="shared" si="19"/>
        <v>6.54991930642701E-2</v>
      </c>
      <c r="P104" s="191">
        <f t="shared" si="20"/>
        <v>2.9134224398605912E-2</v>
      </c>
      <c r="Q104" s="1">
        <f t="shared" si="21"/>
        <v>1.2254030022731288E-2</v>
      </c>
      <c r="R104" s="191">
        <f t="shared" si="22"/>
        <v>3.6979334943085806E-3</v>
      </c>
      <c r="S104" s="191">
        <f t="shared" si="23"/>
        <v>1</v>
      </c>
      <c r="T104" s="191">
        <f t="shared" si="24"/>
        <v>1.3116509092671036E-3</v>
      </c>
      <c r="U104" s="191">
        <f t="shared" si="25"/>
        <v>9.9392141081988683E-4</v>
      </c>
      <c r="V104" s="191">
        <f t="shared" si="26"/>
        <v>1.8878486386997295E-4</v>
      </c>
      <c r="W104" s="191">
        <f t="shared" si="27"/>
        <v>8.3468897503069517E-4</v>
      </c>
      <c r="X104" s="191">
        <f t="shared" si="28"/>
        <v>5.3281979229624632E-4</v>
      </c>
      <c r="Y104" s="191">
        <f t="shared" si="29"/>
        <v>7.0743023704922248E-3</v>
      </c>
      <c r="Z104" s="191">
        <f t="shared" ref="Z104:Z110" si="30">1-8*($C$130*C132)^(1/2)/($C$130^(1/3)+C132^(1/3))^3</f>
        <v>2.2638006871546379E-2</v>
      </c>
      <c r="AA104" s="191">
        <f>1-8*($C$131*C132)^(1/2)/($C$131^(1/3)+C132^(1/3))^3</f>
        <v>4.3351013660756554E-2</v>
      </c>
      <c r="AB104" s="191">
        <v>0</v>
      </c>
      <c r="AC104" s="191" t="e">
        <f>AB105</f>
        <v>#DIV/0!</v>
      </c>
      <c r="AD104" s="191">
        <f>AB106</f>
        <v>1</v>
      </c>
      <c r="AE104" s="191">
        <f>AB107</f>
        <v>1</v>
      </c>
      <c r="AF104" s="191">
        <f>AB108</f>
        <v>1</v>
      </c>
      <c r="AG104" s="191">
        <f>AB109</f>
        <v>1</v>
      </c>
      <c r="AH104" s="193">
        <f>AB110</f>
        <v>1</v>
      </c>
    </row>
    <row r="105" spans="10:34">
      <c r="J105" s="106" t="s">
        <v>43</v>
      </c>
      <c r="K105" s="191" t="e">
        <f t="shared" si="15"/>
        <v>#DIV/0!</v>
      </c>
      <c r="L105" s="191" t="e">
        <f t="shared" si="16"/>
        <v>#DIV/0!</v>
      </c>
      <c r="M105" s="191" t="e">
        <f t="shared" si="17"/>
        <v>#DIV/0!</v>
      </c>
      <c r="N105" s="191" t="e">
        <f t="shared" si="18"/>
        <v>#DIV/0!</v>
      </c>
      <c r="O105" s="191" t="e">
        <f t="shared" si="19"/>
        <v>#DIV/0!</v>
      </c>
      <c r="P105" s="191" t="e">
        <f t="shared" si="20"/>
        <v>#DIV/0!</v>
      </c>
      <c r="Q105" s="1" t="e">
        <f t="shared" si="21"/>
        <v>#DIV/0!</v>
      </c>
      <c r="R105" s="191" t="e">
        <f t="shared" si="22"/>
        <v>#DIV/0!</v>
      </c>
      <c r="S105" s="191">
        <f t="shared" si="23"/>
        <v>1</v>
      </c>
      <c r="T105" s="191" t="e">
        <f t="shared" si="24"/>
        <v>#DIV/0!</v>
      </c>
      <c r="U105" s="191" t="e">
        <f t="shared" si="25"/>
        <v>#DIV/0!</v>
      </c>
      <c r="V105" s="191" t="e">
        <f t="shared" si="26"/>
        <v>#DIV/0!</v>
      </c>
      <c r="W105" s="191" t="e">
        <f t="shared" si="27"/>
        <v>#DIV/0!</v>
      </c>
      <c r="X105" s="191" t="e">
        <f t="shared" si="28"/>
        <v>#DIV/0!</v>
      </c>
      <c r="Y105" s="191" t="e">
        <f t="shared" si="29"/>
        <v>#DIV/0!</v>
      </c>
      <c r="Z105" s="191" t="e">
        <f t="shared" si="30"/>
        <v>#DIV/0!</v>
      </c>
      <c r="AA105" s="191" t="e">
        <f t="shared" ref="AA105:AA110" si="31">1-8*($C$131*C133)^(1/2)/($C$131^(1/3)+C133^(1/3))^3</f>
        <v>#DIV/0!</v>
      </c>
      <c r="AB105" s="191" t="e">
        <f t="shared" ref="AB105:AB110" si="32">1-8*($C$132*C133)^(1/2)/($C$132^(1/3)+C133^(1/3))^3</f>
        <v>#DIV/0!</v>
      </c>
      <c r="AC105" s="191">
        <v>0</v>
      </c>
      <c r="AD105" s="191">
        <v>0</v>
      </c>
      <c r="AE105" s="191">
        <v>0</v>
      </c>
      <c r="AF105" s="191">
        <v>0</v>
      </c>
      <c r="AG105" s="191">
        <v>0</v>
      </c>
      <c r="AH105" s="193">
        <v>0</v>
      </c>
    </row>
    <row r="106" spans="10:34">
      <c r="J106" s="106" t="s">
        <v>91</v>
      </c>
      <c r="K106" s="191">
        <f t="shared" si="15"/>
        <v>1</v>
      </c>
      <c r="L106" s="191">
        <f t="shared" si="16"/>
        <v>1</v>
      </c>
      <c r="M106" s="191">
        <f t="shared" si="17"/>
        <v>1</v>
      </c>
      <c r="N106" s="191">
        <f t="shared" si="18"/>
        <v>1</v>
      </c>
      <c r="O106" s="191">
        <f t="shared" si="19"/>
        <v>1</v>
      </c>
      <c r="P106" s="191">
        <f t="shared" si="20"/>
        <v>1</v>
      </c>
      <c r="Q106" s="1">
        <f t="shared" si="21"/>
        <v>1</v>
      </c>
      <c r="R106" s="191">
        <f t="shared" si="22"/>
        <v>1</v>
      </c>
      <c r="S106" s="191">
        <f t="shared" si="23"/>
        <v>1</v>
      </c>
      <c r="T106" s="191">
        <f t="shared" si="24"/>
        <v>1</v>
      </c>
      <c r="U106" s="191">
        <f t="shared" si="25"/>
        <v>1</v>
      </c>
      <c r="V106" s="191">
        <f t="shared" si="26"/>
        <v>1</v>
      </c>
      <c r="W106" s="191">
        <f t="shared" si="27"/>
        <v>1</v>
      </c>
      <c r="X106" s="191">
        <f t="shared" si="28"/>
        <v>1</v>
      </c>
      <c r="Y106" s="191">
        <f t="shared" si="29"/>
        <v>1</v>
      </c>
      <c r="Z106" s="191">
        <f t="shared" si="30"/>
        <v>1</v>
      </c>
      <c r="AA106" s="191">
        <f t="shared" si="31"/>
        <v>1</v>
      </c>
      <c r="AB106" s="191">
        <f t="shared" si="32"/>
        <v>1</v>
      </c>
      <c r="AC106" s="191">
        <v>0</v>
      </c>
      <c r="AD106" s="191">
        <v>0</v>
      </c>
      <c r="AE106" s="191">
        <v>0</v>
      </c>
      <c r="AF106" s="191">
        <v>0</v>
      </c>
      <c r="AG106" s="191">
        <v>0</v>
      </c>
      <c r="AH106" s="193">
        <v>0</v>
      </c>
    </row>
    <row r="107" spans="10:34">
      <c r="J107" s="106" t="s">
        <v>92</v>
      </c>
      <c r="K107" s="191">
        <f t="shared" si="15"/>
        <v>1</v>
      </c>
      <c r="L107" s="191">
        <f t="shared" si="16"/>
        <v>1</v>
      </c>
      <c r="M107" s="191">
        <f t="shared" si="17"/>
        <v>1</v>
      </c>
      <c r="N107" s="191">
        <f t="shared" si="18"/>
        <v>1</v>
      </c>
      <c r="O107" s="191">
        <f t="shared" si="19"/>
        <v>1</v>
      </c>
      <c r="P107" s="191">
        <f t="shared" si="20"/>
        <v>1</v>
      </c>
      <c r="Q107" s="1">
        <f t="shared" si="21"/>
        <v>1</v>
      </c>
      <c r="R107" s="191">
        <f t="shared" si="22"/>
        <v>1</v>
      </c>
      <c r="S107" s="191">
        <f t="shared" si="23"/>
        <v>1</v>
      </c>
      <c r="T107" s="191">
        <f t="shared" si="24"/>
        <v>1</v>
      </c>
      <c r="U107" s="191">
        <f t="shared" si="25"/>
        <v>1</v>
      </c>
      <c r="V107" s="191">
        <f t="shared" si="26"/>
        <v>1</v>
      </c>
      <c r="W107" s="191">
        <f t="shared" si="27"/>
        <v>1</v>
      </c>
      <c r="X107" s="191">
        <f t="shared" si="28"/>
        <v>1</v>
      </c>
      <c r="Y107" s="191">
        <f t="shared" si="29"/>
        <v>1</v>
      </c>
      <c r="Z107" s="191">
        <f t="shared" si="30"/>
        <v>1</v>
      </c>
      <c r="AA107" s="191">
        <f t="shared" si="31"/>
        <v>1</v>
      </c>
      <c r="AB107" s="191">
        <f t="shared" si="32"/>
        <v>1</v>
      </c>
      <c r="AC107" s="191">
        <v>0</v>
      </c>
      <c r="AD107" s="191">
        <v>0</v>
      </c>
      <c r="AE107" s="191">
        <v>0</v>
      </c>
      <c r="AF107" s="191">
        <v>0</v>
      </c>
      <c r="AG107" s="191">
        <v>0</v>
      </c>
      <c r="AH107" s="193">
        <v>0</v>
      </c>
    </row>
    <row r="108" spans="10:34">
      <c r="J108" s="106" t="s">
        <v>93</v>
      </c>
      <c r="K108" s="191">
        <f t="shared" si="15"/>
        <v>1</v>
      </c>
      <c r="L108" s="191">
        <f t="shared" si="16"/>
        <v>1</v>
      </c>
      <c r="M108" s="191">
        <f t="shared" si="17"/>
        <v>1</v>
      </c>
      <c r="N108" s="191">
        <f t="shared" si="18"/>
        <v>1</v>
      </c>
      <c r="O108" s="191">
        <f t="shared" si="19"/>
        <v>1</v>
      </c>
      <c r="P108" s="191">
        <f t="shared" si="20"/>
        <v>1</v>
      </c>
      <c r="Q108" s="1">
        <f t="shared" si="21"/>
        <v>1</v>
      </c>
      <c r="R108" s="191">
        <f t="shared" si="22"/>
        <v>1</v>
      </c>
      <c r="S108" s="191">
        <f t="shared" si="23"/>
        <v>1</v>
      </c>
      <c r="T108" s="191">
        <f t="shared" si="24"/>
        <v>1</v>
      </c>
      <c r="U108" s="191">
        <f t="shared" si="25"/>
        <v>1</v>
      </c>
      <c r="V108" s="191">
        <f t="shared" si="26"/>
        <v>1</v>
      </c>
      <c r="W108" s="191">
        <f t="shared" si="27"/>
        <v>1</v>
      </c>
      <c r="X108" s="191">
        <f t="shared" si="28"/>
        <v>1</v>
      </c>
      <c r="Y108" s="191">
        <f t="shared" si="29"/>
        <v>1</v>
      </c>
      <c r="Z108" s="191">
        <f t="shared" si="30"/>
        <v>1</v>
      </c>
      <c r="AA108" s="191">
        <f t="shared" si="31"/>
        <v>1</v>
      </c>
      <c r="AB108" s="191">
        <f t="shared" si="32"/>
        <v>1</v>
      </c>
      <c r="AC108" s="191">
        <v>0</v>
      </c>
      <c r="AD108" s="191">
        <v>0</v>
      </c>
      <c r="AE108" s="191">
        <v>0</v>
      </c>
      <c r="AF108" s="191">
        <v>0</v>
      </c>
      <c r="AG108" s="191">
        <v>0</v>
      </c>
      <c r="AH108" s="193">
        <v>0</v>
      </c>
    </row>
    <row r="109" spans="10:34">
      <c r="J109" s="106" t="s">
        <v>94</v>
      </c>
      <c r="K109" s="191">
        <f t="shared" si="15"/>
        <v>1</v>
      </c>
      <c r="L109" s="191">
        <f t="shared" si="16"/>
        <v>1</v>
      </c>
      <c r="M109" s="191">
        <f t="shared" si="17"/>
        <v>1</v>
      </c>
      <c r="N109" s="191">
        <f t="shared" si="18"/>
        <v>1</v>
      </c>
      <c r="O109" s="191">
        <f t="shared" si="19"/>
        <v>1</v>
      </c>
      <c r="P109" s="191">
        <f t="shared" si="20"/>
        <v>1</v>
      </c>
      <c r="Q109" s="1">
        <f t="shared" si="21"/>
        <v>1</v>
      </c>
      <c r="R109" s="191">
        <f t="shared" si="22"/>
        <v>1</v>
      </c>
      <c r="S109" s="191">
        <f t="shared" si="23"/>
        <v>1</v>
      </c>
      <c r="T109" s="191">
        <f t="shared" si="24"/>
        <v>1</v>
      </c>
      <c r="U109" s="191">
        <f t="shared" si="25"/>
        <v>1</v>
      </c>
      <c r="V109" s="191">
        <f t="shared" si="26"/>
        <v>1</v>
      </c>
      <c r="W109" s="191">
        <f t="shared" si="27"/>
        <v>1</v>
      </c>
      <c r="X109" s="191">
        <f t="shared" si="28"/>
        <v>1</v>
      </c>
      <c r="Y109" s="191">
        <f t="shared" si="29"/>
        <v>1</v>
      </c>
      <c r="Z109" s="191">
        <f t="shared" si="30"/>
        <v>1</v>
      </c>
      <c r="AA109" s="191">
        <f t="shared" si="31"/>
        <v>1</v>
      </c>
      <c r="AB109" s="191">
        <f t="shared" si="32"/>
        <v>1</v>
      </c>
      <c r="AC109" s="191">
        <v>0</v>
      </c>
      <c r="AD109" s="191">
        <v>0</v>
      </c>
      <c r="AE109" s="191">
        <v>0</v>
      </c>
      <c r="AF109" s="191">
        <v>0</v>
      </c>
      <c r="AG109" s="191">
        <v>0</v>
      </c>
      <c r="AH109" s="193">
        <v>0</v>
      </c>
    </row>
    <row r="110" spans="10:34" ht="13.5" thickBot="1">
      <c r="J110" s="189" t="s">
        <v>95</v>
      </c>
      <c r="K110" s="194">
        <f t="shared" si="15"/>
        <v>1</v>
      </c>
      <c r="L110" s="194">
        <f t="shared" si="16"/>
        <v>1</v>
      </c>
      <c r="M110" s="194">
        <f t="shared" si="17"/>
        <v>1</v>
      </c>
      <c r="N110" s="194">
        <f t="shared" si="18"/>
        <v>1</v>
      </c>
      <c r="O110" s="194">
        <f t="shared" si="19"/>
        <v>1</v>
      </c>
      <c r="P110" s="194">
        <f t="shared" si="20"/>
        <v>1</v>
      </c>
      <c r="Q110" s="124">
        <f t="shared" si="21"/>
        <v>1</v>
      </c>
      <c r="R110" s="194">
        <f t="shared" si="22"/>
        <v>1</v>
      </c>
      <c r="S110" s="194" t="e">
        <f>1-8*($C$123*C133)^(1/2)/($C$123^(1/3)+C133^(1/3))^3</f>
        <v>#DIV/0!</v>
      </c>
      <c r="T110" s="194">
        <f t="shared" si="24"/>
        <v>1</v>
      </c>
      <c r="U110" s="194">
        <f t="shared" si="25"/>
        <v>1</v>
      </c>
      <c r="V110" s="194">
        <f t="shared" si="26"/>
        <v>1</v>
      </c>
      <c r="W110" s="194">
        <f t="shared" si="27"/>
        <v>1</v>
      </c>
      <c r="X110" s="194">
        <f t="shared" si="28"/>
        <v>1</v>
      </c>
      <c r="Y110" s="194">
        <f t="shared" si="29"/>
        <v>1</v>
      </c>
      <c r="Z110" s="194">
        <f t="shared" si="30"/>
        <v>1</v>
      </c>
      <c r="AA110" s="194">
        <f t="shared" si="31"/>
        <v>1</v>
      </c>
      <c r="AB110" s="194">
        <f t="shared" si="32"/>
        <v>1</v>
      </c>
      <c r="AC110" s="194">
        <v>0</v>
      </c>
      <c r="AD110" s="194">
        <v>0</v>
      </c>
      <c r="AE110" s="194">
        <v>0</v>
      </c>
      <c r="AF110" s="194">
        <v>0</v>
      </c>
      <c r="AG110" s="194">
        <v>0</v>
      </c>
      <c r="AH110" s="195">
        <v>0</v>
      </c>
    </row>
    <row r="111" spans="10:34" ht="13.5" thickTop="1"/>
    <row r="114" spans="1:3">
      <c r="B114" t="s">
        <v>50</v>
      </c>
      <c r="C114" s="13" t="s">
        <v>51</v>
      </c>
    </row>
    <row r="115" spans="1:3" ht="15.75">
      <c r="A115" s="5" t="s">
        <v>12</v>
      </c>
      <c r="B115">
        <v>0.27407999999999999</v>
      </c>
      <c r="C115" s="13">
        <f>8.31*B115*PVT_Mod!F2/PVT_Mod!G2</f>
        <v>93.95204594265293</v>
      </c>
    </row>
    <row r="116" spans="1:3" ht="15.75">
      <c r="A116" s="1" t="s">
        <v>13</v>
      </c>
      <c r="B116">
        <v>0.29115000000000002</v>
      </c>
      <c r="C116" s="13">
        <f>8.31*B116*PVT_Mod!F3/PVT_Mod!G3</f>
        <v>89.952689812632585</v>
      </c>
    </row>
    <row r="117" spans="1:3" ht="15.75">
      <c r="A117" s="1" t="s">
        <v>14</v>
      </c>
      <c r="B117">
        <v>0.28472999999999998</v>
      </c>
      <c r="C117" s="13">
        <f>8.31*B117*PVT_Mod!F4/PVT_Mod!G4</f>
        <v>69.302289954298644</v>
      </c>
    </row>
    <row r="118" spans="1:3">
      <c r="A118" s="1" t="s">
        <v>4</v>
      </c>
      <c r="B118">
        <v>0.28462999999999999</v>
      </c>
      <c r="C118" s="13">
        <f>8.31*B118*PVT_Mod!F5/PVT_Mod!G5</f>
        <v>149.86898872435108</v>
      </c>
    </row>
    <row r="119" spans="1:3">
      <c r="A119" s="1" t="s">
        <v>5</v>
      </c>
      <c r="B119">
        <v>0.27616000000000002</v>
      </c>
      <c r="C119" s="13">
        <f>8.31*B119*PVT_Mod!F7/PVT_Mod!G7</f>
        <v>95.001511176751677</v>
      </c>
    </row>
    <row r="120" spans="1:3">
      <c r="A120" s="5" t="s">
        <v>6</v>
      </c>
      <c r="B120">
        <v>0.28273999999999999</v>
      </c>
      <c r="C120" s="13">
        <f>8.31*B120*PVT_Mod!F8/PVT_Mod!G8</f>
        <v>146.93768951903195</v>
      </c>
    </row>
    <row r="121" spans="1:3">
      <c r="A121" s="1" t="s">
        <v>7</v>
      </c>
      <c r="B121">
        <v>0.27385999999999999</v>
      </c>
      <c r="C121" s="13">
        <f>8.31*B121*PVT_Mod!F9/PVT_Mod!G9</f>
        <v>198.22922781297845</v>
      </c>
    </row>
    <row r="122" spans="1:3">
      <c r="A122" s="5" t="s">
        <v>8</v>
      </c>
      <c r="B122">
        <v>0.27271000000000001</v>
      </c>
      <c r="C122" s="13">
        <f>8.31*B122*PVT_Mod!F10/PVT_Mod!G10</f>
        <v>253.54179971214745</v>
      </c>
    </row>
    <row r="123" spans="1:3">
      <c r="A123" s="5" t="s">
        <v>9</v>
      </c>
      <c r="C123" s="13"/>
    </row>
    <row r="124" spans="1:3">
      <c r="A124" s="1" t="s">
        <v>10</v>
      </c>
      <c r="B124">
        <v>0.25041999999999998</v>
      </c>
      <c r="C124" s="13">
        <f>8.31*B124*PVT_Mod!F12/PVT_Mod!G12</f>
        <v>286.08242377692534</v>
      </c>
    </row>
    <row r="125" spans="1:3">
      <c r="A125" s="5" t="s">
        <v>35</v>
      </c>
      <c r="B125">
        <v>0.25280999999999998</v>
      </c>
      <c r="C125" s="13">
        <f>8.31*B125*PVT_Mod!F13/PVT_Mod!G13</f>
        <v>292.73899188748106</v>
      </c>
    </row>
    <row r="126" spans="1:3">
      <c r="A126" s="5" t="s">
        <v>36</v>
      </c>
      <c r="B126">
        <v>0.26082</v>
      </c>
      <c r="C126" s="13">
        <f>8.31*B126*PVT_Mod!F14/PVT_Mod!G14</f>
        <v>365.4361151162791</v>
      </c>
    </row>
    <row r="127" spans="1:3">
      <c r="A127" s="5" t="s">
        <v>37</v>
      </c>
      <c r="B127">
        <v>0.25394</v>
      </c>
      <c r="C127" s="13">
        <f>8.31*B127*PVT_Mod!F15/PVT_Mod!G15</f>
        <v>393.60527134104831</v>
      </c>
    </row>
    <row r="128" spans="1:3">
      <c r="A128" s="7" t="s">
        <v>38</v>
      </c>
      <c r="B128">
        <v>0.21939</v>
      </c>
      <c r="C128" s="13">
        <f>8.31*B128*PVT_Mod!F16/PVT_Mod!G16</f>
        <v>382.5567933334529</v>
      </c>
    </row>
    <row r="129" spans="1:3">
      <c r="A129" s="7" t="s">
        <v>39</v>
      </c>
      <c r="B129">
        <v>0.21240999999999999</v>
      </c>
      <c r="C129" s="13">
        <f>8.31*B129*PVT_Mod!F17/PVT_Mod!G17</f>
        <v>516.31555019514383</v>
      </c>
    </row>
    <row r="130" spans="1:3">
      <c r="A130" s="7" t="s">
        <v>40</v>
      </c>
      <c r="B130">
        <v>0.21</v>
      </c>
      <c r="C130" s="13">
        <f>8.31*B130*PVT_Mod!F18/PVT_Mod!G18</f>
        <v>717.69176500000003</v>
      </c>
    </row>
    <row r="131" spans="1:3">
      <c r="A131" s="10" t="s">
        <v>41</v>
      </c>
      <c r="B131">
        <v>0.20899999999999999</v>
      </c>
      <c r="C131" s="13">
        <f>8.31*B131*PVT_Mod!F19/PVT_Mod!G19</f>
        <v>960.68948830985926</v>
      </c>
    </row>
    <row r="132" spans="1:3">
      <c r="A132" s="10" t="s">
        <v>42</v>
      </c>
      <c r="B132">
        <v>0.20849999999999999</v>
      </c>
      <c r="C132" s="13">
        <f>8.31*B132*PVT_Mod!F20/PVT_Mod!G20</f>
        <v>341.646338028169</v>
      </c>
    </row>
    <row r="133" spans="1:3">
      <c r="A133" s="10" t="s">
        <v>43</v>
      </c>
      <c r="B133">
        <v>0.20810000000000001</v>
      </c>
      <c r="C133" s="13" t="e">
        <f>8.31*B133*PVT_Mod!F21/PVT_Mod!G21</f>
        <v>#DIV/0!</v>
      </c>
    </row>
  </sheetData>
  <mergeCells count="6">
    <mergeCell ref="A31:A32"/>
    <mergeCell ref="B31:D31"/>
    <mergeCell ref="E31:G31"/>
    <mergeCell ref="A61:A62"/>
    <mergeCell ref="B61:D61"/>
    <mergeCell ref="E61:G61"/>
  </mergeCells>
  <phoneticPr fontId="21" type="noConversion"/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T147"/>
  <sheetViews>
    <sheetView zoomScale="75" workbookViewId="0">
      <selection activeCell="E14" sqref="E14"/>
    </sheetView>
  </sheetViews>
  <sheetFormatPr defaultRowHeight="12.75"/>
  <cols>
    <col min="1" max="1" width="16.85546875" customWidth="1"/>
    <col min="2" max="2" width="20.42578125" customWidth="1"/>
    <col min="3" max="3" width="22.85546875" customWidth="1"/>
    <col min="4" max="4" width="12.28515625" customWidth="1"/>
    <col min="5" max="5" width="12.85546875" customWidth="1"/>
    <col min="6" max="6" width="13.7109375" customWidth="1"/>
    <col min="7" max="7" width="12.85546875" bestFit="1" customWidth="1"/>
    <col min="8" max="10" width="12.42578125" bestFit="1" customWidth="1"/>
    <col min="11" max="12" width="10" customWidth="1"/>
    <col min="13" max="13" width="9.5703125" customWidth="1"/>
    <col min="14" max="14" width="12.42578125" bestFit="1" customWidth="1"/>
    <col min="15" max="15" width="12.85546875" bestFit="1" customWidth="1"/>
    <col min="16" max="16" width="12.42578125" bestFit="1" customWidth="1"/>
  </cols>
  <sheetData>
    <row r="1" spans="1:20" ht="15">
      <c r="A1" s="219" t="s">
        <v>96</v>
      </c>
      <c r="B1" s="219" t="s">
        <v>96</v>
      </c>
      <c r="C1" s="219" t="s">
        <v>106</v>
      </c>
      <c r="D1" s="219" t="s">
        <v>109</v>
      </c>
      <c r="E1" s="222" t="s">
        <v>125</v>
      </c>
      <c r="F1" s="222" t="s">
        <v>126</v>
      </c>
      <c r="G1" s="222" t="s">
        <v>90</v>
      </c>
      <c r="H1" s="222" t="s">
        <v>127</v>
      </c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</row>
    <row r="2" spans="1:20" ht="15">
      <c r="A2" s="219" t="s">
        <v>97</v>
      </c>
      <c r="B2" s="220" t="s">
        <v>104</v>
      </c>
      <c r="C2" s="219" t="s">
        <v>107</v>
      </c>
      <c r="D2" s="219" t="s">
        <v>110</v>
      </c>
      <c r="E2" s="1">
        <v>1</v>
      </c>
      <c r="F2" s="1">
        <v>1</v>
      </c>
      <c r="G2" s="5">
        <v>4</v>
      </c>
      <c r="H2" s="1">
        <v>8</v>
      </c>
      <c r="I2" s="5"/>
      <c r="J2" s="5"/>
      <c r="K2" s="1"/>
      <c r="L2" s="5"/>
      <c r="M2" s="5"/>
      <c r="N2" s="5"/>
      <c r="O2" s="5"/>
      <c r="P2" s="5"/>
      <c r="Q2" s="5"/>
      <c r="R2" s="5"/>
      <c r="S2" s="5"/>
      <c r="T2" s="5"/>
    </row>
    <row r="3" spans="1:20" ht="15">
      <c r="A3" s="220" t="s">
        <v>98</v>
      </c>
      <c r="B3" s="221" t="s">
        <v>105</v>
      </c>
      <c r="C3" s="221" t="s">
        <v>136</v>
      </c>
      <c r="D3" s="219" t="s">
        <v>111</v>
      </c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</row>
    <row r="4" spans="1:20" ht="15">
      <c r="A4" s="219" t="s">
        <v>99</v>
      </c>
      <c r="B4" s="219" t="s">
        <v>100</v>
      </c>
      <c r="C4" s="219" t="s">
        <v>108</v>
      </c>
      <c r="D4" s="219" t="s">
        <v>112</v>
      </c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</row>
    <row r="5" spans="1:20" ht="15">
      <c r="A5" s="219" t="s">
        <v>100</v>
      </c>
      <c r="B5" s="219"/>
      <c r="C5" s="219"/>
      <c r="D5" s="219" t="s">
        <v>113</v>
      </c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</row>
    <row r="6" spans="1:20" ht="15">
      <c r="A6" s="219" t="s">
        <v>102</v>
      </c>
      <c r="B6" s="219"/>
      <c r="C6" s="219"/>
      <c r="D6" s="219" t="s">
        <v>114</v>
      </c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</row>
    <row r="7" spans="1:20" ht="15">
      <c r="A7" s="219"/>
      <c r="B7" s="220" t="s">
        <v>99</v>
      </c>
      <c r="C7" s="219"/>
      <c r="D7" s="219" t="s">
        <v>115</v>
      </c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</row>
    <row r="8" spans="1:20" ht="15">
      <c r="A8" s="220"/>
      <c r="B8" s="219"/>
      <c r="C8" s="219"/>
      <c r="D8" s="219" t="s">
        <v>116</v>
      </c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</row>
    <row r="9" spans="1:20" ht="15">
      <c r="A9" s="219" t="s">
        <v>101</v>
      </c>
      <c r="B9" s="219"/>
      <c r="C9" s="219"/>
      <c r="D9" s="219" t="s">
        <v>117</v>
      </c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</row>
    <row r="10" spans="1:20" ht="15">
      <c r="A10" s="220" t="s">
        <v>103</v>
      </c>
      <c r="B10" s="219"/>
      <c r="C10" s="219"/>
      <c r="D10" s="219" t="s">
        <v>118</v>
      </c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</row>
    <row r="11" spans="1:20" ht="15">
      <c r="A11" s="220"/>
      <c r="B11" s="219"/>
      <c r="C11" s="219"/>
      <c r="D11" s="219" t="s">
        <v>119</v>
      </c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</row>
    <row r="12" spans="1:20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</row>
    <row r="13" spans="1:20">
      <c r="A13" s="5" t="s">
        <v>143</v>
      </c>
      <c r="B13" s="1">
        <f>COUNTA(PVT_Mod!D30:D43)</f>
        <v>14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</row>
    <row r="14" spans="1:20">
      <c r="A14" s="5" t="s">
        <v>147</v>
      </c>
      <c r="B14" s="1">
        <f>COUNTA(PVT_Mod!D49:D62)</f>
        <v>0</v>
      </c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</row>
    <row r="15" spans="1:20">
      <c r="A15" s="5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</row>
    <row r="16" spans="1:20">
      <c r="A16" s="5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</row>
    <row r="17" spans="1:20">
      <c r="A17" s="5" t="s">
        <v>153</v>
      </c>
      <c r="B17" s="1">
        <f>PVT_Mod!$C$30</f>
        <v>381.04999999999995</v>
      </c>
      <c r="C17" s="1">
        <v>0</v>
      </c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</row>
    <row r="18" spans="1:20">
      <c r="A18" s="5"/>
      <c r="B18" s="1">
        <f>PVT_Mod!$C$30</f>
        <v>381.04999999999995</v>
      </c>
      <c r="C18" s="1">
        <f>PVT_Mod!J32</f>
        <v>36.72</v>
      </c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</row>
    <row r="19" spans="1:20">
      <c r="A19" s="5"/>
      <c r="B19" s="1">
        <f>PVT_Mod!$C$30</f>
        <v>381.04999999999995</v>
      </c>
      <c r="C19" s="1">
        <f>C18+5</f>
        <v>41.72</v>
      </c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</row>
    <row r="20" spans="1:20">
      <c r="A20" s="5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</row>
    <row r="21" spans="1:20">
      <c r="A21" s="5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</row>
    <row r="22" spans="1:20">
      <c r="A22" s="5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</row>
    <row r="23" spans="1:20">
      <c r="A23" s="5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5"/>
      <c r="N23" s="1"/>
      <c r="O23" s="1"/>
      <c r="P23" s="1"/>
      <c r="Q23" s="1"/>
      <c r="R23" s="5"/>
      <c r="S23" s="1"/>
      <c r="T23" s="5"/>
    </row>
    <row r="24" spans="1:20" ht="20.25">
      <c r="A24" s="1"/>
      <c r="B24" s="216"/>
      <c r="C24" s="217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</row>
    <row r="25" spans="1:20">
      <c r="A25" s="158"/>
      <c r="B25" s="158"/>
      <c r="C25" s="158"/>
      <c r="D25" s="158"/>
      <c r="E25" s="158"/>
      <c r="F25" s="1"/>
      <c r="G25" s="5"/>
      <c r="H25" s="1"/>
      <c r="I25" s="5"/>
      <c r="J25" s="5"/>
      <c r="K25" s="1"/>
      <c r="L25" s="5"/>
      <c r="M25" s="5"/>
      <c r="N25" s="5"/>
      <c r="O25" s="5"/>
      <c r="P25" s="5"/>
      <c r="Q25" s="5"/>
      <c r="R25" s="5"/>
      <c r="S25" s="5"/>
      <c r="T25" s="5"/>
    </row>
    <row r="26" spans="1:20">
      <c r="A26" s="158"/>
      <c r="B26" s="158"/>
      <c r="C26" s="158"/>
      <c r="D26" s="158"/>
      <c r="E26" s="158"/>
      <c r="F26" s="218"/>
      <c r="G26" s="218"/>
      <c r="H26" s="157"/>
      <c r="I26" s="157"/>
      <c r="J26" s="157"/>
      <c r="K26" s="157"/>
      <c r="L26" s="157"/>
      <c r="M26" s="157"/>
      <c r="N26" s="157"/>
      <c r="O26" s="157"/>
      <c r="P26" s="157"/>
      <c r="Q26" s="157"/>
      <c r="R26" s="157"/>
      <c r="S26" s="157"/>
      <c r="T26" s="157"/>
    </row>
    <row r="27" spans="1:20">
      <c r="A27" s="158"/>
      <c r="B27" s="158"/>
      <c r="C27" s="158"/>
      <c r="D27" s="158"/>
      <c r="E27" s="158"/>
      <c r="F27" s="158"/>
      <c r="G27" s="158"/>
      <c r="H27" s="158"/>
      <c r="I27" s="158"/>
      <c r="J27" s="158"/>
      <c r="K27" s="158"/>
      <c r="L27" s="158"/>
      <c r="M27" s="158"/>
      <c r="N27" s="158"/>
      <c r="O27" s="158"/>
      <c r="P27" s="158"/>
      <c r="Q27" s="158"/>
      <c r="R27" s="158"/>
      <c r="S27" s="158"/>
      <c r="T27" s="158"/>
    </row>
    <row r="28" spans="1:20">
      <c r="A28" s="158"/>
      <c r="B28" s="158"/>
      <c r="C28" s="158"/>
      <c r="D28" s="158"/>
      <c r="E28" s="158"/>
      <c r="F28" s="158"/>
      <c r="G28" s="158"/>
      <c r="H28" s="158"/>
      <c r="I28" s="158"/>
      <c r="J28" s="158"/>
      <c r="K28" s="158"/>
      <c r="L28" s="158"/>
      <c r="M28" s="158"/>
      <c r="N28" s="158"/>
      <c r="O28" s="158"/>
      <c r="P28" s="158"/>
      <c r="Q28" s="158"/>
      <c r="R28" s="158"/>
      <c r="S28" s="158"/>
      <c r="T28" s="158"/>
    </row>
    <row r="29" spans="1:20">
      <c r="A29" s="158"/>
      <c r="B29" s="158"/>
      <c r="C29" s="158"/>
      <c r="D29" s="158"/>
      <c r="E29" s="158"/>
      <c r="F29" s="158"/>
      <c r="G29" s="158"/>
      <c r="H29" s="158"/>
      <c r="I29" s="158"/>
      <c r="J29" s="158"/>
      <c r="K29" s="158"/>
      <c r="L29" s="158"/>
      <c r="M29" s="158"/>
      <c r="N29" s="158"/>
      <c r="O29" s="158"/>
      <c r="P29" s="158"/>
      <c r="Q29" s="158"/>
      <c r="R29" s="158"/>
      <c r="S29" s="158"/>
      <c r="T29" s="158"/>
    </row>
    <row r="30" spans="1:20">
      <c r="A30" s="158"/>
      <c r="B30" s="158"/>
      <c r="C30" s="158"/>
      <c r="D30" s="158"/>
      <c r="E30" s="158"/>
      <c r="F30" s="158"/>
      <c r="G30" s="158"/>
      <c r="H30" s="158"/>
      <c r="I30" s="158"/>
      <c r="J30" s="158"/>
      <c r="K30" s="158"/>
      <c r="L30" s="158"/>
      <c r="M30" s="158"/>
      <c r="N30" s="158"/>
      <c r="O30" s="158"/>
      <c r="P30" s="158"/>
      <c r="Q30" s="158"/>
      <c r="R30" s="158"/>
      <c r="S30" s="158"/>
      <c r="T30" s="158"/>
    </row>
    <row r="31" spans="1:20">
      <c r="A31" s="158"/>
      <c r="B31" s="158"/>
      <c r="C31" s="158"/>
      <c r="D31" s="158"/>
      <c r="E31" s="158"/>
      <c r="F31" s="158"/>
      <c r="G31" s="158"/>
      <c r="H31" s="158"/>
      <c r="I31" s="158"/>
      <c r="J31" s="158"/>
      <c r="K31" s="158"/>
      <c r="L31" s="158"/>
      <c r="M31" s="158"/>
      <c r="N31" s="158"/>
      <c r="O31" s="158"/>
      <c r="P31" s="158"/>
      <c r="Q31" s="158"/>
      <c r="R31" s="158"/>
      <c r="S31" s="158"/>
      <c r="T31" s="158"/>
    </row>
    <row r="32" spans="1:20">
      <c r="A32" s="158"/>
      <c r="B32" s="158"/>
      <c r="C32" s="158"/>
      <c r="D32" s="158"/>
      <c r="E32" s="158"/>
      <c r="F32" s="158"/>
      <c r="G32" s="158"/>
      <c r="H32" s="158"/>
      <c r="I32" s="158"/>
      <c r="J32" s="158"/>
      <c r="K32" s="158"/>
      <c r="L32" s="158"/>
      <c r="M32" s="158"/>
      <c r="N32" s="158"/>
      <c r="O32" s="158"/>
      <c r="P32" s="158"/>
      <c r="Q32" s="158"/>
      <c r="R32" s="158"/>
      <c r="S32" s="158"/>
      <c r="T32" s="158"/>
    </row>
    <row r="33" spans="1:20">
      <c r="A33" s="158"/>
      <c r="B33" s="158"/>
      <c r="C33" s="158"/>
      <c r="D33" s="158"/>
      <c r="E33" s="158"/>
      <c r="F33" s="158"/>
      <c r="G33" s="158"/>
      <c r="H33" s="158"/>
      <c r="I33" s="158"/>
      <c r="J33" s="158"/>
      <c r="K33" s="158"/>
      <c r="L33" s="158"/>
      <c r="M33" s="158"/>
      <c r="N33" s="158"/>
      <c r="O33" s="158"/>
      <c r="P33" s="158"/>
      <c r="Q33" s="158"/>
      <c r="R33" s="158"/>
      <c r="S33" s="158"/>
      <c r="T33" s="158"/>
    </row>
    <row r="34" spans="1:20">
      <c r="A34" s="158"/>
      <c r="B34" s="158"/>
      <c r="C34" s="158"/>
      <c r="D34" s="158"/>
      <c r="E34" s="158"/>
      <c r="F34" s="158"/>
      <c r="G34" s="158"/>
      <c r="H34" s="158"/>
      <c r="I34" s="158"/>
      <c r="J34" s="158"/>
      <c r="K34" s="158"/>
      <c r="L34" s="158"/>
      <c r="M34" s="158"/>
      <c r="N34" s="158"/>
      <c r="O34" s="158"/>
      <c r="P34" s="158"/>
      <c r="Q34" s="158"/>
      <c r="R34" s="158"/>
      <c r="S34" s="158"/>
      <c r="T34" s="158"/>
    </row>
    <row r="35" spans="1:20">
      <c r="A35" s="158"/>
      <c r="B35" s="158"/>
      <c r="C35" s="158"/>
      <c r="D35" s="158"/>
      <c r="E35" s="158"/>
      <c r="F35" s="158"/>
      <c r="G35" s="158"/>
      <c r="H35" s="158"/>
      <c r="I35" s="158"/>
      <c r="J35" s="158"/>
      <c r="K35" s="158"/>
      <c r="L35" s="158"/>
      <c r="M35" s="158"/>
      <c r="N35" s="158"/>
      <c r="O35" s="158"/>
      <c r="P35" s="158"/>
      <c r="Q35" s="158"/>
      <c r="R35" s="158"/>
      <c r="S35" s="158"/>
      <c r="T35" s="158"/>
    </row>
    <row r="36" spans="1:20">
      <c r="A36" s="158"/>
      <c r="B36" s="158"/>
      <c r="C36" s="158"/>
      <c r="D36" s="158"/>
      <c r="E36" s="158"/>
      <c r="F36" s="158"/>
      <c r="G36" s="158"/>
      <c r="H36" s="158"/>
      <c r="I36" s="158"/>
      <c r="J36" s="158"/>
      <c r="K36" s="158"/>
      <c r="L36" s="158"/>
      <c r="M36" s="158"/>
      <c r="N36" s="158"/>
      <c r="O36" s="158"/>
      <c r="P36" s="158"/>
      <c r="Q36" s="158"/>
      <c r="R36" s="158"/>
      <c r="S36" s="158"/>
      <c r="T36" s="158"/>
    </row>
    <row r="37" spans="1:20">
      <c r="A37" s="158"/>
      <c r="B37" s="158"/>
      <c r="C37" s="158"/>
      <c r="D37" s="158"/>
      <c r="E37" s="158"/>
      <c r="F37" s="158"/>
      <c r="G37" s="158"/>
      <c r="H37" s="158"/>
      <c r="I37" s="158"/>
      <c r="J37" s="158"/>
      <c r="K37" s="158"/>
      <c r="L37" s="158"/>
      <c r="M37" s="158"/>
      <c r="N37" s="158"/>
      <c r="O37" s="158"/>
      <c r="P37" s="158"/>
      <c r="Q37" s="158"/>
      <c r="R37" s="158"/>
      <c r="S37" s="158"/>
      <c r="T37" s="158"/>
    </row>
    <row r="38" spans="1:20">
      <c r="A38" s="158"/>
      <c r="B38" s="158"/>
      <c r="C38" s="158"/>
      <c r="D38" s="158"/>
      <c r="E38" s="158"/>
      <c r="F38" s="158"/>
      <c r="G38" s="158"/>
      <c r="H38" s="158"/>
      <c r="I38" s="158"/>
      <c r="J38" s="158"/>
      <c r="K38" s="158"/>
      <c r="L38" s="158"/>
      <c r="M38" s="158"/>
      <c r="N38" s="158"/>
      <c r="O38" s="158"/>
      <c r="P38" s="158"/>
      <c r="Q38" s="158"/>
      <c r="R38" s="158"/>
      <c r="S38" s="158"/>
      <c r="T38" s="158"/>
    </row>
    <row r="39" spans="1:20">
      <c r="A39" s="158"/>
      <c r="B39" s="158"/>
      <c r="C39" s="158"/>
      <c r="D39" s="158"/>
      <c r="E39" s="158"/>
      <c r="F39" s="158"/>
      <c r="G39" s="158"/>
      <c r="H39" s="158"/>
      <c r="I39" s="158"/>
      <c r="J39" s="158"/>
      <c r="K39" s="158"/>
      <c r="L39" s="158"/>
      <c r="M39" s="158"/>
      <c r="N39" s="158"/>
      <c r="O39" s="158"/>
      <c r="P39" s="158"/>
      <c r="Q39" s="158"/>
      <c r="R39" s="158"/>
      <c r="S39" s="158"/>
      <c r="T39" s="158"/>
    </row>
    <row r="40" spans="1:20">
      <c r="A40" s="158"/>
      <c r="B40" s="158"/>
      <c r="C40" s="158"/>
      <c r="D40" s="158"/>
      <c r="E40" s="158"/>
      <c r="F40" s="158"/>
      <c r="G40" s="158"/>
      <c r="H40" s="158"/>
      <c r="I40" s="158"/>
      <c r="J40" s="158"/>
      <c r="K40" s="158"/>
      <c r="L40" s="158"/>
      <c r="M40" s="158"/>
      <c r="N40" s="158"/>
      <c r="O40" s="158"/>
      <c r="P40" s="158"/>
      <c r="Q40" s="158"/>
      <c r="R40" s="158"/>
      <c r="S40" s="158"/>
      <c r="T40" s="158"/>
    </row>
    <row r="41" spans="1:20">
      <c r="A41" s="158"/>
      <c r="B41" s="158"/>
      <c r="C41" s="158"/>
      <c r="D41" s="158"/>
      <c r="E41" s="158"/>
      <c r="F41" s="158"/>
      <c r="G41" s="158"/>
      <c r="H41" s="158"/>
      <c r="I41" s="158"/>
      <c r="J41" s="158"/>
      <c r="K41" s="158"/>
      <c r="L41" s="158"/>
      <c r="M41" s="158"/>
      <c r="N41" s="158"/>
      <c r="O41" s="158"/>
      <c r="P41" s="158"/>
      <c r="Q41" s="158"/>
      <c r="R41" s="158"/>
      <c r="S41" s="158"/>
      <c r="T41" s="158"/>
    </row>
    <row r="42" spans="1:20">
      <c r="A42" s="158"/>
      <c r="B42" s="158"/>
      <c r="C42" s="158"/>
      <c r="D42" s="158"/>
      <c r="E42" s="158"/>
      <c r="F42" s="158"/>
      <c r="G42" s="158"/>
      <c r="H42" s="158"/>
      <c r="I42" s="158"/>
      <c r="J42" s="158"/>
      <c r="K42" s="158"/>
      <c r="L42" s="158"/>
      <c r="M42" s="158"/>
      <c r="N42" s="158"/>
      <c r="O42" s="158"/>
      <c r="P42" s="158"/>
      <c r="Q42" s="158"/>
      <c r="R42" s="158"/>
      <c r="S42" s="158"/>
      <c r="T42" s="158"/>
    </row>
    <row r="43" spans="1:20">
      <c r="A43" s="158"/>
      <c r="B43" s="158"/>
      <c r="C43" s="158"/>
      <c r="D43" s="158"/>
      <c r="E43" s="158"/>
      <c r="F43" s="158"/>
      <c r="G43" s="158"/>
      <c r="H43" s="158"/>
      <c r="I43" s="158"/>
      <c r="J43" s="158"/>
      <c r="K43" s="158"/>
      <c r="L43" s="158"/>
      <c r="M43" s="158"/>
      <c r="N43" s="158"/>
      <c r="O43" s="158"/>
      <c r="P43" s="158"/>
      <c r="Q43" s="158"/>
      <c r="R43" s="158"/>
      <c r="S43" s="158"/>
      <c r="T43" s="158"/>
    </row>
    <row r="44" spans="1:20">
      <c r="A44" s="158"/>
      <c r="B44" s="158"/>
      <c r="C44" s="158"/>
      <c r="D44" s="158"/>
      <c r="E44" s="158"/>
      <c r="F44" s="158"/>
      <c r="G44" s="158"/>
      <c r="H44" s="158"/>
      <c r="I44" s="158"/>
      <c r="J44" s="158"/>
      <c r="K44" s="158"/>
      <c r="L44" s="158"/>
      <c r="M44" s="158"/>
      <c r="N44" s="158"/>
      <c r="O44" s="158"/>
      <c r="P44" s="158"/>
      <c r="Q44" s="158"/>
      <c r="R44" s="158"/>
      <c r="S44" s="158"/>
      <c r="T44" s="158"/>
    </row>
    <row r="45" spans="1:20">
      <c r="A45" s="158"/>
      <c r="B45" s="158"/>
      <c r="C45" s="158"/>
      <c r="D45" s="158"/>
      <c r="E45" s="158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</row>
    <row r="46" spans="1:20">
      <c r="A46" s="158"/>
      <c r="B46" s="158"/>
      <c r="C46" s="158"/>
      <c r="D46" s="158"/>
      <c r="E46" s="158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</row>
    <row r="47" spans="1:20">
      <c r="A47" s="158"/>
      <c r="B47" s="158"/>
      <c r="C47" s="158"/>
      <c r="D47" s="158"/>
      <c r="E47" s="158"/>
      <c r="F47" s="1"/>
      <c r="G47" s="5"/>
      <c r="H47" s="1"/>
      <c r="I47" s="5"/>
      <c r="J47" s="5"/>
      <c r="K47" s="1"/>
      <c r="L47" s="5"/>
      <c r="M47" s="5"/>
      <c r="N47" s="5"/>
      <c r="O47" s="5"/>
      <c r="P47" s="5"/>
      <c r="Q47" s="5"/>
      <c r="R47" s="5"/>
      <c r="S47" s="5"/>
      <c r="T47" s="5"/>
    </row>
    <row r="48" spans="1:20">
      <c r="A48" s="5"/>
      <c r="B48" s="8"/>
      <c r="C48" s="8"/>
      <c r="D48" s="156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</row>
    <row r="49" spans="1:20">
      <c r="A49" s="1"/>
      <c r="B49" s="8"/>
      <c r="C49" s="8"/>
      <c r="D49" s="156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</row>
    <row r="50" spans="1:20">
      <c r="A50" s="1"/>
      <c r="B50" s="156"/>
      <c r="C50" s="156"/>
      <c r="D50" s="156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</row>
    <row r="51" spans="1:20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</row>
    <row r="52" spans="1:20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</row>
    <row r="53" spans="1:20">
      <c r="A53" s="5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</row>
    <row r="54" spans="1:20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</row>
    <row r="55" spans="1:20">
      <c r="A55" s="5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</row>
    <row r="56" spans="1:20">
      <c r="A56" s="5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</row>
    <row r="57" spans="1:20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</row>
    <row r="58" spans="1:20">
      <c r="A58" s="5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</row>
    <row r="59" spans="1:20">
      <c r="A59" s="5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</row>
    <row r="60" spans="1:20">
      <c r="A60" s="5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</row>
    <row r="61" spans="1:20">
      <c r="A61" s="5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</row>
    <row r="62" spans="1:20">
      <c r="A62" s="5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</row>
    <row r="63" spans="1:20">
      <c r="A63" s="5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</row>
    <row r="64" spans="1:20">
      <c r="A64" s="5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</row>
    <row r="65" spans="1:20">
      <c r="A65" s="5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</row>
    <row r="66" spans="1:20">
      <c r="A66" s="5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</row>
    <row r="67" spans="1:20">
      <c r="A67" s="1"/>
      <c r="B67" s="1"/>
      <c r="C67" s="156"/>
      <c r="D67" s="156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</row>
    <row r="68" spans="1:20">
      <c r="A68" s="1"/>
      <c r="B68" s="1"/>
      <c r="C68" s="156"/>
      <c r="D68" s="156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</row>
    <row r="69" spans="1:20" ht="20.25">
      <c r="A69" s="1"/>
      <c r="B69" s="215"/>
      <c r="C69" s="156"/>
      <c r="D69" s="156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</row>
    <row r="70" spans="1:20" ht="15.75">
      <c r="A70" s="3"/>
      <c r="B70" s="5"/>
      <c r="C70" s="1"/>
      <c r="D70" s="1"/>
      <c r="E70" s="1"/>
      <c r="F70" s="1"/>
      <c r="G70" s="5"/>
      <c r="H70" s="1"/>
      <c r="I70" s="5"/>
      <c r="J70" s="5"/>
      <c r="K70" s="1"/>
      <c r="L70" s="5"/>
      <c r="M70" s="5"/>
      <c r="N70" s="5"/>
      <c r="O70" s="5"/>
      <c r="P70" s="5"/>
      <c r="Q70" s="5"/>
      <c r="R70" s="5"/>
      <c r="S70" s="5"/>
      <c r="T70" s="5"/>
    </row>
    <row r="71" spans="1:20">
      <c r="A71" s="5"/>
      <c r="B71" s="1"/>
      <c r="C71" s="156"/>
      <c r="D71" s="156"/>
      <c r="E71" s="156"/>
      <c r="F71" s="156"/>
      <c r="G71" s="156"/>
      <c r="H71" s="156"/>
      <c r="I71" s="156"/>
      <c r="J71" s="156"/>
      <c r="K71" s="156"/>
      <c r="L71" s="156"/>
      <c r="M71" s="156"/>
      <c r="N71" s="156"/>
      <c r="O71" s="156"/>
      <c r="P71" s="156"/>
      <c r="Q71" s="156"/>
      <c r="R71" s="156"/>
      <c r="S71" s="156"/>
      <c r="T71" s="156"/>
    </row>
    <row r="72" spans="1:20">
      <c r="A72" s="1"/>
      <c r="B72" s="1"/>
      <c r="C72" s="156"/>
      <c r="D72" s="156"/>
      <c r="E72" s="156"/>
      <c r="F72" s="156"/>
      <c r="G72" s="156"/>
      <c r="H72" s="156"/>
      <c r="I72" s="156"/>
      <c r="J72" s="156"/>
      <c r="K72" s="156"/>
      <c r="L72" s="156"/>
      <c r="M72" s="156"/>
      <c r="N72" s="1"/>
      <c r="O72" s="156"/>
      <c r="P72" s="156"/>
      <c r="Q72" s="156"/>
      <c r="R72" s="156"/>
      <c r="S72" s="156"/>
      <c r="T72" s="156"/>
    </row>
    <row r="73" spans="1:20">
      <c r="A73" s="1"/>
      <c r="B73" s="1"/>
      <c r="C73" s="156"/>
      <c r="D73" s="156"/>
      <c r="E73" s="156"/>
      <c r="F73" s="156"/>
      <c r="G73" s="156"/>
      <c r="H73" s="156"/>
      <c r="I73" s="156"/>
      <c r="J73" s="156"/>
      <c r="K73" s="156"/>
      <c r="L73" s="156"/>
      <c r="M73" s="156"/>
      <c r="N73" s="156"/>
      <c r="O73" s="156"/>
      <c r="P73" s="156"/>
      <c r="Q73" s="156"/>
      <c r="R73" s="156"/>
      <c r="S73" s="156"/>
      <c r="T73" s="156"/>
    </row>
    <row r="74" spans="1:20">
      <c r="A74" s="1"/>
      <c r="B74" s="1"/>
      <c r="C74" s="156"/>
      <c r="D74" s="156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</row>
    <row r="75" spans="1:20">
      <c r="A75" s="1"/>
      <c r="B75" s="1"/>
      <c r="C75" s="156"/>
      <c r="D75" s="156"/>
      <c r="E75" s="1"/>
      <c r="F75" s="1"/>
      <c r="G75" s="156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</row>
    <row r="76" spans="1:20">
      <c r="A76" s="5"/>
      <c r="B76" s="1"/>
      <c r="C76" s="156"/>
      <c r="D76" s="156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</row>
    <row r="77" spans="1:20">
      <c r="A77" s="1"/>
      <c r="B77" s="1"/>
      <c r="C77" s="156"/>
      <c r="D77" s="156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</row>
    <row r="78" spans="1:20">
      <c r="A78" s="5"/>
      <c r="B78" s="1"/>
      <c r="C78" s="156"/>
      <c r="D78" s="156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</row>
    <row r="79" spans="1:20">
      <c r="A79" s="5"/>
      <c r="B79" s="1"/>
      <c r="C79" s="156"/>
      <c r="D79" s="156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</row>
    <row r="80" spans="1:20">
      <c r="A80" s="1"/>
      <c r="B80" s="1"/>
      <c r="C80" s="156"/>
      <c r="D80" s="156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</row>
    <row r="81" spans="1:20">
      <c r="A81" s="5"/>
      <c r="B81" s="1"/>
      <c r="C81" s="156"/>
      <c r="D81" s="156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</row>
    <row r="82" spans="1:20">
      <c r="A82" s="5"/>
      <c r="B82" s="1"/>
      <c r="C82" s="156"/>
      <c r="D82" s="156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</row>
    <row r="83" spans="1:20">
      <c r="A83" s="5"/>
      <c r="B83" s="1"/>
      <c r="C83" s="156"/>
      <c r="D83" s="156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</row>
    <row r="84" spans="1:20">
      <c r="A84" s="5"/>
      <c r="B84" s="1"/>
      <c r="C84" s="156"/>
      <c r="D84" s="156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</row>
    <row r="85" spans="1:20">
      <c r="A85" s="5"/>
      <c r="B85" s="1"/>
      <c r="C85" s="156"/>
      <c r="D85" s="156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</row>
    <row r="86" spans="1:20">
      <c r="A86" s="5"/>
      <c r="B86" s="1"/>
      <c r="C86" s="156"/>
      <c r="D86" s="156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</row>
    <row r="87" spans="1:20">
      <c r="A87" s="5"/>
      <c r="B87" s="1"/>
      <c r="C87" s="156"/>
      <c r="D87" s="156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</row>
    <row r="88" spans="1:20">
      <c r="A88" s="5"/>
      <c r="B88" s="1"/>
      <c r="C88" s="156"/>
      <c r="D88" s="156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</row>
    <row r="89" spans="1:20">
      <c r="A89" s="5"/>
      <c r="B89" s="1"/>
      <c r="C89" s="156"/>
      <c r="D89" s="156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</row>
    <row r="90" spans="1:20">
      <c r="D90" s="13"/>
    </row>
    <row r="91" spans="1:20">
      <c r="D91" s="13"/>
    </row>
    <row r="92" spans="1:20" ht="20.25">
      <c r="B92" s="30" t="s">
        <v>49</v>
      </c>
      <c r="D92" s="13"/>
    </row>
    <row r="93" spans="1:20" ht="16.5">
      <c r="A93" s="3" t="s">
        <v>11</v>
      </c>
      <c r="B93" s="5" t="s">
        <v>12</v>
      </c>
      <c r="C93" s="1" t="s">
        <v>13</v>
      </c>
      <c r="D93" s="1" t="s">
        <v>14</v>
      </c>
      <c r="E93" s="1" t="s">
        <v>4</v>
      </c>
      <c r="F93" s="1" t="s">
        <v>5</v>
      </c>
      <c r="G93" s="5" t="s">
        <v>6</v>
      </c>
      <c r="H93" s="1" t="s">
        <v>7</v>
      </c>
      <c r="I93" s="5" t="s">
        <v>8</v>
      </c>
      <c r="J93" s="5" t="s">
        <v>9</v>
      </c>
      <c r="K93" s="1" t="s">
        <v>10</v>
      </c>
      <c r="L93" s="5" t="s">
        <v>35</v>
      </c>
      <c r="M93" s="5" t="s">
        <v>36</v>
      </c>
      <c r="N93" s="5" t="s">
        <v>37</v>
      </c>
      <c r="O93" s="7" t="s">
        <v>38</v>
      </c>
      <c r="P93" s="7" t="s">
        <v>39</v>
      </c>
      <c r="Q93" s="7" t="s">
        <v>40</v>
      </c>
      <c r="R93" s="10" t="s">
        <v>41</v>
      </c>
      <c r="S93" s="10" t="s">
        <v>42</v>
      </c>
      <c r="T93" s="10" t="s">
        <v>43</v>
      </c>
    </row>
    <row r="94" spans="1:20" ht="15.75">
      <c r="A94" s="5" t="s">
        <v>12</v>
      </c>
      <c r="B94">
        <v>0</v>
      </c>
      <c r="C94">
        <f>B95</f>
        <v>7.8842268107504054E-5</v>
      </c>
      <c r="D94" s="13">
        <f>B96</f>
        <v>3.8493557133341127E-3</v>
      </c>
      <c r="E94">
        <f>B97</f>
        <v>9.0359168358991049E-3</v>
      </c>
      <c r="F94">
        <f>B98</f>
        <v>5.141410554299064E-6</v>
      </c>
      <c r="G94">
        <f>B99</f>
        <v>8.2914546531983602E-3</v>
      </c>
      <c r="H94">
        <f>B100</f>
        <v>2.2901918734085758E-2</v>
      </c>
      <c r="I94">
        <f>B101</f>
        <v>4.0053958941838164E-2</v>
      </c>
      <c r="J94">
        <f>B102</f>
        <v>1</v>
      </c>
      <c r="K94">
        <f>B103</f>
        <v>5.0070484071858545E-2</v>
      </c>
      <c r="L94">
        <f>B104</f>
        <v>5.2093059982389556E-2</v>
      </c>
      <c r="M94">
        <f>B105</f>
        <v>7.3394256378375933E-2</v>
      </c>
      <c r="N94">
        <f>B106</f>
        <v>8.1221024824747912E-2</v>
      </c>
      <c r="O94">
        <f>B107</f>
        <v>7.8180508865288378E-2</v>
      </c>
      <c r="P94">
        <f>B108</f>
        <v>0.1125318233992848</v>
      </c>
      <c r="Q94">
        <f>B109</f>
        <v>0.15553842922459515</v>
      </c>
      <c r="R94">
        <f>B110</f>
        <v>0.19731180713975971</v>
      </c>
      <c r="S94">
        <f>B111</f>
        <v>6.6593824668237822E-2</v>
      </c>
      <c r="T94" t="e">
        <f>B112</f>
        <v>#DIV/0!</v>
      </c>
    </row>
    <row r="95" spans="1:20" ht="15.75">
      <c r="A95" s="1" t="s">
        <v>13</v>
      </c>
      <c r="B95">
        <f>1-8*($C$115*C116)^(1/2)/($C$115^(1/3)+C116^(1/3))^3</f>
        <v>7.8842268107504054E-5</v>
      </c>
      <c r="C95">
        <v>0</v>
      </c>
      <c r="D95" s="13">
        <f>C96</f>
        <v>2.8292532458353836E-3</v>
      </c>
      <c r="E95">
        <f>C97</f>
        <v>1.0786143200821496E-2</v>
      </c>
      <c r="F95">
        <f>C98</f>
        <v>1.2424622395501572E-4</v>
      </c>
      <c r="G95">
        <f>C99</f>
        <v>9.9725571878540586E-3</v>
      </c>
      <c r="H95">
        <f>C100</f>
        <v>2.5605041106323778E-2</v>
      </c>
      <c r="I95">
        <f>C101</f>
        <v>4.3544614388448033E-2</v>
      </c>
      <c r="J95">
        <f>C102</f>
        <v>1</v>
      </c>
      <c r="K95">
        <f>C103</f>
        <v>5.3925901153551004E-2</v>
      </c>
      <c r="L95">
        <f>C104</f>
        <v>5.6016174964729659E-2</v>
      </c>
      <c r="M95">
        <f>C105</f>
        <v>7.7938608926744979E-2</v>
      </c>
      <c r="N95">
        <f>C106</f>
        <v>8.5959833634922433E-2</v>
      </c>
      <c r="O95">
        <f>C107</f>
        <v>8.2845594930115785E-2</v>
      </c>
      <c r="P95">
        <f>C108</f>
        <v>0.11791893409615362</v>
      </c>
      <c r="Q95">
        <f>C109</f>
        <v>0.16157259869238605</v>
      </c>
      <c r="R95">
        <f>C110</f>
        <v>0.20378560345140195</v>
      </c>
      <c r="S95">
        <f>C111</f>
        <v>7.0955892640268359E-2</v>
      </c>
      <c r="T95" t="e">
        <f>C112</f>
        <v>#DIV/0!</v>
      </c>
    </row>
    <row r="96" spans="1:20" ht="15.75">
      <c r="A96" s="1" t="s">
        <v>14</v>
      </c>
      <c r="B96">
        <f t="shared" ref="B96:B112" si="0">1-8*($C$115*C117)^(1/2)/($C$115^(1/3)+C117^(1/3))^3</f>
        <v>3.8493557133341127E-3</v>
      </c>
      <c r="C96">
        <f>1-8*($C$116*C117)^(1/2)/($C$116^(1/3)+C117^(1/3))^3</f>
        <v>2.8292532458353836E-3</v>
      </c>
      <c r="D96" s="13">
        <v>0</v>
      </c>
      <c r="E96" s="13">
        <f>D97</f>
        <v>2.4415628442942316E-2</v>
      </c>
      <c r="F96" s="13">
        <f>D98</f>
        <v>4.1347922161479866E-3</v>
      </c>
      <c r="G96" s="13">
        <f>D99</f>
        <v>2.3198661158686962E-2</v>
      </c>
      <c r="H96" s="13">
        <f>D100</f>
        <v>4.4754508175508412E-2</v>
      </c>
      <c r="I96" s="13">
        <f>D101</f>
        <v>6.7194225601913793E-2</v>
      </c>
      <c r="J96" s="13">
        <f>D102</f>
        <v>1</v>
      </c>
      <c r="K96" s="13">
        <f>D103</f>
        <v>7.9638470952540841E-2</v>
      </c>
      <c r="L96" s="13">
        <f>D104</f>
        <v>8.2109990956412582E-2</v>
      </c>
      <c r="M96" s="13">
        <f>D105</f>
        <v>0.10750464992461617</v>
      </c>
      <c r="N96" s="13">
        <f>D106</f>
        <v>0.11660195000988538</v>
      </c>
      <c r="O96" s="13">
        <f>D107</f>
        <v>0.11308040988351409</v>
      </c>
      <c r="P96" s="13">
        <f>D108</f>
        <v>0.1521028306397133</v>
      </c>
      <c r="Q96" s="13">
        <f>D109</f>
        <v>0.19919533466645656</v>
      </c>
      <c r="R96" s="13">
        <f>D110</f>
        <v>0.24365042235622991</v>
      </c>
      <c r="S96" s="13">
        <f>D111</f>
        <v>9.9508299811471246E-2</v>
      </c>
      <c r="T96" s="13" t="e">
        <f>D112</f>
        <v>#DIV/0!</v>
      </c>
    </row>
    <row r="97" spans="1:20">
      <c r="A97" s="1" t="s">
        <v>4</v>
      </c>
      <c r="B97">
        <f t="shared" si="0"/>
        <v>9.0359168358991049E-3</v>
      </c>
      <c r="C97">
        <f t="shared" ref="C97:C112" si="1">1-8*($C$116*C118)^(1/2)/($C$116^(1/3)+C118^(1/3))^3</f>
        <v>1.0786143200821496E-2</v>
      </c>
      <c r="D97" s="13">
        <f>1-8*($C$117*C118)^(1/2)/($C$117^(1/3)+C118^(1/3))^3</f>
        <v>2.4415628442942316E-2</v>
      </c>
      <c r="E97">
        <v>0</v>
      </c>
      <c r="F97">
        <f>E98</f>
        <v>8.6133837954806003E-3</v>
      </c>
      <c r="G97">
        <f>E99</f>
        <v>1.6257195926461243E-5</v>
      </c>
      <c r="H97">
        <f>E100</f>
        <v>3.2523185479035321E-3</v>
      </c>
      <c r="I97">
        <f>E101</f>
        <v>1.1437344607055921E-2</v>
      </c>
      <c r="J97">
        <f>E102</f>
        <v>1</v>
      </c>
      <c r="K97">
        <f>E103</f>
        <v>1.7232286147083609E-2</v>
      </c>
      <c r="L97">
        <f>E104</f>
        <v>1.8466111084030845E-2</v>
      </c>
      <c r="M97">
        <f>E105</f>
        <v>3.2443865989990939E-2</v>
      </c>
      <c r="N97">
        <f>E106</f>
        <v>3.7943142366413718E-2</v>
      </c>
      <c r="O97">
        <f>E107</f>
        <v>3.5787201389832601E-2</v>
      </c>
      <c r="P97">
        <f>E108</f>
        <v>6.134382050267051E-2</v>
      </c>
      <c r="Q97" s="13">
        <f>E109</f>
        <v>9.6137106485800761E-2</v>
      </c>
      <c r="R97">
        <f>E110</f>
        <v>0.13201587962169592</v>
      </c>
      <c r="S97">
        <f>E111</f>
        <v>2.7809181533998695E-2</v>
      </c>
      <c r="T97" t="e">
        <f>E112</f>
        <v>#DIV/0!</v>
      </c>
    </row>
    <row r="98" spans="1:20">
      <c r="A98" s="1" t="s">
        <v>5</v>
      </c>
      <c r="B98">
        <f t="shared" si="0"/>
        <v>5.141410554299064E-6</v>
      </c>
      <c r="C98">
        <f t="shared" si="1"/>
        <v>1.2424622395501572E-4</v>
      </c>
      <c r="D98" s="13">
        <f t="shared" ref="D98:D112" si="2">1-8*($C$117*C119)^(1/2)/($C$117^(1/3)+C119^(1/3))^3</f>
        <v>4.1347922161479866E-3</v>
      </c>
      <c r="E98">
        <f>1-8*($C$118*C119)^(1/2)/($C$118^(1/3)+C119^(1/3))^3</f>
        <v>8.6133837954806003E-3</v>
      </c>
      <c r="F98">
        <v>0</v>
      </c>
      <c r="G98">
        <f>F99</f>
        <v>7.8866428386386023E-3</v>
      </c>
      <c r="H98">
        <f>F100</f>
        <v>2.2234774000135071E-2</v>
      </c>
      <c r="I98">
        <f>F101</f>
        <v>3.918416568798555E-2</v>
      </c>
      <c r="J98">
        <f>F102</f>
        <v>1</v>
      </c>
      <c r="K98">
        <f>F103</f>
        <v>4.9106661407083529E-2</v>
      </c>
      <c r="L98">
        <f>F104</f>
        <v>5.1111773045445674E-2</v>
      </c>
      <c r="M98">
        <f>F105</f>
        <v>7.2252497593562448E-2</v>
      </c>
      <c r="N98">
        <f>F106</f>
        <v>8.0028950310086722E-2</v>
      </c>
      <c r="O98">
        <f>F107</f>
        <v>7.7007515456970266E-2</v>
      </c>
      <c r="P98">
        <f>F108</f>
        <v>0.1111716350856885</v>
      </c>
      <c r="Q98">
        <f>F109</f>
        <v>0.1540096804941361</v>
      </c>
      <c r="R98">
        <f>F110</f>
        <v>0.19566777851553308</v>
      </c>
      <c r="S98">
        <f>F111</f>
        <v>6.54991930642701E-2</v>
      </c>
      <c r="T98" t="e">
        <f>F112</f>
        <v>#DIV/0!</v>
      </c>
    </row>
    <row r="99" spans="1:20">
      <c r="A99" s="5" t="s">
        <v>6</v>
      </c>
      <c r="B99">
        <f t="shared" si="0"/>
        <v>8.2914546531983602E-3</v>
      </c>
      <c r="C99">
        <f t="shared" si="1"/>
        <v>9.9725571878540586E-3</v>
      </c>
      <c r="D99" s="13">
        <f t="shared" si="2"/>
        <v>2.3198661158686962E-2</v>
      </c>
      <c r="E99">
        <f t="shared" ref="E99:E112" si="3">1-8*($C$118*C120)^(1/2)/($C$118^(1/3)+C120^(1/3))^3</f>
        <v>1.6257195926461243E-5</v>
      </c>
      <c r="F99">
        <f>1-8*($C$119*C120)^(1/2)/($C$119^(1/3)+C120^(1/3))^3</f>
        <v>7.8866428386386023E-3</v>
      </c>
      <c r="G99">
        <v>0</v>
      </c>
      <c r="H99">
        <f>G100</f>
        <v>3.7268892824529054E-3</v>
      </c>
      <c r="I99">
        <f>G101</f>
        <v>1.2306278155059913E-2</v>
      </c>
      <c r="J99">
        <f>G102</f>
        <v>1</v>
      </c>
      <c r="K99">
        <f>G103</f>
        <v>1.8289355855805822E-2</v>
      </c>
      <c r="L99">
        <f>G104</f>
        <v>1.9558519624581439E-2</v>
      </c>
      <c r="M99">
        <f>G105</f>
        <v>3.3867442666266068E-2</v>
      </c>
      <c r="N99">
        <f>G106</f>
        <v>3.9473215680394413E-2</v>
      </c>
      <c r="O99">
        <f>G107</f>
        <v>3.7276724069487233E-2</v>
      </c>
      <c r="P99">
        <f>G108</f>
        <v>6.3241117738800923E-2</v>
      </c>
      <c r="Q99">
        <f>G109</f>
        <v>9.8426749658926171E-2</v>
      </c>
      <c r="R99">
        <f>G110</f>
        <v>0.1345976467900909</v>
      </c>
      <c r="S99">
        <f>G111</f>
        <v>2.9134224398605912E-2</v>
      </c>
      <c r="T99" t="e">
        <f>G112</f>
        <v>#DIV/0!</v>
      </c>
    </row>
    <row r="100" spans="1:20">
      <c r="A100" s="1" t="s">
        <v>7</v>
      </c>
      <c r="B100">
        <f t="shared" si="0"/>
        <v>2.2901918734085758E-2</v>
      </c>
      <c r="C100">
        <f t="shared" si="1"/>
        <v>2.5605041106323778E-2</v>
      </c>
      <c r="D100" s="13">
        <f t="shared" si="2"/>
        <v>4.4754508175508412E-2</v>
      </c>
      <c r="E100">
        <f t="shared" si="3"/>
        <v>3.2523185479035321E-3</v>
      </c>
      <c r="F100">
        <f t="shared" ref="F100:F112" si="4">1-8*($C$119*C121)^(1/2)/($C$119^(1/3)+C121^(1/3))^3</f>
        <v>2.2234774000135071E-2</v>
      </c>
      <c r="G100">
        <f>1-8*($C$120*C121)^(1/2)/($C$120^(1/3)+C121^(1/3))^3</f>
        <v>3.7268892824529054E-3</v>
      </c>
      <c r="H100">
        <v>0</v>
      </c>
      <c r="I100">
        <f>H101</f>
        <v>2.5197579596132336E-3</v>
      </c>
      <c r="J100">
        <f>H102</f>
        <v>1</v>
      </c>
      <c r="K100">
        <f>H103</f>
        <v>5.5884706791041738E-3</v>
      </c>
      <c r="L100">
        <f>H104</f>
        <v>6.3084304665553814E-3</v>
      </c>
      <c r="M100">
        <f>H105</f>
        <v>1.5441650526515138E-2</v>
      </c>
      <c r="N100">
        <f>H106</f>
        <v>1.9371215981901502E-2</v>
      </c>
      <c r="O100">
        <f>H107</f>
        <v>1.7813688396539185E-2</v>
      </c>
      <c r="P100">
        <f>H108</f>
        <v>3.730912274932674E-2</v>
      </c>
      <c r="Q100">
        <f>H109</f>
        <v>6.6161713206429051E-2</v>
      </c>
      <c r="R100">
        <f>H110</f>
        <v>9.7519526799367928E-2</v>
      </c>
      <c r="S100">
        <f>H111</f>
        <v>1.2254030022731288E-2</v>
      </c>
      <c r="T100" t="e">
        <f>H112</f>
        <v>#DIV/0!</v>
      </c>
    </row>
    <row r="101" spans="1:20">
      <c r="A101" s="5" t="s">
        <v>8</v>
      </c>
      <c r="B101">
        <f t="shared" si="0"/>
        <v>4.0053958941838164E-2</v>
      </c>
      <c r="C101">
        <f t="shared" si="1"/>
        <v>4.3544614388448033E-2</v>
      </c>
      <c r="D101" s="13">
        <f t="shared" si="2"/>
        <v>6.7194225601913793E-2</v>
      </c>
      <c r="E101">
        <f t="shared" si="3"/>
        <v>1.1437344607055921E-2</v>
      </c>
      <c r="F101">
        <f t="shared" si="4"/>
        <v>3.918416568798555E-2</v>
      </c>
      <c r="G101">
        <f t="shared" ref="G101:G110" si="5">1-8*($C$120*C122)^(1/2)/($C$120^(1/3)+C122^(1/3))^3</f>
        <v>1.2306278155059913E-2</v>
      </c>
      <c r="H101">
        <f>1-8*($C$121*C122)^(1/2)/($C$121^(1/3)+C122^(1/3))^3</f>
        <v>2.5197579596132336E-3</v>
      </c>
      <c r="I101">
        <v>0</v>
      </c>
      <c r="J101">
        <f>I102</f>
        <v>1</v>
      </c>
      <c r="K101">
        <f>I103</f>
        <v>6.073106670969608E-4</v>
      </c>
      <c r="L101">
        <f>I104</f>
        <v>8.6058206600414522E-4</v>
      </c>
      <c r="M101">
        <f>I105</f>
        <v>5.5492766672751159E-3</v>
      </c>
      <c r="N101">
        <f>I106</f>
        <v>8.0205174698717574E-3</v>
      </c>
      <c r="O101">
        <f>I107</f>
        <v>7.020041007178901E-3</v>
      </c>
      <c r="P101">
        <f>I108</f>
        <v>2.0805940963605551E-2</v>
      </c>
      <c r="Q101">
        <f>I109</f>
        <v>4.3894189291941887E-2</v>
      </c>
      <c r="R101">
        <f>I110</f>
        <v>7.0715197790038653E-2</v>
      </c>
      <c r="S101">
        <f>I111</f>
        <v>3.6979334943085806E-3</v>
      </c>
      <c r="T101" t="e">
        <f>I112</f>
        <v>#DIV/0!</v>
      </c>
    </row>
    <row r="102" spans="1:20">
      <c r="A102" s="5" t="s">
        <v>9</v>
      </c>
      <c r="B102">
        <f t="shared" si="0"/>
        <v>1</v>
      </c>
      <c r="C102">
        <f t="shared" si="1"/>
        <v>1</v>
      </c>
      <c r="D102" s="13">
        <f t="shared" si="2"/>
        <v>1</v>
      </c>
      <c r="E102">
        <f t="shared" si="3"/>
        <v>1</v>
      </c>
      <c r="F102">
        <f t="shared" si="4"/>
        <v>1</v>
      </c>
      <c r="G102">
        <f t="shared" si="5"/>
        <v>1</v>
      </c>
      <c r="H102">
        <f t="shared" ref="H102:H112" si="6">1-8*($C$121*C123)^(1/2)/($C$121^(1/3)+C123^(1/3))^3</f>
        <v>1</v>
      </c>
      <c r="I102">
        <f>1-8*($C$122*C123)^(1/2)/($C$122^(1/3)+C123^(1/3))^3</f>
        <v>1</v>
      </c>
      <c r="J102">
        <v>0</v>
      </c>
      <c r="K102">
        <f>J103</f>
        <v>1</v>
      </c>
      <c r="L102">
        <f>J104</f>
        <v>1</v>
      </c>
      <c r="M102">
        <f>J105</f>
        <v>1</v>
      </c>
      <c r="N102">
        <f>J106</f>
        <v>1</v>
      </c>
      <c r="O102">
        <f>J107</f>
        <v>1</v>
      </c>
      <c r="P102">
        <f>J108</f>
        <v>1</v>
      </c>
      <c r="Q102">
        <f>J109</f>
        <v>1</v>
      </c>
      <c r="R102">
        <f>J110</f>
        <v>1</v>
      </c>
      <c r="S102">
        <f>J111</f>
        <v>1</v>
      </c>
      <c r="T102" t="e">
        <f>J112</f>
        <v>#DIV/0!</v>
      </c>
    </row>
    <row r="103" spans="1:20">
      <c r="A103" s="1" t="s">
        <v>10</v>
      </c>
      <c r="B103">
        <f t="shared" si="0"/>
        <v>5.0070484071858545E-2</v>
      </c>
      <c r="C103">
        <f t="shared" si="1"/>
        <v>5.3925901153551004E-2</v>
      </c>
      <c r="D103" s="13">
        <f t="shared" si="2"/>
        <v>7.9638470952540841E-2</v>
      </c>
      <c r="E103">
        <f t="shared" si="3"/>
        <v>1.7232286147083609E-2</v>
      </c>
      <c r="F103">
        <f t="shared" si="4"/>
        <v>4.9106661407083529E-2</v>
      </c>
      <c r="G103">
        <f t="shared" si="5"/>
        <v>1.8289355855805822E-2</v>
      </c>
      <c r="H103">
        <f t="shared" si="6"/>
        <v>5.5884706791041738E-3</v>
      </c>
      <c r="I103">
        <f t="shared" ref="I103:I112" si="7">1-8*($C$122*C124)^(1/2)/($C$122^(1/3)+C124^(1/3))^3</f>
        <v>6.073106670969608E-4</v>
      </c>
      <c r="J103">
        <f>1-8*($C$123*C124)^(1/2)/($C$123^(1/3)+C124^(1/3))^3</f>
        <v>1</v>
      </c>
      <c r="K103">
        <v>0</v>
      </c>
      <c r="L103">
        <f>K104</f>
        <v>2.2044120224218311E-5</v>
      </c>
      <c r="M103">
        <f>K105</f>
        <v>2.4933885995946925E-3</v>
      </c>
      <c r="N103">
        <f>K106</f>
        <v>4.2308919923986776E-3</v>
      </c>
      <c r="O103">
        <f>K107</f>
        <v>3.5110598218683897E-3</v>
      </c>
      <c r="P103">
        <f>K108</f>
        <v>1.4397680817747727E-2</v>
      </c>
      <c r="Q103">
        <f>K109</f>
        <v>3.450185218509072E-2</v>
      </c>
      <c r="R103">
        <f>K110</f>
        <v>5.8924206585318606E-2</v>
      </c>
      <c r="S103">
        <f>K111</f>
        <v>1.3116509092671036E-3</v>
      </c>
      <c r="T103" t="e">
        <f>K112</f>
        <v>#DIV/0!</v>
      </c>
    </row>
    <row r="104" spans="1:20">
      <c r="A104" s="5" t="s">
        <v>35</v>
      </c>
      <c r="B104">
        <f t="shared" si="0"/>
        <v>5.2093059982389556E-2</v>
      </c>
      <c r="C104">
        <f t="shared" si="1"/>
        <v>5.6016174964729659E-2</v>
      </c>
      <c r="D104" s="13">
        <f t="shared" si="2"/>
        <v>8.2109990956412582E-2</v>
      </c>
      <c r="E104">
        <f t="shared" si="3"/>
        <v>1.8466111084030845E-2</v>
      </c>
      <c r="F104">
        <f t="shared" si="4"/>
        <v>5.1111773045445674E-2</v>
      </c>
      <c r="G104">
        <f t="shared" si="5"/>
        <v>1.9558519624581439E-2</v>
      </c>
      <c r="H104">
        <f t="shared" si="6"/>
        <v>6.3084304665553814E-3</v>
      </c>
      <c r="I104">
        <f t="shared" si="7"/>
        <v>8.6058206600414522E-4</v>
      </c>
      <c r="J104">
        <f t="shared" ref="J104:J111" si="8">1-8*($C$123*C125)^(1/2)/($C$123^(1/3)+C125^(1/3))^3</f>
        <v>1</v>
      </c>
      <c r="K104">
        <f>1-8*($C$124*C125)^(1/2)/($C$124^(1/3)+C125^(1/3))^3</f>
        <v>2.2044120224218311E-5</v>
      </c>
      <c r="L104">
        <v>0</v>
      </c>
      <c r="M104">
        <f>L105</f>
        <v>2.0474223229778321E-3</v>
      </c>
      <c r="N104">
        <f>L106</f>
        <v>3.6441860050983044E-3</v>
      </c>
      <c r="O104">
        <f>L107</f>
        <v>2.9782123049651998E-3</v>
      </c>
      <c r="P104">
        <f>L108</f>
        <v>1.3306738287056974E-2</v>
      </c>
      <c r="Q104">
        <f>L109</f>
        <v>3.2832260983241435E-2</v>
      </c>
      <c r="R104">
        <f>L110</f>
        <v>5.6785805287460245E-2</v>
      </c>
      <c r="S104">
        <f>L111</f>
        <v>9.9392141081988683E-4</v>
      </c>
      <c r="T104" t="e">
        <f>L112</f>
        <v>#DIV/0!</v>
      </c>
    </row>
    <row r="105" spans="1:20">
      <c r="A105" s="5" t="s">
        <v>36</v>
      </c>
      <c r="B105">
        <f t="shared" si="0"/>
        <v>7.3394256378375933E-2</v>
      </c>
      <c r="C105">
        <f t="shared" si="1"/>
        <v>7.7938608926744979E-2</v>
      </c>
      <c r="D105" s="13">
        <f t="shared" si="2"/>
        <v>0.10750464992461617</v>
      </c>
      <c r="E105">
        <f t="shared" si="3"/>
        <v>3.2443865989990939E-2</v>
      </c>
      <c r="F105">
        <f t="shared" si="4"/>
        <v>7.2252497593562448E-2</v>
      </c>
      <c r="G105">
        <f t="shared" si="5"/>
        <v>3.3867442666266068E-2</v>
      </c>
      <c r="H105">
        <f t="shared" si="6"/>
        <v>1.5441650526515138E-2</v>
      </c>
      <c r="I105">
        <f t="shared" si="7"/>
        <v>5.5492766672751159E-3</v>
      </c>
      <c r="J105">
        <f t="shared" si="8"/>
        <v>1</v>
      </c>
      <c r="K105">
        <f t="shared" ref="K105:K112" si="9">1-8*($C$124*C126)^(1/2)/($C$124^(1/3)+C126^(1/3))^3</f>
        <v>2.4933885995946925E-3</v>
      </c>
      <c r="L105">
        <f>1-8*($C$125*C126)^(1/2)/($C$125^(1/3)+C126^(1/3))^3</f>
        <v>2.0474223229778321E-3</v>
      </c>
      <c r="M105">
        <v>0</v>
      </c>
      <c r="N105">
        <f>M106</f>
        <v>2.2972250082065049E-4</v>
      </c>
      <c r="O105">
        <f>M107</f>
        <v>8.7342225804643014E-5</v>
      </c>
      <c r="P105">
        <f>M108</f>
        <v>4.9623036695269906E-3</v>
      </c>
      <c r="Q105">
        <f>M109</f>
        <v>1.8763326658789325E-2</v>
      </c>
      <c r="R105">
        <f>M110</f>
        <v>3.8017833194676443E-2</v>
      </c>
      <c r="S105">
        <f>M111</f>
        <v>1.8878486386997295E-4</v>
      </c>
      <c r="T105" t="e">
        <f>M112</f>
        <v>#DIV/0!</v>
      </c>
    </row>
    <row r="106" spans="1:20">
      <c r="A106" s="5" t="s">
        <v>37</v>
      </c>
      <c r="B106">
        <f t="shared" si="0"/>
        <v>8.1221024824747912E-2</v>
      </c>
      <c r="C106">
        <f t="shared" si="1"/>
        <v>8.5959833634922433E-2</v>
      </c>
      <c r="D106" s="13">
        <f t="shared" si="2"/>
        <v>0.11660195000988538</v>
      </c>
      <c r="E106">
        <f t="shared" si="3"/>
        <v>3.7943142366413718E-2</v>
      </c>
      <c r="F106">
        <f t="shared" si="4"/>
        <v>8.0028950310086722E-2</v>
      </c>
      <c r="G106">
        <f t="shared" si="5"/>
        <v>3.9473215680394413E-2</v>
      </c>
      <c r="H106">
        <f t="shared" si="6"/>
        <v>1.9371215981901502E-2</v>
      </c>
      <c r="I106">
        <f t="shared" si="7"/>
        <v>8.0205174698717574E-3</v>
      </c>
      <c r="J106">
        <f>1-8*($C$123*C127)^(1/2)/($C$123^(1/3)+C127^(1/3))^3</f>
        <v>1</v>
      </c>
      <c r="K106">
        <f t="shared" si="9"/>
        <v>4.2308919923986776E-3</v>
      </c>
      <c r="L106">
        <f t="shared" ref="L106:L112" si="10">1-8*($C$125*C127)^(1/2)/($C$125^(1/3)+C127^(1/3))^3</f>
        <v>3.6441860050983044E-3</v>
      </c>
      <c r="M106">
        <f>1-8*($C$126*C127)^(1/2)/($C$126^(1/3)+C127^(1/3))^3</f>
        <v>2.2972250082065049E-4</v>
      </c>
      <c r="N106">
        <v>0</v>
      </c>
      <c r="O106">
        <f>N107</f>
        <v>3.3775247758938143E-5</v>
      </c>
      <c r="P106">
        <f>N108</f>
        <v>3.0626480293057812E-3</v>
      </c>
      <c r="Q106">
        <f>N109</f>
        <v>1.4897470644811506E-2</v>
      </c>
      <c r="R106">
        <f>N110</f>
        <v>3.2513297705688671E-2</v>
      </c>
      <c r="S106">
        <f>N111</f>
        <v>8.3468897503069517E-4</v>
      </c>
      <c r="T106" t="e">
        <f>N112</f>
        <v>#DIV/0!</v>
      </c>
    </row>
    <row r="107" spans="1:20">
      <c r="A107" s="7" t="s">
        <v>38</v>
      </c>
      <c r="B107">
        <f t="shared" si="0"/>
        <v>7.8180508865288378E-2</v>
      </c>
      <c r="C107">
        <f t="shared" si="1"/>
        <v>8.2845594930115785E-2</v>
      </c>
      <c r="D107" s="13">
        <f t="shared" si="2"/>
        <v>0.11308040988351409</v>
      </c>
      <c r="E107">
        <f t="shared" si="3"/>
        <v>3.5787201389832601E-2</v>
      </c>
      <c r="F107">
        <f t="shared" si="4"/>
        <v>7.7007515456970266E-2</v>
      </c>
      <c r="G107">
        <f t="shared" si="5"/>
        <v>3.7276724069487233E-2</v>
      </c>
      <c r="H107">
        <f t="shared" si="6"/>
        <v>1.7813688396539185E-2</v>
      </c>
      <c r="I107">
        <f t="shared" si="7"/>
        <v>7.020041007178901E-3</v>
      </c>
      <c r="J107">
        <f>1-8*($C$123*C128)^(1/2)/($C$123^(1/3)+C128^(1/3))^3</f>
        <v>1</v>
      </c>
      <c r="K107">
        <f t="shared" si="9"/>
        <v>3.5110598218683897E-3</v>
      </c>
      <c r="L107">
        <f t="shared" si="10"/>
        <v>2.9782123049651998E-3</v>
      </c>
      <c r="M107">
        <f t="shared" ref="M107:M112" si="11">1-8*($C$126*C128)^(1/2)/($C$126^(1/3)+C128^(1/3))^3</f>
        <v>8.7342225804643014E-5</v>
      </c>
      <c r="N107">
        <f t="shared" ref="N107:N112" si="12">1-8*($C$127*C128)^(1/2)/($C$127^(1/3)+C128^(1/3))^3</f>
        <v>3.3775247758938143E-5</v>
      </c>
      <c r="O107">
        <v>0</v>
      </c>
      <c r="P107">
        <f>O108</f>
        <v>3.737465834661724E-3</v>
      </c>
      <c r="Q107">
        <v>0</v>
      </c>
      <c r="R107">
        <v>0</v>
      </c>
      <c r="S107">
        <v>0</v>
      </c>
      <c r="T107">
        <v>0</v>
      </c>
    </row>
    <row r="108" spans="1:20">
      <c r="A108" s="7" t="s">
        <v>39</v>
      </c>
      <c r="B108">
        <f t="shared" si="0"/>
        <v>0.1125318233992848</v>
      </c>
      <c r="C108">
        <f t="shared" si="1"/>
        <v>0.11791893409615362</v>
      </c>
      <c r="D108" s="13">
        <f t="shared" si="2"/>
        <v>0.1521028306397133</v>
      </c>
      <c r="E108">
        <f t="shared" si="3"/>
        <v>6.134382050267051E-2</v>
      </c>
      <c r="F108">
        <f t="shared" si="4"/>
        <v>0.1111716350856885</v>
      </c>
      <c r="G108">
        <f t="shared" si="5"/>
        <v>6.3241117738800923E-2</v>
      </c>
      <c r="H108">
        <f t="shared" si="6"/>
        <v>3.730912274932674E-2</v>
      </c>
      <c r="I108">
        <f t="shared" si="7"/>
        <v>2.0805940963605551E-2</v>
      </c>
      <c r="J108">
        <f t="shared" si="8"/>
        <v>1</v>
      </c>
      <c r="K108">
        <f t="shared" si="9"/>
        <v>1.4397680817747727E-2</v>
      </c>
      <c r="L108">
        <f t="shared" si="10"/>
        <v>1.3306738287056974E-2</v>
      </c>
      <c r="M108">
        <f t="shared" si="11"/>
        <v>4.9623036695269906E-3</v>
      </c>
      <c r="N108">
        <f t="shared" si="12"/>
        <v>3.0626480293057812E-3</v>
      </c>
      <c r="O108">
        <f>1-8*($C$128*C129)^(1/2)/($C$128^(1/3)+C129^(1/3))^3</f>
        <v>3.737465834661724E-3</v>
      </c>
      <c r="P108">
        <v>0</v>
      </c>
      <c r="Q108">
        <v>0</v>
      </c>
      <c r="R108">
        <v>0</v>
      </c>
      <c r="S108">
        <v>0</v>
      </c>
      <c r="T108">
        <v>0</v>
      </c>
    </row>
    <row r="109" spans="1:20">
      <c r="A109" s="7" t="s">
        <v>40</v>
      </c>
      <c r="B109">
        <f t="shared" si="0"/>
        <v>0.15553842922459515</v>
      </c>
      <c r="C109">
        <f t="shared" si="1"/>
        <v>0.16157259869238605</v>
      </c>
      <c r="D109" s="13">
        <f t="shared" si="2"/>
        <v>0.19919533466645656</v>
      </c>
      <c r="E109">
        <f t="shared" si="3"/>
        <v>9.6137106485800761E-2</v>
      </c>
      <c r="F109">
        <f t="shared" si="4"/>
        <v>0.1540096804941361</v>
      </c>
      <c r="G109">
        <f t="shared" si="5"/>
        <v>9.8426749658926171E-2</v>
      </c>
      <c r="H109">
        <f t="shared" si="6"/>
        <v>6.6161713206429051E-2</v>
      </c>
      <c r="I109">
        <f t="shared" si="7"/>
        <v>4.3894189291941887E-2</v>
      </c>
      <c r="J109">
        <f t="shared" si="8"/>
        <v>1</v>
      </c>
      <c r="K109">
        <f t="shared" si="9"/>
        <v>3.450185218509072E-2</v>
      </c>
      <c r="L109">
        <f t="shared" si="10"/>
        <v>3.2832260983241435E-2</v>
      </c>
      <c r="M109">
        <f t="shared" si="11"/>
        <v>1.8763326658789325E-2</v>
      </c>
      <c r="N109">
        <f t="shared" si="12"/>
        <v>1.4897470644811506E-2</v>
      </c>
      <c r="O109">
        <f>1-8*($C$128*C130)^(1/2)/($C$128^(1/3)+C130^(1/3))^3</f>
        <v>1.6328669654219308E-2</v>
      </c>
      <c r="P109">
        <f>1-8*($C$129*C130)^(1/2)/($C$129^(1/3)+C130^(1/3))^3</f>
        <v>4.5064244476341608E-3</v>
      </c>
      <c r="Q109">
        <v>0</v>
      </c>
      <c r="R109">
        <v>0</v>
      </c>
      <c r="S109">
        <v>0</v>
      </c>
      <c r="T109">
        <v>0</v>
      </c>
    </row>
    <row r="110" spans="1:20">
      <c r="A110" s="10" t="s">
        <v>41</v>
      </c>
      <c r="B110">
        <f t="shared" si="0"/>
        <v>0.19731180713975971</v>
      </c>
      <c r="C110">
        <f t="shared" si="1"/>
        <v>0.20378560345140195</v>
      </c>
      <c r="D110" s="13">
        <f t="shared" si="2"/>
        <v>0.24365042235622991</v>
      </c>
      <c r="E110">
        <f t="shared" si="3"/>
        <v>0.13201587962169592</v>
      </c>
      <c r="F110">
        <f t="shared" si="4"/>
        <v>0.19566777851553308</v>
      </c>
      <c r="G110">
        <f t="shared" si="5"/>
        <v>0.1345976467900909</v>
      </c>
      <c r="H110">
        <f t="shared" si="6"/>
        <v>9.7519526799367928E-2</v>
      </c>
      <c r="I110">
        <f t="shared" si="7"/>
        <v>7.0715197790038653E-2</v>
      </c>
      <c r="J110">
        <f t="shared" si="8"/>
        <v>1</v>
      </c>
      <c r="K110">
        <f t="shared" si="9"/>
        <v>5.8924206585318606E-2</v>
      </c>
      <c r="L110">
        <f t="shared" si="10"/>
        <v>5.6785805287460245E-2</v>
      </c>
      <c r="M110">
        <f t="shared" si="11"/>
        <v>3.8017833194676443E-2</v>
      </c>
      <c r="N110">
        <f t="shared" si="12"/>
        <v>3.2513297705688671E-2</v>
      </c>
      <c r="O110">
        <f>1-8*($C$128*C131)^(1/2)/($C$128^(1/3)+C131^(1/3))^3</f>
        <v>3.4576338788504413E-2</v>
      </c>
      <c r="P110">
        <f>1-8*($C$129*C131)^(1/2)/($C$129^(1/3)+C131^(1/3))^3</f>
        <v>1.5908423553935069E-2</v>
      </c>
      <c r="Q110">
        <f>1-8*($C$130*C131)^(1/2)/($C$130^(1/3)+C131^(1/3))^3</f>
        <v>3.5355499717323324E-3</v>
      </c>
      <c r="R110">
        <v>0</v>
      </c>
      <c r="S110">
        <v>0</v>
      </c>
      <c r="T110">
        <v>0</v>
      </c>
    </row>
    <row r="111" spans="1:20">
      <c r="A111" s="10" t="s">
        <v>42</v>
      </c>
      <c r="B111">
        <f t="shared" si="0"/>
        <v>6.6593824668237822E-2</v>
      </c>
      <c r="C111">
        <f t="shared" si="1"/>
        <v>7.0955892640268359E-2</v>
      </c>
      <c r="D111" s="13">
        <f t="shared" si="2"/>
        <v>9.9508299811471246E-2</v>
      </c>
      <c r="E111">
        <f t="shared" si="3"/>
        <v>2.7809181533998695E-2</v>
      </c>
      <c r="F111">
        <f t="shared" si="4"/>
        <v>6.54991930642701E-2</v>
      </c>
      <c r="G111">
        <f>1-8*($C$120*C132)^(1/2)/($C$120^(1/3)+C132^(1/3))^3</f>
        <v>2.9134224398605912E-2</v>
      </c>
      <c r="H111">
        <f t="shared" si="6"/>
        <v>1.2254030022731288E-2</v>
      </c>
      <c r="I111">
        <f t="shared" si="7"/>
        <v>3.6979334943085806E-3</v>
      </c>
      <c r="J111">
        <f t="shared" si="8"/>
        <v>1</v>
      </c>
      <c r="K111">
        <f t="shared" si="9"/>
        <v>1.3116509092671036E-3</v>
      </c>
      <c r="L111">
        <f t="shared" si="10"/>
        <v>9.9392141081988683E-4</v>
      </c>
      <c r="M111">
        <f t="shared" si="11"/>
        <v>1.8878486386997295E-4</v>
      </c>
      <c r="N111">
        <f t="shared" si="12"/>
        <v>8.3468897503069517E-4</v>
      </c>
      <c r="O111">
        <f>1-8*($C$128*C132)^(1/2)/($C$128^(1/3)+C132^(1/3))^3</f>
        <v>5.3281979229624632E-4</v>
      </c>
      <c r="P111">
        <f>1-8*($C$129*C132)^(1/2)/($C$129^(1/3)+C132^(1/3))^3</f>
        <v>7.0743023704922248E-3</v>
      </c>
      <c r="Q111">
        <f>1-8*($C$130*C132)^(1/2)/($C$130^(1/3)+C132^(1/3))^3</f>
        <v>2.2638006871546379E-2</v>
      </c>
      <c r="R111">
        <f>1-8*($C$131*C132)^(1/2)/($C$131^(1/3)+C132^(1/3))^3</f>
        <v>4.3351013660756554E-2</v>
      </c>
      <c r="S111">
        <v>0</v>
      </c>
      <c r="T111">
        <v>0</v>
      </c>
    </row>
    <row r="112" spans="1:20">
      <c r="A112" s="10" t="s">
        <v>43</v>
      </c>
      <c r="B112" t="e">
        <f t="shared" si="0"/>
        <v>#DIV/0!</v>
      </c>
      <c r="C112" t="e">
        <f t="shared" si="1"/>
        <v>#DIV/0!</v>
      </c>
      <c r="D112" s="13" t="e">
        <f t="shared" si="2"/>
        <v>#DIV/0!</v>
      </c>
      <c r="E112" t="e">
        <f t="shared" si="3"/>
        <v>#DIV/0!</v>
      </c>
      <c r="F112" t="e">
        <f t="shared" si="4"/>
        <v>#DIV/0!</v>
      </c>
      <c r="G112" t="e">
        <f>1-8*($C$120*C133)^(1/2)/($C$120^(1/3)+C133^(1/3))^3</f>
        <v>#DIV/0!</v>
      </c>
      <c r="H112" t="e">
        <f t="shared" si="6"/>
        <v>#DIV/0!</v>
      </c>
      <c r="I112" t="e">
        <f t="shared" si="7"/>
        <v>#DIV/0!</v>
      </c>
      <c r="J112" t="e">
        <f>1-8*($C$123*C133)^(1/2)/($C$123^(1/3)+C133^(1/3))^3</f>
        <v>#DIV/0!</v>
      </c>
      <c r="K112" t="e">
        <f t="shared" si="9"/>
        <v>#DIV/0!</v>
      </c>
      <c r="L112" t="e">
        <f t="shared" si="10"/>
        <v>#DIV/0!</v>
      </c>
      <c r="M112" t="e">
        <f t="shared" si="11"/>
        <v>#DIV/0!</v>
      </c>
      <c r="N112" t="e">
        <f t="shared" si="12"/>
        <v>#DIV/0!</v>
      </c>
      <c r="O112" t="e">
        <f>1-8*($C$128*C133)^(1/2)/($C$128^(1/3)+C133^(1/3))^3</f>
        <v>#DIV/0!</v>
      </c>
      <c r="P112" t="e">
        <f>1-8*($C$129*C133)^(1/2)/($C$129^(1/3)+C133^(1/3))^3</f>
        <v>#DIV/0!</v>
      </c>
      <c r="Q112" t="e">
        <f>1-8*($C$130*C133)^(1/2)/($C$130^(1/3)+C133^(1/3))^3</f>
        <v>#DIV/0!</v>
      </c>
      <c r="R112" t="e">
        <f>1-8*($C$131*C133)^(1/2)/($C$131^(1/3)+C133^(1/3))^3</f>
        <v>#DIV/0!</v>
      </c>
      <c r="S112" t="e">
        <f>1-8*($C$132*C133)^(1/2)/($C$132^(1/3)+C133^(1/3))^3</f>
        <v>#DIV/0!</v>
      </c>
      <c r="T112">
        <v>0</v>
      </c>
    </row>
    <row r="113" spans="1:4">
      <c r="C113" s="13"/>
      <c r="D113" s="13"/>
    </row>
    <row r="114" spans="1:4">
      <c r="B114" t="s">
        <v>50</v>
      </c>
      <c r="C114" s="13" t="s">
        <v>51</v>
      </c>
      <c r="D114" s="13"/>
    </row>
    <row r="115" spans="1:4" ht="15.75">
      <c r="A115" s="5" t="s">
        <v>12</v>
      </c>
      <c r="B115">
        <v>0.27407999999999999</v>
      </c>
      <c r="C115" s="13">
        <f>8.31*B115*PVT_Mod!F2/PVT_Mod!G2</f>
        <v>93.95204594265293</v>
      </c>
      <c r="D115" s="13"/>
    </row>
    <row r="116" spans="1:4" ht="15.75">
      <c r="A116" s="1" t="s">
        <v>13</v>
      </c>
      <c r="B116">
        <v>0.29115000000000002</v>
      </c>
      <c r="C116" s="13">
        <f>8.31*B116*PVT_Mod!F3/PVT_Mod!G3</f>
        <v>89.952689812632585</v>
      </c>
      <c r="D116" s="13"/>
    </row>
    <row r="117" spans="1:4" ht="15.75">
      <c r="A117" s="1" t="s">
        <v>14</v>
      </c>
      <c r="B117">
        <v>0.28472999999999998</v>
      </c>
      <c r="C117" s="13">
        <f>8.31*B117*PVT_Mod!F4/PVT_Mod!G4</f>
        <v>69.302289954298644</v>
      </c>
      <c r="D117" s="13"/>
    </row>
    <row r="118" spans="1:4">
      <c r="A118" s="1" t="s">
        <v>4</v>
      </c>
      <c r="B118">
        <v>0.28462999999999999</v>
      </c>
      <c r="C118" s="13">
        <f>8.31*B118*PVT_Mod!F5/PVT_Mod!G5</f>
        <v>149.86898872435108</v>
      </c>
      <c r="D118" s="13"/>
    </row>
    <row r="119" spans="1:4">
      <c r="A119" s="1" t="s">
        <v>5</v>
      </c>
      <c r="B119">
        <v>0.27616000000000002</v>
      </c>
      <c r="C119" s="13">
        <f>8.31*B119*PVT_Mod!F7/PVT_Mod!G7</f>
        <v>95.001511176751677</v>
      </c>
      <c r="D119" s="13"/>
    </row>
    <row r="120" spans="1:4">
      <c r="A120" s="5" t="s">
        <v>6</v>
      </c>
      <c r="B120">
        <v>0.28273999999999999</v>
      </c>
      <c r="C120" s="13">
        <f>8.31*B120*PVT_Mod!F8/PVT_Mod!G8</f>
        <v>146.93768951903195</v>
      </c>
      <c r="D120" s="13"/>
    </row>
    <row r="121" spans="1:4">
      <c r="A121" s="1" t="s">
        <v>7</v>
      </c>
      <c r="B121">
        <v>0.27385999999999999</v>
      </c>
      <c r="C121" s="13">
        <f>8.31*B121*PVT_Mod!F9/PVT_Mod!G9</f>
        <v>198.22922781297845</v>
      </c>
      <c r="D121" s="13"/>
    </row>
    <row r="122" spans="1:4">
      <c r="A122" s="5" t="s">
        <v>8</v>
      </c>
      <c r="B122">
        <v>0.27271000000000001</v>
      </c>
      <c r="C122" s="13">
        <f>8.31*B122*PVT_Mod!F10/PVT_Mod!G10</f>
        <v>253.54179971214745</v>
      </c>
      <c r="D122" s="13"/>
    </row>
    <row r="123" spans="1:4">
      <c r="A123" s="5" t="s">
        <v>9</v>
      </c>
      <c r="C123" s="13"/>
      <c r="D123" s="13"/>
    </row>
    <row r="124" spans="1:4">
      <c r="A124" s="1" t="s">
        <v>10</v>
      </c>
      <c r="B124">
        <v>0.25041999999999998</v>
      </c>
      <c r="C124" s="13">
        <f>8.31*B124*PVT_Mod!F12/PVT_Mod!G12</f>
        <v>286.08242377692534</v>
      </c>
      <c r="D124" s="13"/>
    </row>
    <row r="125" spans="1:4">
      <c r="A125" s="5" t="s">
        <v>35</v>
      </c>
      <c r="B125">
        <v>0.25280999999999998</v>
      </c>
      <c r="C125" s="13">
        <f>8.31*B125*PVT_Mod!F13/PVT_Mod!G13</f>
        <v>292.73899188748106</v>
      </c>
      <c r="D125" s="13"/>
    </row>
    <row r="126" spans="1:4">
      <c r="A126" s="5" t="s">
        <v>36</v>
      </c>
      <c r="B126">
        <v>0.26082</v>
      </c>
      <c r="C126" s="13">
        <f>8.31*B126*PVT_Mod!F14/PVT_Mod!G14</f>
        <v>365.4361151162791</v>
      </c>
      <c r="D126" s="13"/>
    </row>
    <row r="127" spans="1:4">
      <c r="A127" s="5" t="s">
        <v>37</v>
      </c>
      <c r="B127">
        <v>0.25394</v>
      </c>
      <c r="C127" s="13">
        <f>8.31*B127*PVT_Mod!F15/PVT_Mod!G15</f>
        <v>393.60527134104831</v>
      </c>
      <c r="D127" s="13"/>
    </row>
    <row r="128" spans="1:4">
      <c r="A128" s="7" t="s">
        <v>38</v>
      </c>
      <c r="B128">
        <v>0.21939</v>
      </c>
      <c r="C128" s="13">
        <f>8.31*B128*PVT_Mod!F16/PVT_Mod!G16</f>
        <v>382.5567933334529</v>
      </c>
      <c r="D128" s="13"/>
    </row>
    <row r="129" spans="1:4">
      <c r="A129" s="7" t="s">
        <v>39</v>
      </c>
      <c r="B129">
        <v>0.21240999999999999</v>
      </c>
      <c r="C129" s="13">
        <f>8.31*B129*PVT_Mod!F17/PVT_Mod!G17</f>
        <v>516.31555019514383</v>
      </c>
      <c r="D129" s="13"/>
    </row>
    <row r="130" spans="1:4">
      <c r="A130" s="7" t="s">
        <v>40</v>
      </c>
      <c r="B130">
        <v>0.21</v>
      </c>
      <c r="C130" s="13">
        <f>8.31*B130*PVT_Mod!F18/PVT_Mod!G18</f>
        <v>717.69176500000003</v>
      </c>
      <c r="D130" s="13"/>
    </row>
    <row r="131" spans="1:4">
      <c r="A131" s="10" t="s">
        <v>41</v>
      </c>
      <c r="B131">
        <v>0.20899999999999999</v>
      </c>
      <c r="C131" s="13">
        <f>8.31*B131*PVT_Mod!F19/PVT_Mod!G19</f>
        <v>960.68948830985926</v>
      </c>
      <c r="D131" s="13"/>
    </row>
    <row r="132" spans="1:4">
      <c r="A132" s="10" t="s">
        <v>42</v>
      </c>
      <c r="B132">
        <v>0.20849999999999999</v>
      </c>
      <c r="C132" s="13">
        <f>8.31*B132*PVT_Mod!F20/PVT_Mod!G20</f>
        <v>341.646338028169</v>
      </c>
      <c r="D132" s="13"/>
    </row>
    <row r="133" spans="1:4">
      <c r="A133" s="10" t="s">
        <v>43</v>
      </c>
      <c r="B133">
        <v>0.20810000000000001</v>
      </c>
      <c r="C133" s="13" t="e">
        <f>8.31*B133*PVT_Mod!F21/PVT_Mod!G21</f>
        <v>#DIV/0!</v>
      </c>
      <c r="D133" s="13"/>
    </row>
    <row r="134" spans="1:4">
      <c r="C134" s="13"/>
      <c r="D134" s="13"/>
    </row>
    <row r="135" spans="1:4">
      <c r="C135" s="13"/>
      <c r="D135" s="13"/>
    </row>
    <row r="136" spans="1:4">
      <c r="C136" s="13"/>
      <c r="D136" s="13"/>
    </row>
    <row r="137" spans="1:4">
      <c r="C137" s="13"/>
      <c r="D137" s="13"/>
    </row>
    <row r="138" spans="1:4">
      <c r="C138" s="13"/>
      <c r="D138" s="13"/>
    </row>
    <row r="139" spans="1:4">
      <c r="C139" s="13"/>
      <c r="D139" s="13"/>
    </row>
    <row r="140" spans="1:4">
      <c r="C140" s="13"/>
      <c r="D140" s="13"/>
    </row>
    <row r="141" spans="1:4">
      <c r="C141" s="13"/>
      <c r="D141" s="13"/>
    </row>
    <row r="142" spans="1:4">
      <c r="C142" s="13"/>
      <c r="D142" s="13"/>
    </row>
    <row r="143" spans="1:4">
      <c r="C143" s="13"/>
      <c r="D143" s="13"/>
    </row>
    <row r="144" spans="1:4">
      <c r="C144" s="13"/>
      <c r="D144" s="13"/>
    </row>
    <row r="145" spans="3:4">
      <c r="C145" s="13"/>
      <c r="D145" s="13"/>
    </row>
    <row r="146" spans="3:4">
      <c r="C146" s="13"/>
      <c r="D146" s="13"/>
    </row>
    <row r="147" spans="3:4">
      <c r="C147" s="13"/>
      <c r="D147" s="13"/>
    </row>
  </sheetData>
  <phoneticPr fontId="21" type="noConversion"/>
  <pageMargins left="0.75" right="0.75" top="1" bottom="1" header="0.5" footer="0.5"/>
  <pageSetup paperSize="9" orientation="portrait" horizontalDpi="200" verticalDpi="2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CZ173"/>
  <sheetViews>
    <sheetView topLeftCell="CH64" workbookViewId="0">
      <selection activeCell="AQ161" sqref="AQ161:AQ173"/>
    </sheetView>
  </sheetViews>
  <sheetFormatPr defaultRowHeight="12.75"/>
  <cols>
    <col min="2" max="2" width="11.5703125" customWidth="1"/>
    <col min="9" max="9" width="11" customWidth="1"/>
    <col min="16" max="16" width="11.42578125" customWidth="1"/>
    <col min="23" max="23" width="11.7109375" customWidth="1"/>
    <col min="27" max="27" width="10" bestFit="1" customWidth="1"/>
    <col min="28" max="28" width="13.28515625" customWidth="1"/>
    <col min="32" max="32" width="11.85546875" customWidth="1"/>
    <col min="33" max="33" width="10.5703125" bestFit="1" customWidth="1"/>
    <col min="37" max="37" width="10.85546875" customWidth="1"/>
    <col min="39" max="39" width="11" customWidth="1"/>
    <col min="40" max="40" width="9.5703125" bestFit="1" customWidth="1"/>
    <col min="46" max="46" width="11.140625" customWidth="1"/>
    <col min="51" max="51" width="11.85546875" customWidth="1"/>
    <col min="52" max="52" width="10.7109375" customWidth="1"/>
    <col min="53" max="53" width="9.140625" customWidth="1"/>
    <col min="59" max="59" width="9.85546875" customWidth="1"/>
  </cols>
  <sheetData>
    <row r="1" spans="1:63" ht="13.5" thickBot="1">
      <c r="A1" s="472" t="s">
        <v>194</v>
      </c>
      <c r="B1" s="472"/>
      <c r="C1" s="472"/>
      <c r="D1" s="472"/>
      <c r="E1" s="472"/>
      <c r="F1" s="472"/>
      <c r="G1" s="472"/>
      <c r="H1" s="472"/>
      <c r="I1" s="472"/>
      <c r="J1" s="472"/>
      <c r="K1" s="472"/>
      <c r="L1" s="473"/>
      <c r="M1" s="473"/>
      <c r="N1" s="473"/>
      <c r="O1" s="473"/>
      <c r="P1" s="473"/>
      <c r="Q1" s="473"/>
      <c r="R1" s="473"/>
      <c r="S1" s="473"/>
      <c r="AE1" s="464" t="s">
        <v>233</v>
      </c>
      <c r="AF1" s="464"/>
      <c r="AG1" s="464"/>
      <c r="AH1" s="464"/>
      <c r="AI1" s="464"/>
      <c r="AJ1" s="464"/>
      <c r="AK1" s="464"/>
      <c r="AM1" s="464" t="s">
        <v>234</v>
      </c>
      <c r="AN1" s="464"/>
      <c r="AO1" s="464"/>
      <c r="AP1" s="464"/>
      <c r="AQ1" s="464"/>
      <c r="AR1" s="464"/>
      <c r="AS1" s="464"/>
    </row>
    <row r="2" spans="1:63" ht="13.5" thickTop="1">
      <c r="A2" s="472"/>
      <c r="B2" s="472"/>
      <c r="C2" s="472"/>
      <c r="D2" s="472"/>
      <c r="E2" s="472"/>
      <c r="F2" s="472"/>
      <c r="G2" s="472"/>
      <c r="H2" s="472"/>
      <c r="I2" s="472"/>
      <c r="J2" s="472"/>
      <c r="K2" s="472"/>
      <c r="L2" s="473"/>
      <c r="M2" s="473"/>
      <c r="N2" s="473"/>
      <c r="O2" s="473"/>
      <c r="P2" s="473"/>
      <c r="Q2" s="473"/>
      <c r="R2" s="473"/>
      <c r="S2" s="473"/>
      <c r="W2" s="338" t="s">
        <v>165</v>
      </c>
      <c r="X2" s="340" t="s">
        <v>170</v>
      </c>
      <c r="Y2" s="336"/>
      <c r="Z2" s="337"/>
      <c r="AA2" s="340" t="s">
        <v>170</v>
      </c>
      <c r="AB2" s="336"/>
      <c r="AC2" s="337"/>
      <c r="AE2" s="464"/>
      <c r="AF2" s="464"/>
      <c r="AG2" s="464"/>
      <c r="AH2" s="464"/>
      <c r="AI2" s="464"/>
      <c r="AJ2" s="464"/>
      <c r="AK2" s="464"/>
      <c r="AM2" s="464"/>
      <c r="AN2" s="464"/>
      <c r="AO2" s="464"/>
      <c r="AP2" s="464"/>
      <c r="AQ2" s="464"/>
      <c r="AR2" s="464"/>
      <c r="AS2" s="464"/>
    </row>
    <row r="3" spans="1:63" ht="18.75">
      <c r="B3" s="470" t="s">
        <v>185</v>
      </c>
      <c r="C3" s="470"/>
      <c r="D3" s="470"/>
      <c r="E3" s="470"/>
      <c r="F3" s="470"/>
      <c r="G3" s="470"/>
      <c r="I3" s="470" t="s">
        <v>186</v>
      </c>
      <c r="J3" s="470"/>
      <c r="K3" s="470"/>
      <c r="L3" s="470"/>
      <c r="M3" s="470"/>
      <c r="N3" s="470"/>
      <c r="P3" s="470" t="s">
        <v>190</v>
      </c>
      <c r="Q3" s="470"/>
      <c r="R3" s="470"/>
      <c r="S3" s="470"/>
      <c r="T3" s="470"/>
      <c r="U3" s="470"/>
      <c r="W3" s="339"/>
      <c r="X3" s="105" t="s">
        <v>174</v>
      </c>
      <c r="Y3" s="222" t="s">
        <v>175</v>
      </c>
      <c r="Z3" s="293" t="s">
        <v>168</v>
      </c>
      <c r="AA3" s="105" t="s">
        <v>176</v>
      </c>
      <c r="AB3" s="222" t="s">
        <v>177</v>
      </c>
      <c r="AC3" s="293"/>
      <c r="AY3" s="470" t="s">
        <v>185</v>
      </c>
      <c r="AZ3" s="470"/>
      <c r="BA3" s="470"/>
      <c r="BB3" s="470"/>
      <c r="BC3" s="470"/>
      <c r="BD3" s="470"/>
    </row>
    <row r="4" spans="1:63" ht="18.75">
      <c r="B4" s="471" t="s">
        <v>187</v>
      </c>
      <c r="C4" s="471"/>
      <c r="D4" s="471"/>
      <c r="E4" s="471"/>
      <c r="F4" s="471"/>
      <c r="G4" s="471"/>
      <c r="I4" s="471" t="s">
        <v>187</v>
      </c>
      <c r="J4" s="471"/>
      <c r="K4" s="471"/>
      <c r="L4" s="471"/>
      <c r="M4" s="471"/>
      <c r="N4" s="471"/>
      <c r="P4" s="471" t="s">
        <v>187</v>
      </c>
      <c r="Q4" s="471"/>
      <c r="R4" s="471"/>
      <c r="S4" s="471"/>
      <c r="T4" s="471"/>
      <c r="U4" s="471"/>
      <c r="W4" s="296" t="s">
        <v>173</v>
      </c>
      <c r="X4" s="298">
        <v>-1500</v>
      </c>
      <c r="Y4" s="299">
        <v>4050</v>
      </c>
      <c r="Z4" s="140">
        <v>0.16</v>
      </c>
      <c r="AA4" s="313">
        <v>11</v>
      </c>
      <c r="AB4" s="191">
        <v>-5.2</v>
      </c>
      <c r="AF4" s="471" t="s">
        <v>187</v>
      </c>
      <c r="AG4" s="471"/>
      <c r="AH4" s="471"/>
      <c r="AI4" s="471"/>
      <c r="AJ4" s="471"/>
      <c r="AK4" s="471"/>
      <c r="AM4" s="471" t="s">
        <v>187</v>
      </c>
      <c r="AN4" s="471"/>
      <c r="AO4" s="471"/>
      <c r="AP4" s="471"/>
      <c r="AQ4" s="471"/>
      <c r="AR4" s="471"/>
      <c r="AY4" s="471" t="s">
        <v>187</v>
      </c>
      <c r="AZ4" s="471"/>
      <c r="BA4" s="471"/>
      <c r="BB4" s="471"/>
      <c r="BC4" s="471"/>
      <c r="BD4" s="471"/>
    </row>
    <row r="5" spans="1:63" ht="15" customHeight="1">
      <c r="B5" s="461" t="s">
        <v>188</v>
      </c>
      <c r="C5" s="463" t="s">
        <v>189</v>
      </c>
      <c r="D5" s="463"/>
      <c r="E5" s="463"/>
      <c r="F5" s="463"/>
      <c r="G5" s="463"/>
      <c r="I5" s="461" t="s">
        <v>188</v>
      </c>
      <c r="J5" s="463" t="s">
        <v>189</v>
      </c>
      <c r="K5" s="463"/>
      <c r="L5" s="463"/>
      <c r="M5" s="463"/>
      <c r="N5" s="463"/>
      <c r="P5" s="461" t="s">
        <v>188</v>
      </c>
      <c r="Q5" s="463" t="s">
        <v>189</v>
      </c>
      <c r="R5" s="463"/>
      <c r="S5" s="463"/>
      <c r="T5" s="463"/>
      <c r="U5" s="463"/>
      <c r="W5" s="321" t="s">
        <v>188</v>
      </c>
      <c r="X5" s="321" t="s">
        <v>189</v>
      </c>
      <c r="Y5" s="321"/>
      <c r="Z5" s="321"/>
      <c r="AA5" s="321"/>
      <c r="AF5" s="461" t="s">
        <v>188</v>
      </c>
      <c r="AG5" s="463" t="s">
        <v>189</v>
      </c>
      <c r="AH5" s="463"/>
      <c r="AI5" s="463"/>
      <c r="AJ5" s="463"/>
      <c r="AK5" s="463"/>
      <c r="AM5" s="461" t="s">
        <v>188</v>
      </c>
      <c r="AN5" s="463" t="s">
        <v>189</v>
      </c>
      <c r="AO5" s="463"/>
      <c r="AP5" s="463"/>
      <c r="AQ5" s="463"/>
      <c r="AR5" s="463"/>
      <c r="AY5" s="461" t="s">
        <v>188</v>
      </c>
      <c r="AZ5" s="463" t="s">
        <v>189</v>
      </c>
      <c r="BA5" s="463"/>
      <c r="BB5" s="463"/>
      <c r="BC5" s="463"/>
      <c r="BD5" s="463"/>
    </row>
    <row r="6" spans="1:63" ht="15" customHeight="1">
      <c r="B6" s="462"/>
      <c r="C6" s="320">
        <v>37.799999999999997</v>
      </c>
      <c r="D6" s="320">
        <v>71.099999999999994</v>
      </c>
      <c r="E6" s="320">
        <v>104.4</v>
      </c>
      <c r="F6" s="320">
        <v>137.80000000000001</v>
      </c>
      <c r="G6" s="320">
        <v>171.1</v>
      </c>
      <c r="I6" s="462"/>
      <c r="J6" s="320">
        <v>37.799999999999997</v>
      </c>
      <c r="K6" s="320">
        <v>71.099999999999994</v>
      </c>
      <c r="L6" s="320">
        <v>104.4</v>
      </c>
      <c r="M6" s="320">
        <v>137.80000000000001</v>
      </c>
      <c r="N6" s="320">
        <v>171.1</v>
      </c>
      <c r="P6" s="462"/>
      <c r="Q6" s="320">
        <v>37.799999999999997</v>
      </c>
      <c r="R6" s="320">
        <v>71.099999999999994</v>
      </c>
      <c r="S6" s="320">
        <v>104.4</v>
      </c>
      <c r="T6" s="320">
        <v>137.80000000000001</v>
      </c>
      <c r="U6" s="320">
        <v>171.1</v>
      </c>
      <c r="W6" s="321"/>
      <c r="X6" s="321">
        <v>37.799999999999997</v>
      </c>
      <c r="Y6" s="321">
        <v>71.099999999999994</v>
      </c>
      <c r="Z6" s="321">
        <v>104.4</v>
      </c>
      <c r="AA6" s="321">
        <v>137.80000000000001</v>
      </c>
      <c r="AB6" s="321">
        <v>171.1</v>
      </c>
      <c r="AF6" s="462"/>
      <c r="AG6" s="320">
        <v>37.799999999999997</v>
      </c>
      <c r="AH6" s="320">
        <v>71.099999999999994</v>
      </c>
      <c r="AI6" s="320">
        <v>104.4</v>
      </c>
      <c r="AJ6" s="320">
        <v>137.80000000000001</v>
      </c>
      <c r="AK6" s="320">
        <v>171.1</v>
      </c>
      <c r="AM6" s="462"/>
      <c r="AN6" s="320">
        <v>37.799999999999997</v>
      </c>
      <c r="AO6" s="320">
        <v>71.099999999999994</v>
      </c>
      <c r="AP6" s="320">
        <v>104.4</v>
      </c>
      <c r="AQ6" s="320">
        <v>137.80000000000001</v>
      </c>
      <c r="AR6" s="320">
        <v>171.1</v>
      </c>
      <c r="AT6" s="320">
        <v>37.799999999999997</v>
      </c>
      <c r="AU6" s="320">
        <v>71.099999999999994</v>
      </c>
      <c r="AV6" s="320">
        <v>104.4</v>
      </c>
      <c r="AW6" s="320">
        <v>137.80000000000001</v>
      </c>
      <c r="AX6" s="320">
        <v>171.1</v>
      </c>
      <c r="AY6" s="462"/>
      <c r="AZ6" s="320">
        <v>37.799999999999997</v>
      </c>
      <c r="BA6" s="320">
        <v>71.099999999999994</v>
      </c>
      <c r="BB6" s="320">
        <v>104.4</v>
      </c>
      <c r="BC6" s="320">
        <v>137.80000000000001</v>
      </c>
      <c r="BD6" s="320">
        <v>171.1</v>
      </c>
    </row>
    <row r="7" spans="1:63" ht="15">
      <c r="B7" s="320">
        <v>2.5299999999999998</v>
      </c>
      <c r="C7" s="191">
        <v>2.9499999999999999E-3</v>
      </c>
      <c r="D7" s="191">
        <v>1.3899999999999999E-2</v>
      </c>
      <c r="E7" s="191">
        <v>4.9099999999999998E-2</v>
      </c>
      <c r="F7" s="191">
        <v>0.1399</v>
      </c>
      <c r="G7" s="191">
        <v>0.33229999999999998</v>
      </c>
      <c r="I7" s="320">
        <v>2.5299999999999998</v>
      </c>
      <c r="J7" s="79">
        <v>2.4982297613025395E-3</v>
      </c>
      <c r="K7" s="79">
        <v>1.3063768576446861E-2</v>
      </c>
      <c r="L7" s="79">
        <v>5.0623487211639145E-2</v>
      </c>
      <c r="M7" s="79">
        <v>0.16460690716939402</v>
      </c>
      <c r="N7" s="79">
        <v>0.51413689616783986</v>
      </c>
      <c r="P7" s="320">
        <v>2.5299999999999998</v>
      </c>
      <c r="Q7" s="321">
        <f>(C7-J7)/C7*100</f>
        <v>15.314245379574931</v>
      </c>
      <c r="R7" s="321">
        <f>(D7-K7)/D7*100</f>
        <v>6.0160534068571119</v>
      </c>
      <c r="S7" s="321">
        <f>(E7-L7)/E7*100</f>
        <v>-3.1028252782874697</v>
      </c>
      <c r="T7" s="321">
        <f>(F7-M7)/F7*100</f>
        <v>-17.660405410574718</v>
      </c>
      <c r="U7" s="321">
        <f>(G7-N7)/G7*100</f>
        <v>-54.720703029744179</v>
      </c>
      <c r="W7" s="321">
        <v>2.5299999999999998</v>
      </c>
      <c r="X7" s="321">
        <v>15.314245379574931</v>
      </c>
      <c r="Y7" s="321">
        <v>6.0160534068571119</v>
      </c>
      <c r="Z7" s="321">
        <v>-3.1028252782874697</v>
      </c>
      <c r="AA7" s="321">
        <v>-17.660405410574718</v>
      </c>
      <c r="AB7" s="321">
        <v>-54.720703029744179</v>
      </c>
      <c r="AF7" s="320">
        <v>2.5299999999999998</v>
      </c>
      <c r="AG7" s="191">
        <f>($AG$18/AF7/10*47482+10^((-1713.3/(273.15+$AG$6))+6.694))*0.016*(10^(-7)*$AG$6^2-1.1*10^(-3)*$AG$6*0.5536-0.079*(0.5536)^2+0.73*10^(-3)*$AG$6+0.156*0.5536+0.927)</f>
        <v>2.1995481428633292</v>
      </c>
      <c r="AH7" s="191">
        <f>($AH$18/AF7/10*47482+10^((-1713.3/(273.15+$AH$6))+6.694))*0.016*(10^(-7)*$AH$6^2-1.1*10^(-3)*$AH$6*0.5536-0.079*(0.5536)^2+0.73*10^(-3)*$AH$6+0.156*0.5536+0.927)</f>
        <v>10.598804228521765</v>
      </c>
      <c r="AI7" s="191">
        <f>($AI$18/AF7/10*47482+10^((-1713.3/(273.15+$AI$6))+6.694))*0.016*(10^(-7)*$AI$6^2-1.1*10^(-3)*$AI$6*0.5525-0.079*(0.5525)^2+0.73*10^(-3)*$AI$6+0.156*0.5525+0.927)</f>
        <v>37.961945504255766</v>
      </c>
      <c r="AJ7" s="191">
        <f>($AJ$18/AF7/10*47482+10^((-1713.3/(273.15+$AJ$6))+6.694))*0.016*(10^(-7)*$AJ$6^2-1.1*10^(-3)*$AJ$6*0.5525-0.079*(0.5525)^2+0.73*10^(-3)*$AJ$6+0.156*0.5525+0.927)</f>
        <v>108.14258553595617</v>
      </c>
      <c r="AK7" s="191">
        <f>($AK$18/AF7/10*47482+10^((-1713.3/(273.15+$AK$6))+6.694))*0.016*(10^(-7)*$AK$6^2-1.1*10^(-3)*$AK$6*0.5525-0.079*(0.5525)^2+0.73*10^(-3)*$AK$6+0.156*0.5525+0.927)</f>
        <v>257.97158042098272</v>
      </c>
      <c r="AM7" s="320">
        <v>2.5299999999999998</v>
      </c>
      <c r="AN7" s="191">
        <v>1.8693904641214736</v>
      </c>
      <c r="AO7" s="191">
        <v>9.775435702746023</v>
      </c>
      <c r="AP7" s="191">
        <v>37.88084895949374</v>
      </c>
      <c r="AQ7" s="191">
        <v>123.1730513171679</v>
      </c>
      <c r="AR7" s="191">
        <v>384.72146390893096</v>
      </c>
      <c r="AS7" s="320">
        <v>2.5299999999999998</v>
      </c>
      <c r="AT7" s="321">
        <f>(AG7-AN7)/AG7*100</f>
        <v>15.010250164929909</v>
      </c>
      <c r="AU7" s="321">
        <f t="shared" ref="AU7:AX17" si="0">(AH7-AO7)/AH7*100</f>
        <v>7.7685039559465308</v>
      </c>
      <c r="AV7" s="321">
        <f t="shared" si="0"/>
        <v>0.21362589215280023</v>
      </c>
      <c r="AW7" s="321">
        <f t="shared" si="0"/>
        <v>-13.89874831151903</v>
      </c>
      <c r="AX7" s="321">
        <f t="shared" si="0"/>
        <v>-49.133274014566119</v>
      </c>
      <c r="AY7" s="320">
        <v>2.5299999999999998</v>
      </c>
      <c r="AZ7" s="368">
        <f>C7*18/0.02404</f>
        <v>2.2088186356073214</v>
      </c>
      <c r="BA7" s="368">
        <f>D7*18/0.02404</f>
        <v>10.407653910149749</v>
      </c>
      <c r="BB7" s="368">
        <f>E7*18/0.02404</f>
        <v>36.763727121464221</v>
      </c>
      <c r="BC7" s="368">
        <f>F7*18/0.02404</f>
        <v>104.7504159733777</v>
      </c>
      <c r="BD7" s="368">
        <f>G7*18/0.02404</f>
        <v>248.81031613976705</v>
      </c>
      <c r="BF7" s="321">
        <f>(AG7-AZ7)/AG7*100</f>
        <v>-0.42147259990972585</v>
      </c>
      <c r="BG7" s="321">
        <f t="shared" ref="BG7:BJ17" si="1">(AH7-BA7)/AH7*100</f>
        <v>1.8035083416072819</v>
      </c>
      <c r="BH7" s="321">
        <f t="shared" si="1"/>
        <v>3.1563671642097932</v>
      </c>
      <c r="BI7" s="321">
        <f t="shared" si="1"/>
        <v>3.1367564829034125</v>
      </c>
      <c r="BJ7" s="321">
        <f t="shared" si="1"/>
        <v>3.5512688127372161</v>
      </c>
      <c r="BK7" s="321"/>
    </row>
    <row r="8" spans="1:63" ht="15" customHeight="1">
      <c r="B8" s="320">
        <v>5.07</v>
      </c>
      <c r="C8" s="191">
        <v>1.66E-3</v>
      </c>
      <c r="D8" s="191">
        <v>7.4999999999999997E-3</v>
      </c>
      <c r="E8" s="191">
        <v>2.6200000000000001E-2</v>
      </c>
      <c r="F8" s="191">
        <v>7.5200000000000003E-2</v>
      </c>
      <c r="G8" s="191">
        <v>0.17150000000000001</v>
      </c>
      <c r="I8" s="320">
        <v>5.07</v>
      </c>
      <c r="J8" s="79">
        <v>1.3767139208778064E-3</v>
      </c>
      <c r="K8" s="79">
        <v>6.9874845703197068E-3</v>
      </c>
      <c r="L8" s="79">
        <v>2.6224824675656153E-2</v>
      </c>
      <c r="M8" s="79">
        <v>8.0541355799188488E-2</v>
      </c>
      <c r="N8" s="79">
        <v>0.21918774035018918</v>
      </c>
      <c r="P8" s="320">
        <v>5.07</v>
      </c>
      <c r="Q8" s="321">
        <f t="shared" ref="Q8:Q17" si="2">(C8-J8)/C8*100</f>
        <v>17.065426453144191</v>
      </c>
      <c r="R8" s="321">
        <f t="shared" ref="R8:R17" si="3">(D8-K8)/D8*100</f>
        <v>6.833539062403907</v>
      </c>
      <c r="S8" s="321">
        <f t="shared" ref="S8:S17" si="4">(E8-L8)/E8*100</f>
        <v>-9.4750670443329132E-2</v>
      </c>
      <c r="T8" s="321">
        <f t="shared" ref="T8:T17" si="5">(F8-M8)/F8*100</f>
        <v>-7.102866754240007</v>
      </c>
      <c r="U8" s="321">
        <f t="shared" ref="U8:U17" si="6">(G8-N8)/G8*100</f>
        <v>-27.806262594862485</v>
      </c>
      <c r="W8" s="321">
        <v>5.07</v>
      </c>
      <c r="X8" s="321">
        <v>17.065426453144191</v>
      </c>
      <c r="Y8" s="321">
        <v>6.833539062403907</v>
      </c>
      <c r="Z8" s="321">
        <v>-9.4750670443329132E-2</v>
      </c>
      <c r="AA8" s="321">
        <v>-7.102866754240007</v>
      </c>
      <c r="AB8" s="321">
        <v>-27.806262594862485</v>
      </c>
      <c r="AF8" s="320">
        <v>5.07</v>
      </c>
      <c r="AG8" s="191">
        <f t="shared" ref="AG8:AG17" si="7">($AG$18/AF8/10*47482+10^((-1713.3/(273.15+$AG$6))+6.694))*0.016*(10^(-7)*$AG$6^2-1.1*10^(-3)*$AG$6*0.5536-0.079*(0.5536)^2+0.73*10^(-3)*$AG$6+0.156*0.5536+0.927)</f>
        <v>1.2193315184430584</v>
      </c>
      <c r="AH8" s="191">
        <f t="shared" ref="AH8:AH17" si="8">($AH$18/AF8/10*47482+10^((-1713.3/(273.15+$AH$6))+6.694))*0.016*(10^(-7)*$AH$6^2-1.1*10^(-3)*$AH$6*0.5536-0.079*(0.5536)^2+0.73*10^(-3)*$AH$6+0.156*0.5536+0.927)</f>
        <v>5.7060915603777902</v>
      </c>
      <c r="AI8" s="191">
        <f>($AI$18/AF8/10*47482+10^((-1713.3/(273.15+$AI$6))+6.694))*0.016*(10^(-7)*$AI$6^2-1.1*10^(-3)*$AI$6*0.5525-0.079*(0.5525)^2+0.73*10^(-3)*$AI$6+0.156*0.5525+0.927)</f>
        <v>20.095059814292757</v>
      </c>
      <c r="AJ8" s="191">
        <f t="shared" ref="AJ8:AJ17" si="9">($AJ$18/AF8/10*47482+10^((-1713.3/(273.15+$AJ$6))+6.694))*0.016*(10^(-7)*$AJ$6^2-1.1*10^(-3)*$AJ$6*0.5525-0.079*(0.5525)^2+0.73*10^(-3)*$AJ$6+0.156*0.5525+0.927)</f>
        <v>56.669898522781835</v>
      </c>
      <c r="AK8" s="191">
        <f>($AK$18/AF8/10*47482+10^((-1713.3/(273.15+$AK$6))+6.694))*0.016*(10^(-7)*$AK$6^2-1.1*10^(-3)*$AK$6*0.5525-0.079*(0.5525)^2+0.73*10^(-3)*$AK$6+0.156*0.5525+0.927)</f>
        <v>134.31490321795985</v>
      </c>
      <c r="AM8" s="320">
        <v>5.07</v>
      </c>
      <c r="AN8" s="191">
        <v>1.0301758130406755</v>
      </c>
      <c r="AO8" s="191">
        <v>5.2286371839318289</v>
      </c>
      <c r="AP8" s="191">
        <v>19.62367030099286</v>
      </c>
      <c r="AQ8" s="191">
        <v>60.267972478206453</v>
      </c>
      <c r="AR8" s="191">
        <v>164.01512703512947</v>
      </c>
      <c r="AS8" s="320">
        <v>5.07</v>
      </c>
      <c r="AT8" s="321">
        <f t="shared" ref="AT8:AT17" si="10">(AG8-AN8)/AG8*100</f>
        <v>15.513066179402324</v>
      </c>
      <c r="AU8" s="321">
        <f t="shared" si="0"/>
        <v>8.3674503185565765</v>
      </c>
      <c r="AV8" s="321">
        <f t="shared" si="0"/>
        <v>2.3457980103379334</v>
      </c>
      <c r="AW8" s="321">
        <f t="shared" si="0"/>
        <v>-6.3491801630422149</v>
      </c>
      <c r="AX8" s="321">
        <f t="shared" si="0"/>
        <v>-22.112381504659613</v>
      </c>
      <c r="AY8" s="320">
        <v>5.07</v>
      </c>
      <c r="AZ8" s="368">
        <f t="shared" ref="AZ8:AZ17" si="11">C8*18/0.02404</f>
        <v>1.2429284525790349</v>
      </c>
      <c r="BA8" s="368">
        <f t="shared" ref="BA8:BA17" si="12">D8*18/0.02404</f>
        <v>5.6156405990016642</v>
      </c>
      <c r="BB8" s="368">
        <f t="shared" ref="BB8:BB17" si="13">E8*18/0.02404</f>
        <v>19.617304492512481</v>
      </c>
      <c r="BC8" s="368">
        <f t="shared" ref="BC8:BC17" si="14">F8*18/0.02404</f>
        <v>56.306156405990023</v>
      </c>
      <c r="BD8" s="368">
        <f t="shared" ref="BD8:BD17" si="15">G8*18/0.02404</f>
        <v>128.41098169717139</v>
      </c>
      <c r="BF8" s="321">
        <f t="shared" ref="BF8:BF17" si="16">(AG8-AZ8)/AG8*100</f>
        <v>-1.9352353136993461</v>
      </c>
      <c r="BG8" s="321">
        <f t="shared" si="1"/>
        <v>1.5851649140052944</v>
      </c>
      <c r="BH8" s="321">
        <f t="shared" si="1"/>
        <v>2.3774764852427488</v>
      </c>
      <c r="BI8" s="321">
        <f t="shared" si="1"/>
        <v>0.64186124604684835</v>
      </c>
      <c r="BJ8" s="321">
        <f t="shared" si="1"/>
        <v>4.3955818597492895</v>
      </c>
      <c r="BK8" s="321"/>
    </row>
    <row r="9" spans="1:63" ht="15">
      <c r="B9" s="320">
        <v>10.130000000000001</v>
      </c>
      <c r="C9" s="191">
        <v>9.7000000000000005E-4</v>
      </c>
      <c r="D9" s="191">
        <v>4.4000000000000003E-3</v>
      </c>
      <c r="E9" s="191">
        <v>1.4800000000000001E-2</v>
      </c>
      <c r="F9" s="191">
        <v>4.0599999999999997E-2</v>
      </c>
      <c r="G9" s="191">
        <v>9.5000000000000001E-2</v>
      </c>
      <c r="I9" s="320">
        <v>10.130000000000001</v>
      </c>
      <c r="J9" s="79">
        <v>8.3905668504103879E-4</v>
      </c>
      <c r="K9" s="79">
        <v>4.0350567171201441E-3</v>
      </c>
      <c r="L9" s="79">
        <v>1.4563413475635461E-2</v>
      </c>
      <c r="M9" s="79">
        <v>4.2919381520445318E-2</v>
      </c>
      <c r="N9" s="79">
        <v>0.10950431135290067</v>
      </c>
      <c r="P9" s="320">
        <v>10.130000000000001</v>
      </c>
      <c r="Q9" s="321">
        <f t="shared" si="2"/>
        <v>13.49931082051147</v>
      </c>
      <c r="R9" s="321">
        <f t="shared" si="3"/>
        <v>8.2941655199967315</v>
      </c>
      <c r="S9" s="321">
        <f t="shared" si="4"/>
        <v>1.5985575970577031</v>
      </c>
      <c r="T9" s="321">
        <f t="shared" si="5"/>
        <v>-5.71276236562887</v>
      </c>
      <c r="U9" s="321">
        <f t="shared" si="6"/>
        <v>-15.267696160948077</v>
      </c>
      <c r="W9" s="321">
        <v>10.130000000000001</v>
      </c>
      <c r="X9" s="321">
        <v>13.49931082051147</v>
      </c>
      <c r="Y9" s="321">
        <v>8.2941655199967315</v>
      </c>
      <c r="Z9" s="321">
        <v>1.5985575970577031</v>
      </c>
      <c r="AA9" s="321">
        <v>-5.71276236562887</v>
      </c>
      <c r="AB9" s="321">
        <v>-15.267696160948077</v>
      </c>
      <c r="AF9" s="320">
        <v>10.130000000000001</v>
      </c>
      <c r="AG9" s="191">
        <f t="shared" si="7"/>
        <v>0.73163468038881008</v>
      </c>
      <c r="AH9" s="191">
        <f t="shared" si="8"/>
        <v>3.2717720045622292</v>
      </c>
      <c r="AI9" s="191">
        <f t="shared" ref="AI9:AI17" si="17">($AI$18/AF9/10*47482+10^((-1713.3/(273.15+$AI$6))+6.694))*0.016*(10^(-7)*$AI$6^2-1.1*10^(-3)*$AI$6*0.5525-0.079*(0.5525)^2+0.73*10^(-3)*$AI$6+0.156*0.5525+0.927)</f>
        <v>11.205572082919959</v>
      </c>
      <c r="AJ9" s="191">
        <f t="shared" si="9"/>
        <v>31.060185244017752</v>
      </c>
      <c r="AK9" s="191">
        <f t="shared" ref="AK9:AK17" si="18">($AK$18/AF9/10*47482+10^((-1713.3/(273.15+$AK$6))+6.694))*0.016*(10^(-7)*$AK$6^2-1.1*10^(-3)*$AK$6*0.5525-0.079*(0.5525)^2+0.73*10^(-3)*$AK$6+0.156*0.5525+0.927)</f>
        <v>72.790777862632027</v>
      </c>
      <c r="AM9" s="320">
        <v>10.130000000000001</v>
      </c>
      <c r="AN9" s="191">
        <v>0.62785440721644736</v>
      </c>
      <c r="AO9" s="191">
        <v>3.0193766266081301</v>
      </c>
      <c r="AP9" s="191">
        <v>10.897599051184367</v>
      </c>
      <c r="AQ9" s="191">
        <v>32.115974192253461</v>
      </c>
      <c r="AR9" s="191">
        <v>81.940547900834616</v>
      </c>
      <c r="AS9" s="320">
        <v>10.130000000000001</v>
      </c>
      <c r="AT9" s="321">
        <f t="shared" si="10"/>
        <v>14.184712118514001</v>
      </c>
      <c r="AU9" s="321">
        <f t="shared" si="0"/>
        <v>7.7143327102913508</v>
      </c>
      <c r="AV9" s="321">
        <f t="shared" si="0"/>
        <v>2.7483918666233818</v>
      </c>
      <c r="AW9" s="321">
        <f t="shared" si="0"/>
        <v>-3.3991714471150978</v>
      </c>
      <c r="AX9" s="321">
        <f t="shared" si="0"/>
        <v>-12.569957770570451</v>
      </c>
      <c r="AY9" s="320">
        <v>10.130000000000001</v>
      </c>
      <c r="AZ9" s="368">
        <f t="shared" si="11"/>
        <v>0.72628951747088188</v>
      </c>
      <c r="BA9" s="368">
        <f t="shared" si="12"/>
        <v>3.2945091514143101</v>
      </c>
      <c r="BB9" s="368">
        <f t="shared" si="13"/>
        <v>11.081530782029951</v>
      </c>
      <c r="BC9" s="368">
        <f t="shared" si="14"/>
        <v>30.39933444259567</v>
      </c>
      <c r="BD9" s="368">
        <f t="shared" si="15"/>
        <v>71.131447587354415</v>
      </c>
      <c r="BF9" s="321">
        <f t="shared" si="16"/>
        <v>0.73057812337266881</v>
      </c>
      <c r="BG9" s="321">
        <f t="shared" si="1"/>
        <v>-0.69494900073647492</v>
      </c>
      <c r="BH9" s="321">
        <f t="shared" si="1"/>
        <v>1.1069608938492079</v>
      </c>
      <c r="BI9" s="321">
        <f t="shared" si="1"/>
        <v>2.1276460401966322</v>
      </c>
      <c r="BJ9" s="321">
        <f t="shared" si="1"/>
        <v>2.2795886017443525</v>
      </c>
      <c r="BK9" s="321"/>
    </row>
    <row r="10" spans="1:63" ht="15">
      <c r="B10" s="320">
        <v>15.2</v>
      </c>
      <c r="C10" s="191">
        <v>7.5000000000000002E-4</v>
      </c>
      <c r="D10" s="191">
        <v>3.3E-3</v>
      </c>
      <c r="E10" s="191">
        <v>1.0800000000000001E-2</v>
      </c>
      <c r="F10" s="191">
        <v>2.92E-2</v>
      </c>
      <c r="G10" s="191">
        <v>6.8000000000000005E-2</v>
      </c>
      <c r="I10" s="320">
        <v>15.2</v>
      </c>
      <c r="J10" s="79">
        <v>6.7342460581948425E-4</v>
      </c>
      <c r="K10" s="79">
        <v>3.0816766701885576E-3</v>
      </c>
      <c r="L10" s="79">
        <v>1.0771090079349113E-2</v>
      </c>
      <c r="M10" s="79">
        <v>3.0941362642357636E-2</v>
      </c>
      <c r="N10" s="79">
        <v>7.6788016952944849E-2</v>
      </c>
      <c r="P10" s="320">
        <v>15.2</v>
      </c>
      <c r="Q10" s="321">
        <f t="shared" si="2"/>
        <v>10.210052557402101</v>
      </c>
      <c r="R10" s="321">
        <f t="shared" si="3"/>
        <v>6.6158584791346158</v>
      </c>
      <c r="S10" s="321">
        <f t="shared" si="4"/>
        <v>0.26768445047118239</v>
      </c>
      <c r="T10" s="321">
        <f t="shared" si="5"/>
        <v>-5.9635706930056012</v>
      </c>
      <c r="U10" s="321">
        <f t="shared" si="6"/>
        <v>-12.923554342565946</v>
      </c>
      <c r="W10" s="321">
        <v>15.2</v>
      </c>
      <c r="X10" s="321">
        <v>10.210052557402101</v>
      </c>
      <c r="Y10" s="321">
        <v>6.6158584791346158</v>
      </c>
      <c r="Z10" s="321">
        <v>0.26768445047118239</v>
      </c>
      <c r="AA10" s="321">
        <v>-5.9635706930056012</v>
      </c>
      <c r="AB10" s="321">
        <v>-12.923554342565946</v>
      </c>
      <c r="AF10" s="320">
        <v>15.2</v>
      </c>
      <c r="AG10" s="191">
        <f t="shared" si="7"/>
        <v>0.56864062936295401</v>
      </c>
      <c r="AH10" s="191">
        <f t="shared" si="8"/>
        <v>2.4581936195210985</v>
      </c>
      <c r="AI10" s="191">
        <f t="shared" si="17"/>
        <v>8.234600151541704</v>
      </c>
      <c r="AJ10" s="191">
        <f t="shared" si="9"/>
        <v>22.50111619290346</v>
      </c>
      <c r="AK10" s="191">
        <f t="shared" si="18"/>
        <v>52.228687553627346</v>
      </c>
      <c r="AM10" s="320">
        <v>15.2</v>
      </c>
      <c r="AN10" s="191">
        <v>0.50391423396034563</v>
      </c>
      <c r="AO10" s="191">
        <v>2.3059756432300609</v>
      </c>
      <c r="AP10" s="191">
        <v>8.0598563808760151</v>
      </c>
      <c r="AQ10" s="191">
        <v>23.152989835646693</v>
      </c>
      <c r="AR10" s="191">
        <v>57.459401402611597</v>
      </c>
      <c r="AS10" s="320">
        <v>15.2</v>
      </c>
      <c r="AT10" s="321">
        <f t="shared" si="10"/>
        <v>11.382654010340612</v>
      </c>
      <c r="AU10" s="321">
        <f t="shared" si="0"/>
        <v>6.1922696032663405</v>
      </c>
      <c r="AV10" s="321">
        <f t="shared" si="0"/>
        <v>2.1220674647204687</v>
      </c>
      <c r="AW10" s="321">
        <f t="shared" si="0"/>
        <v>-2.8970724703373825</v>
      </c>
      <c r="AX10" s="321">
        <f t="shared" si="0"/>
        <v>-10.015020660079696</v>
      </c>
      <c r="AY10" s="320">
        <v>15.2</v>
      </c>
      <c r="AZ10" s="368">
        <f t="shared" si="11"/>
        <v>0.56156405990016645</v>
      </c>
      <c r="BA10" s="368">
        <f t="shared" si="12"/>
        <v>2.4708818635607321</v>
      </c>
      <c r="BB10" s="368">
        <f t="shared" si="13"/>
        <v>8.0865224625623977</v>
      </c>
      <c r="BC10" s="368">
        <f t="shared" si="14"/>
        <v>21.863560732113143</v>
      </c>
      <c r="BD10" s="368">
        <f t="shared" si="15"/>
        <v>50.915141430948431</v>
      </c>
      <c r="BF10" s="321">
        <f t="shared" si="16"/>
        <v>1.2444713053155236</v>
      </c>
      <c r="BG10" s="321">
        <f t="shared" si="1"/>
        <v>-0.51616129579351644</v>
      </c>
      <c r="BH10" s="321">
        <f t="shared" si="1"/>
        <v>1.7982377559836078</v>
      </c>
      <c r="BI10" s="321">
        <f t="shared" si="1"/>
        <v>2.8334392628548493</v>
      </c>
      <c r="BJ10" s="321">
        <f t="shared" si="1"/>
        <v>2.5149897196443858</v>
      </c>
      <c r="BK10" s="321"/>
    </row>
    <row r="11" spans="1:63" ht="15">
      <c r="B11" s="320">
        <v>20.27</v>
      </c>
      <c r="C11" s="191">
        <v>6.2E-4</v>
      </c>
      <c r="D11" s="191">
        <v>2.7000000000000001E-3</v>
      </c>
      <c r="E11" s="191">
        <v>8.8000000000000005E-3</v>
      </c>
      <c r="F11" s="191">
        <v>2.35E-2</v>
      </c>
      <c r="G11" s="191">
        <v>5.45E-2</v>
      </c>
      <c r="I11" s="320">
        <v>20.27</v>
      </c>
      <c r="J11" s="79">
        <v>5.959992263574297E-4</v>
      </c>
      <c r="K11" s="1">
        <v>2.6169382353802093E-3</v>
      </c>
      <c r="L11" s="79">
        <v>8.9011866343979597E-3</v>
      </c>
      <c r="M11" s="79">
        <v>2.505842371244095E-2</v>
      </c>
      <c r="N11" s="79">
        <v>6.1047335179047715E-2</v>
      </c>
      <c r="P11" s="320">
        <v>20.27</v>
      </c>
      <c r="Q11" s="321">
        <f t="shared" si="2"/>
        <v>3.8710925229952093</v>
      </c>
      <c r="R11" s="321">
        <f t="shared" si="3"/>
        <v>3.0763616525848447</v>
      </c>
      <c r="S11" s="321">
        <f t="shared" si="4"/>
        <v>-1.1498481181586266</v>
      </c>
      <c r="T11" s="321">
        <f t="shared" si="5"/>
        <v>-6.6315902657061692</v>
      </c>
      <c r="U11" s="321">
        <f t="shared" si="6"/>
        <v>-12.013459044124248</v>
      </c>
      <c r="W11" s="321">
        <v>20.27</v>
      </c>
      <c r="X11" s="321">
        <v>3.8710925229952093</v>
      </c>
      <c r="Y11" s="321">
        <v>3.0763616525848447</v>
      </c>
      <c r="Z11" s="321">
        <v>-1.1498481181586266</v>
      </c>
      <c r="AA11" s="321">
        <v>-6.6315902657061692</v>
      </c>
      <c r="AB11" s="321">
        <v>-12.013459044124248</v>
      </c>
      <c r="AF11" s="320">
        <v>20.27</v>
      </c>
      <c r="AG11" s="191">
        <f t="shared" si="7"/>
        <v>0.48718380958535551</v>
      </c>
      <c r="AH11" s="191">
        <f t="shared" si="8"/>
        <v>2.0516051123446486</v>
      </c>
      <c r="AI11" s="191">
        <f t="shared" si="17"/>
        <v>6.7498470353669706</v>
      </c>
      <c r="AJ11" s="191">
        <f t="shared" si="9"/>
        <v>18.223692932529122</v>
      </c>
      <c r="AK11" s="191">
        <f t="shared" si="18"/>
        <v>41.952714449028562</v>
      </c>
      <c r="AM11" s="320">
        <v>20.27</v>
      </c>
      <c r="AN11" s="191">
        <v>0.445977903087445</v>
      </c>
      <c r="AO11" s="191">
        <v>1.9582183585323967</v>
      </c>
      <c r="AP11" s="191">
        <v>6.6606337301150873</v>
      </c>
      <c r="AQ11" s="191">
        <v>18.750868738962097</v>
      </c>
      <c r="AR11" s="191">
        <v>45.68086891424992</v>
      </c>
      <c r="AS11" s="320">
        <v>20.27</v>
      </c>
      <c r="AT11" s="321">
        <f t="shared" si="10"/>
        <v>8.4579794498879277</v>
      </c>
      <c r="AU11" s="321">
        <f t="shared" si="0"/>
        <v>4.551887361282998</v>
      </c>
      <c r="AV11" s="321">
        <f t="shared" si="0"/>
        <v>1.3217085481261284</v>
      </c>
      <c r="AW11" s="321">
        <f t="shared" si="0"/>
        <v>-2.8928044847154517</v>
      </c>
      <c r="AX11" s="321">
        <f t="shared" si="0"/>
        <v>-8.8865631561241809</v>
      </c>
      <c r="AY11" s="320">
        <v>20.27</v>
      </c>
      <c r="AZ11" s="368">
        <f t="shared" si="11"/>
        <v>0.46422628951747091</v>
      </c>
      <c r="BA11" s="368">
        <f t="shared" si="12"/>
        <v>2.0216306156405994</v>
      </c>
      <c r="BB11" s="368">
        <f t="shared" si="13"/>
        <v>6.5890183028286202</v>
      </c>
      <c r="BC11" s="368">
        <f t="shared" si="14"/>
        <v>17.595673876871881</v>
      </c>
      <c r="BD11" s="368">
        <f t="shared" si="15"/>
        <v>40.806988352745428</v>
      </c>
      <c r="BF11" s="321">
        <f t="shared" si="16"/>
        <v>4.7122912576720992</v>
      </c>
      <c r="BG11" s="321">
        <f t="shared" si="1"/>
        <v>1.4610266139273376</v>
      </c>
      <c r="BH11" s="321">
        <f t="shared" si="1"/>
        <v>2.3827018848821448</v>
      </c>
      <c r="BI11" s="321">
        <f t="shared" si="1"/>
        <v>3.4461678979249735</v>
      </c>
      <c r="BJ11" s="321">
        <f t="shared" si="1"/>
        <v>2.7309939567203951</v>
      </c>
      <c r="BK11" s="321"/>
    </row>
    <row r="12" spans="1:63" ht="15">
      <c r="B12" s="320">
        <v>25.33</v>
      </c>
      <c r="C12" s="191">
        <v>5.6999999999999998E-4</v>
      </c>
      <c r="D12" s="191">
        <v>2.3999999999999998E-3</v>
      </c>
      <c r="E12" s="191">
        <v>7.7000000000000002E-3</v>
      </c>
      <c r="F12" s="191">
        <v>2.0299999999999999E-2</v>
      </c>
      <c r="G12" s="191">
        <v>4.6699999999999998E-2</v>
      </c>
      <c r="I12" s="320">
        <v>25.33</v>
      </c>
      <c r="J12" s="1">
        <v>5.5028226192128612E-4</v>
      </c>
      <c r="K12" s="79">
        <v>2.3398472173011072E-3</v>
      </c>
      <c r="L12" s="79">
        <v>7.7822493960921684E-3</v>
      </c>
      <c r="M12" s="79">
        <v>2.1547680339516477E-2</v>
      </c>
      <c r="N12" s="79">
        <v>5.1755116204703959E-2</v>
      </c>
      <c r="P12" s="320">
        <v>25.33</v>
      </c>
      <c r="Q12" s="321">
        <f t="shared" si="2"/>
        <v>3.4592522945112032</v>
      </c>
      <c r="R12" s="321">
        <f t="shared" si="3"/>
        <v>2.5063659457871932</v>
      </c>
      <c r="S12" s="321">
        <f t="shared" si="4"/>
        <v>-1.0681739752229626</v>
      </c>
      <c r="T12" s="321">
        <f t="shared" si="5"/>
        <v>-6.1462085690466921</v>
      </c>
      <c r="U12" s="321">
        <f t="shared" si="6"/>
        <v>-10.824659967246168</v>
      </c>
      <c r="W12" s="321">
        <v>25.33</v>
      </c>
      <c r="X12" s="321">
        <v>3.4592522945112032</v>
      </c>
      <c r="Y12" s="321">
        <v>2.5063659457871932</v>
      </c>
      <c r="Z12" s="321">
        <v>-1.0681739752229626</v>
      </c>
      <c r="AA12" s="321">
        <v>-6.1462085690466921</v>
      </c>
      <c r="AB12" s="321">
        <v>-10.824659967246168</v>
      </c>
      <c r="AF12" s="320">
        <v>25.33</v>
      </c>
      <c r="AG12" s="191">
        <f t="shared" si="7"/>
        <v>0.43839969735994855</v>
      </c>
      <c r="AH12" s="191">
        <f t="shared" si="8"/>
        <v>1.8081011378731153</v>
      </c>
      <c r="AI12" s="191">
        <f t="shared" si="17"/>
        <v>5.8606352683933451</v>
      </c>
      <c r="AJ12" s="191">
        <f t="shared" si="9"/>
        <v>15.661963946062425</v>
      </c>
      <c r="AK12" s="191">
        <f t="shared" si="18"/>
        <v>35.798481733723442</v>
      </c>
      <c r="AM12" s="320">
        <v>25.33</v>
      </c>
      <c r="AN12" s="191">
        <v>0.41176853664352414</v>
      </c>
      <c r="AO12" s="191">
        <v>1.7508750168932705</v>
      </c>
      <c r="AP12" s="191">
        <v>5.8233486110119257</v>
      </c>
      <c r="AQ12" s="191">
        <v>16.123828470295678</v>
      </c>
      <c r="AR12" s="191">
        <v>38.727631141552038</v>
      </c>
      <c r="AS12" s="320">
        <v>25.33</v>
      </c>
      <c r="AT12" s="321">
        <f t="shared" si="10"/>
        <v>6.0746302693176508</v>
      </c>
      <c r="AU12" s="321">
        <f t="shared" si="0"/>
        <v>3.1649845122690636</v>
      </c>
      <c r="AV12" s="321">
        <f t="shared" si="0"/>
        <v>0.63622211029763243</v>
      </c>
      <c r="AW12" s="321">
        <f t="shared" si="0"/>
        <v>-2.9489566303679946</v>
      </c>
      <c r="AX12" s="321">
        <f t="shared" si="0"/>
        <v>-8.1823285959896825</v>
      </c>
      <c r="AY12" s="320">
        <v>25.33</v>
      </c>
      <c r="AZ12" s="368">
        <f t="shared" si="11"/>
        <v>0.42678868552412647</v>
      </c>
      <c r="BA12" s="368">
        <f t="shared" si="12"/>
        <v>1.7970049916805324</v>
      </c>
      <c r="BB12" s="368">
        <f t="shared" si="13"/>
        <v>5.7653910149750418</v>
      </c>
      <c r="BC12" s="368">
        <f t="shared" si="14"/>
        <v>15.199667221297835</v>
      </c>
      <c r="BD12" s="368">
        <f t="shared" si="15"/>
        <v>34.966722129783697</v>
      </c>
      <c r="BF12" s="321">
        <f t="shared" si="16"/>
        <v>2.6484990536589827</v>
      </c>
      <c r="BG12" s="321">
        <f t="shared" si="1"/>
        <v>0.6136905707407172</v>
      </c>
      <c r="BH12" s="321">
        <f t="shared" si="1"/>
        <v>1.6251523777969881</v>
      </c>
      <c r="BI12" s="321">
        <f t="shared" si="1"/>
        <v>2.9517161855095191</v>
      </c>
      <c r="BJ12" s="321">
        <f t="shared" si="1"/>
        <v>2.323449385721287</v>
      </c>
      <c r="BK12" s="321"/>
    </row>
    <row r="13" spans="1:63" ht="15">
      <c r="B13" s="320">
        <v>30.4</v>
      </c>
      <c r="C13" s="191">
        <v>5.5000000000000003E-4</v>
      </c>
      <c r="D13" s="191">
        <v>2.2000000000000001E-3</v>
      </c>
      <c r="E13" s="191">
        <v>6.8999999999999999E-3</v>
      </c>
      <c r="F13" s="191">
        <v>1.8200000000000001E-2</v>
      </c>
      <c r="G13" s="191">
        <v>4.1500000000000002E-2</v>
      </c>
      <c r="I13" s="320">
        <v>30.4</v>
      </c>
      <c r="J13" s="1">
        <v>5.1860950673464617E-4</v>
      </c>
      <c r="K13" s="1">
        <v>2.1514748232202459E-3</v>
      </c>
      <c r="L13" s="79">
        <v>7.0260825761024213E-3</v>
      </c>
      <c r="M13" s="79">
        <v>1.9186948628102496E-2</v>
      </c>
      <c r="N13" s="79">
        <v>4.5557686663127053E-2</v>
      </c>
      <c r="P13" s="320">
        <v>30.4</v>
      </c>
      <c r="Q13" s="321">
        <f t="shared" si="2"/>
        <v>5.7073624118825199</v>
      </c>
      <c r="R13" s="321">
        <f t="shared" si="3"/>
        <v>2.2056898536251932</v>
      </c>
      <c r="S13" s="321">
        <f t="shared" si="4"/>
        <v>-1.8272837116292961</v>
      </c>
      <c r="T13" s="321">
        <f t="shared" si="5"/>
        <v>-5.4227946599038184</v>
      </c>
      <c r="U13" s="321">
        <f t="shared" si="6"/>
        <v>-9.777558224402533</v>
      </c>
      <c r="W13" s="321">
        <v>30.4</v>
      </c>
      <c r="X13" s="321">
        <v>5.7073624118825199</v>
      </c>
      <c r="Y13" s="321">
        <v>2.2056898536251932</v>
      </c>
      <c r="Z13" s="321">
        <v>-1.8272837116292961</v>
      </c>
      <c r="AA13" s="321">
        <v>-5.4227946599038184</v>
      </c>
      <c r="AB13" s="321">
        <v>-9.777558224402533</v>
      </c>
      <c r="AF13" s="320">
        <v>30.4</v>
      </c>
      <c r="AG13" s="191">
        <f t="shared" si="7"/>
        <v>0.40580732197716285</v>
      </c>
      <c r="AH13" s="191">
        <f t="shared" si="8"/>
        <v>1.6454175800273461</v>
      </c>
      <c r="AI13" s="191">
        <f t="shared" si="17"/>
        <v>5.26655817275849</v>
      </c>
      <c r="AJ13" s="191">
        <f t="shared" si="9"/>
        <v>13.950488038289276</v>
      </c>
      <c r="AK13" s="191">
        <f t="shared" si="18"/>
        <v>31.686875440193688</v>
      </c>
      <c r="AM13" s="320">
        <v>30.4</v>
      </c>
      <c r="AN13" s="191">
        <v>0.38806825597458838</v>
      </c>
      <c r="AO13" s="191">
        <v>1.6099185834005831</v>
      </c>
      <c r="AP13" s="191">
        <v>5.2575195329703295</v>
      </c>
      <c r="AQ13" s="191">
        <v>14.357325877929824</v>
      </c>
      <c r="AR13" s="191">
        <v>34.090181109314763</v>
      </c>
      <c r="AS13" s="320">
        <v>30.4</v>
      </c>
      <c r="AT13" s="321">
        <f t="shared" si="10"/>
        <v>4.3713025965491941</v>
      </c>
      <c r="AU13" s="321">
        <f t="shared" si="0"/>
        <v>2.15744605245879</v>
      </c>
      <c r="AV13" s="321">
        <f t="shared" si="0"/>
        <v>0.17162327827143969</v>
      </c>
      <c r="AW13" s="321">
        <f t="shared" si="0"/>
        <v>-2.9162982579815062</v>
      </c>
      <c r="AX13" s="321">
        <f t="shared" si="0"/>
        <v>-7.5845460801495301</v>
      </c>
      <c r="AY13" s="320">
        <v>30.4</v>
      </c>
      <c r="AZ13" s="368">
        <f t="shared" si="11"/>
        <v>0.41181364392678876</v>
      </c>
      <c r="BA13" s="368">
        <f t="shared" si="12"/>
        <v>1.6472545757071551</v>
      </c>
      <c r="BB13" s="368">
        <f t="shared" si="13"/>
        <v>5.1663893510815315</v>
      </c>
      <c r="BC13" s="368">
        <f t="shared" si="14"/>
        <v>13.627287853577371</v>
      </c>
      <c r="BD13" s="368">
        <f t="shared" si="15"/>
        <v>31.073211314475873</v>
      </c>
      <c r="BF13" s="321">
        <f t="shared" si="16"/>
        <v>-1.4800920595424656</v>
      </c>
      <c r="BG13" s="321">
        <f t="shared" si="1"/>
        <v>-0.11164312950749346</v>
      </c>
      <c r="BH13" s="321">
        <f t="shared" si="1"/>
        <v>1.9019788330657064</v>
      </c>
      <c r="BI13" s="321">
        <f t="shared" si="1"/>
        <v>2.3167661505807637</v>
      </c>
      <c r="BJ13" s="321">
        <f t="shared" si="1"/>
        <v>1.9366507968766256</v>
      </c>
      <c r="BK13" s="321"/>
    </row>
    <row r="14" spans="1:63" ht="15">
      <c r="B14" s="320">
        <v>40.53</v>
      </c>
      <c r="C14" s="191">
        <v>5.0000000000000001E-4</v>
      </c>
      <c r="D14" s="191">
        <v>1.9E-3</v>
      </c>
      <c r="E14" s="191">
        <v>5.8999999999999999E-3</v>
      </c>
      <c r="F14" s="191">
        <v>1.5599999999999999E-2</v>
      </c>
      <c r="G14" s="191">
        <v>3.5000000000000003E-2</v>
      </c>
      <c r="I14" s="320">
        <v>40.53</v>
      </c>
      <c r="J14" s="1">
        <v>4.7479492442986735E-4</v>
      </c>
      <c r="K14" s="1">
        <v>1.9032956369560822E-3</v>
      </c>
      <c r="L14" s="79">
        <v>6.049228490615826E-3</v>
      </c>
      <c r="M14" s="79">
        <v>1.6171603115623479E-2</v>
      </c>
      <c r="N14" s="79">
        <v>3.7726832776305723E-2</v>
      </c>
      <c r="P14" s="320">
        <v>40.53</v>
      </c>
      <c r="Q14" s="321">
        <f t="shared" si="2"/>
        <v>5.0410151140265311</v>
      </c>
      <c r="R14" s="321">
        <f t="shared" si="3"/>
        <v>-0.17345457663590666</v>
      </c>
      <c r="S14" s="321">
        <f t="shared" si="4"/>
        <v>-2.5292964511156972</v>
      </c>
      <c r="T14" s="321">
        <f t="shared" si="5"/>
        <v>-3.6641225360479486</v>
      </c>
      <c r="U14" s="321">
        <f t="shared" si="6"/>
        <v>-7.7909507894449126</v>
      </c>
      <c r="W14" s="321">
        <v>40.53</v>
      </c>
      <c r="X14" s="321">
        <v>5.0410151140265311</v>
      </c>
      <c r="Y14" s="321">
        <v>-0.17345457663590666</v>
      </c>
      <c r="Z14" s="321">
        <v>-2.5292964511156972</v>
      </c>
      <c r="AA14" s="321">
        <v>-3.6641225360479486</v>
      </c>
      <c r="AB14" s="321">
        <v>-7.7909507894449126</v>
      </c>
      <c r="AF14" s="320">
        <v>40.53</v>
      </c>
      <c r="AG14" s="191">
        <f t="shared" si="7"/>
        <v>0.36510903912944354</v>
      </c>
      <c r="AH14" s="191">
        <f t="shared" si="8"/>
        <v>1.4422737043779081</v>
      </c>
      <c r="AI14" s="191">
        <f t="shared" si="17"/>
        <v>4.5247307549180276</v>
      </c>
      <c r="AJ14" s="191">
        <f t="shared" si="9"/>
        <v>11.813358425502656</v>
      </c>
      <c r="AK14" s="191">
        <f t="shared" si="18"/>
        <v>26.552689486354978</v>
      </c>
      <c r="AM14" s="320">
        <v>40.53</v>
      </c>
      <c r="AN14" s="191">
        <v>0.35528241552918671</v>
      </c>
      <c r="AO14" s="191">
        <v>1.4242095620038635</v>
      </c>
      <c r="AP14" s="191">
        <v>4.5265532541543125</v>
      </c>
      <c r="AQ14" s="191">
        <v>12.10098491427051</v>
      </c>
      <c r="AR14" s="191">
        <v>28.230462436233285</v>
      </c>
      <c r="AS14" s="320">
        <v>40.53</v>
      </c>
      <c r="AT14" s="321">
        <f t="shared" si="10"/>
        <v>2.6914216157691322</v>
      </c>
      <c r="AU14" s="321">
        <f t="shared" si="0"/>
        <v>1.2524767191700406</v>
      </c>
      <c r="AV14" s="321">
        <f t="shared" si="0"/>
        <v>-4.0278622861792505E-2</v>
      </c>
      <c r="AW14" s="321">
        <f t="shared" si="0"/>
        <v>-2.4347563022123038</v>
      </c>
      <c r="AX14" s="321">
        <f t="shared" si="0"/>
        <v>-6.3186554067921774</v>
      </c>
      <c r="AY14" s="320">
        <v>40.53</v>
      </c>
      <c r="AZ14" s="368">
        <f t="shared" si="11"/>
        <v>0.37437603993344432</v>
      </c>
      <c r="BA14" s="368">
        <f t="shared" si="12"/>
        <v>1.4226289517470883</v>
      </c>
      <c r="BB14" s="368">
        <f t="shared" si="13"/>
        <v>4.4176372712146428</v>
      </c>
      <c r="BC14" s="368">
        <f t="shared" si="14"/>
        <v>11.680532445923461</v>
      </c>
      <c r="BD14" s="368">
        <f t="shared" si="15"/>
        <v>26.206322795341105</v>
      </c>
      <c r="BF14" s="321">
        <f t="shared" si="16"/>
        <v>-2.5381460908491271</v>
      </c>
      <c r="BG14" s="321">
        <f t="shared" si="1"/>
        <v>1.3620682794943697</v>
      </c>
      <c r="BH14" s="321">
        <f t="shared" si="1"/>
        <v>2.3668476535754657</v>
      </c>
      <c r="BI14" s="321">
        <f t="shared" si="1"/>
        <v>1.1243710280765764</v>
      </c>
      <c r="BJ14" s="321">
        <f t="shared" si="1"/>
        <v>1.3044505009252112</v>
      </c>
      <c r="BK14" s="321"/>
    </row>
    <row r="15" spans="1:63" ht="15">
      <c r="B15" s="320">
        <v>50.66</v>
      </c>
      <c r="C15" s="191">
        <v>4.6000000000000001E-4</v>
      </c>
      <c r="D15" s="191">
        <v>1.8E-3</v>
      </c>
      <c r="E15" s="191">
        <v>5.3E-3</v>
      </c>
      <c r="F15" s="191">
        <v>1.3899999999999999E-2</v>
      </c>
      <c r="G15" s="191">
        <v>3.1E-2</v>
      </c>
      <c r="I15" s="320">
        <v>50.66</v>
      </c>
      <c r="J15" s="1">
        <v>4.4368671767927836E-4</v>
      </c>
      <c r="K15" s="1">
        <v>1.7388282976414523E-3</v>
      </c>
      <c r="L15" s="79">
        <v>5.4232562155604076E-3</v>
      </c>
      <c r="M15" s="79">
        <v>1.4276464436314024E-2</v>
      </c>
      <c r="N15" s="79">
        <v>3.2877948609270312E-2</v>
      </c>
      <c r="P15" s="320">
        <v>50.66</v>
      </c>
      <c r="Q15" s="321">
        <f t="shared" si="2"/>
        <v>3.5463657218960116</v>
      </c>
      <c r="R15" s="321">
        <f t="shared" si="3"/>
        <v>3.3984279088082046</v>
      </c>
      <c r="S15" s="321">
        <f t="shared" si="4"/>
        <v>-2.3255889728378794</v>
      </c>
      <c r="T15" s="321">
        <f t="shared" si="5"/>
        <v>-2.7083772396692436</v>
      </c>
      <c r="U15" s="321">
        <f t="shared" si="6"/>
        <v>-6.0578987395816517</v>
      </c>
      <c r="W15" s="321">
        <v>50.66</v>
      </c>
      <c r="X15" s="321">
        <v>3.5463657218960116</v>
      </c>
      <c r="Y15" s="321">
        <v>3.3984279088082046</v>
      </c>
      <c r="Z15" s="321">
        <v>-2.3255889728378794</v>
      </c>
      <c r="AA15" s="321">
        <v>-2.7083772396692436</v>
      </c>
      <c r="AB15" s="321">
        <v>-6.0578987395816517</v>
      </c>
      <c r="AF15" s="320">
        <v>50.66</v>
      </c>
      <c r="AG15" s="191">
        <f t="shared" si="7"/>
        <v>0.34068685597566017</v>
      </c>
      <c r="AH15" s="191">
        <f t="shared" si="8"/>
        <v>1.3203713392033543</v>
      </c>
      <c r="AI15" s="191">
        <f t="shared" si="17"/>
        <v>4.0795757311843115</v>
      </c>
      <c r="AJ15" s="191">
        <f t="shared" si="9"/>
        <v>10.530911914868758</v>
      </c>
      <c r="AK15" s="191">
        <f t="shared" si="18"/>
        <v>23.471772530241743</v>
      </c>
      <c r="AM15" s="320">
        <v>50.66</v>
      </c>
      <c r="AN15" s="191">
        <v>0.33200457857589138</v>
      </c>
      <c r="AO15" s="191">
        <v>1.3011409473645525</v>
      </c>
      <c r="AP15" s="191">
        <v>4.0581469370416272</v>
      </c>
      <c r="AQ15" s="191">
        <v>10.682879089831959</v>
      </c>
      <c r="AR15" s="191">
        <v>24.60211008694435</v>
      </c>
      <c r="AS15" s="320">
        <v>50.66</v>
      </c>
      <c r="AT15" s="321">
        <f t="shared" si="10"/>
        <v>2.5484626857424404</v>
      </c>
      <c r="AU15" s="321">
        <f t="shared" si="0"/>
        <v>1.4564381449240151</v>
      </c>
      <c r="AV15" s="321">
        <f t="shared" si="0"/>
        <v>0.52527016422032313</v>
      </c>
      <c r="AW15" s="321">
        <f t="shared" si="0"/>
        <v>-1.4430580769423729</v>
      </c>
      <c r="AX15" s="321">
        <f t="shared" si="0"/>
        <v>-4.8157315568998698</v>
      </c>
      <c r="AY15" s="320">
        <v>50.66</v>
      </c>
      <c r="AZ15" s="368">
        <f t="shared" si="11"/>
        <v>0.34442595673876875</v>
      </c>
      <c r="BA15" s="368">
        <f t="shared" si="12"/>
        <v>1.3477537437603992</v>
      </c>
      <c r="BB15" s="368">
        <f t="shared" si="13"/>
        <v>3.9683860232945092</v>
      </c>
      <c r="BC15" s="368">
        <f t="shared" si="14"/>
        <v>10.407653910149749</v>
      </c>
      <c r="BD15" s="368">
        <f t="shared" si="15"/>
        <v>23.211314475873547</v>
      </c>
      <c r="BF15" s="321">
        <f t="shared" si="16"/>
        <v>-1.0975183508035617</v>
      </c>
      <c r="BG15" s="321">
        <f t="shared" si="1"/>
        <v>-2.0738411796764811</v>
      </c>
      <c r="BH15" s="321">
        <f t="shared" si="1"/>
        <v>2.7255213585046909</v>
      </c>
      <c r="BI15" s="321">
        <f t="shared" si="1"/>
        <v>1.1704399933777734</v>
      </c>
      <c r="BJ15" s="321">
        <f t="shared" si="1"/>
        <v>1.1096650414135312</v>
      </c>
      <c r="BK15" s="321"/>
    </row>
    <row r="16" spans="1:63" ht="15">
      <c r="B16" s="320">
        <v>60.8</v>
      </c>
      <c r="C16" s="191">
        <v>4.4000000000000002E-4</v>
      </c>
      <c r="D16" s="191">
        <v>1.6999999999999999E-3</v>
      </c>
      <c r="E16" s="191">
        <v>5.1000000000000004E-3</v>
      </c>
      <c r="F16" s="191">
        <v>1.2800000000000001E-2</v>
      </c>
      <c r="G16" s="191">
        <v>2.8000000000000001E-2</v>
      </c>
      <c r="I16" s="320">
        <v>60.8</v>
      </c>
      <c r="J16" s="1">
        <v>4.1929696362809284E-4</v>
      </c>
      <c r="K16" s="1">
        <v>1.6168971802508565E-3</v>
      </c>
      <c r="L16" s="79">
        <v>4.9736453208826178E-3</v>
      </c>
      <c r="M16" s="79">
        <v>1.294154557022179E-2</v>
      </c>
      <c r="N16" s="79">
        <v>2.9510104081121036E-2</v>
      </c>
      <c r="P16" s="320">
        <v>60.8</v>
      </c>
      <c r="Q16" s="321">
        <f t="shared" si="2"/>
        <v>4.705235539069812</v>
      </c>
      <c r="R16" s="321">
        <f t="shared" si="3"/>
        <v>4.8884011617143175</v>
      </c>
      <c r="S16" s="321">
        <f t="shared" si="4"/>
        <v>2.4775427277918141</v>
      </c>
      <c r="T16" s="321">
        <f t="shared" si="5"/>
        <v>-1.1058247673577326</v>
      </c>
      <c r="U16" s="321">
        <f t="shared" si="6"/>
        <v>-5.3932288611465538</v>
      </c>
      <c r="W16" s="321">
        <v>60.8</v>
      </c>
      <c r="X16" s="321">
        <v>4.705235539069812</v>
      </c>
      <c r="Y16" s="321">
        <v>4.8884011617143175</v>
      </c>
      <c r="Z16" s="321">
        <v>2.4775427277918141</v>
      </c>
      <c r="AA16" s="321">
        <v>-1.1058247673577326</v>
      </c>
      <c r="AB16" s="321">
        <v>-5.3932288611465538</v>
      </c>
      <c r="AF16" s="320">
        <v>60.8</v>
      </c>
      <c r="AG16" s="191">
        <f t="shared" si="7"/>
        <v>0.32439066828426727</v>
      </c>
      <c r="AH16" s="191">
        <f t="shared" si="8"/>
        <v>1.23902956028047</v>
      </c>
      <c r="AI16" s="191">
        <f t="shared" si="17"/>
        <v>3.7825371833668844</v>
      </c>
      <c r="AJ16" s="191">
        <f t="shared" si="9"/>
        <v>9.6751739609821854</v>
      </c>
      <c r="AK16" s="191">
        <f t="shared" si="18"/>
        <v>21.415969383476856</v>
      </c>
      <c r="AM16" s="320">
        <v>60.8</v>
      </c>
      <c r="AN16" s="191">
        <v>0.31375406601223421</v>
      </c>
      <c r="AO16" s="191">
        <v>1.2099015939390243</v>
      </c>
      <c r="AP16" s="191">
        <v>3.7217093794978569</v>
      </c>
      <c r="AQ16" s="191">
        <v>9.6839779329793707</v>
      </c>
      <c r="AR16" s="191">
        <v>22.081999029471643</v>
      </c>
      <c r="AS16" s="320">
        <v>60.8</v>
      </c>
      <c r="AT16" s="321">
        <f t="shared" si="10"/>
        <v>3.2789482904335832</v>
      </c>
      <c r="AU16" s="321">
        <f t="shared" si="0"/>
        <v>2.3508693638311722</v>
      </c>
      <c r="AV16" s="321">
        <f t="shared" si="0"/>
        <v>1.6081217690736334</v>
      </c>
      <c r="AW16" s="321">
        <f t="shared" si="0"/>
        <v>-9.0995490444820443E-2</v>
      </c>
      <c r="AX16" s="321">
        <f t="shared" si="0"/>
        <v>-3.1099673055596115</v>
      </c>
      <c r="AY16" s="320">
        <v>60.8</v>
      </c>
      <c r="AZ16" s="368">
        <f t="shared" si="11"/>
        <v>0.32945091514143099</v>
      </c>
      <c r="BA16" s="368">
        <f t="shared" si="12"/>
        <v>1.2728785357737105</v>
      </c>
      <c r="BB16" s="368">
        <f t="shared" si="13"/>
        <v>3.8186356073211321</v>
      </c>
      <c r="BC16" s="368">
        <f t="shared" si="14"/>
        <v>9.5840266222961752</v>
      </c>
      <c r="BD16" s="368">
        <f t="shared" si="15"/>
        <v>20.965058236272881</v>
      </c>
      <c r="BF16" s="321">
        <f t="shared" si="16"/>
        <v>-1.5599236821231144</v>
      </c>
      <c r="BG16" s="321">
        <f t="shared" si="1"/>
        <v>-2.7318941031219923</v>
      </c>
      <c r="BH16" s="321">
        <f t="shared" si="1"/>
        <v>-0.95434419291328698</v>
      </c>
      <c r="BI16" s="321">
        <f t="shared" si="1"/>
        <v>0.94207441699329708</v>
      </c>
      <c r="BJ16" s="321">
        <f t="shared" si="1"/>
        <v>2.1054902494951642</v>
      </c>
      <c r="BK16" s="321"/>
    </row>
    <row r="17" spans="2:63" ht="15">
      <c r="B17" s="320">
        <v>70.930000000000007</v>
      </c>
      <c r="C17" s="191">
        <v>4.0000000000000002E-4</v>
      </c>
      <c r="D17" s="191">
        <v>1.6000000000000001E-3</v>
      </c>
      <c r="E17" s="191">
        <v>4.8999999999999998E-3</v>
      </c>
      <c r="F17" s="191">
        <v>1.18E-2</v>
      </c>
      <c r="G17" s="191">
        <v>2.5999999999999999E-2</v>
      </c>
      <c r="I17" s="320">
        <v>70.930000000000007</v>
      </c>
      <c r="J17" s="1">
        <v>3.9920714248151032E-4</v>
      </c>
      <c r="K17" s="1">
        <v>1.5207299951066778E-3</v>
      </c>
      <c r="L17" s="79">
        <v>4.6284868046778151E-3</v>
      </c>
      <c r="M17" s="79">
        <v>1.1934687431494218E-2</v>
      </c>
      <c r="N17" s="79">
        <v>2.7002074030804842E-2</v>
      </c>
      <c r="P17" s="320">
        <v>70.930000000000007</v>
      </c>
      <c r="Q17" s="321">
        <f t="shared" si="2"/>
        <v>0.19821437962242588</v>
      </c>
      <c r="R17" s="321">
        <f t="shared" si="3"/>
        <v>4.9543753058326425</v>
      </c>
      <c r="S17" s="321">
        <f t="shared" si="4"/>
        <v>5.5410856188200981</v>
      </c>
      <c r="T17" s="321">
        <f t="shared" si="5"/>
        <v>-1.1414189109679533</v>
      </c>
      <c r="U17" s="321">
        <f t="shared" si="6"/>
        <v>-3.8541308877109359</v>
      </c>
      <c r="W17" s="321">
        <v>70.930000000000007</v>
      </c>
      <c r="X17" s="321">
        <v>0.19821437962242588</v>
      </c>
      <c r="Y17" s="321">
        <v>4.9543753058326425</v>
      </c>
      <c r="Z17" s="321">
        <v>5.5410856188200981</v>
      </c>
      <c r="AA17" s="321">
        <v>-1.1414189109679533</v>
      </c>
      <c r="AB17" s="321">
        <v>-3.8541308877109359</v>
      </c>
      <c r="AF17" s="320">
        <v>70.930000000000007</v>
      </c>
      <c r="AG17" s="191">
        <f t="shared" si="7"/>
        <v>0.31276299731416957</v>
      </c>
      <c r="AH17" s="191">
        <f t="shared" si="8"/>
        <v>1.1809904986699262</v>
      </c>
      <c r="AI17" s="191">
        <f t="shared" si="17"/>
        <v>3.5705939629730166</v>
      </c>
      <c r="AJ17" s="191">
        <f t="shared" si="9"/>
        <v>9.0645870217023194</v>
      </c>
      <c r="AK17" s="191">
        <f t="shared" si="18"/>
        <v>19.949110813696212</v>
      </c>
      <c r="AM17" s="320">
        <v>70.930000000000007</v>
      </c>
      <c r="AN17" s="191">
        <v>0.29872113322956401</v>
      </c>
      <c r="AO17" s="191">
        <v>1.1379410314420824</v>
      </c>
      <c r="AP17" s="191">
        <v>3.4634320789876107</v>
      </c>
      <c r="AQ17" s="191">
        <v>8.9305600398713079</v>
      </c>
      <c r="AR17" s="191">
        <v>20.205275145857875</v>
      </c>
      <c r="AS17" s="320">
        <v>70.930000000000007</v>
      </c>
      <c r="AT17" s="321">
        <f t="shared" si="10"/>
        <v>4.4896180830817869</v>
      </c>
      <c r="AU17" s="321">
        <f t="shared" si="0"/>
        <v>3.6452001329670067</v>
      </c>
      <c r="AV17" s="321">
        <f t="shared" si="0"/>
        <v>3.0012341110939045</v>
      </c>
      <c r="AW17" s="321">
        <f t="shared" si="0"/>
        <v>1.4785779154651599</v>
      </c>
      <c r="AX17" s="321">
        <f t="shared" si="0"/>
        <v>-1.2840889729570906</v>
      </c>
      <c r="AY17" s="320">
        <v>70.930000000000007</v>
      </c>
      <c r="AZ17" s="368">
        <f t="shared" si="11"/>
        <v>0.29950083194675547</v>
      </c>
      <c r="BA17" s="368">
        <f t="shared" si="12"/>
        <v>1.1980033277870219</v>
      </c>
      <c r="BB17" s="368">
        <f t="shared" si="13"/>
        <v>3.668885191347754</v>
      </c>
      <c r="BC17" s="368">
        <f t="shared" si="14"/>
        <v>8.8352745424292856</v>
      </c>
      <c r="BD17" s="368">
        <f t="shared" si="15"/>
        <v>19.467554076539102</v>
      </c>
      <c r="BF17" s="321">
        <f t="shared" si="16"/>
        <v>4.2403242970882147</v>
      </c>
      <c r="BG17" s="321">
        <f t="shared" si="1"/>
        <v>-1.4405559685921376</v>
      </c>
      <c r="BH17" s="321">
        <f t="shared" si="1"/>
        <v>-2.7527976967982197</v>
      </c>
      <c r="BI17" s="321">
        <f t="shared" si="1"/>
        <v>2.5297620147946827</v>
      </c>
      <c r="BJ17" s="321">
        <f t="shared" si="1"/>
        <v>2.4139258218290789</v>
      </c>
      <c r="BK17" s="321"/>
    </row>
    <row r="18" spans="2:63" ht="15">
      <c r="B18" s="461" t="s">
        <v>188</v>
      </c>
      <c r="C18" s="463" t="s">
        <v>189</v>
      </c>
      <c r="D18" s="463"/>
      <c r="E18" s="463"/>
      <c r="F18" s="463"/>
      <c r="G18" s="463"/>
      <c r="I18" s="461" t="s">
        <v>188</v>
      </c>
      <c r="J18" s="463" t="s">
        <v>189</v>
      </c>
      <c r="K18" s="463"/>
      <c r="L18" s="463"/>
      <c r="M18" s="463"/>
      <c r="N18" s="463"/>
      <c r="P18" s="461" t="s">
        <v>188</v>
      </c>
      <c r="Q18" s="463" t="s">
        <v>189</v>
      </c>
      <c r="R18" s="463"/>
      <c r="S18" s="463"/>
      <c r="T18" s="463"/>
      <c r="U18" s="463"/>
      <c r="W18" s="321" t="s">
        <v>188</v>
      </c>
      <c r="X18" s="321" t="s">
        <v>189</v>
      </c>
      <c r="Y18" s="321"/>
      <c r="Z18" s="321"/>
      <c r="AA18" s="321"/>
      <c r="AG18">
        <v>6.5559999999999993E-2</v>
      </c>
      <c r="AH18">
        <v>0.32579999999999998</v>
      </c>
      <c r="AI18">
        <v>1.1841999999999999</v>
      </c>
      <c r="AJ18">
        <v>3.395</v>
      </c>
      <c r="AK18">
        <v>8.1150000000000002</v>
      </c>
    </row>
    <row r="19" spans="2:63" ht="15" customHeight="1">
      <c r="B19" s="462"/>
      <c r="C19" s="320">
        <v>150</v>
      </c>
      <c r="D19" s="320">
        <v>200</v>
      </c>
      <c r="E19" s="320">
        <v>250</v>
      </c>
      <c r="F19" s="320">
        <v>300</v>
      </c>
      <c r="G19" s="320">
        <v>330</v>
      </c>
      <c r="I19" s="462"/>
      <c r="J19" s="320">
        <v>150</v>
      </c>
      <c r="K19" s="320">
        <v>200</v>
      </c>
      <c r="L19" s="320">
        <v>250</v>
      </c>
      <c r="M19" s="320">
        <v>300</v>
      </c>
      <c r="N19" s="320">
        <v>330</v>
      </c>
      <c r="P19" s="462"/>
      <c r="Q19" s="320">
        <v>150</v>
      </c>
      <c r="R19" s="320">
        <v>200</v>
      </c>
      <c r="S19" s="320">
        <v>250</v>
      </c>
      <c r="T19" s="320">
        <v>300</v>
      </c>
      <c r="U19" s="320">
        <v>330</v>
      </c>
      <c r="W19" s="321"/>
      <c r="X19" s="321">
        <v>150</v>
      </c>
      <c r="Y19" s="321">
        <v>200</v>
      </c>
      <c r="Z19" s="321">
        <v>250</v>
      </c>
      <c r="AA19" s="321">
        <v>300</v>
      </c>
      <c r="AB19" s="321">
        <v>330</v>
      </c>
      <c r="AF19" s="461" t="s">
        <v>188</v>
      </c>
      <c r="AG19" s="463" t="s">
        <v>189</v>
      </c>
      <c r="AH19" s="463"/>
      <c r="AI19" s="463"/>
      <c r="AJ19" s="463"/>
      <c r="AK19" s="463"/>
      <c r="AM19" s="461" t="s">
        <v>188</v>
      </c>
      <c r="AN19" s="463" t="s">
        <v>189</v>
      </c>
      <c r="AO19" s="463"/>
      <c r="AP19" s="463"/>
      <c r="AQ19" s="463"/>
      <c r="AR19" s="463"/>
      <c r="AY19" s="461" t="s">
        <v>188</v>
      </c>
      <c r="AZ19" s="463" t="s">
        <v>189</v>
      </c>
      <c r="BA19" s="463"/>
      <c r="BB19" s="463"/>
      <c r="BC19" s="463"/>
      <c r="BD19" s="463"/>
    </row>
    <row r="20" spans="2:63" ht="15">
      <c r="B20" s="322">
        <v>4.9000000000000004</v>
      </c>
      <c r="C20" s="1">
        <v>0.105</v>
      </c>
      <c r="D20" s="1">
        <v>0.35499999999999998</v>
      </c>
      <c r="E20" s="1">
        <v>0.8</v>
      </c>
      <c r="F20" s="1" t="s">
        <v>192</v>
      </c>
      <c r="G20" s="1" t="s">
        <v>192</v>
      </c>
      <c r="I20" s="322">
        <v>4.9000000000000004</v>
      </c>
      <c r="J20" s="328">
        <v>0.1213739530139431</v>
      </c>
      <c r="K20" s="328">
        <v>0.53869230189632655</v>
      </c>
      <c r="L20" s="328" t="s">
        <v>192</v>
      </c>
      <c r="M20" s="328" t="s">
        <v>192</v>
      </c>
      <c r="N20" s="328" t="s">
        <v>192</v>
      </c>
      <c r="P20" s="322">
        <v>4.9000000000000004</v>
      </c>
      <c r="Q20" s="321">
        <f>(C20-J20)/C20*100</f>
        <v>-15.594240965660102</v>
      </c>
      <c r="R20" s="321">
        <f t="shared" ref="R20:U30" si="19">(D20-K20)/D20*100</f>
        <v>-51.744310393331425</v>
      </c>
      <c r="S20" s="321" t="e">
        <f t="shared" si="19"/>
        <v>#VALUE!</v>
      </c>
      <c r="T20" s="321" t="s">
        <v>192</v>
      </c>
      <c r="U20" s="321" t="s">
        <v>192</v>
      </c>
      <c r="W20" s="321">
        <v>4.9000000000000004</v>
      </c>
      <c r="X20" s="321">
        <v>-15.594240965660102</v>
      </c>
      <c r="Y20" s="321">
        <v>-51.744310393331425</v>
      </c>
      <c r="Z20" s="321" t="s">
        <v>192</v>
      </c>
      <c r="AA20" s="321" t="s">
        <v>192</v>
      </c>
      <c r="AB20" s="321" t="s">
        <v>192</v>
      </c>
      <c r="AF20" s="462"/>
      <c r="AG20" s="320">
        <v>150</v>
      </c>
      <c r="AH20" s="320">
        <v>200</v>
      </c>
      <c r="AI20" s="320">
        <v>250</v>
      </c>
      <c r="AJ20" s="320">
        <v>300</v>
      </c>
      <c r="AK20" s="320">
        <v>330</v>
      </c>
      <c r="AM20" s="462"/>
      <c r="AN20">
        <v>90.822435098480781</v>
      </c>
      <c r="AO20">
        <v>403.09593131081368</v>
      </c>
      <c r="AP20" s="320">
        <v>250</v>
      </c>
      <c r="AQ20" s="320">
        <v>300</v>
      </c>
      <c r="AR20" s="320">
        <v>330</v>
      </c>
      <c r="AY20" s="462"/>
      <c r="AZ20" s="320">
        <v>150</v>
      </c>
      <c r="BA20" s="320">
        <v>200</v>
      </c>
      <c r="BB20" s="320">
        <v>250</v>
      </c>
      <c r="BC20" s="320">
        <v>300</v>
      </c>
      <c r="BD20" s="320">
        <v>330</v>
      </c>
    </row>
    <row r="21" spans="2:63" ht="15" customHeight="1">
      <c r="B21" s="322">
        <v>9.8000000000000007</v>
      </c>
      <c r="C21" s="1">
        <v>0.06</v>
      </c>
      <c r="D21" s="1">
        <v>0.19</v>
      </c>
      <c r="E21" s="1">
        <v>0.47</v>
      </c>
      <c r="F21" s="1">
        <v>0.90500000000000003</v>
      </c>
      <c r="G21" s="1" t="s">
        <v>192</v>
      </c>
      <c r="I21" s="322">
        <v>9.8000000000000007</v>
      </c>
      <c r="J21" s="328">
        <v>6.3097668068513593E-2</v>
      </c>
      <c r="K21" s="328">
        <v>0.23822579938802937</v>
      </c>
      <c r="L21" s="328">
        <v>0.86825685284828902</v>
      </c>
      <c r="M21" s="328" t="s">
        <v>192</v>
      </c>
      <c r="N21" s="328" t="s">
        <v>192</v>
      </c>
      <c r="P21" s="322">
        <v>9.8000000000000007</v>
      </c>
      <c r="Q21" s="321">
        <f t="shared" ref="Q21:Q30" si="20">(C21-J21)/C21*100</f>
        <v>-5.1627801141893261</v>
      </c>
      <c r="R21" s="321">
        <f t="shared" si="19"/>
        <v>-25.381999677910194</v>
      </c>
      <c r="S21" s="321">
        <f t="shared" si="19"/>
        <v>-84.73550060601896</v>
      </c>
      <c r="T21" s="321" t="e">
        <f t="shared" si="19"/>
        <v>#VALUE!</v>
      </c>
      <c r="U21" s="321" t="s">
        <v>192</v>
      </c>
      <c r="W21" s="321">
        <v>9.8000000000000007</v>
      </c>
      <c r="X21" s="321">
        <v>-5.1627801141893261</v>
      </c>
      <c r="Y21" s="321">
        <v>-25.381999677910194</v>
      </c>
      <c r="Z21" s="321">
        <v>-84.73550060601896</v>
      </c>
      <c r="AA21" s="321" t="e">
        <v>#VALUE!</v>
      </c>
      <c r="AB21" s="321" t="s">
        <v>192</v>
      </c>
      <c r="AF21" s="322">
        <v>4.9000000000000004</v>
      </c>
      <c r="AG21" s="191">
        <f>($AG$32/AF21/10*47482+10^((-1713.3/(273.15+$AG$20))+6.694))*0.016*(10^(-7)*$AG$20^2-1.1*10^(-3)*$AG$20*0.5525-0.079*(0.5525)^2+0.73*10^(-3)*$AG$20+0.156*0.5525+0.927)</f>
        <v>81.648400240487788</v>
      </c>
      <c r="AH21" s="191">
        <f>($AH$32/AF21/10*47482+10^((-1713.3/(273.15+$AH$20))+6.694))*0.016*(10^(-7)*$AH$20^2-1.1*10^(-3)*$AH$20*0.5525-0.079*(0.5525)^2+0.73*10^(-3)*$AH$20+0.156*0.5525+0.927)</f>
        <v>264.59128676768364</v>
      </c>
      <c r="AI21" s="191">
        <f>($AI$32/AF21/10*47482+10^((-1713.3/(273.15+$AI$20))+6.694))*0.016*(10^(-7)*$AI$20^2-1.1*10^(-3)*$AI$20*0.5525-0.079*(0.5525)^2+0.73*10^(-3)*$AI$20+0.156*0.5525+0.927)</f>
        <v>675.10605643756776</v>
      </c>
      <c r="AJ21" s="1"/>
      <c r="AK21" s="1"/>
      <c r="AM21" s="322">
        <v>4.9000000000000004</v>
      </c>
      <c r="AN21" s="191">
        <v>47.215104400198072</v>
      </c>
      <c r="AO21" s="191">
        <v>178.26104091062675</v>
      </c>
      <c r="AP21" s="328">
        <v>649.70448525777203</v>
      </c>
      <c r="AQ21" s="328" t="s">
        <v>192</v>
      </c>
      <c r="AR21" s="328" t="s">
        <v>192</v>
      </c>
      <c r="AT21" s="321">
        <f>(AG21-AN21)/AG21*100</f>
        <v>42.172652175510649</v>
      </c>
      <c r="AU21" s="321">
        <f>(AH21-AO21)/AH21*100</f>
        <v>32.62777354148345</v>
      </c>
      <c r="AV21" s="321"/>
      <c r="AY21" s="322">
        <v>4.9000000000000004</v>
      </c>
      <c r="AZ21" s="368">
        <f>C20*18/0.02404</f>
        <v>78.618968386023298</v>
      </c>
      <c r="BA21" s="368">
        <f t="shared" ref="BA21:BD31" si="21">D20*18/0.02404</f>
        <v>265.80698835274541</v>
      </c>
      <c r="BB21" s="368">
        <f t="shared" si="21"/>
        <v>599.00166389351091</v>
      </c>
      <c r="BC21" s="368"/>
      <c r="BD21" s="368"/>
      <c r="BF21" s="321">
        <f>(AG21-AZ21)/AG21*100</f>
        <v>3.7103382865329637</v>
      </c>
      <c r="BG21" s="321">
        <f>(AH21-BA21)/AH21*100</f>
        <v>-0.4594639528433056</v>
      </c>
      <c r="BH21" s="321"/>
      <c r="BI21" s="321"/>
      <c r="BJ21" s="321"/>
    </row>
    <row r="22" spans="2:63" ht="15">
      <c r="B22" s="322">
        <v>14.7</v>
      </c>
      <c r="C22" s="1">
        <v>4.4999999999999998E-2</v>
      </c>
      <c r="D22" s="1">
        <v>0.13700000000000001</v>
      </c>
      <c r="E22" s="1">
        <v>0.33800000000000002</v>
      </c>
      <c r="F22" s="1">
        <v>0.67800000000000005</v>
      </c>
      <c r="G22" s="1">
        <v>0.92600000000000005</v>
      </c>
      <c r="I22" s="322">
        <v>14.7</v>
      </c>
      <c r="J22" s="328">
        <v>4.4949502268175498E-2</v>
      </c>
      <c r="K22" s="328">
        <v>0.16080049164465571</v>
      </c>
      <c r="L22" s="328">
        <v>0.50717374753711986</v>
      </c>
      <c r="M22" s="328" t="s">
        <v>192</v>
      </c>
      <c r="N22" s="328" t="s">
        <v>192</v>
      </c>
      <c r="P22" s="322">
        <v>14.7</v>
      </c>
      <c r="Q22" s="321">
        <f t="shared" si="20"/>
        <v>0.112217181832223</v>
      </c>
      <c r="R22" s="321">
        <f t="shared" si="19"/>
        <v>-17.372621638434811</v>
      </c>
      <c r="S22" s="321">
        <f t="shared" si="19"/>
        <v>-50.051404596781012</v>
      </c>
      <c r="T22" s="321" t="e">
        <f t="shared" si="19"/>
        <v>#VALUE!</v>
      </c>
      <c r="U22" s="321" t="e">
        <f t="shared" si="19"/>
        <v>#VALUE!</v>
      </c>
      <c r="W22" s="321">
        <v>14.7</v>
      </c>
      <c r="X22" s="321">
        <v>0.112217181832223</v>
      </c>
      <c r="Y22" s="321">
        <v>-17.372621638434811</v>
      </c>
      <c r="Z22" s="321">
        <v>-50.051404596781012</v>
      </c>
      <c r="AA22" s="321" t="e">
        <v>#VALUE!</v>
      </c>
      <c r="AB22" s="321" t="e">
        <v>#VALUE!</v>
      </c>
      <c r="AF22" s="322">
        <v>9.8000000000000007</v>
      </c>
      <c r="AG22" s="191">
        <f>($AG$32/AF22/10*47482+10^((-1713.3/(273.15+$AG$20))+6.694))*0.016*(10^(-7)*$AG$20^2-1.1*10^(-3)*$AG$20*0.5525-0.079*(0.5525)^2+0.73*10^(-3)*$AG$20+0.156*0.5525+0.927)</f>
        <v>44.391562970935212</v>
      </c>
      <c r="AH22" s="191">
        <f t="shared" ref="AH22:AH31" si="22">($AH$32/AF22/10*47482+10^((-1713.3/(273.15+$AH$20))+6.694))*0.016*(10^(-7)*$AH$20^2-1.1*10^(-3)*$AH$20*0.5525-0.079*(0.5525)^2+0.73*10^(-3)*$AH$20+0.156*0.5525+0.927)</f>
        <v>141.92471827521706</v>
      </c>
      <c r="AI22" s="191">
        <f>($AI$32/AF22/10*47482+10^((-1713.3/(273.15+$AI$20))+6.694))*0.016*(10^(-7)*$AI$20^2-1.1*10^(-3)*$AI$20*0.5525-0.079*(0.5525)^2+0.73*10^(-3)*$AI$20+0.156*0.5525+0.927)</f>
        <v>359.09178756028342</v>
      </c>
      <c r="AJ22" s="1"/>
      <c r="AK22" s="1"/>
      <c r="AM22" s="322">
        <v>9.8000000000000007</v>
      </c>
      <c r="AN22" s="191">
        <v>33.635085214629264</v>
      </c>
      <c r="AO22" s="191">
        <v>120.32476370381414</v>
      </c>
      <c r="AP22" s="191">
        <v>379.51103696895979</v>
      </c>
      <c r="AQ22" s="328" t="s">
        <v>192</v>
      </c>
      <c r="AR22" s="328" t="s">
        <v>192</v>
      </c>
      <c r="AT22" s="321">
        <f t="shared" ref="AT22:AT31" si="23">(AG22-AN22)/AG22*100</f>
        <v>24.230905686624752</v>
      </c>
      <c r="AU22" s="321">
        <f t="shared" ref="AU22:AU31" si="24">(AH22-AO22)/AH22*100</f>
        <v>15.219304173298973</v>
      </c>
      <c r="AV22" s="321">
        <f t="shared" ref="AV22:AV30" si="25">(AI22-AP23)/AI22*100</f>
        <v>22.670508332452442</v>
      </c>
      <c r="AY22" s="322">
        <v>9.8000000000000007</v>
      </c>
      <c r="AZ22" s="368">
        <f t="shared" ref="AZ22:AZ31" si="26">C21*18/0.02404</f>
        <v>44.925124792013314</v>
      </c>
      <c r="BA22" s="368">
        <f t="shared" si="21"/>
        <v>142.26289517470883</v>
      </c>
      <c r="BB22" s="368">
        <f t="shared" si="21"/>
        <v>351.91347753743759</v>
      </c>
      <c r="BC22" s="368">
        <f t="shared" si="21"/>
        <v>677.62063227953411</v>
      </c>
      <c r="BD22" s="368"/>
      <c r="BF22" s="321">
        <f t="shared" ref="BF22:BF31" si="27">(AG22-AZ22)/AG22*100</f>
        <v>-1.2019442104965863</v>
      </c>
      <c r="BG22" s="321">
        <f t="shared" ref="BG22:BG31" si="28">(AH22-BA22)/AH22*100</f>
        <v>-0.23827907048297675</v>
      </c>
      <c r="BH22" s="321">
        <f t="shared" ref="BH22:BH31" si="29">(AI22-BB22)/AI22*100</f>
        <v>1.9990181539979546</v>
      </c>
      <c r="BI22" s="321"/>
      <c r="BJ22" s="321"/>
    </row>
    <row r="23" spans="2:63" ht="15">
      <c r="B23" s="322">
        <v>19.600000000000001</v>
      </c>
      <c r="C23" s="1">
        <v>3.6999999999999998E-2</v>
      </c>
      <c r="D23" s="1">
        <v>0.1085</v>
      </c>
      <c r="E23" s="1">
        <v>0.26700000000000002</v>
      </c>
      <c r="F23" s="1">
        <v>0.56399999999999995</v>
      </c>
      <c r="G23" s="1">
        <v>0.80500000000000005</v>
      </c>
      <c r="I23" s="322">
        <v>19.600000000000001</v>
      </c>
      <c r="J23" s="328">
        <v>3.6089210542303671E-2</v>
      </c>
      <c r="K23" s="328">
        <v>0.12512638471738446</v>
      </c>
      <c r="L23" s="328">
        <v>0.37109318864146579</v>
      </c>
      <c r="M23" s="328" t="s">
        <v>192</v>
      </c>
      <c r="N23" s="328" t="s">
        <v>192</v>
      </c>
      <c r="P23" s="322">
        <v>19.600000000000001</v>
      </c>
      <c r="Q23" s="321">
        <f t="shared" si="20"/>
        <v>2.461593128908993</v>
      </c>
      <c r="R23" s="321">
        <f t="shared" si="19"/>
        <v>-15.323856882381994</v>
      </c>
      <c r="S23" s="321">
        <f t="shared" si="19"/>
        <v>-38.98621297433175</v>
      </c>
      <c r="T23" s="321" t="e">
        <f t="shared" si="19"/>
        <v>#VALUE!</v>
      </c>
      <c r="U23" s="321" t="e">
        <f t="shared" si="19"/>
        <v>#VALUE!</v>
      </c>
      <c r="W23" s="321">
        <v>19.600000000000001</v>
      </c>
      <c r="X23" s="321">
        <v>2.461593128908993</v>
      </c>
      <c r="Y23" s="321">
        <v>-15.323856882381994</v>
      </c>
      <c r="Z23" s="321">
        <v>-38.98621297433175</v>
      </c>
      <c r="AA23" s="321" t="e">
        <v>#VALUE!</v>
      </c>
      <c r="AB23" s="321" t="e">
        <v>#VALUE!</v>
      </c>
      <c r="AF23" s="322">
        <v>14.7</v>
      </c>
      <c r="AG23" s="191">
        <f t="shared" ref="AG23:AG31" si="30">($AG$32/AF23/10*47482+10^((-1713.3/(273.15+$AG$20))+6.694))*0.016*(10^(-7)*$AG$20^2-1.1*10^(-3)*$AG$20*0.5525-0.079*(0.5525)^2+0.73*10^(-3)*$AG$20+0.156*0.5525+0.927)</f>
        <v>31.972617214417696</v>
      </c>
      <c r="AH23" s="191">
        <f t="shared" si="22"/>
        <v>101.0358621110615</v>
      </c>
      <c r="AI23" s="191">
        <f t="shared" ref="AI23:AI31" si="31">($AI$32/AF23/10*47482+10^((-1713.3/(273.15+$AI$20))+6.694))*0.016*(10^(-7)*$AI$20^2-1.1*10^(-3)*$AI$20*0.5525-0.079*(0.5525)^2+0.73*10^(-3)*$AI$20+0.156*0.5525+0.927)</f>
        <v>253.75369793452202</v>
      </c>
      <c r="AJ23" s="1"/>
      <c r="AK23" s="1"/>
      <c r="AM23" s="322">
        <v>14.7</v>
      </c>
      <c r="AN23" s="191">
        <v>27.005052573819111</v>
      </c>
      <c r="AO23" s="191">
        <v>93.630327371777128</v>
      </c>
      <c r="AP23" s="191">
        <v>277.68385394027695</v>
      </c>
      <c r="AQ23" s="328" t="s">
        <v>192</v>
      </c>
      <c r="AR23" s="328" t="s">
        <v>192</v>
      </c>
      <c r="AT23" s="321">
        <f t="shared" si="23"/>
        <v>15.536934644056968</v>
      </c>
      <c r="AU23" s="321">
        <f t="shared" si="24"/>
        <v>7.3296100855199331</v>
      </c>
      <c r="AV23" s="321">
        <f t="shared" si="25"/>
        <v>11.793184072639507</v>
      </c>
      <c r="AY23" s="322">
        <v>14.7</v>
      </c>
      <c r="AZ23" s="368">
        <f t="shared" si="26"/>
        <v>33.693843594009984</v>
      </c>
      <c r="BA23" s="368">
        <f t="shared" si="21"/>
        <v>102.57903494176374</v>
      </c>
      <c r="BB23" s="368">
        <f t="shared" si="21"/>
        <v>253.07820299500835</v>
      </c>
      <c r="BC23" s="368">
        <f t="shared" si="21"/>
        <v>507.65391014975046</v>
      </c>
      <c r="BD23" s="368">
        <f t="shared" si="21"/>
        <v>693.34442595673875</v>
      </c>
      <c r="BF23" s="321">
        <f t="shared" si="27"/>
        <v>-5.3834391099397392</v>
      </c>
      <c r="BG23" s="321">
        <f t="shared" si="28"/>
        <v>-1.5273515744399082</v>
      </c>
      <c r="BH23" s="321">
        <f t="shared" si="29"/>
        <v>0.26620102288636288</v>
      </c>
      <c r="BI23" s="321"/>
      <c r="BJ23" s="321"/>
    </row>
    <row r="24" spans="2:63" ht="15">
      <c r="B24" s="322">
        <v>24.5</v>
      </c>
      <c r="C24" s="1">
        <v>3.1E-2</v>
      </c>
      <c r="D24" s="1">
        <v>0.09</v>
      </c>
      <c r="E24" s="1">
        <v>0.22600000000000001</v>
      </c>
      <c r="F24" s="1">
        <v>0.49399999999999999</v>
      </c>
      <c r="G24" s="1">
        <v>0.72399999999999998</v>
      </c>
      <c r="I24" s="322">
        <v>24.5</v>
      </c>
      <c r="J24" s="328">
        <v>3.0814053537672428E-2</v>
      </c>
      <c r="K24" s="328">
        <v>0.10449497850266039</v>
      </c>
      <c r="L24" s="328">
        <v>0.29912098342130305</v>
      </c>
      <c r="M24" s="328">
        <v>0.80885453650044903</v>
      </c>
      <c r="N24" s="328" t="s">
        <v>192</v>
      </c>
      <c r="P24" s="322">
        <v>24.5</v>
      </c>
      <c r="Q24" s="321">
        <f t="shared" si="20"/>
        <v>0.59982729783087552</v>
      </c>
      <c r="R24" s="321">
        <f t="shared" si="19"/>
        <v>-16.105531669622657</v>
      </c>
      <c r="S24" s="321">
        <f t="shared" si="19"/>
        <v>-32.354417443054444</v>
      </c>
      <c r="T24" s="321">
        <f t="shared" si="19"/>
        <v>-63.735736133694132</v>
      </c>
      <c r="U24" s="321" t="e">
        <f t="shared" si="19"/>
        <v>#VALUE!</v>
      </c>
      <c r="W24" s="321">
        <v>24.5</v>
      </c>
      <c r="X24" s="321">
        <v>0.59982729783087552</v>
      </c>
      <c r="Y24" s="321">
        <v>-16.105531669622657</v>
      </c>
      <c r="Z24" s="321">
        <v>-32.354417443054444</v>
      </c>
      <c r="AA24" s="321">
        <v>-63.735736133694132</v>
      </c>
      <c r="AB24" s="321" t="e">
        <v>#VALUE!</v>
      </c>
      <c r="AF24" s="322">
        <v>19.600000000000001</v>
      </c>
      <c r="AG24" s="191">
        <f t="shared" si="30"/>
        <v>25.763144336158931</v>
      </c>
      <c r="AH24" s="191">
        <f t="shared" si="22"/>
        <v>80.591434028983727</v>
      </c>
      <c r="AI24" s="191">
        <f t="shared" si="31"/>
        <v>201.08465312164125</v>
      </c>
      <c r="AJ24" s="1"/>
      <c r="AK24" s="1"/>
      <c r="AM24" s="322">
        <v>19.600000000000001</v>
      </c>
      <c r="AN24" s="191">
        <v>23.05772620938588</v>
      </c>
      <c r="AO24" s="191">
        <v>78.192134041187387</v>
      </c>
      <c r="AP24" s="191">
        <v>223.82805724597421</v>
      </c>
      <c r="AQ24" s="328">
        <v>605.25456097639551</v>
      </c>
      <c r="AR24" s="328" t="s">
        <v>192</v>
      </c>
      <c r="AT24" s="321">
        <f t="shared" si="23"/>
        <v>10.501117765256467</v>
      </c>
      <c r="AU24" s="321">
        <f t="shared" si="24"/>
        <v>2.977115392851132</v>
      </c>
      <c r="AV24" s="321">
        <f t="shared" si="25"/>
        <v>5.3702843922298253</v>
      </c>
      <c r="AY24" s="322">
        <v>19.600000000000001</v>
      </c>
      <c r="AZ24" s="368">
        <f t="shared" si="26"/>
        <v>27.703826955074874</v>
      </c>
      <c r="BA24" s="368">
        <f t="shared" si="21"/>
        <v>81.239600665557404</v>
      </c>
      <c r="BB24" s="368">
        <f t="shared" si="21"/>
        <v>199.91680532445923</v>
      </c>
      <c r="BC24" s="368">
        <f t="shared" si="21"/>
        <v>422.29617304492513</v>
      </c>
      <c r="BD24" s="368">
        <f t="shared" si="21"/>
        <v>602.74542429284531</v>
      </c>
      <c r="BF24" s="321">
        <f t="shared" si="27"/>
        <v>-7.5327863462386775</v>
      </c>
      <c r="BG24" s="321">
        <f t="shared" si="28"/>
        <v>-0.80426244350059828</v>
      </c>
      <c r="BH24" s="321">
        <f t="shared" si="29"/>
        <v>0.58077420581448302</v>
      </c>
      <c r="BI24" s="321"/>
      <c r="BJ24" s="321"/>
    </row>
    <row r="25" spans="2:63" ht="15">
      <c r="B25" s="322">
        <v>29.4</v>
      </c>
      <c r="C25" s="1">
        <v>2.75E-2</v>
      </c>
      <c r="D25" s="1">
        <v>7.85E-2</v>
      </c>
      <c r="E25" s="1">
        <v>0.2</v>
      </c>
      <c r="F25" s="1">
        <v>0.379</v>
      </c>
      <c r="G25" s="1">
        <v>0.66300000000000003</v>
      </c>
      <c r="I25" s="322">
        <v>29.4</v>
      </c>
      <c r="J25" s="328">
        <v>2.7288499648822309E-2</v>
      </c>
      <c r="K25" s="328">
        <v>9.0964442538735882E-2</v>
      </c>
      <c r="L25" s="328">
        <v>0.25429558255703305</v>
      </c>
      <c r="M25" s="328">
        <v>0.652029011349605</v>
      </c>
      <c r="N25" s="328" t="s">
        <v>192</v>
      </c>
      <c r="P25" s="322">
        <v>29.4</v>
      </c>
      <c r="Q25" s="321">
        <f t="shared" si="20"/>
        <v>0.76909218610069441</v>
      </c>
      <c r="R25" s="321">
        <f t="shared" si="19"/>
        <v>-15.878270749982015</v>
      </c>
      <c r="S25" s="321">
        <f t="shared" si="19"/>
        <v>-27.147791278516522</v>
      </c>
      <c r="T25" s="321">
        <f t="shared" si="19"/>
        <v>-72.039316978787596</v>
      </c>
      <c r="U25" s="321" t="e">
        <f t="shared" si="19"/>
        <v>#VALUE!</v>
      </c>
      <c r="W25" s="321">
        <v>29.4</v>
      </c>
      <c r="X25" s="321">
        <v>0.76909218610069441</v>
      </c>
      <c r="Y25" s="321">
        <v>-15.878270749982015</v>
      </c>
      <c r="Z25" s="321">
        <v>-27.147791278516522</v>
      </c>
      <c r="AA25" s="321">
        <v>-72.039316978787596</v>
      </c>
      <c r="AB25" s="321" t="e">
        <v>#VALUE!</v>
      </c>
      <c r="AF25" s="322">
        <v>24.5</v>
      </c>
      <c r="AG25" s="191">
        <f t="shared" si="30"/>
        <v>22.037460609203674</v>
      </c>
      <c r="AH25" s="191">
        <f t="shared" si="22"/>
        <v>68.324777179737055</v>
      </c>
      <c r="AI25" s="191">
        <f t="shared" si="31"/>
        <v>169.48322623391283</v>
      </c>
      <c r="AJ25" s="1"/>
      <c r="AK25" s="1"/>
      <c r="AM25" s="322">
        <v>24.5</v>
      </c>
      <c r="AN25" s="191">
        <v>20.419603438353594</v>
      </c>
      <c r="AO25" s="191">
        <v>68.067422816778119</v>
      </c>
      <c r="AP25" s="191">
        <v>190.28583537988027</v>
      </c>
      <c r="AQ25" s="191">
        <v>487.90420922373011</v>
      </c>
      <c r="AR25" s="328" t="s">
        <v>192</v>
      </c>
      <c r="AT25" s="321">
        <f t="shared" si="23"/>
        <v>7.3413956332809134</v>
      </c>
      <c r="AU25" s="321">
        <f t="shared" si="24"/>
        <v>0.37666330368254503</v>
      </c>
      <c r="AV25" s="321">
        <f t="shared" si="25"/>
        <v>11.292105808776499</v>
      </c>
      <c r="AY25" s="322">
        <v>24.5</v>
      </c>
      <c r="AZ25" s="368">
        <f t="shared" si="26"/>
        <v>23.211314475873547</v>
      </c>
      <c r="BA25" s="368">
        <f t="shared" si="21"/>
        <v>67.387687188019967</v>
      </c>
      <c r="BB25" s="368">
        <f t="shared" si="21"/>
        <v>169.21797004991683</v>
      </c>
      <c r="BC25" s="368">
        <f t="shared" si="21"/>
        <v>369.88352745424294</v>
      </c>
      <c r="BD25" s="368">
        <f t="shared" si="21"/>
        <v>542.09650582362735</v>
      </c>
      <c r="BF25" s="321">
        <f t="shared" si="27"/>
        <v>-5.3266294492189701</v>
      </c>
      <c r="BG25" s="321">
        <f t="shared" si="28"/>
        <v>1.3715229385263159</v>
      </c>
      <c r="BH25" s="321">
        <f t="shared" si="29"/>
        <v>0.15650881204604122</v>
      </c>
      <c r="BI25" s="321"/>
      <c r="BJ25" s="321"/>
    </row>
    <row r="26" spans="2:63" ht="15">
      <c r="B26" s="322">
        <v>39.200000000000003</v>
      </c>
      <c r="C26" s="1">
        <v>2.1999999999999999E-2</v>
      </c>
      <c r="D26" s="1">
        <v>6.5000000000000002E-2</v>
      </c>
      <c r="E26" s="1">
        <v>0.16800000000000001</v>
      </c>
      <c r="F26" s="1">
        <v>0.374</v>
      </c>
      <c r="G26" s="1">
        <v>0.58299999999999996</v>
      </c>
      <c r="I26" s="322">
        <v>39.200000000000003</v>
      </c>
      <c r="J26" s="328">
        <v>2.2807805766181924E-2</v>
      </c>
      <c r="K26" s="328">
        <v>7.4109636253997566E-2</v>
      </c>
      <c r="L26" s="328">
        <v>0.20091915689556175</v>
      </c>
      <c r="M26" s="328">
        <v>0.48597245527260496</v>
      </c>
      <c r="N26" s="328">
        <v>0.80575851944681476</v>
      </c>
      <c r="P26" s="322">
        <v>39.200000000000003</v>
      </c>
      <c r="Q26" s="321">
        <f t="shared" si="20"/>
        <v>-3.6718443917360242</v>
      </c>
      <c r="R26" s="321">
        <f t="shared" si="19"/>
        <v>-14.014825006150097</v>
      </c>
      <c r="S26" s="321">
        <f t="shared" si="19"/>
        <v>-19.594736247358178</v>
      </c>
      <c r="T26" s="321">
        <f t="shared" si="19"/>
        <v>-29.939159163798116</v>
      </c>
      <c r="U26" s="321">
        <f t="shared" si="19"/>
        <v>-38.209008481443362</v>
      </c>
      <c r="W26" s="321">
        <v>39.200000000000003</v>
      </c>
      <c r="X26" s="321">
        <v>-3.6718443917360242</v>
      </c>
      <c r="Y26" s="321">
        <v>-14.014825006150097</v>
      </c>
      <c r="Z26" s="321">
        <v>-19.594736247358178</v>
      </c>
      <c r="AA26" s="321">
        <v>-29.939159163798116</v>
      </c>
      <c r="AB26" s="321">
        <v>-38.209008481443362</v>
      </c>
      <c r="AF26" s="322">
        <v>29.4</v>
      </c>
      <c r="AG26" s="191">
        <f t="shared" si="30"/>
        <v>19.553671457900169</v>
      </c>
      <c r="AH26" s="191">
        <f t="shared" si="22"/>
        <v>60.147005946905949</v>
      </c>
      <c r="AI26" s="191">
        <f t="shared" si="31"/>
        <v>148.41560830876054</v>
      </c>
      <c r="AJ26" s="1"/>
      <c r="AK26" s="1"/>
      <c r="AM26" s="322">
        <v>29.4</v>
      </c>
      <c r="AN26" s="191">
        <v>17.066762740271379</v>
      </c>
      <c r="AO26" s="191">
        <v>55.455206506106755</v>
      </c>
      <c r="AP26" s="191">
        <v>150.34500099945134</v>
      </c>
      <c r="AQ26" s="191">
        <v>363.64640586086182</v>
      </c>
      <c r="AR26" s="328">
        <v>602.9378546243729</v>
      </c>
      <c r="AT26" s="321">
        <f t="shared" si="23"/>
        <v>12.718372214564427</v>
      </c>
      <c r="AU26" s="321">
        <f t="shared" si="24"/>
        <v>7.8005536051799886</v>
      </c>
      <c r="AV26" s="321">
        <f t="shared" si="25"/>
        <v>14.425381705510839</v>
      </c>
      <c r="AY26" s="322">
        <v>29.4</v>
      </c>
      <c r="AZ26" s="368">
        <f t="shared" si="26"/>
        <v>20.590682196339436</v>
      </c>
      <c r="BA26" s="368">
        <f t="shared" si="21"/>
        <v>58.777038269550751</v>
      </c>
      <c r="BB26" s="368">
        <f t="shared" si="21"/>
        <v>149.75041597337773</v>
      </c>
      <c r="BC26" s="368">
        <f t="shared" si="21"/>
        <v>283.77703826955076</v>
      </c>
      <c r="BD26" s="368">
        <f t="shared" si="21"/>
        <v>496.42262895174713</v>
      </c>
      <c r="BF26" s="321">
        <f t="shared" si="27"/>
        <v>-5.3034067830790388</v>
      </c>
      <c r="BG26" s="321">
        <f t="shared" si="28"/>
        <v>2.2776988742623718</v>
      </c>
      <c r="BH26" s="321">
        <f t="shared" si="29"/>
        <v>-0.89937148782915299</v>
      </c>
      <c r="BI26" s="321"/>
      <c r="BJ26" s="321"/>
    </row>
    <row r="27" spans="2:63" ht="15">
      <c r="B27" s="322">
        <v>49</v>
      </c>
      <c r="C27" s="1">
        <v>1.8499999999999999E-2</v>
      </c>
      <c r="D27" s="1">
        <v>5.6000000000000001E-2</v>
      </c>
      <c r="E27" s="1">
        <v>0.14499999999999999</v>
      </c>
      <c r="F27" s="1">
        <v>0.34200000000000003</v>
      </c>
      <c r="G27" s="1">
        <v>0.53200000000000003</v>
      </c>
      <c r="I27" s="322">
        <v>49</v>
      </c>
      <c r="J27" s="328">
        <v>2.001609057068052E-2</v>
      </c>
      <c r="K27" s="328">
        <v>6.3849011468515598E-2</v>
      </c>
      <c r="L27" s="328">
        <v>0.16972933196298023</v>
      </c>
      <c r="M27" s="328">
        <v>0.39779673469883475</v>
      </c>
      <c r="N27" s="328">
        <v>0.63729858322359223</v>
      </c>
      <c r="P27" s="322">
        <v>49</v>
      </c>
      <c r="Q27" s="321">
        <f t="shared" si="20"/>
        <v>-8.1950841658406564</v>
      </c>
      <c r="R27" s="321">
        <f t="shared" si="19"/>
        <v>-14.016091908063565</v>
      </c>
      <c r="S27" s="321">
        <f t="shared" si="19"/>
        <v>-17.054711698607068</v>
      </c>
      <c r="T27" s="321">
        <f t="shared" si="19"/>
        <v>-16.314834707261614</v>
      </c>
      <c r="U27" s="321">
        <f t="shared" si="19"/>
        <v>-19.792966771351917</v>
      </c>
      <c r="W27" s="321">
        <v>49</v>
      </c>
      <c r="X27" s="321">
        <v>-8.1950841658406564</v>
      </c>
      <c r="Y27" s="321">
        <v>-14.016091908063565</v>
      </c>
      <c r="Z27" s="321">
        <v>-17.054711698607068</v>
      </c>
      <c r="AA27" s="321">
        <v>-16.314834707261614</v>
      </c>
      <c r="AB27" s="321">
        <v>-19.792966771351917</v>
      </c>
      <c r="AF27" s="322">
        <v>39.200000000000003</v>
      </c>
      <c r="AG27" s="191">
        <f t="shared" si="30"/>
        <v>16.448935018770786</v>
      </c>
      <c r="AH27" s="191">
        <f t="shared" si="22"/>
        <v>49.924791905867067</v>
      </c>
      <c r="AI27" s="191">
        <f t="shared" si="31"/>
        <v>122.08108590232017</v>
      </c>
      <c r="AJ27" s="1"/>
      <c r="AK27" s="1"/>
      <c r="AM27" s="322">
        <v>39.200000000000003</v>
      </c>
      <c r="AN27" s="191">
        <v>14.977761221735179</v>
      </c>
      <c r="AO27" s="191">
        <v>47.777324180380361</v>
      </c>
      <c r="AP27" s="191">
        <v>127.00609029966597</v>
      </c>
      <c r="AQ27" s="191">
        <v>297.66574476998471</v>
      </c>
      <c r="AR27" s="191">
        <v>476.8816354405896</v>
      </c>
      <c r="AT27" s="321">
        <f t="shared" si="23"/>
        <v>8.9438847886308146</v>
      </c>
      <c r="AU27" s="321">
        <f t="shared" si="24"/>
        <v>4.3014054611098729</v>
      </c>
      <c r="AV27" s="321">
        <f t="shared" si="25"/>
        <v>8.7019438726898706</v>
      </c>
      <c r="AY27" s="322">
        <v>39.200000000000003</v>
      </c>
      <c r="AZ27" s="368">
        <f t="shared" si="26"/>
        <v>16.472545757071547</v>
      </c>
      <c r="BA27" s="368">
        <f t="shared" si="21"/>
        <v>48.668885191347755</v>
      </c>
      <c r="BB27" s="368">
        <f t="shared" si="21"/>
        <v>125.79034941763727</v>
      </c>
      <c r="BC27" s="368">
        <f t="shared" si="21"/>
        <v>280.03327787021635</v>
      </c>
      <c r="BD27" s="368">
        <f t="shared" si="21"/>
        <v>436.52246256239602</v>
      </c>
      <c r="BF27" s="321">
        <f t="shared" si="27"/>
        <v>-0.14353961684338312</v>
      </c>
      <c r="BG27" s="321">
        <f t="shared" si="28"/>
        <v>2.5155972946012835</v>
      </c>
      <c r="BH27" s="321">
        <f t="shared" si="29"/>
        <v>-3.0383605190774352</v>
      </c>
      <c r="BI27" s="321"/>
      <c r="BJ27" s="321"/>
    </row>
    <row r="28" spans="2:63" ht="15">
      <c r="B28" s="322">
        <v>58.8</v>
      </c>
      <c r="C28" s="1">
        <v>1.7000000000000001E-2</v>
      </c>
      <c r="D28" s="1">
        <v>5.1999999999999998E-2</v>
      </c>
      <c r="E28" s="1">
        <v>0.128</v>
      </c>
      <c r="F28" s="1">
        <v>0.32100000000000001</v>
      </c>
      <c r="G28" s="1">
        <v>0.496</v>
      </c>
      <c r="I28" s="322">
        <v>58.8</v>
      </c>
      <c r="J28" s="328">
        <v>1.8066734922056755E-2</v>
      </c>
      <c r="K28" s="328">
        <v>5.6824546583646288E-2</v>
      </c>
      <c r="L28" s="328">
        <v>0.14895060422316933</v>
      </c>
      <c r="M28" s="328">
        <v>0.3422537853588144</v>
      </c>
      <c r="N28" s="328">
        <v>0.53771112335972449</v>
      </c>
      <c r="P28" s="322">
        <v>58.8</v>
      </c>
      <c r="Q28" s="321">
        <f t="shared" si="20"/>
        <v>-6.2749113062161967</v>
      </c>
      <c r="R28" s="321">
        <f t="shared" si="19"/>
        <v>-9.2779741993197877</v>
      </c>
      <c r="S28" s="321">
        <f t="shared" si="19"/>
        <v>-16.367659549351039</v>
      </c>
      <c r="T28" s="321">
        <f t="shared" si="19"/>
        <v>-6.6211169342100904</v>
      </c>
      <c r="U28" s="321">
        <f t="shared" si="19"/>
        <v>-8.409500677363809</v>
      </c>
      <c r="W28" s="321">
        <v>58.8</v>
      </c>
      <c r="X28" s="321">
        <v>-6.2749113062161967</v>
      </c>
      <c r="Y28" s="321">
        <v>-9.2779741993197877</v>
      </c>
      <c r="Z28" s="321">
        <v>-16.367659549351039</v>
      </c>
      <c r="AA28" s="321">
        <v>-6.6211169342100904</v>
      </c>
      <c r="AB28" s="321">
        <v>-8.409500677363809</v>
      </c>
      <c r="AF28" s="322">
        <v>49</v>
      </c>
      <c r="AG28" s="191">
        <f t="shared" si="30"/>
        <v>14.586093155293158</v>
      </c>
      <c r="AH28" s="191">
        <f t="shared" si="22"/>
        <v>43.791463481243731</v>
      </c>
      <c r="AI28" s="191">
        <f t="shared" si="31"/>
        <v>106.28037245845594</v>
      </c>
      <c r="AJ28" s="1"/>
      <c r="AK28" s="1"/>
      <c r="AM28" s="322">
        <v>49</v>
      </c>
      <c r="AN28" s="191">
        <v>13.519085595831735</v>
      </c>
      <c r="AO28" s="191">
        <v>42.521015143182645</v>
      </c>
      <c r="AP28" s="191">
        <v>111.45765832792996</v>
      </c>
      <c r="AQ28" s="191">
        <v>256.10373095774031</v>
      </c>
      <c r="AR28" s="191">
        <v>402.36172910558162</v>
      </c>
      <c r="AT28" s="321">
        <f t="shared" si="23"/>
        <v>7.3152388929739978</v>
      </c>
      <c r="AU28" s="321">
        <f t="shared" si="24"/>
        <v>2.9011324058745624</v>
      </c>
      <c r="AV28" s="321">
        <f t="shared" si="25"/>
        <v>13.759512646722285</v>
      </c>
      <c r="AY28" s="322">
        <v>49</v>
      </c>
      <c r="AZ28" s="368">
        <f t="shared" si="26"/>
        <v>13.851913477537437</v>
      </c>
      <c r="BA28" s="368">
        <f t="shared" si="21"/>
        <v>41.930116472545762</v>
      </c>
      <c r="BB28" s="368">
        <f t="shared" si="21"/>
        <v>108.56905158069884</v>
      </c>
      <c r="BC28" s="368">
        <f t="shared" si="21"/>
        <v>256.07321131447588</v>
      </c>
      <c r="BD28" s="368">
        <f t="shared" si="21"/>
        <v>398.33610648918471</v>
      </c>
      <c r="BF28" s="321">
        <f t="shared" si="27"/>
        <v>5.0334223834933756</v>
      </c>
      <c r="BG28" s="321">
        <f t="shared" si="28"/>
        <v>4.2504791133440882</v>
      </c>
      <c r="BH28" s="321">
        <f t="shared" si="29"/>
        <v>-2.1534353609247288</v>
      </c>
      <c r="BI28" s="321"/>
      <c r="BJ28" s="321"/>
    </row>
    <row r="29" spans="2:63" ht="15">
      <c r="B29" s="322">
        <v>78.400000000000006</v>
      </c>
      <c r="C29" s="329">
        <v>1.6500000000000001E-2</v>
      </c>
      <c r="D29" s="1">
        <v>4.5499999999999999E-2</v>
      </c>
      <c r="E29" s="1">
        <v>0.10199999999999999</v>
      </c>
      <c r="F29" s="1">
        <v>0.28499999999999998</v>
      </c>
      <c r="G29" s="1">
        <v>0.44600000000000001</v>
      </c>
      <c r="I29" s="322">
        <v>78.400000000000006</v>
      </c>
      <c r="J29" s="328">
        <v>1.5454296885691341E-2</v>
      </c>
      <c r="K29" s="328">
        <v>4.7632924418033303E-2</v>
      </c>
      <c r="L29" s="328">
        <v>0.12248886899786564</v>
      </c>
      <c r="M29" s="328">
        <v>0.27489126821077098</v>
      </c>
      <c r="N29" s="328">
        <v>0.42296231541630502</v>
      </c>
      <c r="P29" s="322">
        <v>78.400000000000006</v>
      </c>
      <c r="Q29" s="321">
        <f t="shared" si="20"/>
        <v>6.3375946321736976</v>
      </c>
      <c r="R29" s="321">
        <f t="shared" si="19"/>
        <v>-4.6877459736995686</v>
      </c>
      <c r="S29" s="321">
        <f t="shared" si="19"/>
        <v>-20.087126468495732</v>
      </c>
      <c r="T29" s="321">
        <f t="shared" si="19"/>
        <v>3.5469234348171925</v>
      </c>
      <c r="U29" s="321">
        <f t="shared" si="19"/>
        <v>5.1654001308733148</v>
      </c>
      <c r="W29" s="321">
        <v>78.400000000000006</v>
      </c>
      <c r="X29" s="321">
        <v>6.3375946321736976</v>
      </c>
      <c r="Y29" s="321">
        <v>-4.6877459736995686</v>
      </c>
      <c r="Z29" s="321">
        <v>-20.087126468495732</v>
      </c>
      <c r="AA29" s="321">
        <v>3.5469234348171925</v>
      </c>
      <c r="AB29" s="321">
        <v>5.1654001308733148</v>
      </c>
      <c r="AF29" s="322">
        <v>58.8</v>
      </c>
      <c r="AG29" s="191">
        <f t="shared" si="30"/>
        <v>13.344198579641406</v>
      </c>
      <c r="AH29" s="191">
        <f t="shared" si="22"/>
        <v>39.702577864828179</v>
      </c>
      <c r="AI29" s="191">
        <f t="shared" si="31"/>
        <v>95.746563495879812</v>
      </c>
      <c r="AJ29" s="1"/>
      <c r="AK29" s="1"/>
      <c r="AM29" s="322">
        <v>58.8</v>
      </c>
      <c r="AN29" s="191">
        <v>11.564234673415591</v>
      </c>
      <c r="AO29" s="191">
        <v>35.643052558489998</v>
      </c>
      <c r="AP29" s="191">
        <v>91.65671116905115</v>
      </c>
      <c r="AQ29" s="191">
        <v>205.69729951321406</v>
      </c>
      <c r="AR29" s="191">
        <v>316.49679760028562</v>
      </c>
      <c r="AT29" s="321">
        <f t="shared" si="23"/>
        <v>13.338859547110001</v>
      </c>
      <c r="AU29" s="321">
        <f t="shared" si="24"/>
        <v>10.22484061402583</v>
      </c>
      <c r="AV29" s="321">
        <f t="shared" si="25"/>
        <v>17.164405583878512</v>
      </c>
      <c r="AY29" s="322">
        <v>58.8</v>
      </c>
      <c r="AZ29" s="368">
        <f t="shared" si="26"/>
        <v>12.728785357737108</v>
      </c>
      <c r="BA29" s="368">
        <f t="shared" si="21"/>
        <v>38.935108153078204</v>
      </c>
      <c r="BB29" s="368">
        <f t="shared" si="21"/>
        <v>95.840266222961745</v>
      </c>
      <c r="BC29" s="368">
        <f t="shared" si="21"/>
        <v>240.34941763727124</v>
      </c>
      <c r="BD29" s="368">
        <f t="shared" si="21"/>
        <v>371.38103161397675</v>
      </c>
      <c r="BF29" s="321">
        <f t="shared" si="27"/>
        <v>4.6118410051481389</v>
      </c>
      <c r="BG29" s="321">
        <f t="shared" si="28"/>
        <v>1.9330475576747441</v>
      </c>
      <c r="BH29" s="321">
        <f t="shared" si="29"/>
        <v>-9.7865368385743765E-2</v>
      </c>
      <c r="BI29" s="321"/>
      <c r="BJ29" s="321"/>
    </row>
    <row r="30" spans="2:63" ht="15">
      <c r="B30" s="322">
        <v>98</v>
      </c>
      <c r="C30" s="1">
        <v>1.4999999999999999E-2</v>
      </c>
      <c r="D30" s="1">
        <v>3.6999999999999998E-2</v>
      </c>
      <c r="E30" s="1">
        <v>0.09</v>
      </c>
      <c r="F30" s="1">
        <v>0.25</v>
      </c>
      <c r="G30" s="1">
        <v>0.41499999999999998</v>
      </c>
      <c r="I30" s="322">
        <v>98</v>
      </c>
      <c r="J30" s="328">
        <v>1.3734668801519492E-2</v>
      </c>
      <c r="K30" s="328">
        <v>4.1745377510029234E-2</v>
      </c>
      <c r="L30" s="328">
        <v>0.10599186725689333</v>
      </c>
      <c r="M30" s="328">
        <v>0.23464845042609017</v>
      </c>
      <c r="N30" s="328">
        <v>0.35725200168999666</v>
      </c>
      <c r="P30" s="322">
        <v>98</v>
      </c>
      <c r="Q30" s="321">
        <f t="shared" si="20"/>
        <v>8.4355413232033847</v>
      </c>
      <c r="R30" s="321">
        <f t="shared" si="19"/>
        <v>-12.825344621700637</v>
      </c>
      <c r="S30" s="321">
        <f t="shared" si="19"/>
        <v>-17.768741396548148</v>
      </c>
      <c r="T30" s="321">
        <f t="shared" si="19"/>
        <v>6.1406198295639314</v>
      </c>
      <c r="U30" s="321">
        <f t="shared" si="19"/>
        <v>13.915180315663452</v>
      </c>
      <c r="W30" s="321">
        <v>98</v>
      </c>
      <c r="X30" s="321">
        <v>8.4355413232033847</v>
      </c>
      <c r="Y30" s="321">
        <v>-12.825344621700637</v>
      </c>
      <c r="Z30" s="321">
        <v>-17.768741396548148</v>
      </c>
      <c r="AA30" s="321">
        <v>6.1406198295639314</v>
      </c>
      <c r="AB30" s="321">
        <v>13.915180315663452</v>
      </c>
      <c r="AF30" s="322">
        <v>78.400000000000006</v>
      </c>
      <c r="AG30" s="191">
        <f t="shared" si="30"/>
        <v>11.791830360076714</v>
      </c>
      <c r="AH30" s="191">
        <f t="shared" si="22"/>
        <v>34.591470844308738</v>
      </c>
      <c r="AI30" s="191">
        <f t="shared" si="31"/>
        <v>82.579302292659619</v>
      </c>
      <c r="AJ30" s="1"/>
      <c r="AK30" s="1"/>
      <c r="AM30" s="322">
        <v>78.400000000000006</v>
      </c>
      <c r="AN30" s="191">
        <v>10.277460977824733</v>
      </c>
      <c r="AO30" s="191">
        <v>31.237483376113339</v>
      </c>
      <c r="AP30" s="191">
        <v>79.312235004821233</v>
      </c>
      <c r="AQ30" s="191">
        <v>175.58416060927399</v>
      </c>
      <c r="AR30" s="191">
        <v>267.3266869174534</v>
      </c>
      <c r="AT30" s="321">
        <f t="shared" si="23"/>
        <v>12.842530260434728</v>
      </c>
      <c r="AU30" s="321">
        <f t="shared" si="24"/>
        <v>9.6959955339604296</v>
      </c>
      <c r="AV30" s="321">
        <f t="shared" si="25"/>
        <v>3.896462122775274</v>
      </c>
      <c r="AY30" s="322">
        <v>78.400000000000006</v>
      </c>
      <c r="AZ30" s="368">
        <f t="shared" si="26"/>
        <v>12.354409317803663</v>
      </c>
      <c r="BA30" s="368">
        <f t="shared" si="21"/>
        <v>34.068219633943428</v>
      </c>
      <c r="BB30" s="368">
        <f t="shared" si="21"/>
        <v>76.372712146422629</v>
      </c>
      <c r="BC30" s="368">
        <f t="shared" si="21"/>
        <v>213.39434276206325</v>
      </c>
      <c r="BD30" s="368">
        <f t="shared" si="21"/>
        <v>333.94342762063229</v>
      </c>
      <c r="BF30" s="321">
        <f t="shared" si="27"/>
        <v>-4.7709213968312945</v>
      </c>
      <c r="BG30" s="321">
        <f t="shared" si="28"/>
        <v>1.5126596169338626</v>
      </c>
      <c r="BH30" s="321">
        <f t="shared" si="29"/>
        <v>7.5159149737557023</v>
      </c>
      <c r="BI30" s="321"/>
      <c r="BJ30" s="321"/>
    </row>
    <row r="31" spans="2:63" ht="15.75" thickBot="1">
      <c r="AF31" s="322">
        <v>98</v>
      </c>
      <c r="AG31" s="191">
        <f t="shared" si="30"/>
        <v>10.860409428337903</v>
      </c>
      <c r="AH31" s="191">
        <f t="shared" si="22"/>
        <v>31.524806631997063</v>
      </c>
      <c r="AI31" s="191">
        <f t="shared" si="31"/>
        <v>74.678945570727507</v>
      </c>
      <c r="AJ31" s="1"/>
      <c r="AK31" s="1"/>
      <c r="AM31" s="322">
        <v>98</v>
      </c>
      <c r="AN31" s="191">
        <f>J30*18/0.02404</f>
        <v>10.283861831420586</v>
      </c>
      <c r="AO31" s="191">
        <f>K30*18/0.02404</f>
        <v>31.256938235462822</v>
      </c>
      <c r="AP31" s="191">
        <f>L30*18/0.02404</f>
        <v>79.361631057574044</v>
      </c>
      <c r="AQ31" s="191">
        <f>M30*18/0.02404</f>
        <v>175.69351529407751</v>
      </c>
      <c r="AR31" s="191">
        <f>N30*18/0.02404</f>
        <v>267.49317930199419</v>
      </c>
      <c r="AT31" s="321">
        <f t="shared" si="23"/>
        <v>5.3087095907539181</v>
      </c>
      <c r="AU31" s="321">
        <f t="shared" si="24"/>
        <v>0.84970670767686463</v>
      </c>
      <c r="AV31" s="321" t="e">
        <f>(AI31-#REF!)/AI31*100</f>
        <v>#REF!</v>
      </c>
      <c r="AY31" s="322">
        <v>98</v>
      </c>
      <c r="AZ31" s="368">
        <f t="shared" si="26"/>
        <v>11.231281198003328</v>
      </c>
      <c r="BA31" s="368">
        <f t="shared" si="21"/>
        <v>27.703826955074874</v>
      </c>
      <c r="BB31" s="368">
        <f t="shared" si="21"/>
        <v>67.387687188019967</v>
      </c>
      <c r="BC31" s="368">
        <f t="shared" si="21"/>
        <v>187.18801996672215</v>
      </c>
      <c r="BD31" s="368">
        <f t="shared" si="21"/>
        <v>310.73211314475873</v>
      </c>
      <c r="BF31" s="321">
        <f t="shared" si="27"/>
        <v>-3.4148967597640993</v>
      </c>
      <c r="BG31" s="321">
        <f t="shared" si="28"/>
        <v>12.120549133024559</v>
      </c>
      <c r="BH31" s="321">
        <f t="shared" si="29"/>
        <v>9.7634725918861278</v>
      </c>
      <c r="BI31" s="321"/>
      <c r="BJ31" s="321"/>
    </row>
    <row r="32" spans="2:63" ht="15" customHeight="1" thickTop="1">
      <c r="B32" s="470" t="s">
        <v>185</v>
      </c>
      <c r="C32" s="470"/>
      <c r="D32" s="470"/>
      <c r="E32" s="470"/>
      <c r="F32" s="470"/>
      <c r="G32" s="470"/>
      <c r="I32" s="470" t="s">
        <v>186</v>
      </c>
      <c r="J32" s="470"/>
      <c r="K32" s="470"/>
      <c r="L32" s="470"/>
      <c r="M32" s="470"/>
      <c r="N32" s="470"/>
      <c r="P32" s="470" t="s">
        <v>190</v>
      </c>
      <c r="Q32" s="470"/>
      <c r="R32" s="470"/>
      <c r="S32" s="470"/>
      <c r="T32" s="470"/>
      <c r="U32" s="470"/>
      <c r="W32" s="451" t="s">
        <v>165</v>
      </c>
      <c r="X32" s="422" t="s">
        <v>170</v>
      </c>
      <c r="Y32" s="423"/>
      <c r="Z32" s="424"/>
      <c r="AA32" s="422" t="s">
        <v>170</v>
      </c>
      <c r="AB32" s="423"/>
      <c r="AC32" s="424"/>
      <c r="AG32">
        <v>4.76</v>
      </c>
      <c r="AH32">
        <v>15.551</v>
      </c>
      <c r="AI32">
        <v>39.735999999999997</v>
      </c>
      <c r="AM32" s="464" t="s">
        <v>234</v>
      </c>
      <c r="AN32" s="464"/>
      <c r="AO32" s="464"/>
      <c r="AP32" s="464"/>
      <c r="AQ32" s="464"/>
      <c r="AR32" s="464"/>
      <c r="AS32" s="464"/>
    </row>
    <row r="33" spans="2:63" ht="19.5">
      <c r="B33" s="471" t="s">
        <v>197</v>
      </c>
      <c r="C33" s="471"/>
      <c r="D33" s="471"/>
      <c r="E33" s="471"/>
      <c r="F33" s="471"/>
      <c r="G33" s="471"/>
      <c r="I33" s="471" t="s">
        <v>197</v>
      </c>
      <c r="J33" s="471"/>
      <c r="K33" s="471"/>
      <c r="L33" s="471"/>
      <c r="M33" s="471"/>
      <c r="N33" s="471"/>
      <c r="P33" s="471" t="s">
        <v>197</v>
      </c>
      <c r="Q33" s="471"/>
      <c r="R33" s="471"/>
      <c r="S33" s="471"/>
      <c r="T33" s="471"/>
      <c r="U33" s="471"/>
      <c r="W33" s="452"/>
      <c r="X33" s="105" t="s">
        <v>174</v>
      </c>
      <c r="Y33" s="222" t="s">
        <v>175</v>
      </c>
      <c r="Z33" s="293" t="s">
        <v>168</v>
      </c>
      <c r="AA33" s="105" t="s">
        <v>176</v>
      </c>
      <c r="AB33" s="222" t="s">
        <v>177</v>
      </c>
      <c r="AC33" s="293"/>
      <c r="AF33" s="470" t="s">
        <v>235</v>
      </c>
      <c r="AG33" s="470"/>
      <c r="AH33" s="470"/>
      <c r="AI33" s="470"/>
      <c r="AJ33" s="470"/>
      <c r="AK33" s="470"/>
      <c r="AM33" s="464"/>
      <c r="AN33" s="464"/>
      <c r="AO33" s="464"/>
      <c r="AP33" s="464"/>
      <c r="AQ33" s="464"/>
      <c r="AR33" s="464"/>
      <c r="AS33" s="464"/>
      <c r="AY33" s="470" t="s">
        <v>185</v>
      </c>
      <c r="AZ33" s="470"/>
      <c r="BA33" s="470"/>
      <c r="BB33" s="470"/>
      <c r="BC33" s="470"/>
      <c r="BD33" s="470"/>
    </row>
    <row r="34" spans="2:63" ht="18.75">
      <c r="B34" s="453" t="s">
        <v>188</v>
      </c>
      <c r="C34" s="455" t="s">
        <v>189</v>
      </c>
      <c r="D34" s="468"/>
      <c r="E34" s="468"/>
      <c r="F34" s="468"/>
      <c r="G34" s="469"/>
      <c r="I34" s="453" t="s">
        <v>188</v>
      </c>
      <c r="J34" s="455" t="s">
        <v>189</v>
      </c>
      <c r="K34" s="456"/>
      <c r="L34" s="456"/>
      <c r="M34" s="456"/>
      <c r="N34" s="457"/>
      <c r="P34" s="453" t="s">
        <v>188</v>
      </c>
      <c r="Q34" s="455" t="s">
        <v>189</v>
      </c>
      <c r="R34" s="456"/>
      <c r="S34" s="456"/>
      <c r="T34" s="456"/>
      <c r="U34" s="457"/>
      <c r="W34" s="296" t="s">
        <v>4</v>
      </c>
      <c r="X34" s="298">
        <v>-804.3</v>
      </c>
      <c r="Y34" s="299">
        <v>4280</v>
      </c>
      <c r="Z34" s="140">
        <v>0.09</v>
      </c>
      <c r="AA34" s="313">
        <v>-0.2</v>
      </c>
      <c r="AB34" s="191">
        <v>-3</v>
      </c>
      <c r="AF34" s="471" t="s">
        <v>197</v>
      </c>
      <c r="AG34" s="471"/>
      <c r="AH34" s="471"/>
      <c r="AI34" s="471"/>
      <c r="AJ34" s="471"/>
      <c r="AK34" s="471"/>
      <c r="AM34" s="471" t="s">
        <v>197</v>
      </c>
      <c r="AN34" s="471"/>
      <c r="AO34" s="471"/>
      <c r="AP34" s="471"/>
      <c r="AQ34" s="471"/>
      <c r="AR34" s="471"/>
      <c r="AT34" s="375" t="s">
        <v>252</v>
      </c>
      <c r="AY34" s="471" t="s">
        <v>197</v>
      </c>
      <c r="AZ34" s="471"/>
      <c r="BA34" s="471"/>
      <c r="BB34" s="471"/>
      <c r="BC34" s="471"/>
      <c r="BD34" s="471"/>
    </row>
    <row r="35" spans="2:63" ht="15" customHeight="1">
      <c r="B35" s="454"/>
      <c r="C35" s="320">
        <v>37.799999999999997</v>
      </c>
      <c r="D35" s="320">
        <v>71.099999999999994</v>
      </c>
      <c r="E35" s="320">
        <v>104.4</v>
      </c>
      <c r="F35" s="320">
        <v>137.80000000000001</v>
      </c>
      <c r="G35" s="320">
        <v>171.1</v>
      </c>
      <c r="I35" s="454"/>
      <c r="J35" s="320">
        <v>37.799999999999997</v>
      </c>
      <c r="K35" s="320">
        <v>71.099999999999994</v>
      </c>
      <c r="L35" s="320">
        <v>104.4</v>
      </c>
      <c r="M35" s="320">
        <v>137.80000000000001</v>
      </c>
      <c r="N35" s="320">
        <v>171.1</v>
      </c>
      <c r="P35" s="454"/>
      <c r="Q35" s="320">
        <v>37.799999999999997</v>
      </c>
      <c r="R35" s="320">
        <v>71.099999999999994</v>
      </c>
      <c r="S35" s="320">
        <v>104.4</v>
      </c>
      <c r="T35" s="320">
        <v>137.80000000000001</v>
      </c>
      <c r="U35" s="320">
        <v>171.1</v>
      </c>
      <c r="W35" s="341" t="s">
        <v>188</v>
      </c>
      <c r="X35" s="321" t="s">
        <v>189</v>
      </c>
      <c r="Y35" s="321"/>
      <c r="Z35" s="321"/>
      <c r="AA35" s="321"/>
      <c r="AB35" s="321"/>
      <c r="AF35" s="453" t="s">
        <v>188</v>
      </c>
      <c r="AG35" s="455" t="s">
        <v>189</v>
      </c>
      <c r="AH35" s="468"/>
      <c r="AI35" s="468"/>
      <c r="AJ35" s="468"/>
      <c r="AK35" s="469"/>
      <c r="AM35" s="453" t="s">
        <v>188</v>
      </c>
      <c r="AN35" s="455" t="s">
        <v>189</v>
      </c>
      <c r="AO35" s="468"/>
      <c r="AP35" s="468"/>
      <c r="AQ35" s="468"/>
      <c r="AR35" s="469"/>
      <c r="AY35" s="461" t="s">
        <v>188</v>
      </c>
      <c r="AZ35" s="463" t="s">
        <v>189</v>
      </c>
      <c r="BA35" s="463"/>
      <c r="BB35" s="463"/>
      <c r="BC35" s="463"/>
      <c r="BD35" s="463"/>
    </row>
    <row r="36" spans="2:63" ht="15" customHeight="1">
      <c r="B36" s="320">
        <v>2.5299999999999998</v>
      </c>
      <c r="C36" s="1">
        <v>2.8410000000000002E-3</v>
      </c>
      <c r="D36" s="1">
        <v>1.1368E-2</v>
      </c>
      <c r="E36" s="1">
        <v>4.8869999999999997E-2</v>
      </c>
      <c r="F36" s="1">
        <v>0.13789999999999999</v>
      </c>
      <c r="G36" s="1">
        <v>0.32750000000000001</v>
      </c>
      <c r="I36" s="320">
        <v>2.5299999999999998</v>
      </c>
      <c r="J36" s="79">
        <v>2.435319659430273E-3</v>
      </c>
      <c r="K36" s="79">
        <v>1.2809057161286363E-2</v>
      </c>
      <c r="L36" s="79">
        <v>5.0077459975247006E-2</v>
      </c>
      <c r="M36" s="79">
        <v>0.16580429567820554</v>
      </c>
      <c r="N36" s="79">
        <v>0.53333322385173498</v>
      </c>
      <c r="P36" s="320">
        <v>2.5299999999999998</v>
      </c>
      <c r="Q36" s="321">
        <f>(C36-J36)/C36*100</f>
        <v>14.279491044340977</v>
      </c>
      <c r="R36" s="321">
        <f t="shared" ref="R36:U45" si="32">(D36-K36)/D36*100</f>
        <v>-12.67643526817702</v>
      </c>
      <c r="S36" s="321">
        <f t="shared" si="32"/>
        <v>-2.4707591062963155</v>
      </c>
      <c r="T36" s="321">
        <f t="shared" si="32"/>
        <v>-20.235167279336871</v>
      </c>
      <c r="U36" s="321">
        <f t="shared" si="32"/>
        <v>-62.849839344041214</v>
      </c>
      <c r="W36" s="341"/>
      <c r="X36" s="341">
        <v>37.799999999999997</v>
      </c>
      <c r="Y36" s="341">
        <v>71.099999999999994</v>
      </c>
      <c r="Z36" s="341">
        <v>104.4</v>
      </c>
      <c r="AA36" s="341">
        <v>137.80000000000001</v>
      </c>
      <c r="AB36" s="341">
        <v>171.1</v>
      </c>
      <c r="AF36" s="454"/>
      <c r="AG36" s="320">
        <v>37.799999999999997</v>
      </c>
      <c r="AH36" s="320">
        <v>71.099999999999994</v>
      </c>
      <c r="AI36" s="320">
        <v>104.4</v>
      </c>
      <c r="AJ36" s="320">
        <v>137.80000000000001</v>
      </c>
      <c r="AK36" s="320">
        <v>171.1</v>
      </c>
      <c r="AM36" s="454"/>
      <c r="AN36" s="320">
        <v>1.8223157128881808</v>
      </c>
      <c r="AO36" s="320">
        <v>9.5848387056324924</v>
      </c>
      <c r="AP36" s="320">
        <v>37.472264399068891</v>
      </c>
      <c r="AQ36" s="320">
        <v>124.06904042709422</v>
      </c>
      <c r="AR36" s="320">
        <v>399.08580800341269</v>
      </c>
      <c r="AY36" s="462"/>
      <c r="AZ36" s="320">
        <v>37.799999999999997</v>
      </c>
      <c r="BA36" s="320">
        <v>71.099999999999994</v>
      </c>
      <c r="BB36" s="320">
        <v>104.4</v>
      </c>
      <c r="BC36" s="320">
        <v>137.80000000000001</v>
      </c>
      <c r="BD36" s="320">
        <v>171.1</v>
      </c>
    </row>
    <row r="37" spans="2:63" ht="15" customHeight="1">
      <c r="B37" s="320">
        <v>5.07</v>
      </c>
      <c r="C37" s="1">
        <v>1.6000000000000001E-3</v>
      </c>
      <c r="D37" s="1">
        <v>7.5399999999999998E-3</v>
      </c>
      <c r="E37" s="1">
        <v>2.6200000000000001E-2</v>
      </c>
      <c r="F37" s="1">
        <v>7.3400000000000007E-2</v>
      </c>
      <c r="G37" s="1">
        <v>0.17299999999999999</v>
      </c>
      <c r="I37" s="320">
        <v>5.07</v>
      </c>
      <c r="J37" s="79">
        <v>1.2255468025910634E-3</v>
      </c>
      <c r="K37" s="79">
        <v>6.6517570055704377E-3</v>
      </c>
      <c r="L37" s="79">
        <v>2.5438260729379811E-2</v>
      </c>
      <c r="M37" s="79">
        <v>7.9948634615191569E-2</v>
      </c>
      <c r="N37" s="79">
        <v>0.22570809831263652</v>
      </c>
      <c r="P37" s="320">
        <v>5.07</v>
      </c>
      <c r="Q37" s="321">
        <f t="shared" ref="Q37:Q45" si="33">(C37-J37)/C37*100</f>
        <v>23.403324838058541</v>
      </c>
      <c r="R37" s="321">
        <f t="shared" si="32"/>
        <v>11.780411066705069</v>
      </c>
      <c r="S37" s="321">
        <f t="shared" si="32"/>
        <v>2.9074017962602681</v>
      </c>
      <c r="T37" s="321">
        <f t="shared" si="32"/>
        <v>-8.9218455247841426</v>
      </c>
      <c r="U37" s="321">
        <f t="shared" si="32"/>
        <v>-30.467108851234993</v>
      </c>
      <c r="W37" s="341">
        <v>2.5299999999999998</v>
      </c>
      <c r="X37" s="321">
        <v>14.279491044340977</v>
      </c>
      <c r="Y37" s="321">
        <v>-12.67643526817702</v>
      </c>
      <c r="Z37" s="321">
        <v>-2.4707591062963155</v>
      </c>
      <c r="AA37" s="321">
        <v>-20.235167279336871</v>
      </c>
      <c r="AB37" s="321">
        <v>-62.849839344041214</v>
      </c>
      <c r="AF37" s="320">
        <v>2.5299999999999998</v>
      </c>
      <c r="AG37" s="191">
        <f>($AG$47/AF37/10*47482+10^((-1713.3/(273.15+$AG$36))+6.694))*0.016*(10^(-7)*$AG$36^2-1.1*10^(-3)*$AG$36*1.0376-0.079*(1.0376)^2+0.73*10^(-3)*$AG$36+0.156*1.0376+0.927)</f>
        <v>2.1874604392212471</v>
      </c>
      <c r="AH37" s="191">
        <f>($AH$47/AF37/10*47482+10^((-1713.3/(273.15+$AH$36))+6.694))*0.016*(10^(-7)*$AH$36^2-1.1*10^(-3)*$AH$36*1.0376-0.079*(1.0376)^2+0.73*10^(-3)*$AH$36+0.156*1.0376+0.927)</f>
        <v>10.352581861399807</v>
      </c>
      <c r="AI37" s="191">
        <f>($AI$47/AF37/10*47482+10^((-1713.3/(273.15+$AI$36))+6.694))*0.016*(10^(-7)*$AI$36^2-1.1*10^(-3)*$AI$36*1.0376-0.079*(1.0376)^2+0.73*10^(-3)*$AI$36+0.156*1.0376+0.927)</f>
        <v>36.411164634049221</v>
      </c>
      <c r="AJ37" s="191">
        <f>($AJ$47/AF37/10*47482+10^((-1713.3/(273.15+$AJ$36))+6.694))*0.016*(10^(-7)*$AJ$36^2-1.1*10^(-3)*$AJ$36*1.0376-0.079*(1.0376)^2+0.73*10^(-3)*$AJ$36+0.156*1.0376+0.927)</f>
        <v>101.83387967647769</v>
      </c>
      <c r="AK37" s="191">
        <f>($AK$47/AF37/10*47482+10^((-1713.3/(273.15+$AK$36))+6.694))*0.016*(10^(-7)*$AK$36^2-1.1*10^(-3)*$AK$36*1.0376-0.079*(1.0376)^2+0.73*10^(-3)*$AK$36+0.156*1.0376+0.927)</f>
        <v>238.47259155863597</v>
      </c>
      <c r="AM37" s="320">
        <v>2.5299999999999998</v>
      </c>
      <c r="AN37" s="191">
        <v>0.91705956817350132</v>
      </c>
      <c r="AO37" s="191">
        <v>4.9774169327737514</v>
      </c>
      <c r="AP37" s="191">
        <v>19.035095477585067</v>
      </c>
      <c r="AQ37" s="191">
        <v>59.824447488467747</v>
      </c>
      <c r="AR37" s="191">
        <v>168.89421989779009</v>
      </c>
      <c r="AT37" s="321">
        <f t="shared" ref="AT37:AT46" si="34">(AG37-AN37)/AG37*100</f>
        <v>58.076518700380177</v>
      </c>
      <c r="AU37" s="321">
        <f t="shared" ref="AU37:AU46" si="35">(AH37-AO37)/AH37*100</f>
        <v>51.921008697044599</v>
      </c>
      <c r="AV37" s="321">
        <f t="shared" ref="AV37:AV46" si="36">(AI37-AP37)/AI37*100</f>
        <v>47.72181645685469</v>
      </c>
      <c r="AW37" s="321">
        <f t="shared" ref="AW37:AW46" si="37">(AJ37-AQ37)/AJ37*100</f>
        <v>41.252903573420056</v>
      </c>
      <c r="AX37" s="321">
        <f t="shared" ref="AX37:AX46" si="38">(AK37-AR37)/AK37*100</f>
        <v>29.17667443712828</v>
      </c>
      <c r="AY37" s="320">
        <v>2.5299999999999998</v>
      </c>
      <c r="AZ37" s="368">
        <f>C36*18/0.02404</f>
        <v>2.1272046589018303</v>
      </c>
      <c r="BA37" s="368">
        <f>D36*18/0.02404</f>
        <v>8.5118136439267893</v>
      </c>
      <c r="BB37" s="368">
        <f>E36*18/0.02404</f>
        <v>36.591514143094841</v>
      </c>
      <c r="BC37" s="368">
        <f>F36*18/0.02404</f>
        <v>103.25291181364392</v>
      </c>
      <c r="BD37" s="368">
        <f>G36*18/0.02404</f>
        <v>245.21630615640603</v>
      </c>
      <c r="BF37" s="321">
        <f>(AG37-AZ37)/AG37*100</f>
        <v>2.7545997741960688</v>
      </c>
      <c r="BG37" s="321">
        <f t="shared" ref="BG37:BJ46" si="39">(AH37-BA37)/AH37*100</f>
        <v>17.780764664478795</v>
      </c>
      <c r="BH37" s="321">
        <f t="shared" si="39"/>
        <v>-0.49531376119996184</v>
      </c>
      <c r="BI37" s="321">
        <f t="shared" si="39"/>
        <v>-1.3934774376410255</v>
      </c>
      <c r="BJ37" s="321">
        <f t="shared" si="39"/>
        <v>-2.8278782704937862</v>
      </c>
      <c r="BK37" s="321"/>
    </row>
    <row r="38" spans="2:63" ht="15">
      <c r="B38" s="320">
        <v>10.130000000000001</v>
      </c>
      <c r="C38" s="1">
        <v>9.6000000000000002E-4</v>
      </c>
      <c r="D38" s="1">
        <v>4.2199999999999998E-3</v>
      </c>
      <c r="E38" s="1">
        <v>1.43E-2</v>
      </c>
      <c r="F38" s="1">
        <v>3.9E-2</v>
      </c>
      <c r="G38" s="1">
        <v>9.1499999999999998E-2</v>
      </c>
      <c r="I38" s="320">
        <v>10.130000000000001</v>
      </c>
      <c r="J38" s="79">
        <v>8.6125567413917331E-4</v>
      </c>
      <c r="K38" s="79">
        <v>3.7106372781775237E-3</v>
      </c>
      <c r="L38" s="79">
        <v>1.3693764237752225E-2</v>
      </c>
      <c r="M38" s="79">
        <v>4.164204606276041E-2</v>
      </c>
      <c r="N38" s="79">
        <v>0.11100904142371637</v>
      </c>
      <c r="P38" s="320">
        <v>10.130000000000001</v>
      </c>
      <c r="Q38" s="321">
        <f t="shared" si="33"/>
        <v>10.285867277169448</v>
      </c>
      <c r="R38" s="321">
        <f t="shared" si="32"/>
        <v>12.070206678257728</v>
      </c>
      <c r="S38" s="321">
        <f t="shared" si="32"/>
        <v>4.2394109248096186</v>
      </c>
      <c r="T38" s="321">
        <f t="shared" si="32"/>
        <v>-6.7744770840010515</v>
      </c>
      <c r="U38" s="321">
        <f t="shared" si="32"/>
        <v>-21.321356747231007</v>
      </c>
      <c r="W38" s="341">
        <v>5.07</v>
      </c>
      <c r="X38" s="321">
        <v>23.403324838058541</v>
      </c>
      <c r="Y38" s="321">
        <v>11.780411066705069</v>
      </c>
      <c r="Z38" s="321">
        <v>2.9074017962602681</v>
      </c>
      <c r="AA38" s="321">
        <v>-8.9218455247841426</v>
      </c>
      <c r="AB38" s="321">
        <v>-30.467108851234993</v>
      </c>
      <c r="AF38" s="320">
        <v>5.07</v>
      </c>
      <c r="AG38" s="191">
        <f t="shared" ref="AG38:AG46" si="40">($AG$47/AF38/10*47482+10^((-1713.3/(273.15+$AG$36))+6.694))*0.016*(10^(-7)*$AG$36^2-1.1*10^(-3)*$AG$36*1.0376-0.079*(1.0376)^2+0.73*10^(-3)*$AG$36+0.156*1.0376+0.927)</f>
        <v>1.2126306339526636</v>
      </c>
      <c r="AH38" s="191">
        <f t="shared" ref="AH38:AH46" si="41">($AH$47/AF38/10*47482+10^((-1713.3/(273.15+$AH$36))+6.694))*0.016*(10^(-7)*$AH$36^2-1.1*10^(-3)*$AH$36*1.0376-0.079*(1.0376)^2+0.73*10^(-3)*$AH$36+0.156*1.0376+0.927)</f>
        <v>5.5735325149686838</v>
      </c>
      <c r="AI38" s="191">
        <f t="shared" ref="AI38:AI46" si="42">($AI$47/AF38/10*47482+10^((-1713.3/(273.15+$AI$36))+6.694))*0.016*(10^(-7)*$AI$36^2-1.1*10^(-3)*$AI$36*1.0376-0.079*(1.0376)^2+0.73*10^(-3)*$AI$36+0.156*1.0376+0.927)</f>
        <v>19.274157883906501</v>
      </c>
      <c r="AJ38" s="191">
        <f t="shared" ref="AJ38:AJ46" si="43">($AJ$47/AF38/10*47482+10^((-1713.3/(273.15+$AJ$36))+6.694))*0.016*(10^(-7)*$AJ$36^2-1.1*10^(-3)*$AJ$36*1.0376-0.079*(1.0376)^2+0.73*10^(-3)*$AJ$36+0.156*1.0376+0.927)</f>
        <v>53.363950925035006</v>
      </c>
      <c r="AK38" s="191">
        <f t="shared" ref="AK38:AK46" si="44">($AK$47/AF38/10*47482+10^((-1713.3/(273.15+$AK$36))+6.694))*0.016*(10^(-7)*$AK$36^2-1.1*10^(-3)*$AK$36*1.0376-0.079*(1.0376)^2+0.73*10^(-3)*$AK$36+0.156*1.0376+0.927)</f>
        <v>124.16260350486652</v>
      </c>
      <c r="AM38" s="320">
        <v>5.07</v>
      </c>
      <c r="AN38" s="191">
        <v>0.64446560094089989</v>
      </c>
      <c r="AO38" s="191">
        <v>2.7766180881705886</v>
      </c>
      <c r="AP38" s="191">
        <v>10.246852663637608</v>
      </c>
      <c r="AQ38" s="191">
        <v>31.16016189625574</v>
      </c>
      <c r="AR38" s="191">
        <v>83.066516412230882</v>
      </c>
      <c r="AT38" s="321">
        <f t="shared" si="34"/>
        <v>46.853923783847165</v>
      </c>
      <c r="AU38" s="321">
        <f t="shared" si="35"/>
        <v>50.18207787047978</v>
      </c>
      <c r="AV38" s="321">
        <f t="shared" si="36"/>
        <v>46.836314585793112</v>
      </c>
      <c r="AW38" s="321">
        <f t="shared" si="37"/>
        <v>41.6082179896516</v>
      </c>
      <c r="AX38" s="321">
        <f t="shared" si="38"/>
        <v>33.098602906651273</v>
      </c>
      <c r="AY38" s="320">
        <v>5.07</v>
      </c>
      <c r="AZ38" s="368">
        <f t="shared" ref="AZ38:AZ46" si="45">C37*18/0.02404</f>
        <v>1.1980033277870219</v>
      </c>
      <c r="BA38" s="368">
        <f t="shared" ref="BA38:BA46" si="46">D37*18/0.02404</f>
        <v>5.6455906821963397</v>
      </c>
      <c r="BB38" s="368">
        <f t="shared" ref="BB38:BB46" si="47">E37*18/0.02404</f>
        <v>19.617304492512481</v>
      </c>
      <c r="BC38" s="368">
        <f t="shared" ref="BC38:BC46" si="48">F37*18/0.02404</f>
        <v>54.958402662229624</v>
      </c>
      <c r="BD38" s="368">
        <f t="shared" ref="BD38:BD46" si="49">G37*18/0.02404</f>
        <v>129.53410981697172</v>
      </c>
      <c r="BF38" s="321">
        <f t="shared" ref="BF38:BF46" si="50">(AG38-AZ38)/AG38*100</f>
        <v>1.2062458061085621</v>
      </c>
      <c r="BG38" s="321">
        <f t="shared" si="39"/>
        <v>-1.2928634942764081</v>
      </c>
      <c r="BH38" s="321">
        <f t="shared" si="39"/>
        <v>-1.7803455314252696</v>
      </c>
      <c r="BI38" s="321">
        <f t="shared" si="39"/>
        <v>-2.9878817245643656</v>
      </c>
      <c r="BJ38" s="321">
        <f t="shared" si="39"/>
        <v>-4.3261869197955907</v>
      </c>
      <c r="BK38" s="321"/>
    </row>
    <row r="39" spans="2:63" ht="15">
      <c r="B39" s="320">
        <v>15.2</v>
      </c>
      <c r="C39" s="1">
        <v>6.8999999999999997E-4</v>
      </c>
      <c r="D39" s="1">
        <v>3.2000000000000002E-3</v>
      </c>
      <c r="E39" s="1">
        <v>1.04E-2</v>
      </c>
      <c r="F39" s="1">
        <v>2.8299999999999999E-2</v>
      </c>
      <c r="G39" s="1">
        <v>6.5000000000000002E-2</v>
      </c>
      <c r="I39" s="320">
        <v>15.2</v>
      </c>
      <c r="J39" s="79">
        <v>7.9723261320934326E-4</v>
      </c>
      <c r="K39" s="79">
        <v>3.1025744671683781E-3</v>
      </c>
      <c r="L39" s="79">
        <v>1.0316585231354309E-2</v>
      </c>
      <c r="M39" s="79">
        <v>2.9905705939950507E-2</v>
      </c>
      <c r="N39" s="79">
        <v>7.7165805012544372E-2</v>
      </c>
      <c r="P39" s="320">
        <v>15.2</v>
      </c>
      <c r="Q39" s="321">
        <f t="shared" si="33"/>
        <v>-15.540958436136709</v>
      </c>
      <c r="R39" s="321">
        <f t="shared" si="32"/>
        <v>3.0445479009881899</v>
      </c>
      <c r="S39" s="321">
        <f t="shared" si="32"/>
        <v>0.80206508313164326</v>
      </c>
      <c r="T39" s="321">
        <f t="shared" si="32"/>
        <v>-5.6738725793304194</v>
      </c>
      <c r="U39" s="321">
        <f t="shared" si="32"/>
        <v>-18.716623096222108</v>
      </c>
      <c r="W39" s="341">
        <v>10.130000000000001</v>
      </c>
      <c r="X39" s="321">
        <v>10.285867277169448</v>
      </c>
      <c r="Y39" s="321">
        <v>12.070206678257728</v>
      </c>
      <c r="Z39" s="321">
        <v>4.2394109248096186</v>
      </c>
      <c r="AA39" s="321">
        <v>-6.7744770840010515</v>
      </c>
      <c r="AB39" s="321">
        <v>-21.321356747231007</v>
      </c>
      <c r="AF39" s="320">
        <v>10.130000000000001</v>
      </c>
      <c r="AG39" s="191">
        <f t="shared" si="40"/>
        <v>0.72761395312284693</v>
      </c>
      <c r="AH39" s="191">
        <f t="shared" si="41"/>
        <v>3.1957649918580215</v>
      </c>
      <c r="AI39" s="191">
        <f t="shared" si="42"/>
        <v>10.747814015068441</v>
      </c>
      <c r="AJ39" s="191">
        <f t="shared" si="43"/>
        <v>29.248229559082969</v>
      </c>
      <c r="AK39" s="191">
        <f t="shared" si="44"/>
        <v>67.288828521899248</v>
      </c>
      <c r="AM39" s="320">
        <v>10.130000000000001</v>
      </c>
      <c r="AN39" s="191">
        <v>0.59655803797771956</v>
      </c>
      <c r="AO39" s="191">
        <v>2.3216131730523197</v>
      </c>
      <c r="AP39" s="191">
        <v>7.7197567463670298</v>
      </c>
      <c r="AQ39" s="191">
        <v>22.378022379261118</v>
      </c>
      <c r="AR39" s="191">
        <v>57.742094935053572</v>
      </c>
      <c r="AT39" s="321">
        <f t="shared" si="34"/>
        <v>18.011737485605988</v>
      </c>
      <c r="AU39" s="321">
        <f t="shared" si="35"/>
        <v>27.35344498211894</v>
      </c>
      <c r="AV39" s="321">
        <f t="shared" si="36"/>
        <v>28.173703642955424</v>
      </c>
      <c r="AW39" s="321">
        <f t="shared" si="37"/>
        <v>23.489309552715557</v>
      </c>
      <c r="AX39" s="321">
        <f t="shared" si="38"/>
        <v>14.187694743026588</v>
      </c>
      <c r="AY39" s="320">
        <v>10.130000000000001</v>
      </c>
      <c r="AZ39" s="368">
        <f t="shared" si="45"/>
        <v>0.71880199667221301</v>
      </c>
      <c r="BA39" s="368">
        <f t="shared" si="46"/>
        <v>3.1597337770382699</v>
      </c>
      <c r="BB39" s="368">
        <f t="shared" si="47"/>
        <v>10.707154742096508</v>
      </c>
      <c r="BC39" s="368">
        <f t="shared" si="48"/>
        <v>29.201331114808653</v>
      </c>
      <c r="BD39" s="368">
        <f t="shared" si="49"/>
        <v>68.510815307820309</v>
      </c>
      <c r="BF39" s="321">
        <f t="shared" si="50"/>
        <v>1.2110757927076419</v>
      </c>
      <c r="BG39" s="321">
        <f t="shared" si="39"/>
        <v>1.1274675988863341</v>
      </c>
      <c r="BH39" s="321">
        <f t="shared" si="39"/>
        <v>0.37830272197610149</v>
      </c>
      <c r="BI39" s="321">
        <f t="shared" si="39"/>
        <v>0.16034626704354302</v>
      </c>
      <c r="BJ39" s="321">
        <f t="shared" si="39"/>
        <v>-1.816032189538511</v>
      </c>
      <c r="BK39" s="321"/>
    </row>
    <row r="40" spans="2:63" ht="15" customHeight="1">
      <c r="B40" s="320">
        <v>20.27</v>
      </c>
      <c r="C40" s="1">
        <v>6.4999999999999997E-4</v>
      </c>
      <c r="D40" s="1">
        <v>2.7200000000000002E-3</v>
      </c>
      <c r="E40" s="1">
        <v>8.6E-3</v>
      </c>
      <c r="F40" s="1">
        <v>2.3E-2</v>
      </c>
      <c r="G40" s="1">
        <v>5.3499999999999999E-2</v>
      </c>
      <c r="I40" s="320">
        <v>20.27</v>
      </c>
      <c r="J40" s="79">
        <v>7.533215651453713E-4</v>
      </c>
      <c r="K40" s="1">
        <v>2.8131456423303616E-3</v>
      </c>
      <c r="L40" s="79">
        <v>8.8511642872463464E-3</v>
      </c>
      <c r="M40" s="79">
        <v>2.450401611156704E-2</v>
      </c>
      <c r="N40" s="79">
        <v>6.123592567390701E-2</v>
      </c>
      <c r="P40" s="320">
        <v>20.27</v>
      </c>
      <c r="Q40" s="321">
        <f t="shared" si="33"/>
        <v>-15.895625406980205</v>
      </c>
      <c r="R40" s="321">
        <f t="shared" si="32"/>
        <v>-3.4244721444985813</v>
      </c>
      <c r="S40" s="321">
        <f t="shared" si="32"/>
        <v>-2.9205149679807718</v>
      </c>
      <c r="T40" s="321">
        <f t="shared" si="32"/>
        <v>-6.5392004850740895</v>
      </c>
      <c r="U40" s="321">
        <f t="shared" si="32"/>
        <v>-14.459674156835536</v>
      </c>
      <c r="W40" s="341">
        <v>15.2</v>
      </c>
      <c r="X40" s="321">
        <v>-15.540958436136709</v>
      </c>
      <c r="Y40" s="321">
        <v>3.0445479009881899</v>
      </c>
      <c r="Z40" s="321">
        <v>0.80206508313164326</v>
      </c>
      <c r="AA40" s="321">
        <v>-5.6738725793304194</v>
      </c>
      <c r="AB40" s="321">
        <v>-18.716623096222108</v>
      </c>
      <c r="AF40" s="320">
        <v>15.2</v>
      </c>
      <c r="AG40" s="191">
        <f t="shared" si="40"/>
        <v>0.56551564233828344</v>
      </c>
      <c r="AH40" s="191">
        <f t="shared" si="41"/>
        <v>2.4010869649596533</v>
      </c>
      <c r="AI40" s="191">
        <f t="shared" si="42"/>
        <v>7.8982090572712806</v>
      </c>
      <c r="AJ40" s="191">
        <f t="shared" si="43"/>
        <v>21.188470273930321</v>
      </c>
      <c r="AK40" s="191">
        <f t="shared" si="44"/>
        <v>48.280940304720183</v>
      </c>
      <c r="AM40" s="320">
        <v>15.2</v>
      </c>
      <c r="AN40" s="191">
        <v>0.56370001355102706</v>
      </c>
      <c r="AO40" s="191">
        <v>2.1050376228067038</v>
      </c>
      <c r="AP40" s="191">
        <v>6.6232027058727683</v>
      </c>
      <c r="AQ40" s="191">
        <v>18.336013268755153</v>
      </c>
      <c r="AR40" s="191">
        <v>45.821988549511211</v>
      </c>
      <c r="AT40" s="321">
        <f t="shared" si="34"/>
        <v>0.32105721775425294</v>
      </c>
      <c r="AU40" s="321">
        <f t="shared" si="35"/>
        <v>12.329805062180419</v>
      </c>
      <c r="AV40" s="321">
        <f t="shared" si="36"/>
        <v>16.142980543477904</v>
      </c>
      <c r="AW40" s="321">
        <f t="shared" si="37"/>
        <v>13.462307416712138</v>
      </c>
      <c r="AX40" s="321">
        <f t="shared" si="38"/>
        <v>5.0930071777590724</v>
      </c>
      <c r="AY40" s="320">
        <v>15.2</v>
      </c>
      <c r="AZ40" s="368">
        <f t="shared" si="45"/>
        <v>0.51663893510815306</v>
      </c>
      <c r="BA40" s="368">
        <f t="shared" si="46"/>
        <v>2.3960066555740438</v>
      </c>
      <c r="BB40" s="368">
        <f t="shared" si="47"/>
        <v>7.7870216306156399</v>
      </c>
      <c r="BC40" s="368">
        <f t="shared" si="48"/>
        <v>21.189683860232943</v>
      </c>
      <c r="BD40" s="368">
        <f t="shared" si="49"/>
        <v>48.668885191347755</v>
      </c>
      <c r="BF40" s="321">
        <f t="shared" si="50"/>
        <v>8.6428568143643005</v>
      </c>
      <c r="BG40" s="321">
        <f t="shared" si="39"/>
        <v>0.21158373102470765</v>
      </c>
      <c r="BH40" s="321">
        <f t="shared" si="39"/>
        <v>1.4077549207599023</v>
      </c>
      <c r="BI40" s="321">
        <f t="shared" si="39"/>
        <v>-5.7275786639280034E-3</v>
      </c>
      <c r="BJ40" s="321">
        <f t="shared" si="39"/>
        <v>-0.80351559886592538</v>
      </c>
      <c r="BK40" s="321"/>
    </row>
    <row r="41" spans="2:63" ht="15">
      <c r="B41" s="320">
        <v>30.4</v>
      </c>
      <c r="C41" s="1">
        <v>6.2E-4</v>
      </c>
      <c r="D41" s="329">
        <v>2.31E-3</v>
      </c>
      <c r="E41" s="1">
        <v>6.9499999999999996E-3</v>
      </c>
      <c r="F41" s="1">
        <v>1.8100000000000002E-2</v>
      </c>
      <c r="G41" s="1">
        <v>4.1700000000000001E-2</v>
      </c>
      <c r="I41" s="320">
        <v>30.4</v>
      </c>
      <c r="J41" s="1">
        <v>6.9051919175144535E-4</v>
      </c>
      <c r="K41" s="1">
        <v>2.4715040524895546E-3</v>
      </c>
      <c r="L41" s="79">
        <v>7.3678693019707496E-3</v>
      </c>
      <c r="M41" s="79">
        <v>1.9290332329255037E-2</v>
      </c>
      <c r="N41" s="79">
        <v>4.5872585089847005E-2</v>
      </c>
      <c r="P41" s="320">
        <v>30.4</v>
      </c>
      <c r="Q41" s="321">
        <f t="shared" si="33"/>
        <v>-11.374063185716992</v>
      </c>
      <c r="R41" s="321">
        <f t="shared" si="32"/>
        <v>-6.9915174237902429</v>
      </c>
      <c r="S41" s="321">
        <f t="shared" si="32"/>
        <v>-6.0125079420251808</v>
      </c>
      <c r="T41" s="321">
        <f t="shared" si="32"/>
        <v>-6.5764217085913543</v>
      </c>
      <c r="U41" s="321">
        <f t="shared" si="32"/>
        <v>-10.006199256227829</v>
      </c>
      <c r="W41" s="341">
        <v>20.27</v>
      </c>
      <c r="X41" s="321">
        <v>-15.895625406980205</v>
      </c>
      <c r="Y41" s="321">
        <v>-3.4244721444985813</v>
      </c>
      <c r="Z41" s="321">
        <v>-2.9205149679807718</v>
      </c>
      <c r="AA41" s="321">
        <v>-6.5392004850740895</v>
      </c>
      <c r="AB41" s="321">
        <v>-14.459674156835536</v>
      </c>
      <c r="AF41" s="320">
        <v>20.27</v>
      </c>
      <c r="AG41" s="191">
        <f t="shared" si="40"/>
        <v>0.48450647172912559</v>
      </c>
      <c r="AH41" s="191">
        <f t="shared" si="41"/>
        <v>2.0039439747040806</v>
      </c>
      <c r="AI41" s="191">
        <f t="shared" si="42"/>
        <v>6.4741094903011112</v>
      </c>
      <c r="AJ41" s="191">
        <f t="shared" si="43"/>
        <v>17.160578731819008</v>
      </c>
      <c r="AK41" s="191">
        <f t="shared" si="44"/>
        <v>38.781684871073224</v>
      </c>
      <c r="AM41" s="320">
        <v>20.27</v>
      </c>
      <c r="AN41" s="191">
        <v>0.51670587403457624</v>
      </c>
      <c r="AO41" s="191">
        <v>1.8493919892110504</v>
      </c>
      <c r="AP41" s="191">
        <v>5.5132737698298024</v>
      </c>
      <c r="AQ41" s="191">
        <v>14.434686458639334</v>
      </c>
      <c r="AR41" s="191">
        <v>34.325815207185009</v>
      </c>
      <c r="AT41" s="321">
        <f t="shared" si="34"/>
        <v>-6.645814696867963</v>
      </c>
      <c r="AU41" s="321">
        <f t="shared" si="35"/>
        <v>7.7123905380564652</v>
      </c>
      <c r="AV41" s="321">
        <f t="shared" si="36"/>
        <v>14.841202823503997</v>
      </c>
      <c r="AW41" s="321">
        <f t="shared" si="37"/>
        <v>15.88461738837133</v>
      </c>
      <c r="AX41" s="321">
        <f t="shared" si="38"/>
        <v>11.489623719808504</v>
      </c>
      <c r="AY41" s="320">
        <v>20.27</v>
      </c>
      <c r="AZ41" s="368">
        <f t="shared" si="45"/>
        <v>0.48668885191347749</v>
      </c>
      <c r="BA41" s="368">
        <f t="shared" si="46"/>
        <v>2.0366056572379372</v>
      </c>
      <c r="BB41" s="368">
        <f t="shared" si="47"/>
        <v>6.4392678868552409</v>
      </c>
      <c r="BC41" s="368">
        <f t="shared" si="48"/>
        <v>17.221297836938437</v>
      </c>
      <c r="BD41" s="368">
        <f t="shared" si="49"/>
        <v>40.058236272878538</v>
      </c>
      <c r="BF41" s="321">
        <f t="shared" si="50"/>
        <v>-0.45043364984648043</v>
      </c>
      <c r="BG41" s="321">
        <f t="shared" si="39"/>
        <v>-1.629870043581418</v>
      </c>
      <c r="BH41" s="321">
        <f t="shared" si="39"/>
        <v>0.53816827624041008</v>
      </c>
      <c r="BI41" s="321">
        <f t="shared" si="39"/>
        <v>-0.35382900581810556</v>
      </c>
      <c r="BJ41" s="321">
        <f t="shared" si="39"/>
        <v>-3.2916347137807764</v>
      </c>
      <c r="BK41" s="321"/>
    </row>
    <row r="42" spans="2:63" ht="15">
      <c r="B42" s="320">
        <v>40.53</v>
      </c>
      <c r="C42" s="1">
        <v>6.3000000000000003E-4</v>
      </c>
      <c r="D42" s="1">
        <v>2.14E-3</v>
      </c>
      <c r="E42" s="1">
        <v>6.1999999999999998E-3</v>
      </c>
      <c r="F42" s="1">
        <v>1.5800000000000002E-2</v>
      </c>
      <c r="G42" s="1">
        <v>3.5999999999999997E-2</v>
      </c>
      <c r="I42" s="320">
        <v>40.53</v>
      </c>
      <c r="J42" s="1">
        <v>6.446716179096092E-4</v>
      </c>
      <c r="K42" s="1">
        <v>2.2524756154031372E-3</v>
      </c>
      <c r="L42" s="79">
        <v>6.5253051120093258E-3</v>
      </c>
      <c r="M42" s="79">
        <v>1.6555547089000013E-2</v>
      </c>
      <c r="N42" s="79">
        <v>3.8112712610302746E-2</v>
      </c>
      <c r="P42" s="320">
        <v>40.53</v>
      </c>
      <c r="Q42" s="321">
        <f t="shared" si="33"/>
        <v>-2.328828239620504</v>
      </c>
      <c r="R42" s="321">
        <f t="shared" si="32"/>
        <v>-5.2558698786512714</v>
      </c>
      <c r="S42" s="321">
        <f t="shared" si="32"/>
        <v>-5.2468566453117091</v>
      </c>
      <c r="T42" s="321">
        <f t="shared" si="32"/>
        <v>-4.7819436012658922</v>
      </c>
      <c r="U42" s="321">
        <f t="shared" si="32"/>
        <v>-5.8686461397298579</v>
      </c>
      <c r="W42" s="341">
        <v>30.4</v>
      </c>
      <c r="X42" s="321">
        <v>-11.374063185716992</v>
      </c>
      <c r="Y42" s="321">
        <v>-6.9915174237902429</v>
      </c>
      <c r="Z42" s="321">
        <v>-6.0125079420251808</v>
      </c>
      <c r="AA42" s="321">
        <v>-6.5764217085913543</v>
      </c>
      <c r="AB42" s="321">
        <v>-10.006199256227829</v>
      </c>
      <c r="AF42" s="320">
        <v>30.4</v>
      </c>
      <c r="AG42" s="191">
        <f t="shared" si="40"/>
        <v>0.40357719182076568</v>
      </c>
      <c r="AH42" s="191">
        <f t="shared" si="41"/>
        <v>1.6071926442022109</v>
      </c>
      <c r="AI42" s="191">
        <f t="shared" si="42"/>
        <v>5.0514143607737179</v>
      </c>
      <c r="AJ42" s="191">
        <f t="shared" si="43"/>
        <v>13.136659469335024</v>
      </c>
      <c r="AK42" s="191">
        <f t="shared" si="44"/>
        <v>29.291797539431837</v>
      </c>
      <c r="AM42" s="320">
        <v>30.4</v>
      </c>
      <c r="AN42" s="191">
        <v>0.48239877439521112</v>
      </c>
      <c r="AO42" s="191">
        <v>1.6854960665849037</v>
      </c>
      <c r="AP42" s="191">
        <v>4.8827947456335261</v>
      </c>
      <c r="AQ42" s="191">
        <v>12.388284831077511</v>
      </c>
      <c r="AR42" s="191">
        <v>28.519210930524977</v>
      </c>
      <c r="AT42" s="321">
        <f t="shared" si="34"/>
        <v>-19.530732700437444</v>
      </c>
      <c r="AU42" s="321">
        <f t="shared" si="35"/>
        <v>-4.8720620185243328</v>
      </c>
      <c r="AV42" s="321">
        <f t="shared" si="36"/>
        <v>3.338067382663982</v>
      </c>
      <c r="AW42" s="321">
        <f t="shared" si="37"/>
        <v>5.696841270830288</v>
      </c>
      <c r="AX42" s="321">
        <f t="shared" si="38"/>
        <v>2.6375527410594177</v>
      </c>
      <c r="AY42" s="320">
        <v>30.4</v>
      </c>
      <c r="AZ42" s="368">
        <f t="shared" si="45"/>
        <v>0.46422628951747091</v>
      </c>
      <c r="BA42" s="368">
        <f t="shared" si="46"/>
        <v>1.7296173044925125</v>
      </c>
      <c r="BB42" s="368">
        <f t="shared" si="47"/>
        <v>5.2038269550748746</v>
      </c>
      <c r="BC42" s="368">
        <f t="shared" si="48"/>
        <v>13.552412645590683</v>
      </c>
      <c r="BD42" s="368">
        <f t="shared" si="49"/>
        <v>31.222961730449253</v>
      </c>
      <c r="BF42" s="321">
        <f t="shared" si="50"/>
        <v>-15.02788039707664</v>
      </c>
      <c r="BG42" s="321">
        <f t="shared" si="39"/>
        <v>-7.6172984447095704</v>
      </c>
      <c r="BH42" s="321">
        <f t="shared" si="39"/>
        <v>-3.0172261354107546</v>
      </c>
      <c r="BI42" s="321">
        <f t="shared" si="39"/>
        <v>-3.1648317993334176</v>
      </c>
      <c r="BJ42" s="321">
        <f t="shared" si="39"/>
        <v>-6.5928497164359205</v>
      </c>
      <c r="BK42" s="321"/>
    </row>
    <row r="43" spans="2:63" ht="15">
      <c r="B43" s="320">
        <v>50.66</v>
      </c>
      <c r="C43" s="1">
        <v>6.3000000000000003E-4</v>
      </c>
      <c r="D43" s="1">
        <v>2.0600000000000002E-3</v>
      </c>
      <c r="E43" s="1">
        <v>5.7999999999999996E-3</v>
      </c>
      <c r="F43" s="1">
        <v>1.44E-2</v>
      </c>
      <c r="G43" s="1">
        <v>3.2500000000000001E-2</v>
      </c>
      <c r="I43" s="320">
        <v>50.66</v>
      </c>
      <c r="J43" s="1">
        <v>6.0838406081089951E-4</v>
      </c>
      <c r="K43" s="1">
        <v>2.0910935429142635E-3</v>
      </c>
      <c r="L43" s="79">
        <v>5.9452261019703884E-3</v>
      </c>
      <c r="M43" s="79">
        <v>1.4774336015738958E-2</v>
      </c>
      <c r="N43" s="79">
        <v>3.3254583636511167E-2</v>
      </c>
      <c r="P43" s="320">
        <v>50.66</v>
      </c>
      <c r="Q43" s="321">
        <f t="shared" si="33"/>
        <v>3.4311014585873836</v>
      </c>
      <c r="R43" s="321">
        <f t="shared" si="32"/>
        <v>-1.5093952871001597</v>
      </c>
      <c r="S43" s="321">
        <f t="shared" si="32"/>
        <v>-2.5038983098342893</v>
      </c>
      <c r="T43" s="321">
        <f t="shared" si="32"/>
        <v>-2.5995556648538765</v>
      </c>
      <c r="U43" s="321">
        <f t="shared" si="32"/>
        <v>-2.3217958046497422</v>
      </c>
      <c r="W43" s="341">
        <v>40.53</v>
      </c>
      <c r="X43" s="321">
        <v>-2.328828239620504</v>
      </c>
      <c r="Y43" s="321">
        <v>-5.2558698786512714</v>
      </c>
      <c r="Z43" s="321">
        <v>-5.2468566453117091</v>
      </c>
      <c r="AA43" s="321">
        <v>-4.7819436012658922</v>
      </c>
      <c r="AB43" s="321">
        <v>-5.8686461397298579</v>
      </c>
      <c r="AF43" s="320">
        <v>40.53</v>
      </c>
      <c r="AG43" s="191">
        <f t="shared" si="40"/>
        <v>0.36310256799292329</v>
      </c>
      <c r="AH43" s="191">
        <f t="shared" si="41"/>
        <v>1.4087680335613795</v>
      </c>
      <c r="AI43" s="191">
        <f t="shared" si="42"/>
        <v>4.3398912846444233</v>
      </c>
      <c r="AJ43" s="191">
        <f t="shared" si="43"/>
        <v>11.124203425650089</v>
      </c>
      <c r="AK43" s="191">
        <f t="shared" si="44"/>
        <v>24.545683149785376</v>
      </c>
      <c r="AM43" s="320">
        <v>40.53</v>
      </c>
      <c r="AN43" s="191">
        <v>0.45524530186143464</v>
      </c>
      <c r="AO43" s="191">
        <v>1.5647361140521285</v>
      </c>
      <c r="AP43" s="191">
        <v>4.4487297182285097</v>
      </c>
      <c r="AQ43" s="191">
        <v>11.055429444227229</v>
      </c>
      <c r="AR43" s="191">
        <v>24.883940821364511</v>
      </c>
      <c r="AT43" s="321">
        <f t="shared" si="34"/>
        <v>-25.376502947317952</v>
      </c>
      <c r="AU43" s="321">
        <f t="shared" si="35"/>
        <v>-11.071239322236764</v>
      </c>
      <c r="AV43" s="321">
        <f t="shared" si="36"/>
        <v>-2.507860829813477</v>
      </c>
      <c r="AW43" s="321">
        <f t="shared" si="37"/>
        <v>0.61823735858948059</v>
      </c>
      <c r="AX43" s="321">
        <f t="shared" si="38"/>
        <v>-1.3780739754317801</v>
      </c>
      <c r="AY43" s="320">
        <v>40.53</v>
      </c>
      <c r="AZ43" s="368">
        <f t="shared" si="45"/>
        <v>0.47171381031613985</v>
      </c>
      <c r="BA43" s="368">
        <f t="shared" si="46"/>
        <v>1.6023294509151416</v>
      </c>
      <c r="BB43" s="368">
        <f t="shared" si="47"/>
        <v>4.6422628951747082</v>
      </c>
      <c r="BC43" s="368">
        <f t="shared" si="48"/>
        <v>11.830282861896841</v>
      </c>
      <c r="BD43" s="368">
        <f t="shared" si="49"/>
        <v>26.955074875207984</v>
      </c>
      <c r="BF43" s="321">
        <f t="shared" si="50"/>
        <v>-29.912000601806081</v>
      </c>
      <c r="BG43" s="321">
        <f t="shared" si="39"/>
        <v>-13.73976501045647</v>
      </c>
      <c r="BH43" s="321">
        <f t="shared" si="39"/>
        <v>-6.9672623275183936</v>
      </c>
      <c r="BI43" s="321">
        <f t="shared" si="39"/>
        <v>-6.3472359253938109</v>
      </c>
      <c r="BJ43" s="321">
        <f t="shared" si="39"/>
        <v>-9.8159489418964316</v>
      </c>
      <c r="BK43" s="321"/>
    </row>
    <row r="44" spans="2:63" ht="15">
      <c r="B44" s="320">
        <v>60.8</v>
      </c>
      <c r="C44" s="1">
        <v>6.3000000000000003E-4</v>
      </c>
      <c r="D44" s="1">
        <v>2E-3</v>
      </c>
      <c r="E44" s="1">
        <v>5.4999999999999997E-3</v>
      </c>
      <c r="F44" s="1">
        <v>1.34E-2</v>
      </c>
      <c r="G44" s="1">
        <v>0.03</v>
      </c>
      <c r="I44" s="320">
        <v>60.8</v>
      </c>
      <c r="J44" s="1">
        <v>5.7834946929243513E-4</v>
      </c>
      <c r="K44" s="1">
        <v>1.9637369898375884E-3</v>
      </c>
      <c r="L44" s="79">
        <v>5.5076807859165784E-3</v>
      </c>
      <c r="M44" s="79">
        <v>1.3483043980490206E-2</v>
      </c>
      <c r="N44" s="79">
        <v>2.9846288123541623E-2</v>
      </c>
      <c r="P44" s="320">
        <v>60.8</v>
      </c>
      <c r="Q44" s="321">
        <f t="shared" si="33"/>
        <v>8.1984969377087129</v>
      </c>
      <c r="R44" s="321">
        <f t="shared" si="32"/>
        <v>1.8131505081205816</v>
      </c>
      <c r="S44" s="321">
        <f t="shared" si="32"/>
        <v>-0.13965065302870372</v>
      </c>
      <c r="T44" s="321">
        <f t="shared" si="32"/>
        <v>-0.61973119768810481</v>
      </c>
      <c r="U44" s="321">
        <f t="shared" si="32"/>
        <v>0.51237292152791825</v>
      </c>
      <c r="W44" s="341">
        <v>50.66</v>
      </c>
      <c r="X44" s="321">
        <v>3.4311014585873836</v>
      </c>
      <c r="Y44" s="321">
        <v>-1.5093952871001597</v>
      </c>
      <c r="Z44" s="321">
        <v>-2.5038983098342893</v>
      </c>
      <c r="AA44" s="321">
        <v>-2.5995556648538765</v>
      </c>
      <c r="AB44" s="321">
        <v>-2.3217958046497422</v>
      </c>
      <c r="AF44" s="320">
        <v>50.66</v>
      </c>
      <c r="AG44" s="191">
        <f t="shared" si="40"/>
        <v>0.33881459791068069</v>
      </c>
      <c r="AH44" s="191">
        <f t="shared" si="41"/>
        <v>1.2896976000145719</v>
      </c>
      <c r="AI44" s="191">
        <f t="shared" si="42"/>
        <v>3.9129212587002749</v>
      </c>
      <c r="AJ44" s="191">
        <f t="shared" si="43"/>
        <v>9.9165709004226503</v>
      </c>
      <c r="AK44" s="191">
        <f t="shared" si="44"/>
        <v>21.697639773447989</v>
      </c>
      <c r="AM44" s="320">
        <v>50.66</v>
      </c>
      <c r="AN44" s="191">
        <v>0.43277083620254858</v>
      </c>
      <c r="AO44" s="191">
        <v>1.4694369828221865</v>
      </c>
      <c r="AP44" s="191">
        <v>4.121320664777179</v>
      </c>
      <c r="AQ44" s="191">
        <v>10.089173636021886</v>
      </c>
      <c r="AR44" s="191">
        <v>22.333560856500391</v>
      </c>
      <c r="AT44" s="321">
        <f t="shared" si="34"/>
        <v>-27.730870768631082</v>
      </c>
      <c r="AU44" s="321">
        <f t="shared" si="35"/>
        <v>-13.936552475990013</v>
      </c>
      <c r="AV44" s="321">
        <f t="shared" si="36"/>
        <v>-5.3259289492098425</v>
      </c>
      <c r="AW44" s="321">
        <f t="shared" si="37"/>
        <v>-1.7405485962075831</v>
      </c>
      <c r="AX44" s="321">
        <f t="shared" si="38"/>
        <v>-2.9308306787846874</v>
      </c>
      <c r="AY44" s="320">
        <v>50.66</v>
      </c>
      <c r="AZ44" s="368">
        <f t="shared" si="45"/>
        <v>0.47171381031613985</v>
      </c>
      <c r="BA44" s="368">
        <f t="shared" si="46"/>
        <v>1.5424292845257905</v>
      </c>
      <c r="BB44" s="368">
        <f t="shared" si="47"/>
        <v>4.3427620632279531</v>
      </c>
      <c r="BC44" s="368">
        <f t="shared" si="48"/>
        <v>10.782029950083194</v>
      </c>
      <c r="BD44" s="368">
        <f t="shared" si="49"/>
        <v>24.334442595673877</v>
      </c>
      <c r="BF44" s="321">
        <f t="shared" si="50"/>
        <v>-39.224759861289812</v>
      </c>
      <c r="BG44" s="321">
        <f t="shared" si="39"/>
        <v>-19.596197163456232</v>
      </c>
      <c r="BH44" s="321">
        <f t="shared" si="39"/>
        <v>-10.985163669520279</v>
      </c>
      <c r="BI44" s="321">
        <f t="shared" si="39"/>
        <v>-8.7274024292374826</v>
      </c>
      <c r="BJ44" s="321">
        <f t="shared" si="39"/>
        <v>-12.152486859204927</v>
      </c>
      <c r="BK44" s="321"/>
    </row>
    <row r="45" spans="2:63" ht="15">
      <c r="B45" s="320">
        <v>70.930000000000007</v>
      </c>
      <c r="C45" s="1">
        <v>6.3000000000000003E-4</v>
      </c>
      <c r="D45" s="1">
        <v>1.9400000000000001E-3</v>
      </c>
      <c r="E45" s="1">
        <v>5.3E-3</v>
      </c>
      <c r="F45" s="1">
        <v>1.26E-2</v>
      </c>
      <c r="G45" s="1">
        <v>2.75E-2</v>
      </c>
      <c r="I45" s="320">
        <v>70.930000000000007</v>
      </c>
      <c r="J45" s="1">
        <v>5.5283224300088727E-4</v>
      </c>
      <c r="K45" s="1">
        <v>1.8592476443519304E-3</v>
      </c>
      <c r="L45" s="79">
        <v>5.1603818731627317E-3</v>
      </c>
      <c r="M45" s="79">
        <v>1.2488468195496011E-2</v>
      </c>
      <c r="N45" s="79">
        <v>2.7290590345305732E-2</v>
      </c>
      <c r="P45" s="320">
        <v>70.930000000000007</v>
      </c>
      <c r="Q45" s="321">
        <f t="shared" si="33"/>
        <v>12.248850317319485</v>
      </c>
      <c r="R45" s="321">
        <f t="shared" si="32"/>
        <v>4.1624925591788511</v>
      </c>
      <c r="S45" s="321">
        <f t="shared" si="32"/>
        <v>2.6343042799484588</v>
      </c>
      <c r="T45" s="321">
        <f t="shared" si="32"/>
        <v>0.88517305161896231</v>
      </c>
      <c r="U45" s="321">
        <f t="shared" si="32"/>
        <v>0.76148965343370267</v>
      </c>
      <c r="W45" s="341">
        <v>60.8</v>
      </c>
      <c r="X45" s="321">
        <v>8.1984969377087129</v>
      </c>
      <c r="Y45" s="321">
        <v>1.8131505081205816</v>
      </c>
      <c r="Z45" s="321">
        <v>-0.13965065302870372</v>
      </c>
      <c r="AA45" s="321">
        <v>-0.61973119768810481</v>
      </c>
      <c r="AB45" s="321">
        <v>0.51237292152791825</v>
      </c>
      <c r="AF45" s="320">
        <v>60.8</v>
      </c>
      <c r="AG45" s="191">
        <f t="shared" si="40"/>
        <v>0.32260796656200685</v>
      </c>
      <c r="AH45" s="191">
        <f t="shared" si="41"/>
        <v>1.2102454838234897</v>
      </c>
      <c r="AI45" s="191">
        <f t="shared" si="42"/>
        <v>3.6280170125249369</v>
      </c>
      <c r="AJ45" s="191">
        <f t="shared" si="43"/>
        <v>9.1107540670373748</v>
      </c>
      <c r="AK45" s="191">
        <f t="shared" si="44"/>
        <v>19.797226156787659</v>
      </c>
      <c r="AM45" s="320">
        <v>60.8</v>
      </c>
      <c r="AN45" s="191">
        <v>0.41367665189686709</v>
      </c>
      <c r="AO45" s="191">
        <v>1.3912490638890056</v>
      </c>
      <c r="AP45" s="191">
        <v>3.8614417354014865</v>
      </c>
      <c r="AQ45" s="191">
        <v>9.3449464567952258</v>
      </c>
      <c r="AR45" s="191">
        <v>20.421167877353568</v>
      </c>
      <c r="AT45" s="321">
        <f t="shared" si="34"/>
        <v>-28.228901569098845</v>
      </c>
      <c r="AU45" s="321">
        <f t="shared" si="35"/>
        <v>-14.955939310236221</v>
      </c>
      <c r="AV45" s="321">
        <f t="shared" si="36"/>
        <v>-6.4339478583121767</v>
      </c>
      <c r="AW45" s="321">
        <f t="shared" si="37"/>
        <v>-2.5705050101742621</v>
      </c>
      <c r="AX45" s="321">
        <f t="shared" si="38"/>
        <v>-3.1516623370592014</v>
      </c>
      <c r="AY45" s="320">
        <v>60.8</v>
      </c>
      <c r="AZ45" s="368">
        <f t="shared" si="45"/>
        <v>0.47171381031613985</v>
      </c>
      <c r="BA45" s="368">
        <f t="shared" si="46"/>
        <v>1.4975041597337773</v>
      </c>
      <c r="BB45" s="368">
        <f t="shared" si="47"/>
        <v>4.1181364392678868</v>
      </c>
      <c r="BC45" s="368">
        <f t="shared" si="48"/>
        <v>10.033277870216306</v>
      </c>
      <c r="BD45" s="368">
        <f t="shared" si="49"/>
        <v>22.462562396006657</v>
      </c>
      <c r="BF45" s="321">
        <f t="shared" si="50"/>
        <v>-46.218896992264483</v>
      </c>
      <c r="BG45" s="321">
        <f t="shared" si="39"/>
        <v>-23.735570985380619</v>
      </c>
      <c r="BH45" s="321">
        <f t="shared" si="39"/>
        <v>-13.509292405490919</v>
      </c>
      <c r="BI45" s="321">
        <f t="shared" si="39"/>
        <v>-10.12565805630309</v>
      </c>
      <c r="BJ45" s="321">
        <f t="shared" si="39"/>
        <v>-13.463180236010807</v>
      </c>
      <c r="BK45" s="321"/>
    </row>
    <row r="46" spans="2:63" ht="15">
      <c r="B46" s="453" t="s">
        <v>188</v>
      </c>
      <c r="C46" s="455" t="s">
        <v>189</v>
      </c>
      <c r="D46" s="468"/>
      <c r="E46" s="468"/>
      <c r="F46" s="468"/>
      <c r="G46" s="469"/>
      <c r="I46" s="453" t="s">
        <v>188</v>
      </c>
      <c r="J46" s="455" t="s">
        <v>189</v>
      </c>
      <c r="K46" s="468"/>
      <c r="L46" s="468"/>
      <c r="M46" s="468"/>
      <c r="N46" s="469"/>
      <c r="P46" s="453" t="s">
        <v>188</v>
      </c>
      <c r="Q46" s="455" t="s">
        <v>189</v>
      </c>
      <c r="R46" s="468"/>
      <c r="S46" s="468"/>
      <c r="T46" s="468"/>
      <c r="U46" s="469"/>
      <c r="W46" s="341">
        <v>70.930000000000007</v>
      </c>
      <c r="X46" s="321">
        <v>12.248850317319485</v>
      </c>
      <c r="Y46" s="321">
        <v>4.1624925591788511</v>
      </c>
      <c r="Z46" s="321">
        <v>2.6343042799484588</v>
      </c>
      <c r="AA46" s="321">
        <v>0.88517305161896231</v>
      </c>
      <c r="AB46" s="321">
        <v>0.76148965343370267</v>
      </c>
      <c r="AF46" s="320">
        <v>70.930000000000007</v>
      </c>
      <c r="AG46" s="191">
        <f t="shared" si="40"/>
        <v>0.31104419591670551</v>
      </c>
      <c r="AH46" s="191">
        <f t="shared" si="41"/>
        <v>1.1535547361196063</v>
      </c>
      <c r="AI46" s="191">
        <f t="shared" si="42"/>
        <v>3.4247318703035892</v>
      </c>
      <c r="AJ46" s="191">
        <f t="shared" si="43"/>
        <v>8.5357868920017737</v>
      </c>
      <c r="AK46" s="191">
        <f t="shared" si="44"/>
        <v>18.44124126878279</v>
      </c>
      <c r="AM46" s="320">
        <v>70.930000000000007</v>
      </c>
      <c r="AN46" s="191">
        <f>J45*18/0.02404</f>
        <v>0.4139342917643915</v>
      </c>
      <c r="AO46" s="191">
        <f>K45*18/0.02404</f>
        <v>1.392115540696121</v>
      </c>
      <c r="AP46" s="191">
        <f>L45*18/0.02404</f>
        <v>3.8638466604379853</v>
      </c>
      <c r="AQ46" s="191">
        <f>M45*18/0.02404</f>
        <v>9.350766535729127</v>
      </c>
      <c r="AR46" s="191">
        <f>N45*18/0.02404</f>
        <v>20.433886281842895</v>
      </c>
      <c r="AT46" s="321">
        <f t="shared" si="34"/>
        <v>-33.078931289635413</v>
      </c>
      <c r="AU46" s="321">
        <f t="shared" si="35"/>
        <v>-20.680492837210235</v>
      </c>
      <c r="AV46" s="321">
        <f t="shared" si="36"/>
        <v>-12.821873558687393</v>
      </c>
      <c r="AW46" s="321">
        <f t="shared" si="37"/>
        <v>-9.5477974560378005</v>
      </c>
      <c r="AX46" s="321">
        <f t="shared" si="38"/>
        <v>-10.805373586393241</v>
      </c>
      <c r="AY46" s="320">
        <v>70.930000000000007</v>
      </c>
      <c r="AZ46" s="368">
        <f t="shared" si="45"/>
        <v>0.47171381031613985</v>
      </c>
      <c r="BA46" s="368">
        <f t="shared" si="46"/>
        <v>1.4525790349417638</v>
      </c>
      <c r="BB46" s="368">
        <f t="shared" si="47"/>
        <v>3.9683860232945092</v>
      </c>
      <c r="BC46" s="368">
        <f t="shared" si="48"/>
        <v>9.4342762063227958</v>
      </c>
      <c r="BD46" s="368">
        <f t="shared" si="49"/>
        <v>20.590682196339436</v>
      </c>
      <c r="BF46" s="321">
        <f t="shared" si="50"/>
        <v>-51.654914802673261</v>
      </c>
      <c r="BG46" s="321">
        <f t="shared" si="39"/>
        <v>-25.921986140686531</v>
      </c>
      <c r="BH46" s="321">
        <f t="shared" si="39"/>
        <v>-15.874356696506206</v>
      </c>
      <c r="BI46" s="321">
        <f t="shared" si="39"/>
        <v>-10.52614510752286</v>
      </c>
      <c r="BJ46" s="321">
        <f t="shared" si="39"/>
        <v>-11.655619576949009</v>
      </c>
      <c r="BK46" s="321"/>
    </row>
    <row r="47" spans="2:63" ht="15" customHeight="1">
      <c r="B47" s="454"/>
      <c r="C47" s="320">
        <v>200</v>
      </c>
      <c r="D47" s="320">
        <v>250</v>
      </c>
      <c r="E47" s="320">
        <v>300</v>
      </c>
      <c r="F47" s="320">
        <v>350</v>
      </c>
      <c r="G47" s="320"/>
      <c r="I47" s="454"/>
      <c r="J47" s="320">
        <v>200</v>
      </c>
      <c r="K47" s="320">
        <v>250</v>
      </c>
      <c r="L47" s="320">
        <v>300</v>
      </c>
      <c r="M47" s="320">
        <v>350</v>
      </c>
      <c r="N47" s="320"/>
      <c r="P47" s="454"/>
      <c r="Q47" s="320">
        <v>200</v>
      </c>
      <c r="R47" s="320">
        <v>250</v>
      </c>
      <c r="S47" s="320">
        <v>300</v>
      </c>
      <c r="T47" s="320">
        <v>350</v>
      </c>
      <c r="U47" s="320"/>
      <c r="W47" s="321" t="s">
        <v>188</v>
      </c>
      <c r="X47" s="321" t="s">
        <v>189</v>
      </c>
      <c r="Y47" s="321"/>
      <c r="Z47" s="321"/>
      <c r="AA47" s="321"/>
      <c r="AB47" s="321"/>
      <c r="AG47">
        <v>6.5559999999999993E-2</v>
      </c>
      <c r="AH47">
        <v>0.32579999999999998</v>
      </c>
      <c r="AI47">
        <v>1.1841999999999999</v>
      </c>
      <c r="AJ47">
        <v>3.395</v>
      </c>
      <c r="AK47">
        <v>8.1150000000000002</v>
      </c>
      <c r="AY47" s="453" t="s">
        <v>188</v>
      </c>
      <c r="AZ47" s="455" t="s">
        <v>189</v>
      </c>
      <c r="BA47" s="468"/>
      <c r="BB47" s="468"/>
      <c r="BC47" s="468"/>
      <c r="BD47" s="469"/>
    </row>
    <row r="48" spans="2:63" ht="15">
      <c r="B48" s="322">
        <v>19.23</v>
      </c>
      <c r="C48" s="1">
        <v>0.12</v>
      </c>
      <c r="D48" s="1">
        <v>0.31</v>
      </c>
      <c r="E48" s="1">
        <v>0.54600000000000004</v>
      </c>
      <c r="F48" s="1">
        <v>0.85</v>
      </c>
      <c r="I48" s="322">
        <v>19.23</v>
      </c>
      <c r="J48" s="1">
        <v>0.13475113463675559</v>
      </c>
      <c r="K48" s="1">
        <v>0.47654094671292679</v>
      </c>
      <c r="L48" s="1" t="s">
        <v>192</v>
      </c>
      <c r="M48" s="1" t="s">
        <v>192</v>
      </c>
      <c r="P48" s="322">
        <v>19.23</v>
      </c>
      <c r="Q48" s="321">
        <f t="shared" ref="Q48:Q53" si="51">(C48-J48)/C48*100</f>
        <v>-12.292612197296327</v>
      </c>
      <c r="R48" s="321">
        <f t="shared" ref="R48:T53" si="52">(D48-K48)/D48*100</f>
        <v>-53.722886036427994</v>
      </c>
      <c r="S48" s="321" t="e">
        <f t="shared" si="52"/>
        <v>#VALUE!</v>
      </c>
      <c r="T48" s="321" t="e">
        <f t="shared" si="52"/>
        <v>#VALUE!</v>
      </c>
      <c r="W48" s="341"/>
      <c r="X48" s="341">
        <v>200</v>
      </c>
      <c r="Y48" s="341">
        <v>250</v>
      </c>
      <c r="Z48" s="341">
        <v>300</v>
      </c>
      <c r="AA48" s="341">
        <v>350</v>
      </c>
      <c r="AB48" s="321"/>
      <c r="AG48" s="320">
        <v>200</v>
      </c>
      <c r="AH48" s="320">
        <v>250</v>
      </c>
      <c r="AI48" s="320">
        <v>300</v>
      </c>
      <c r="AJ48" s="320">
        <v>350</v>
      </c>
      <c r="AN48" s="320">
        <v>100.83239340970846</v>
      </c>
      <c r="AO48" s="320">
        <v>356.5889396354375</v>
      </c>
      <c r="AP48" s="320">
        <v>300</v>
      </c>
      <c r="AQ48" s="320">
        <v>350</v>
      </c>
      <c r="AY48" s="454"/>
      <c r="AZ48" s="320">
        <v>200</v>
      </c>
      <c r="BA48" s="320">
        <v>250</v>
      </c>
      <c r="BB48" s="320">
        <v>300</v>
      </c>
      <c r="BC48" s="320">
        <v>350</v>
      </c>
      <c r="BD48" s="320"/>
    </row>
    <row r="49" spans="2:71" ht="15">
      <c r="B49" s="322">
        <v>48.1</v>
      </c>
      <c r="C49" s="1">
        <v>7.0000000000000007E-2</v>
      </c>
      <c r="D49" s="1">
        <v>0.219</v>
      </c>
      <c r="E49" s="1">
        <v>0.41299999999999998</v>
      </c>
      <c r="F49" s="1">
        <v>0.69799999999999995</v>
      </c>
      <c r="I49" s="322">
        <v>48.1</v>
      </c>
      <c r="J49" s="1">
        <v>6.6324663708824089E-2</v>
      </c>
      <c r="K49" s="1">
        <v>0.20153700156414506</v>
      </c>
      <c r="L49" s="1">
        <v>0.70586076801279263</v>
      </c>
      <c r="M49" s="1" t="s">
        <v>192</v>
      </c>
      <c r="P49" s="322">
        <v>48.1</v>
      </c>
      <c r="Q49" s="321">
        <f t="shared" si="51"/>
        <v>5.2504804159655967</v>
      </c>
      <c r="R49" s="321">
        <f t="shared" si="52"/>
        <v>7.9739718885182391</v>
      </c>
      <c r="S49" s="321">
        <f t="shared" si="52"/>
        <v>-70.910597581789986</v>
      </c>
      <c r="T49" s="321" t="e">
        <f t="shared" si="52"/>
        <v>#VALUE!</v>
      </c>
      <c r="W49" s="341">
        <v>19.23</v>
      </c>
      <c r="X49" s="321">
        <v>-12.292612197296327</v>
      </c>
      <c r="Y49" s="321">
        <v>-53.722886036427994</v>
      </c>
      <c r="Z49" s="321" t="e">
        <v>#VALUE!</v>
      </c>
      <c r="AA49" s="321" t="e">
        <v>#VALUE!</v>
      </c>
      <c r="AB49" s="321"/>
      <c r="AF49" s="322">
        <v>19.23</v>
      </c>
      <c r="AG49" s="191">
        <f t="shared" ref="AG49:AG54" si="53">($AG$55/AF49/10*47482+10^((-1713.3/(273.15+$AG$48))+6.694))*0.016*(10^(-7)*$AG$48^2-1.1*10^(-3)*$AG$48*1.0376-0.079*(1.0376)^2+0.73*10^(-3)*$AG$48+0.156*1.0376+0.927)</f>
        <v>74.379434772427402</v>
      </c>
      <c r="AH49" s="191">
        <f t="shared" ref="AH49:AH54" si="54">($AH$55/AF49/10*47482+10^((-1713.3/(273.15+$AH$48))+6.694))*0.016*(10^(-7)*$AH$48^2-1.1*10^(-3)*$AH$48*1.0376-0.079*(1.0376)^2+0.73*10^(-3)*$AH$48+0.156*1.0376+0.927)</f>
        <v>180.51375956479509</v>
      </c>
      <c r="AI49" s="353"/>
      <c r="AJ49" s="353"/>
      <c r="AK49" s="357"/>
      <c r="AM49" s="322">
        <v>19.23</v>
      </c>
      <c r="AN49" s="191">
        <v>49.629820200642598</v>
      </c>
      <c r="AO49" s="191">
        <v>150.80732554207296</v>
      </c>
      <c r="AP49" s="191">
        <v>528.1857614379677</v>
      </c>
      <c r="AQ49" s="191"/>
      <c r="AT49" s="321">
        <f t="shared" ref="AT49:AU54" si="55">(AG49-AN49)/AG49*100</f>
        <v>33.274808618147141</v>
      </c>
      <c r="AU49" s="321">
        <f t="shared" si="55"/>
        <v>16.456603692894152</v>
      </c>
      <c r="AY49" s="322">
        <v>19.23</v>
      </c>
      <c r="AZ49" s="368">
        <f t="shared" ref="AZ49:AZ54" si="56">C48*18/0.02404</f>
        <v>89.850249584026628</v>
      </c>
      <c r="BA49" s="368">
        <f t="shared" ref="BA49:BC54" si="57">D48*18/0.02404</f>
        <v>232.11314475873544</v>
      </c>
      <c r="BB49" s="368">
        <f t="shared" si="57"/>
        <v>408.8186356073212</v>
      </c>
      <c r="BC49" s="368">
        <f t="shared" si="57"/>
        <v>636.43926788685519</v>
      </c>
      <c r="BF49" s="321">
        <f t="shared" ref="BF49:BF54" si="58">(AG49-AZ49)/AG49*100</f>
        <v>-20.799855308035074</v>
      </c>
      <c r="BG49" s="321">
        <f t="shared" ref="BG49:BG54" si="59">(AH49-BA49)/AH49*100</f>
        <v>-28.584737982490939</v>
      </c>
      <c r="BH49" s="321"/>
      <c r="BI49" s="321"/>
      <c r="BJ49" s="321"/>
    </row>
    <row r="50" spans="2:71" ht="15">
      <c r="B50" s="322">
        <v>96.2</v>
      </c>
      <c r="C50" s="1">
        <v>7.0000000000000007E-2</v>
      </c>
      <c r="D50" s="1">
        <v>0.15</v>
      </c>
      <c r="E50" s="1">
        <v>0.26600000000000001</v>
      </c>
      <c r="F50" s="1">
        <v>0.51100000000000001</v>
      </c>
      <c r="I50" s="322">
        <v>96.2</v>
      </c>
      <c r="J50" s="1">
        <v>4.187123491937373E-2</v>
      </c>
      <c r="K50" s="1">
        <v>0.11081277401368535</v>
      </c>
      <c r="L50" s="1">
        <v>0.30365292707551916</v>
      </c>
      <c r="M50" s="1" t="s">
        <v>192</v>
      </c>
      <c r="P50" s="322">
        <v>96.2</v>
      </c>
      <c r="Q50" s="321">
        <f t="shared" si="51"/>
        <v>40.183950115180387</v>
      </c>
      <c r="R50" s="321">
        <f t="shared" si="52"/>
        <v>26.124817324209765</v>
      </c>
      <c r="S50" s="321">
        <f t="shared" si="52"/>
        <v>-14.15523574267637</v>
      </c>
      <c r="T50" s="321" t="e">
        <f t="shared" si="52"/>
        <v>#VALUE!</v>
      </c>
      <c r="W50" s="341">
        <v>48.1</v>
      </c>
      <c r="X50" s="321">
        <v>5.2504804159655967</v>
      </c>
      <c r="Y50" s="321">
        <v>7.9739718885182391</v>
      </c>
      <c r="Z50" s="321">
        <v>-70.910597581789986</v>
      </c>
      <c r="AA50" s="321" t="e">
        <v>#VALUE!</v>
      </c>
      <c r="AB50" s="321"/>
      <c r="AF50" s="322">
        <v>48.1</v>
      </c>
      <c r="AG50" s="191">
        <f t="shared" si="53"/>
        <v>40.250286822083837</v>
      </c>
      <c r="AH50" s="191">
        <f t="shared" si="54"/>
        <v>95.032746079592428</v>
      </c>
      <c r="AI50" s="320"/>
      <c r="AJ50" s="320"/>
      <c r="AK50" s="320"/>
      <c r="AM50" s="322">
        <v>48.1</v>
      </c>
      <c r="AN50" s="191">
        <v>31.331660719011122</v>
      </c>
      <c r="AO50" s="191">
        <v>82.919652248488589</v>
      </c>
      <c r="AP50" s="191">
        <v>227.2192474328649</v>
      </c>
      <c r="AQ50" s="191"/>
      <c r="AT50" s="321">
        <f t="shared" si="55"/>
        <v>22.157919377059933</v>
      </c>
      <c r="AU50" s="321">
        <f t="shared" si="55"/>
        <v>12.746231515775419</v>
      </c>
      <c r="AY50" s="322">
        <v>48.1</v>
      </c>
      <c r="AZ50" s="368">
        <f t="shared" si="56"/>
        <v>52.41264559068221</v>
      </c>
      <c r="BA50" s="368">
        <f t="shared" si="57"/>
        <v>163.97670549084859</v>
      </c>
      <c r="BB50" s="368">
        <f t="shared" si="57"/>
        <v>309.23460898502492</v>
      </c>
      <c r="BC50" s="368">
        <f t="shared" si="57"/>
        <v>522.62895174708819</v>
      </c>
      <c r="BF50" s="321">
        <f t="shared" si="58"/>
        <v>-30.216825093344031</v>
      </c>
      <c r="BG50" s="321">
        <f t="shared" si="59"/>
        <v>-72.547582023478284</v>
      </c>
      <c r="BH50" s="321"/>
      <c r="BI50" s="321"/>
      <c r="BJ50" s="321"/>
    </row>
    <row r="51" spans="2:71" ht="15">
      <c r="B51" s="322">
        <v>144.30000000000001</v>
      </c>
      <c r="C51" s="1">
        <v>7.0000000000000007E-2</v>
      </c>
      <c r="D51" s="1">
        <v>0.115</v>
      </c>
      <c r="E51" s="1">
        <v>0.17199999999999999</v>
      </c>
      <c r="F51" s="1">
        <v>0.32200000000000001</v>
      </c>
      <c r="I51" s="322">
        <v>144.30000000000001</v>
      </c>
      <c r="J51" s="1">
        <v>3.2659176256072502E-2</v>
      </c>
      <c r="K51" s="1">
        <v>8.1401779448146749E-2</v>
      </c>
      <c r="L51" s="1">
        <v>0.19761564971145756</v>
      </c>
      <c r="M51" s="1">
        <v>0.58714434136252391</v>
      </c>
      <c r="P51" s="322">
        <v>144.30000000000001</v>
      </c>
      <c r="Q51" s="321">
        <f t="shared" si="51"/>
        <v>53.344033919896425</v>
      </c>
      <c r="R51" s="321">
        <f t="shared" si="52"/>
        <v>29.215843958133263</v>
      </c>
      <c r="S51" s="321">
        <f t="shared" si="52"/>
        <v>-14.892819599684639</v>
      </c>
      <c r="T51" s="321">
        <f t="shared" si="52"/>
        <v>-82.34296315606332</v>
      </c>
      <c r="W51" s="341">
        <v>96.2</v>
      </c>
      <c r="X51" s="321">
        <v>40.183950115180387</v>
      </c>
      <c r="Y51" s="321">
        <v>26.124817324209765</v>
      </c>
      <c r="Z51" s="321">
        <v>-14.15523574267637</v>
      </c>
      <c r="AA51" s="321" t="e">
        <v>#VALUE!</v>
      </c>
      <c r="AB51" s="321"/>
      <c r="AF51" s="322">
        <v>96.2</v>
      </c>
      <c r="AG51" s="191">
        <f t="shared" si="53"/>
        <v>28.883755559785495</v>
      </c>
      <c r="AH51" s="191">
        <f t="shared" si="54"/>
        <v>66.56374903559437</v>
      </c>
      <c r="AI51" s="1"/>
      <c r="AJ51" s="1"/>
      <c r="AM51" s="322">
        <v>96.2</v>
      </c>
      <c r="AN51" s="191">
        <v>24.438405788318047</v>
      </c>
      <c r="AO51" s="191">
        <v>60.911815486316534</v>
      </c>
      <c r="AP51" s="191">
        <v>147.87303267861071</v>
      </c>
      <c r="AQ51" s="191">
        <v>439.35191622795833</v>
      </c>
      <c r="AT51" s="321">
        <f t="shared" si="55"/>
        <v>15.390483977286717</v>
      </c>
      <c r="AU51" s="321">
        <f t="shared" si="55"/>
        <v>8.491008441029237</v>
      </c>
      <c r="AY51" s="322">
        <v>96.2</v>
      </c>
      <c r="AZ51" s="368">
        <f t="shared" si="56"/>
        <v>52.41264559068221</v>
      </c>
      <c r="BA51" s="368">
        <f t="shared" si="57"/>
        <v>112.31281198003327</v>
      </c>
      <c r="BB51" s="368">
        <f t="shared" si="57"/>
        <v>199.16805324459236</v>
      </c>
      <c r="BC51" s="368">
        <f t="shared" si="57"/>
        <v>382.61231281198008</v>
      </c>
      <c r="BF51" s="321">
        <f t="shared" si="58"/>
        <v>-81.460632715143547</v>
      </c>
      <c r="BG51" s="321">
        <f t="shared" si="59"/>
        <v>-68.729696880467174</v>
      </c>
      <c r="BH51" s="321"/>
      <c r="BI51" s="321"/>
      <c r="BJ51" s="321"/>
    </row>
    <row r="52" spans="2:71" ht="15">
      <c r="B52" s="322">
        <v>192.3</v>
      </c>
      <c r="C52" s="1">
        <v>7.0000000000000007E-2</v>
      </c>
      <c r="D52" s="1">
        <v>9.8000000000000004E-2</v>
      </c>
      <c r="E52" s="1">
        <v>0.14499999999999999</v>
      </c>
      <c r="F52" s="1">
        <v>0.26200000000000001</v>
      </c>
      <c r="I52" s="322">
        <v>192.3</v>
      </c>
      <c r="J52" s="1">
        <v>2.7628378757221208E-2</v>
      </c>
      <c r="K52" s="1">
        <v>6.67222387312809E-2</v>
      </c>
      <c r="L52" s="1">
        <v>0.15288141928512355</v>
      </c>
      <c r="M52" s="1">
        <v>0.37703078345813607</v>
      </c>
      <c r="P52" s="322">
        <v>192.3</v>
      </c>
      <c r="Q52" s="321">
        <f t="shared" si="51"/>
        <v>60.530887489683984</v>
      </c>
      <c r="R52" s="321">
        <f t="shared" si="52"/>
        <v>31.916082927264387</v>
      </c>
      <c r="S52" s="321">
        <f t="shared" si="52"/>
        <v>-5.4354615759472864</v>
      </c>
      <c r="T52" s="321">
        <f t="shared" si="52"/>
        <v>-43.904879182494675</v>
      </c>
      <c r="W52" s="341">
        <v>144.30000000000001</v>
      </c>
      <c r="X52" s="321">
        <v>53.344033919896425</v>
      </c>
      <c r="Y52" s="321">
        <v>29.215843958133263</v>
      </c>
      <c r="Z52" s="321">
        <v>-14.892819599684639</v>
      </c>
      <c r="AA52" s="321">
        <v>-82.34296315606332</v>
      </c>
      <c r="AB52" s="321"/>
      <c r="AF52" s="322">
        <v>144.30000000000001</v>
      </c>
      <c r="AG52" s="191">
        <f t="shared" si="53"/>
        <v>25.094911805686046</v>
      </c>
      <c r="AH52" s="191">
        <f t="shared" si="54"/>
        <v>57.074083354261681</v>
      </c>
      <c r="AI52" s="1"/>
      <c r="AJ52" s="1"/>
      <c r="AM52" s="322">
        <v>144.30000000000001</v>
      </c>
      <c r="AN52" s="191">
        <v>20.673930231684139</v>
      </c>
      <c r="AO52" s="191">
        <v>49.927320041236186</v>
      </c>
      <c r="AP52" s="191">
        <v>114.3990323788143</v>
      </c>
      <c r="AQ52" s="191">
        <v>282.12687327422054</v>
      </c>
      <c r="AT52" s="321">
        <f t="shared" si="55"/>
        <v>17.617043678950861</v>
      </c>
      <c r="AU52" s="321">
        <f t="shared" si="55"/>
        <v>12.521906429342334</v>
      </c>
      <c r="AY52" s="322">
        <v>144.30000000000001</v>
      </c>
      <c r="AZ52" s="368">
        <f t="shared" si="56"/>
        <v>52.41264559068221</v>
      </c>
      <c r="BA52" s="368">
        <f t="shared" si="57"/>
        <v>86.106489184692194</v>
      </c>
      <c r="BB52" s="368">
        <f t="shared" si="57"/>
        <v>128.78535773710482</v>
      </c>
      <c r="BC52" s="368">
        <f t="shared" si="57"/>
        <v>241.09816971713812</v>
      </c>
      <c r="BF52" s="321">
        <f t="shared" si="58"/>
        <v>-108.85766005683459</v>
      </c>
      <c r="BG52" s="321">
        <f t="shared" si="59"/>
        <v>-50.867931860114027</v>
      </c>
      <c r="BH52" s="321"/>
      <c r="BI52" s="321"/>
      <c r="BJ52" s="321"/>
    </row>
    <row r="53" spans="2:71" ht="15">
      <c r="B53" s="322">
        <v>240.4</v>
      </c>
      <c r="C53" s="1">
        <v>7.0000000000000007E-2</v>
      </c>
      <c r="D53" s="1">
        <v>9.8000000000000004E-2</v>
      </c>
      <c r="E53" s="1">
        <v>0.14499999999999999</v>
      </c>
      <c r="F53" s="1">
        <v>0.24399999999999999</v>
      </c>
      <c r="I53" s="322">
        <v>240.4</v>
      </c>
      <c r="J53" s="1">
        <v>2.4387420016275359E-2</v>
      </c>
      <c r="K53" s="1">
        <v>5.778050362530944E-2</v>
      </c>
      <c r="L53" s="1">
        <v>0.12813097872352006</v>
      </c>
      <c r="M53" s="1">
        <v>0.29111319782919065</v>
      </c>
      <c r="P53" s="322">
        <v>240.4</v>
      </c>
      <c r="Q53" s="321">
        <f t="shared" si="51"/>
        <v>65.160828548178046</v>
      </c>
      <c r="R53" s="321">
        <f t="shared" si="52"/>
        <v>41.040302423153634</v>
      </c>
      <c r="S53" s="321">
        <f t="shared" si="52"/>
        <v>11.633807776882714</v>
      </c>
      <c r="T53" s="321">
        <f t="shared" si="52"/>
        <v>-19.308687634914204</v>
      </c>
      <c r="W53" s="341">
        <v>192.3</v>
      </c>
      <c r="X53" s="321">
        <v>60.530887489683984</v>
      </c>
      <c r="Y53" s="321">
        <v>31.916082927264387</v>
      </c>
      <c r="Z53" s="321">
        <v>-5.4354615759472864</v>
      </c>
      <c r="AA53" s="321">
        <v>-43.904879182494675</v>
      </c>
      <c r="AB53" s="321"/>
      <c r="AF53" s="322">
        <v>192.3</v>
      </c>
      <c r="AG53" s="191">
        <f t="shared" si="53"/>
        <v>23.203445344981176</v>
      </c>
      <c r="AH53" s="191">
        <f t="shared" si="54"/>
        <v>52.336652748916194</v>
      </c>
      <c r="AI53" s="1"/>
      <c r="AJ53" s="1"/>
      <c r="AM53" s="322">
        <v>192.3</v>
      </c>
      <c r="AN53" s="191">
        <v>18.248766037908609</v>
      </c>
      <c r="AO53" s="191">
        <v>43.236344455752807</v>
      </c>
      <c r="AP53" s="191">
        <v>95.878623133291853</v>
      </c>
      <c r="AQ53" s="191">
        <v>217.83594304715078</v>
      </c>
      <c r="AT53" s="321">
        <f t="shared" si="55"/>
        <v>21.353205239170425</v>
      </c>
      <c r="AU53" s="321">
        <f t="shared" si="55"/>
        <v>17.388021234032472</v>
      </c>
      <c r="AY53" s="322">
        <v>192.3</v>
      </c>
      <c r="AZ53" s="368">
        <f t="shared" si="56"/>
        <v>52.41264559068221</v>
      </c>
      <c r="BA53" s="368">
        <f t="shared" si="57"/>
        <v>73.377703826955084</v>
      </c>
      <c r="BB53" s="368">
        <f t="shared" si="57"/>
        <v>108.56905158069884</v>
      </c>
      <c r="BC53" s="368">
        <f t="shared" si="57"/>
        <v>196.1730449251248</v>
      </c>
      <c r="BF53" s="321">
        <f t="shared" si="58"/>
        <v>-125.88303078024954</v>
      </c>
      <c r="BG53" s="321">
        <f t="shared" si="59"/>
        <v>-40.203280058781779</v>
      </c>
      <c r="BH53" s="321"/>
      <c r="BI53" s="321"/>
      <c r="BJ53" s="321"/>
    </row>
    <row r="54" spans="2:71" ht="15">
      <c r="W54" s="341">
        <v>240.4</v>
      </c>
      <c r="X54" s="321">
        <v>65.160828548178046</v>
      </c>
      <c r="Y54" s="321">
        <v>41.040302423153634</v>
      </c>
      <c r="Z54" s="321">
        <v>11.633807776882714</v>
      </c>
      <c r="AA54" s="321">
        <v>-19.308687634914204</v>
      </c>
      <c r="AB54" s="321"/>
      <c r="AF54" s="322">
        <v>240.4</v>
      </c>
      <c r="AG54" s="191">
        <f t="shared" si="53"/>
        <v>22.065728072167271</v>
      </c>
      <c r="AH54" s="191">
        <f t="shared" si="54"/>
        <v>49.487087747139633</v>
      </c>
      <c r="AI54" s="1"/>
      <c r="AJ54" s="1"/>
      <c r="AM54" s="322">
        <v>240.4</v>
      </c>
      <c r="AN54" s="191">
        <f>J53*18/0.02404</f>
        <v>18.260131459773564</v>
      </c>
      <c r="AO54" s="191">
        <f>K53*18/0.02404</f>
        <v>43.263272265206737</v>
      </c>
      <c r="AP54" s="191">
        <f>L53*18/0.02404</f>
        <v>95.938336814615695</v>
      </c>
      <c r="AQ54" s="191">
        <f>M53*18/0.02404</f>
        <v>217.97161235130747</v>
      </c>
      <c r="AT54" s="321">
        <f t="shared" si="55"/>
        <v>17.246639675551506</v>
      </c>
      <c r="AU54" s="321">
        <f t="shared" si="55"/>
        <v>12.576645273074558</v>
      </c>
      <c r="AY54" s="322">
        <v>240.4</v>
      </c>
      <c r="AZ54" s="368">
        <f t="shared" si="56"/>
        <v>52.41264559068221</v>
      </c>
      <c r="BA54" s="368">
        <f t="shared" si="57"/>
        <v>73.377703826955084</v>
      </c>
      <c r="BB54" s="368">
        <f t="shared" si="57"/>
        <v>108.56905158069884</v>
      </c>
      <c r="BC54" s="368">
        <f t="shared" si="57"/>
        <v>182.69550748752079</v>
      </c>
      <c r="BF54" s="321">
        <f t="shared" si="58"/>
        <v>-137.52964515498218</v>
      </c>
      <c r="BG54" s="321">
        <f t="shared" si="59"/>
        <v>-48.276463957401369</v>
      </c>
      <c r="BH54" s="321"/>
      <c r="BI54" s="321"/>
      <c r="BJ54" s="321"/>
    </row>
    <row r="55" spans="2:71" ht="15">
      <c r="AF55" s="322"/>
      <c r="AG55">
        <v>15.551</v>
      </c>
      <c r="AH55">
        <v>39.735999999999997</v>
      </c>
      <c r="AI55" s="1"/>
      <c r="AJ55" s="1"/>
    </row>
    <row r="56" spans="2:71" ht="15" customHeight="1" thickBot="1">
      <c r="AF56" s="322"/>
      <c r="AG56" s="1"/>
      <c r="AH56" s="1"/>
      <c r="AI56" s="1"/>
      <c r="AJ56" s="1"/>
    </row>
    <row r="57" spans="2:71" ht="19.5" thickTop="1">
      <c r="B57" s="465" t="s">
        <v>185</v>
      </c>
      <c r="C57" s="466"/>
      <c r="D57" s="466"/>
      <c r="E57" s="466"/>
      <c r="F57" s="466"/>
      <c r="G57" s="467"/>
      <c r="I57" s="465" t="s">
        <v>186</v>
      </c>
      <c r="J57" s="466"/>
      <c r="K57" s="466"/>
      <c r="L57" s="466"/>
      <c r="M57" s="466"/>
      <c r="N57" s="467"/>
      <c r="P57" s="465" t="s">
        <v>190</v>
      </c>
      <c r="Q57" s="466"/>
      <c r="R57" s="466"/>
      <c r="S57" s="466"/>
      <c r="T57" s="466"/>
      <c r="U57" s="467"/>
      <c r="W57" s="465" t="s">
        <v>195</v>
      </c>
      <c r="X57" s="466"/>
      <c r="Y57" s="466"/>
      <c r="Z57" s="466"/>
      <c r="AA57" s="466"/>
      <c r="AB57" s="467"/>
      <c r="AD57" s="465" t="s">
        <v>186</v>
      </c>
      <c r="AE57" s="466"/>
      <c r="AF57" s="466"/>
      <c r="AG57" s="466"/>
      <c r="AH57" s="466"/>
      <c r="AI57" s="467"/>
      <c r="AK57" s="349" t="s">
        <v>190</v>
      </c>
      <c r="AL57" s="350"/>
      <c r="AM57" s="350"/>
      <c r="AN57" s="350"/>
      <c r="AO57" s="350"/>
      <c r="AP57" s="351"/>
      <c r="AR57" s="451" t="s">
        <v>165</v>
      </c>
      <c r="AS57" s="422" t="s">
        <v>170</v>
      </c>
      <c r="AT57" s="423"/>
      <c r="AU57" s="424"/>
      <c r="AV57" s="422" t="s">
        <v>170</v>
      </c>
      <c r="AW57" s="423"/>
      <c r="AX57" s="424"/>
      <c r="AZ57" s="465" t="s">
        <v>235</v>
      </c>
      <c r="BA57" s="466"/>
      <c r="BB57" s="466"/>
      <c r="BC57" s="466"/>
      <c r="BD57" s="466"/>
      <c r="BE57" s="467"/>
      <c r="BG57" s="465" t="s">
        <v>186</v>
      </c>
      <c r="BH57" s="466"/>
      <c r="BI57" s="466"/>
      <c r="BJ57" s="466"/>
      <c r="BK57" s="466"/>
      <c r="BL57" s="467"/>
      <c r="BN57" s="465" t="s">
        <v>185</v>
      </c>
      <c r="BO57" s="466"/>
      <c r="BP57" s="466"/>
      <c r="BQ57" s="466"/>
      <c r="BR57" s="466"/>
      <c r="BS57" s="467"/>
    </row>
    <row r="58" spans="2:71" ht="19.5">
      <c r="B58" s="458" t="s">
        <v>198</v>
      </c>
      <c r="C58" s="459"/>
      <c r="D58" s="459"/>
      <c r="E58" s="459"/>
      <c r="F58" s="459"/>
      <c r="G58" s="460"/>
      <c r="I58" s="458" t="s">
        <v>198</v>
      </c>
      <c r="J58" s="459"/>
      <c r="K58" s="459"/>
      <c r="L58" s="459"/>
      <c r="M58" s="459"/>
      <c r="N58" s="460"/>
      <c r="P58" s="458" t="s">
        <v>198</v>
      </c>
      <c r="Q58" s="459"/>
      <c r="R58" s="459"/>
      <c r="S58" s="459"/>
      <c r="T58" s="459"/>
      <c r="U58" s="460"/>
      <c r="W58" s="474" t="s">
        <v>199</v>
      </c>
      <c r="X58" s="468"/>
      <c r="Y58" s="468"/>
      <c r="Z58" s="474" t="s">
        <v>196</v>
      </c>
      <c r="AA58" s="468"/>
      <c r="AB58" s="468"/>
      <c r="AD58" s="474" t="s">
        <v>199</v>
      </c>
      <c r="AE58" s="468"/>
      <c r="AF58" s="468"/>
      <c r="AG58" s="474" t="s">
        <v>196</v>
      </c>
      <c r="AH58" s="468"/>
      <c r="AI58" s="468"/>
      <c r="AK58" s="352" t="s">
        <v>191</v>
      </c>
      <c r="AL58" s="353"/>
      <c r="AM58" s="353"/>
      <c r="AN58" s="474" t="s">
        <v>196</v>
      </c>
      <c r="AO58" s="468"/>
      <c r="AP58" s="468"/>
      <c r="AR58" s="452"/>
      <c r="AS58" s="105" t="s">
        <v>174</v>
      </c>
      <c r="AT58" s="222" t="s">
        <v>175</v>
      </c>
      <c r="AU58" s="293" t="s">
        <v>168</v>
      </c>
      <c r="AV58" s="105" t="s">
        <v>176</v>
      </c>
      <c r="AW58" s="222" t="s">
        <v>177</v>
      </c>
      <c r="AX58" s="293"/>
      <c r="AZ58" s="458" t="s">
        <v>198</v>
      </c>
      <c r="BA58" s="459"/>
      <c r="BB58" s="459"/>
      <c r="BC58" s="459"/>
      <c r="BD58" s="459"/>
      <c r="BE58" s="460"/>
      <c r="BG58" s="458" t="s">
        <v>198</v>
      </c>
      <c r="BH58" s="459"/>
      <c r="BI58" s="459"/>
      <c r="BJ58" s="459"/>
      <c r="BK58" s="459"/>
      <c r="BL58" s="460"/>
      <c r="BN58" s="458" t="s">
        <v>198</v>
      </c>
      <c r="BO58" s="459"/>
      <c r="BP58" s="459"/>
      <c r="BQ58" s="459"/>
      <c r="BR58" s="459"/>
      <c r="BS58" s="460"/>
    </row>
    <row r="59" spans="2:71" ht="15" customHeight="1">
      <c r="B59" s="453" t="s">
        <v>188</v>
      </c>
      <c r="C59" s="455" t="s">
        <v>189</v>
      </c>
      <c r="D59" s="456"/>
      <c r="E59" s="456"/>
      <c r="F59" s="456"/>
      <c r="G59" s="457"/>
      <c r="I59" s="453" t="s">
        <v>188</v>
      </c>
      <c r="J59" s="455" t="s">
        <v>189</v>
      </c>
      <c r="K59" s="456"/>
      <c r="L59" s="456"/>
      <c r="M59" s="456"/>
      <c r="N59" s="457"/>
      <c r="P59" s="453" t="s">
        <v>188</v>
      </c>
      <c r="Q59" s="455" t="s">
        <v>189</v>
      </c>
      <c r="R59" s="456"/>
      <c r="S59" s="456"/>
      <c r="T59" s="456"/>
      <c r="U59" s="457"/>
      <c r="W59" s="453" t="s">
        <v>188</v>
      </c>
      <c r="X59" s="455" t="s">
        <v>189</v>
      </c>
      <c r="Y59" s="456"/>
      <c r="Z59" s="456"/>
      <c r="AA59" s="456"/>
      <c r="AB59" s="457"/>
      <c r="AD59" s="453" t="s">
        <v>188</v>
      </c>
      <c r="AE59" s="455" t="s">
        <v>189</v>
      </c>
      <c r="AF59" s="456"/>
      <c r="AG59" s="456"/>
      <c r="AH59" s="456"/>
      <c r="AI59" s="457"/>
      <c r="AK59" s="453" t="s">
        <v>188</v>
      </c>
      <c r="AL59" s="354" t="s">
        <v>189</v>
      </c>
      <c r="AM59" s="355"/>
      <c r="AN59" s="355"/>
      <c r="AO59" s="355"/>
      <c r="AP59" s="356"/>
      <c r="AR59" s="296" t="s">
        <v>5</v>
      </c>
      <c r="AS59" s="298">
        <v>-1584</v>
      </c>
      <c r="AT59" s="299">
        <v>4750</v>
      </c>
      <c r="AU59" s="140">
        <v>7.0000000000000007E-2</v>
      </c>
      <c r="AV59" s="313">
        <v>-0.442</v>
      </c>
      <c r="AW59" s="191">
        <v>-3.3</v>
      </c>
      <c r="AZ59" s="453" t="s">
        <v>188</v>
      </c>
      <c r="BA59" s="455" t="s">
        <v>189</v>
      </c>
      <c r="BB59" s="456"/>
      <c r="BC59" s="456"/>
      <c r="BD59" s="456"/>
      <c r="BE59" s="457"/>
      <c r="BG59" s="453" t="s">
        <v>188</v>
      </c>
      <c r="BH59" s="455" t="s">
        <v>189</v>
      </c>
      <c r="BI59" s="456"/>
      <c r="BJ59" s="456"/>
      <c r="BK59" s="456"/>
      <c r="BL59" s="457"/>
      <c r="BN59" s="453" t="s">
        <v>188</v>
      </c>
      <c r="BO59" s="455" t="s">
        <v>189</v>
      </c>
      <c r="BP59" s="456"/>
      <c r="BQ59" s="456"/>
      <c r="BR59" s="456"/>
      <c r="BS59" s="457"/>
    </row>
    <row r="60" spans="2:71" ht="15" customHeight="1">
      <c r="B60" s="454"/>
      <c r="C60" s="320">
        <v>37.799999999999997</v>
      </c>
      <c r="D60" s="320">
        <v>54.4</v>
      </c>
      <c r="E60" s="320">
        <v>71.099999999999994</v>
      </c>
      <c r="F60" s="320">
        <v>87.8</v>
      </c>
      <c r="G60" s="320">
        <v>96.4</v>
      </c>
      <c r="I60" s="454"/>
      <c r="J60" s="320">
        <v>37.799999999999997</v>
      </c>
      <c r="K60" s="320">
        <v>54.4</v>
      </c>
      <c r="L60" s="320">
        <v>71.099999999999994</v>
      </c>
      <c r="M60" s="320">
        <v>87.8</v>
      </c>
      <c r="N60" s="320">
        <v>96.4</v>
      </c>
      <c r="P60" s="454"/>
      <c r="Q60" s="320">
        <v>37.799999999999997</v>
      </c>
      <c r="R60" s="320">
        <v>54.4</v>
      </c>
      <c r="S60" s="320">
        <v>71.099999999999994</v>
      </c>
      <c r="T60" s="320">
        <v>87.8</v>
      </c>
      <c r="U60" s="320">
        <v>96.4</v>
      </c>
      <c r="W60" s="454"/>
      <c r="X60" s="320">
        <f>369.3-273.15</f>
        <v>96.150000000000034</v>
      </c>
      <c r="Y60" s="320">
        <f>394.3-273.15</f>
        <v>121.15000000000003</v>
      </c>
      <c r="AA60" s="320">
        <f>369.3-273.15</f>
        <v>96.150000000000034</v>
      </c>
      <c r="AB60" s="320">
        <f>394.3-273.15</f>
        <v>121.15000000000003</v>
      </c>
      <c r="AD60" s="454"/>
      <c r="AE60" s="320">
        <f>369.3-273.15</f>
        <v>96.150000000000034</v>
      </c>
      <c r="AF60" s="320">
        <f>394.3-273.15</f>
        <v>121.15000000000003</v>
      </c>
      <c r="AH60" s="320">
        <f>369.3-273.15</f>
        <v>96.150000000000034</v>
      </c>
      <c r="AI60" s="320">
        <f>394.3-273.15</f>
        <v>121.15000000000003</v>
      </c>
      <c r="AK60" s="454"/>
      <c r="AL60" s="320">
        <f>369.3-273.15</f>
        <v>96.150000000000034</v>
      </c>
      <c r="AM60" s="320">
        <f>394.3-273.15</f>
        <v>121.15000000000003</v>
      </c>
      <c r="AO60" s="320">
        <f>369.3-273.15</f>
        <v>96.150000000000034</v>
      </c>
      <c r="AP60" s="320">
        <f>394.3-273.15</f>
        <v>121.15000000000003</v>
      </c>
      <c r="AR60" t="s">
        <v>188</v>
      </c>
      <c r="AS60" t="s">
        <v>189</v>
      </c>
      <c r="AZ60" s="454"/>
      <c r="BA60" s="320">
        <v>37.799999999999997</v>
      </c>
      <c r="BB60" s="320">
        <v>54.4</v>
      </c>
      <c r="BC60" s="320">
        <v>71.099999999999994</v>
      </c>
      <c r="BD60" s="320">
        <v>87.8</v>
      </c>
      <c r="BE60" s="320">
        <v>96.4</v>
      </c>
      <c r="BG60" s="454"/>
      <c r="BH60" s="320">
        <v>37.799999999999997</v>
      </c>
      <c r="BI60" s="320">
        <v>54.4</v>
      </c>
      <c r="BJ60" s="320">
        <v>71.099999999999994</v>
      </c>
      <c r="BK60" s="320">
        <v>87.8</v>
      </c>
      <c r="BL60" s="320">
        <v>96.4</v>
      </c>
      <c r="BN60" s="454"/>
      <c r="BO60" s="320">
        <v>37.799999999999997</v>
      </c>
      <c r="BP60" s="320">
        <v>54.4</v>
      </c>
      <c r="BQ60" s="320">
        <v>71.099999999999994</v>
      </c>
      <c r="BR60" s="320">
        <v>87.8</v>
      </c>
      <c r="BS60" s="320">
        <v>96.4</v>
      </c>
    </row>
    <row r="61" spans="2:71" ht="15">
      <c r="B61" s="320">
        <v>5.07</v>
      </c>
      <c r="C61" s="1">
        <v>6.0300000000000002E-4</v>
      </c>
      <c r="D61" s="1">
        <v>1.3569999999999999E-3</v>
      </c>
      <c r="E61" s="1">
        <v>2.8119999999999998E-3</v>
      </c>
      <c r="F61" s="1">
        <v>5.4000000000000003E-3</v>
      </c>
      <c r="G61" s="1">
        <v>8.0400000000000003E-3</v>
      </c>
      <c r="I61" s="320">
        <v>5.07</v>
      </c>
      <c r="J61" s="79">
        <v>8.0938469491424021E-4</v>
      </c>
      <c r="K61" s="79">
        <v>1.6268388283980546E-3</v>
      </c>
      <c r="L61" s="79">
        <v>3.1881342512242363E-3</v>
      </c>
      <c r="M61" s="79">
        <v>6.2641895854518518E-3</v>
      </c>
      <c r="N61" s="79">
        <v>9.1653482263806627E-3</v>
      </c>
      <c r="P61" s="320">
        <v>5.07</v>
      </c>
      <c r="Q61" s="321">
        <f>ABS(C61-J61)/C61*100</f>
        <v>34.226317564550612</v>
      </c>
      <c r="R61" s="321">
        <f>ABS(D61-K61)/D61*100</f>
        <v>19.884954192929602</v>
      </c>
      <c r="S61" s="321">
        <f>ABS(E61-L61)/E61*100</f>
        <v>13.376040228457914</v>
      </c>
      <c r="T61" s="321">
        <f>ABS(F61-M61)/F61*100</f>
        <v>16.003510841700951</v>
      </c>
      <c r="U61" s="321">
        <f>ABS(G61-N61)/G61*100</f>
        <v>13.996868487321674</v>
      </c>
      <c r="W61" s="320">
        <v>0.69</v>
      </c>
      <c r="X61" s="1">
        <v>0.13300000000000001</v>
      </c>
      <c r="Y61" s="1">
        <v>0.2999</v>
      </c>
      <c r="AA61" s="1">
        <v>5.8E-5</v>
      </c>
      <c r="AB61" s="1">
        <v>5.1E-5</v>
      </c>
      <c r="AD61" s="320">
        <v>0.69</v>
      </c>
      <c r="AE61" s="1">
        <v>0.12248471316249553</v>
      </c>
      <c r="AF61" s="1">
        <v>0.29551817567498501</v>
      </c>
      <c r="AH61" s="1">
        <v>5.5924278223949435E-5</v>
      </c>
      <c r="AI61" s="1">
        <v>4.6868576648738457E-5</v>
      </c>
      <c r="AK61" s="320">
        <v>0.69</v>
      </c>
      <c r="AL61" s="299">
        <f>ABS(X61-AE61)/X61*100</f>
        <v>7.9062307048905867</v>
      </c>
      <c r="AM61" s="299">
        <f>ABS(Y61-AF61)/Y61*100</f>
        <v>1.4610951400516818</v>
      </c>
      <c r="AN61" s="299"/>
      <c r="AO61" s="299">
        <f t="shared" ref="AO61:AP67" si="60">ABS(AA61-AH61)/AA61*100</f>
        <v>3.5788306483630432</v>
      </c>
      <c r="AP61" s="299">
        <f t="shared" si="60"/>
        <v>8.1008301005128285</v>
      </c>
      <c r="AS61">
        <v>37.799999999999997</v>
      </c>
      <c r="AT61">
        <v>54.4</v>
      </c>
      <c r="AU61">
        <v>71.099999999999994</v>
      </c>
      <c r="AV61">
        <v>87.8</v>
      </c>
      <c r="AW61">
        <v>96.4</v>
      </c>
      <c r="AZ61" s="320">
        <v>5.07</v>
      </c>
      <c r="BA61" s="191">
        <f>($BA$66/AZ61/10*47482+10^((-1713.3/(273.15+$BA$60))+6.694))*0.016*(10^(-7)*$BA$60^2-1.1*10^(-3)*$BA$60*1.5216-0.079*(1.5216)^2+0.73*10^(-3)*$BA$60+0.156*1.5216+0.927)</f>
        <v>1.1605208774619262</v>
      </c>
      <c r="BB61" s="191">
        <f>($BB$66/AZ61/10*47482+10^((-1713.3/(273.15+$BB$60))+6.694))*0.016*(10^(-7)*$BB$60^2-1.1*10^(-3)*$BB$60*1.5216-0.079*(1.5216)^2+0.73*10^(-3)*$BB$60+0.156*1.5216+0.927)</f>
        <v>2.5448461607087287</v>
      </c>
      <c r="BC61" s="191">
        <f>($BC$66/AZ61/10*47482+10^((-1713.3/(273.15+$BC$60))+6.694))*0.016*(10^(-7)*$BC$60^2-1.1*10^(-3)*$BC$60*1.5216-0.079*(1.5216)^2+0.73*10^(-3)*$BC$60+0.156*1.5216+0.927)</f>
        <v>5.2294092906310397</v>
      </c>
      <c r="BD61" s="191">
        <f>($BD$66/AZ61/10*47482+10^((-1713.3/(273.15+$BD$60))+6.694))*0.016*(10^(-7)*$BD$60^2-1.1*10^(-3)*$BD$60*1.5216-0.079*(1.5216)^2+0.73*10^(-3)*$BD$60+0.156*1.5216+0.927)</f>
        <v>9.9617516533830148</v>
      </c>
      <c r="BE61" s="191">
        <f>($BE$66/AZ61/10*47482+10^((-1713.3/(273.15+$BE$60))+6.694))*0.016*(10^(-7)*$BE$60^2-1.1*10^(-3)*$BE$60*1.5216-0.079*(1.5216)^2+0.73*10^(-3)*$BE$60+0.156*1.5216+0.927)</f>
        <v>13.517424046540015</v>
      </c>
      <c r="BG61" s="320">
        <v>5.07</v>
      </c>
      <c r="BH61" s="191">
        <v>0.6056512711183395</v>
      </c>
      <c r="BI61" s="191">
        <v>1.2173407904980844</v>
      </c>
      <c r="BJ61" s="191">
        <v>2.3856363653558659</v>
      </c>
      <c r="BK61" s="191">
        <v>4.6874056413398932</v>
      </c>
      <c r="BL61" s="191">
        <v>6.8583021626543523</v>
      </c>
      <c r="BN61" s="320">
        <v>5.07</v>
      </c>
      <c r="BO61" s="191">
        <f>C61*18/0.02404</f>
        <v>0.45149750415973383</v>
      </c>
      <c r="BP61" s="191">
        <f t="shared" ref="BP61:BS65" si="61">D61*18/0.02404</f>
        <v>1.0160565723793678</v>
      </c>
      <c r="BQ61" s="191">
        <f t="shared" si="61"/>
        <v>2.1054908485856902</v>
      </c>
      <c r="BR61" s="191">
        <f t="shared" si="61"/>
        <v>4.0432612312811989</v>
      </c>
      <c r="BS61" s="191">
        <f t="shared" si="61"/>
        <v>6.0199667221297846</v>
      </c>
    </row>
    <row r="62" spans="2:71" ht="15">
      <c r="B62" s="320">
        <v>7.6</v>
      </c>
      <c r="C62" s="1">
        <v>5.9900000000000003E-4</v>
      </c>
      <c r="D62" s="1">
        <v>1.3450000000000001E-3</v>
      </c>
      <c r="E62" s="1">
        <v>2.7439999999999999E-3</v>
      </c>
      <c r="F62" s="1">
        <v>5.1500000000000001E-3</v>
      </c>
      <c r="G62" s="1">
        <v>7.2899999999999996E-3</v>
      </c>
      <c r="I62" s="320">
        <v>7.6</v>
      </c>
      <c r="J62" s="79">
        <v>7.8247280965523835E-4</v>
      </c>
      <c r="K62" s="79">
        <v>1.5538972544152526E-3</v>
      </c>
      <c r="L62" s="79">
        <v>2.9807320816523024E-3</v>
      </c>
      <c r="M62" s="79">
        <v>5.5824634270431389E-3</v>
      </c>
      <c r="N62" s="79">
        <v>7.6895852526578309E-3</v>
      </c>
      <c r="P62" s="320">
        <v>7.6</v>
      </c>
      <c r="Q62" s="321">
        <f t="shared" ref="Q62:Q72" si="62">ABS(C62-J62)/C62*100</f>
        <v>30.629851361475506</v>
      </c>
      <c r="R62" s="321">
        <f t="shared" ref="R62:U65" si="63">ABS(D62-K62)/D62*100</f>
        <v>15.531394380316172</v>
      </c>
      <c r="S62" s="321">
        <f t="shared" si="63"/>
        <v>8.6272624508856595</v>
      </c>
      <c r="T62" s="321">
        <f t="shared" si="63"/>
        <v>8.3973480979250255</v>
      </c>
      <c r="U62" s="321">
        <f t="shared" si="63"/>
        <v>5.4812791859784822</v>
      </c>
      <c r="W62" s="320">
        <v>2.76</v>
      </c>
      <c r="X62" s="1">
        <v>3.0339999999999999E-2</v>
      </c>
      <c r="Y62" s="1">
        <v>7.2599999999999998E-2</v>
      </c>
      <c r="AA62" s="1">
        <v>2.13E-4</v>
      </c>
      <c r="AB62" s="1">
        <v>2.31E-4</v>
      </c>
      <c r="AD62" s="320">
        <v>2.76</v>
      </c>
      <c r="AE62" s="1">
        <v>2.8970015286123425E-2</v>
      </c>
      <c r="AF62" s="1">
        <v>7.2375118565060459E-2</v>
      </c>
      <c r="AH62" s="1">
        <v>1.9227573966445726E-4</v>
      </c>
      <c r="AI62" s="1">
        <v>1.9955135404964237E-4</v>
      </c>
      <c r="AK62" s="320">
        <v>2.76</v>
      </c>
      <c r="AL62" s="299">
        <f t="shared" ref="AL62:AL67" si="64">ABS(X62-AE62)/X62*100</f>
        <v>4.515440718116591</v>
      </c>
      <c r="AM62" s="299">
        <f t="shared" ref="AM62:AM67" si="65">ABS(Y62-AF62)/Y62*100</f>
        <v>0.30975404261644479</v>
      </c>
      <c r="AN62" s="299"/>
      <c r="AO62" s="299">
        <f t="shared" si="60"/>
        <v>9.7296996880482354</v>
      </c>
      <c r="AP62" s="299">
        <f t="shared" si="60"/>
        <v>13.614132446042262</v>
      </c>
      <c r="AR62">
        <v>5.07</v>
      </c>
      <c r="AS62">
        <v>34.226317564550612</v>
      </c>
      <c r="AT62">
        <v>19.884954192929602</v>
      </c>
      <c r="AU62">
        <v>13.376040228457914</v>
      </c>
      <c r="AV62">
        <v>16.003510841700951</v>
      </c>
      <c r="AW62">
        <v>13.996868487321674</v>
      </c>
      <c r="AZ62" s="320">
        <v>7.6</v>
      </c>
      <c r="BA62" s="191">
        <f>($BA$66/AZ62/10*47482+10^((-1713.3/(273.15+$BA$60))+6.694))*0.016*(10^(-7)*$BA$60^2-1.1*10^(-3)*$BA$60*1.5216-0.079*(1.5216)^2+0.73*10^(-3)*$BA$60+0.156*1.5216+0.927)</f>
        <v>0.85117313215096424</v>
      </c>
      <c r="BB62" s="191">
        <f>($BB$66/AZ62/10*47482+10^((-1713.3/(273.15+$BB$60))+6.694))*0.016*(10^(-7)*$BB$60^2-1.1*10^(-3)*$BB$60*1.5216-0.079*(1.5216)^2+0.73*10^(-3)*$BB$60+0.156*1.5216+0.927)</f>
        <v>1.8417104937686599</v>
      </c>
      <c r="BC62" s="191">
        <f>($BC$66/AZ62/10*47482+10^((-1713.3/(273.15+$BC$60))+6.694))*0.016*(10^(-7)*$BC$60^2-1.1*10^(-3)*$BC$60*1.5216-0.079*(1.5216)^2+0.73*10^(-3)*$BC$60+0.156*1.5216+0.927)</f>
        <v>3.7425928887375801</v>
      </c>
      <c r="BD62" s="191">
        <f>($BD$66/AZ62/10*47482+10^((-1713.3/(273.15+$BD$60))+6.694))*0.016*(10^(-7)*$BD$60^2-1.1*10^(-3)*$BD$60*1.5216-0.079*(1.5216)^2+0.73*10^(-3)*$BD$60+0.156*1.5216+0.927)</f>
        <v>7.0698883286022669</v>
      </c>
      <c r="BE62" s="191">
        <f>($BE$66/AZ62/10*47482+10^((-1713.3/(273.15+$BE$60))+6.694))*0.016*(10^(-7)*$BE$60^2-1.1*10^(-3)*$BE$60*1.5216-0.079*(1.5216)^2+0.73*10^(-3)*$BE$60+0.156*1.5216+0.927)</f>
        <v>9.5599543757473633</v>
      </c>
      <c r="BG62" s="320">
        <v>7.6</v>
      </c>
      <c r="BH62" s="191">
        <v>0.58551348297171235</v>
      </c>
      <c r="BI62" s="191">
        <v>1.1627596286875841</v>
      </c>
      <c r="BJ62" s="191">
        <v>2.2304402164501185</v>
      </c>
      <c r="BK62" s="191">
        <v>4.1772794714367087</v>
      </c>
      <c r="BL62" s="191">
        <v>5.7540093257366527</v>
      </c>
      <c r="BN62" s="320">
        <v>7.6</v>
      </c>
      <c r="BO62" s="191">
        <f>C62*18/0.02404</f>
        <v>0.44850249584026625</v>
      </c>
      <c r="BP62" s="191">
        <f t="shared" si="61"/>
        <v>1.0070715474209653</v>
      </c>
      <c r="BQ62" s="191">
        <f t="shared" si="61"/>
        <v>2.0545757071547421</v>
      </c>
      <c r="BR62" s="191">
        <f t="shared" si="61"/>
        <v>3.8560732113144764</v>
      </c>
      <c r="BS62" s="191">
        <f t="shared" si="61"/>
        <v>5.4584026622296173</v>
      </c>
    </row>
    <row r="63" spans="2:71" ht="15">
      <c r="B63" s="320">
        <v>10.130000000000001</v>
      </c>
      <c r="C63" s="1">
        <v>5.9699999999999998E-4</v>
      </c>
      <c r="D63" s="1">
        <v>1.3270000000000001E-3</v>
      </c>
      <c r="E63" s="1">
        <v>2.7079999999999999E-3</v>
      </c>
      <c r="F63" s="1">
        <v>5.0179999999999999E-3</v>
      </c>
      <c r="G63" s="1">
        <v>7.0299999999999998E-3</v>
      </c>
      <c r="I63" s="320">
        <v>10.130000000000001</v>
      </c>
      <c r="J63" s="79">
        <v>7.5918665858629565E-4</v>
      </c>
      <c r="K63" s="79">
        <v>1.4944230174007663E-3</v>
      </c>
      <c r="L63" s="79">
        <v>2.8284276169071318E-3</v>
      </c>
      <c r="M63" s="79">
        <v>5.1814025540487477E-3</v>
      </c>
      <c r="N63" s="79">
        <v>7.0130295163526209E-3</v>
      </c>
      <c r="P63" s="320">
        <v>10.130000000000001</v>
      </c>
      <c r="Q63" s="321">
        <f t="shared" si="62"/>
        <v>27.166944486816696</v>
      </c>
      <c r="R63" s="321">
        <f t="shared" si="63"/>
        <v>12.616655418294368</v>
      </c>
      <c r="S63" s="321">
        <f t="shared" si="63"/>
        <v>4.4471054987862599</v>
      </c>
      <c r="T63" s="321">
        <f t="shared" si="63"/>
        <v>3.256328299098203</v>
      </c>
      <c r="U63" s="321">
        <f t="shared" si="63"/>
        <v>0.24140090536812125</v>
      </c>
      <c r="W63" s="320">
        <v>4.82</v>
      </c>
      <c r="X63" s="1">
        <v>8.1499999999999993E-3</v>
      </c>
      <c r="Y63" s="1">
        <v>3.6220000000000002E-2</v>
      </c>
      <c r="AA63" s="1">
        <v>2.7700000000000001E-4</v>
      </c>
      <c r="AB63" s="1">
        <v>3.3799999999999998E-4</v>
      </c>
      <c r="AD63" s="320">
        <v>4.82</v>
      </c>
      <c r="AE63" s="1">
        <v>9.2984445208583281E-3</v>
      </c>
      <c r="AF63" s="1">
        <v>3.7653620707857827E-2</v>
      </c>
      <c r="AH63" s="1">
        <v>2.4728409890977822E-4</v>
      </c>
      <c r="AI63" s="1">
        <v>2.886406496499082E-4</v>
      </c>
      <c r="AK63" s="320">
        <v>4.82</v>
      </c>
      <c r="AL63" s="299">
        <f t="shared" si="64"/>
        <v>14.091343814212626</v>
      </c>
      <c r="AM63" s="299">
        <f t="shared" si="65"/>
        <v>3.9580914076693103</v>
      </c>
      <c r="AN63" s="299"/>
      <c r="AO63" s="299">
        <f t="shared" si="60"/>
        <v>10.727762126433857</v>
      </c>
      <c r="AP63" s="299">
        <f t="shared" si="60"/>
        <v>14.603358091743132</v>
      </c>
      <c r="AR63">
        <v>7.6</v>
      </c>
      <c r="AS63">
        <v>30.629851361475506</v>
      </c>
      <c r="AT63">
        <v>15.531394380316172</v>
      </c>
      <c r="AU63">
        <v>8.6272624508856595</v>
      </c>
      <c r="AV63">
        <v>8.3973480979250255</v>
      </c>
      <c r="AW63">
        <v>5.4812791859784822</v>
      </c>
      <c r="AZ63" s="320">
        <v>10.130000000000001</v>
      </c>
      <c r="BA63" s="191">
        <f>($BA$66/AZ63/10*47482+10^((-1713.3/(273.15+$BA$60))+6.694))*0.016*(10^(-7)*$BA$60^2-1.1*10^(-3)*$BA$60*1.5216-0.079*(1.5216)^2+0.73*10^(-3)*$BA$60+0.156*1.5216+0.927)</f>
        <v>0.69634657057874527</v>
      </c>
      <c r="BB63" s="191">
        <f>($BB$66/AZ63/10*47482+10^((-1713.3/(273.15+$BB$60))+6.694))*0.016*(10^(-7)*$BB$60^2-1.1*10^(-3)*$BB$60*1.5216-0.079*(1.5216)^2+0.73*10^(-3)*$BB$60+0.156*1.5216+0.927)</f>
        <v>1.4897956041945082</v>
      </c>
      <c r="BC63" s="191">
        <f>($BC$66/AZ63/10*47482+10^((-1713.3/(273.15+$BC$60))+6.694))*0.016*(10^(-7)*$BC$60^2-1.1*10^(-3)*$BC$60*1.5216-0.079*(1.5216)^2+0.73*10^(-3)*$BC$60+0.156*1.5216+0.927)</f>
        <v>2.9984508198728372</v>
      </c>
      <c r="BD63" s="191">
        <f>($BD$66/AZ63/10*47482+10^((-1713.3/(273.15+$BD$60))+6.694))*0.016*(10^(-7)*$BD$60^2-1.1*10^(-3)*$BD$60*1.5216-0.079*(1.5216)^2+0.73*10^(-3)*$BD$60+0.156*1.5216+0.927)</f>
        <v>5.622529290434608</v>
      </c>
      <c r="BE63" s="191">
        <f>($BE$66/AZ63/10*47482+10^((-1713.3/(273.15+$BE$60))+6.694))*0.016*(10^(-7)*$BE$60^2-1.1*10^(-3)*$BE$60*1.5216-0.079*(1.5216)^2+0.73*10^(-3)*$BE$60+0.156*1.5216+0.927)</f>
        <v>7.5792661989538068</v>
      </c>
      <c r="BG63" s="320">
        <v>10.130000000000001</v>
      </c>
      <c r="BH63" s="191">
        <v>0.56808878111735728</v>
      </c>
      <c r="BI63" s="191">
        <v>1.1182558871751089</v>
      </c>
      <c r="BJ63" s="191">
        <v>2.1164729111013503</v>
      </c>
      <c r="BK63" s="191">
        <v>3.8771712175357358</v>
      </c>
      <c r="BL63" s="191">
        <v>5.2477521105331055</v>
      </c>
      <c r="BN63" s="320">
        <v>10.130000000000001</v>
      </c>
      <c r="BO63" s="191">
        <f>C63*18/0.02404</f>
        <v>0.44700499168053248</v>
      </c>
      <c r="BP63" s="191">
        <f t="shared" si="61"/>
        <v>0.99359400998336111</v>
      </c>
      <c r="BQ63" s="191">
        <f t="shared" si="61"/>
        <v>2.0276206322795338</v>
      </c>
      <c r="BR63" s="191">
        <f t="shared" si="61"/>
        <v>3.757237936772047</v>
      </c>
      <c r="BS63" s="191">
        <f t="shared" si="61"/>
        <v>5.2637271214642256</v>
      </c>
    </row>
    <row r="64" spans="2:71" ht="15">
      <c r="B64" s="320">
        <v>15.2</v>
      </c>
      <c r="C64" s="1">
        <v>5.9599999999999996E-4</v>
      </c>
      <c r="D64" s="1">
        <v>1.3209999999999999E-3</v>
      </c>
      <c r="E64" s="1">
        <v>2.6410000000000001E-3</v>
      </c>
      <c r="F64" s="1">
        <v>4.7619999999999997E-3</v>
      </c>
      <c r="G64" s="1">
        <v>6.5599999999999999E-3</v>
      </c>
      <c r="I64" s="320">
        <v>15.2</v>
      </c>
      <c r="J64" s="79">
        <v>7.2004922023977027E-4</v>
      </c>
      <c r="K64" s="79">
        <v>1.3997652293108519E-3</v>
      </c>
      <c r="L64" s="79">
        <v>2.6045696936200331E-3</v>
      </c>
      <c r="M64" s="79">
        <v>4.6592334853612126E-3</v>
      </c>
      <c r="N64" s="79">
        <v>6.206185425613288E-3</v>
      </c>
      <c r="P64" s="320">
        <v>15.2</v>
      </c>
      <c r="Q64" s="321">
        <f t="shared" si="62"/>
        <v>20.813627557008445</v>
      </c>
      <c r="R64" s="321">
        <f t="shared" si="63"/>
        <v>5.9625457464687326</v>
      </c>
      <c r="S64" s="321">
        <f t="shared" si="63"/>
        <v>1.3794133426719812</v>
      </c>
      <c r="T64" s="321">
        <f t="shared" si="63"/>
        <v>2.1580536463416027</v>
      </c>
      <c r="U64" s="321">
        <f t="shared" si="63"/>
        <v>5.3935148534559731</v>
      </c>
      <c r="W64" s="320">
        <v>6.89</v>
      </c>
      <c r="X64" s="1">
        <v>7.5199999999999998E-3</v>
      </c>
      <c r="Y64" s="1">
        <v>1.8970000000000001E-2</v>
      </c>
      <c r="AA64" s="1">
        <v>2.8699999999999998E-4</v>
      </c>
      <c r="AB64" s="1">
        <v>3.79E-4</v>
      </c>
      <c r="AD64" s="320">
        <v>6.89</v>
      </c>
      <c r="AE64" s="1">
        <v>7.8241558222304653E-3</v>
      </c>
      <c r="AF64" s="1">
        <v>2.1674144357100536E-2</v>
      </c>
      <c r="AH64" s="1">
        <v>2.5722566406034825E-4</v>
      </c>
      <c r="AI64" s="1">
        <v>3.2756587387586022E-4</v>
      </c>
      <c r="AK64" s="320">
        <v>6.89</v>
      </c>
      <c r="AL64" s="299">
        <f t="shared" si="64"/>
        <v>4.0446252956178927</v>
      </c>
      <c r="AM64" s="299">
        <f t="shared" si="65"/>
        <v>14.254846373750842</v>
      </c>
      <c r="AN64" s="299"/>
      <c r="AO64" s="299">
        <f t="shared" si="60"/>
        <v>10.374333080018028</v>
      </c>
      <c r="AP64" s="299">
        <f t="shared" si="60"/>
        <v>13.571009531435296</v>
      </c>
      <c r="AR64">
        <v>10.130000000000001</v>
      </c>
      <c r="AS64">
        <v>27.166944486816696</v>
      </c>
      <c r="AT64">
        <v>12.616655418294368</v>
      </c>
      <c r="AU64">
        <v>4.4471054987862599</v>
      </c>
      <c r="AV64">
        <v>3.256328299098203</v>
      </c>
      <c r="AW64">
        <v>0.24140090536812125</v>
      </c>
      <c r="AZ64" s="320">
        <v>15.2</v>
      </c>
      <c r="BA64" s="191">
        <f>($BA$66/AZ64/10*47482+10^((-1713.3/(273.15+$BA$60))+6.694))*0.016*(10^(-7)*$BA$60^2-1.1*10^(-3)*$BA$60*1.5216-0.079*(1.5216)^2+0.73*10^(-3)*$BA$60+0.156*1.5216+0.927)</f>
        <v>0.54121402765954585</v>
      </c>
      <c r="BB64" s="191">
        <f>($BB$66/AZ64/10*47482+10^((-1713.3/(273.15+$BB$60))+6.694))*0.016*(10^(-7)*$BB$60^2-1.1*10^(-3)*$BB$60*1.5216-0.079*(1.5216)^2+0.73*10^(-3)*$BB$60+0.156*1.5216+0.927)</f>
        <v>1.1371852306488663</v>
      </c>
      <c r="BC64" s="191">
        <f>($BC$66/AZ64/10*47482+10^((-1713.3/(273.15+$BC$60))+6.694))*0.016*(10^(-7)*$BC$60^2-1.1*10^(-3)*$BC$60*1.5216-0.079*(1.5216)^2+0.73*10^(-3)*$BC$60+0.156*1.5216+0.927)</f>
        <v>2.2528381145083616</v>
      </c>
      <c r="BD64" s="191">
        <f>($BD$66/AZ64/10*47482+10^((-1713.3/(273.15+$BD$60))+6.694))*0.016*(10^(-7)*$BD$60^2-1.1*10^(-3)*$BD$60*1.5216-0.079*(1.5216)^2+0.73*10^(-3)*$BD$60+0.156*1.5216+0.927)</f>
        <v>4.1723098589108876</v>
      </c>
      <c r="BE64" s="191">
        <f>($BE$66/AZ64/10*47482+10^((-1713.3/(273.15+$BE$60))+6.694))*0.016*(10^(-7)*$BE$60^2-1.1*10^(-3)*$BE$60*1.5216-0.079*(1.5216)^2+0.73*10^(-3)*$BE$60+0.156*1.5216+0.927)</f>
        <v>5.5946636186487995</v>
      </c>
      <c r="BG64" s="320">
        <v>15.2</v>
      </c>
      <c r="BH64" s="191">
        <v>0.53880278221988576</v>
      </c>
      <c r="BI64" s="191">
        <v>1.0474247854281435</v>
      </c>
      <c r="BJ64" s="191">
        <v>1.9489631513534116</v>
      </c>
      <c r="BK64" s="191">
        <v>3.4864393910304252</v>
      </c>
      <c r="BL64" s="191">
        <v>4.6440019380611952</v>
      </c>
      <c r="BN64" s="320">
        <v>15.2</v>
      </c>
      <c r="BO64" s="191">
        <f>C64*18/0.02404</f>
        <v>0.44625623960066557</v>
      </c>
      <c r="BP64" s="191">
        <f t="shared" si="61"/>
        <v>0.98910149750415965</v>
      </c>
      <c r="BQ64" s="191">
        <f t="shared" si="61"/>
        <v>1.9774542429284527</v>
      </c>
      <c r="BR64" s="191">
        <f t="shared" si="61"/>
        <v>3.5655574043261233</v>
      </c>
      <c r="BS64" s="191">
        <f t="shared" si="61"/>
        <v>4.9118136439267888</v>
      </c>
    </row>
    <row r="65" spans="2:71" ht="15">
      <c r="B65" s="320">
        <v>20.27</v>
      </c>
      <c r="C65" s="1">
        <v>5.9400000000000002E-4</v>
      </c>
      <c r="D65" s="1">
        <v>1.315E-3</v>
      </c>
      <c r="E65" s="1">
        <v>2.6069999999999999E-3</v>
      </c>
      <c r="F65" s="1">
        <v>4.5710000000000004E-3</v>
      </c>
      <c r="G65" s="1">
        <v>6.1900000000000002E-3</v>
      </c>
      <c r="I65" s="320">
        <v>20.27</v>
      </c>
      <c r="J65" s="79">
        <v>6.8783475918117074E-4</v>
      </c>
      <c r="K65" s="1">
        <v>1.3254955871540898E-3</v>
      </c>
      <c r="L65" s="79">
        <v>2.4395964653175051E-3</v>
      </c>
      <c r="M65" s="79">
        <v>4.3048507590374334E-3</v>
      </c>
      <c r="N65" s="79">
        <v>5.6863864853855996E-3</v>
      </c>
      <c r="P65" s="320">
        <v>20.27</v>
      </c>
      <c r="Q65" s="321">
        <f t="shared" si="62"/>
        <v>15.797097505247596</v>
      </c>
      <c r="R65" s="321">
        <f t="shared" si="63"/>
        <v>0.79814350981671434</v>
      </c>
      <c r="S65" s="321">
        <f t="shared" si="63"/>
        <v>6.4213093472380089</v>
      </c>
      <c r="T65" s="321">
        <f t="shared" si="63"/>
        <v>5.8225605111040686</v>
      </c>
      <c r="U65" s="321">
        <f t="shared" si="63"/>
        <v>8.1359210761615586</v>
      </c>
      <c r="W65" s="320">
        <v>10.35</v>
      </c>
      <c r="X65" s="1">
        <v>7.0299999999999998E-3</v>
      </c>
      <c r="Y65" s="1">
        <v>1.455E-2</v>
      </c>
      <c r="AA65" s="1">
        <v>2.9599999999999998E-4</v>
      </c>
      <c r="AB65" s="1">
        <v>4.0000000000000002E-4</v>
      </c>
      <c r="AD65" s="320">
        <v>10.35</v>
      </c>
      <c r="AE65" s="79">
        <v>6.8611265770800768E-3</v>
      </c>
      <c r="AF65" s="1">
        <v>1.6035809735453443E-2</v>
      </c>
      <c r="AH65" s="1">
        <v>2.69129427628406E-4</v>
      </c>
      <c r="AI65" s="1">
        <v>3.5359081142468692E-4</v>
      </c>
      <c r="AK65" s="320">
        <v>10.35</v>
      </c>
      <c r="AL65" s="299">
        <f t="shared" si="64"/>
        <v>2.4021824028438545</v>
      </c>
      <c r="AM65" s="299">
        <f t="shared" si="65"/>
        <v>10.211750759130188</v>
      </c>
      <c r="AN65" s="299"/>
      <c r="AO65" s="299">
        <f t="shared" si="60"/>
        <v>9.0778960714844548</v>
      </c>
      <c r="AP65" s="299">
        <f t="shared" si="60"/>
        <v>11.602297143828274</v>
      </c>
      <c r="AR65">
        <v>15.2</v>
      </c>
      <c r="AS65">
        <v>20.813627557008445</v>
      </c>
      <c r="AT65">
        <v>5.9625457464687326</v>
      </c>
      <c r="AU65">
        <v>1.3794133426719812</v>
      </c>
      <c r="AV65">
        <v>2.1580536463416027</v>
      </c>
      <c r="AW65">
        <v>5.3935148534559731</v>
      </c>
      <c r="AZ65" s="320">
        <v>20.27</v>
      </c>
      <c r="BA65" s="191">
        <f>($BA$66/AZ65/10*47482+10^((-1713.3/(273.15+$BA$60))+6.694))*0.016*(10^(-7)*$BA$60^2-1.1*10^(-3)*$BA$60*1.5216-0.079*(1.5216)^2+0.73*10^(-3)*$BA$60+0.156*1.5216+0.927)</f>
        <v>0.46368602273741993</v>
      </c>
      <c r="BB65" s="191">
        <f>($BB$66/AZ65/10*47482+10^((-1713.3/(273.15+$BB$60))+6.694))*0.016*(10^(-7)*$BB$60^2-1.1*10^(-3)*$BB$60*1.5216-0.079*(1.5216)^2+0.73*10^(-3)*$BB$60+0.156*1.5216+0.927)</f>
        <v>0.96096702226123143</v>
      </c>
      <c r="BC65" s="191">
        <f>($BC$66/AZ65/10*47482+10^((-1713.3/(273.15+$BC$60))+6.694))*0.016*(10^(-7)*$BC$60^2-1.1*10^(-3)*$BC$60*1.5216-0.079*(1.5216)^2+0.73*10^(-3)*$BC$60+0.156*1.5216+0.927)</f>
        <v>1.8802156820790508</v>
      </c>
      <c r="BD65" s="191">
        <f>($BD$66/AZ65/10*47482+10^((-1713.3/(273.15+$BD$60))+6.694))*0.016*(10^(-7)*$BD$60^2-1.1*10^(-3)*$BD$60*1.5216-0.079*(1.5216)^2+0.73*10^(-3)*$BD$60+0.156*1.5216+0.927)</f>
        <v>3.4475578687118098</v>
      </c>
      <c r="BE65" s="191">
        <f>($BE$66/AZ65/10*47482+10^((-1713.3/(273.15+$BE$60))+6.694))*0.016*(10^(-7)*$BE$60^2-1.1*10^(-3)*$BE$60*1.5216-0.079*(1.5216)^2+0.73*10^(-3)*$BE$60+0.156*1.5216+0.927)</f>
        <v>4.6028518703266617</v>
      </c>
      <c r="BG65" s="320">
        <v>20.27</v>
      </c>
      <c r="BH65" s="191">
        <v>0.51469715060721943</v>
      </c>
      <c r="BI65" s="191">
        <v>0.99184984873810234</v>
      </c>
      <c r="BJ65" s="191">
        <v>1.825515987044839</v>
      </c>
      <c r="BK65" s="191">
        <v>3.2212597428247949</v>
      </c>
      <c r="BL65" s="191">
        <v>4.2550436456039575</v>
      </c>
      <c r="BN65" s="320">
        <v>20.27</v>
      </c>
      <c r="BO65" s="191">
        <f>C65*18/0.02404</f>
        <v>0.44475873544093181</v>
      </c>
      <c r="BP65" s="191">
        <f t="shared" si="61"/>
        <v>0.98460898502495842</v>
      </c>
      <c r="BQ65" s="191">
        <f t="shared" si="61"/>
        <v>1.9519966722129782</v>
      </c>
      <c r="BR65" s="191">
        <f t="shared" si="61"/>
        <v>3.4225457570715476</v>
      </c>
      <c r="BS65" s="191">
        <f t="shared" si="61"/>
        <v>4.6347753743760407</v>
      </c>
    </row>
    <row r="66" spans="2:71" ht="15" customHeight="1">
      <c r="B66" s="453" t="s">
        <v>188</v>
      </c>
      <c r="C66" s="455" t="s">
        <v>189</v>
      </c>
      <c r="D66" s="456"/>
      <c r="E66" s="456"/>
      <c r="F66" s="456"/>
      <c r="G66" s="457"/>
      <c r="I66" s="453" t="s">
        <v>188</v>
      </c>
      <c r="J66" s="455" t="s">
        <v>189</v>
      </c>
      <c r="K66" s="456"/>
      <c r="L66" s="456"/>
      <c r="M66" s="456"/>
      <c r="N66" s="457"/>
      <c r="P66" s="453" t="s">
        <v>188</v>
      </c>
      <c r="Q66" s="455" t="s">
        <v>189</v>
      </c>
      <c r="R66" s="456"/>
      <c r="S66" s="456"/>
      <c r="T66" s="456"/>
      <c r="U66" s="457"/>
      <c r="W66" s="320">
        <v>13.79</v>
      </c>
      <c r="X66" s="1">
        <v>6.6499999999999997E-3</v>
      </c>
      <c r="Y66" s="1">
        <v>1.37E-2</v>
      </c>
      <c r="AA66" s="1">
        <v>3.0400000000000002E-4</v>
      </c>
      <c r="AB66" s="1">
        <v>4.1399999999999998E-4</v>
      </c>
      <c r="AD66" s="320">
        <v>13.79</v>
      </c>
      <c r="AE66" s="1">
        <v>6.2988469409347523E-3</v>
      </c>
      <c r="AF66" s="1">
        <v>1.4021650855341482E-2</v>
      </c>
      <c r="AH66" s="1">
        <v>2.7842107036127784E-4</v>
      </c>
      <c r="AI66" s="1">
        <v>3.705180547453322E-4</v>
      </c>
      <c r="AK66" s="320">
        <v>13.79</v>
      </c>
      <c r="AL66" s="299">
        <f t="shared" si="64"/>
        <v>5.2804971288007128</v>
      </c>
      <c r="AM66" s="299">
        <f t="shared" si="65"/>
        <v>2.3478164623465791</v>
      </c>
      <c r="AN66" s="299"/>
      <c r="AO66" s="299">
        <f t="shared" si="60"/>
        <v>8.4141215916849283</v>
      </c>
      <c r="AP66" s="299">
        <f t="shared" si="60"/>
        <v>10.50288532721444</v>
      </c>
      <c r="AR66">
        <v>20.27</v>
      </c>
      <c r="AS66">
        <v>15.797097505247596</v>
      </c>
      <c r="AT66">
        <v>0.79814350981671434</v>
      </c>
      <c r="AU66">
        <v>6.4213093472380089</v>
      </c>
      <c r="AV66">
        <v>5.8225605111040686</v>
      </c>
      <c r="AW66">
        <v>8.1359210761615586</v>
      </c>
      <c r="BA66">
        <v>6.5559999999999993E-2</v>
      </c>
      <c r="BB66">
        <v>0.1515</v>
      </c>
      <c r="BC66">
        <v>0.32579999999999998</v>
      </c>
      <c r="BD66">
        <v>0.64459999999999995</v>
      </c>
      <c r="BE66">
        <v>0.89</v>
      </c>
    </row>
    <row r="67" spans="2:71" ht="15" customHeight="1">
      <c r="B67" s="454"/>
      <c r="C67" s="320">
        <v>104.4</v>
      </c>
      <c r="D67" s="320">
        <v>121.1</v>
      </c>
      <c r="E67" s="320">
        <v>137.80000000000001</v>
      </c>
      <c r="F67" s="320">
        <v>154.4</v>
      </c>
      <c r="G67" s="323"/>
      <c r="I67" s="454"/>
      <c r="J67" s="320">
        <v>104.4</v>
      </c>
      <c r="K67" s="320">
        <v>121.1</v>
      </c>
      <c r="L67" s="320">
        <v>137.80000000000001</v>
      </c>
      <c r="M67" s="320">
        <v>154.4</v>
      </c>
      <c r="N67" s="323"/>
      <c r="P67" s="454"/>
      <c r="Q67" s="320">
        <v>104.4</v>
      </c>
      <c r="R67" s="320">
        <v>121.1</v>
      </c>
      <c r="S67" s="320">
        <v>137.80000000000001</v>
      </c>
      <c r="T67" s="320">
        <v>154.4</v>
      </c>
      <c r="U67" s="320"/>
      <c r="W67" s="320">
        <v>20.69</v>
      </c>
      <c r="X67" s="1">
        <v>6.1900000000000002E-3</v>
      </c>
      <c r="Y67" s="1">
        <v>1.265E-2</v>
      </c>
      <c r="AA67" s="1">
        <v>3.1599999999999998E-4</v>
      </c>
      <c r="AB67" s="1">
        <v>4.44E-4</v>
      </c>
      <c r="AD67" s="320">
        <v>20.69</v>
      </c>
      <c r="AE67" s="1">
        <v>5.5760782196021194E-3</v>
      </c>
      <c r="AF67" s="1">
        <v>1.1882352371917473E-2</v>
      </c>
      <c r="AH67" s="1">
        <v>2.9297564532186035E-4</v>
      </c>
      <c r="AI67" s="1">
        <v>3.9482077507481151E-4</v>
      </c>
      <c r="AK67" s="320">
        <v>20.69</v>
      </c>
      <c r="AL67" s="299">
        <f t="shared" si="64"/>
        <v>9.9179609111127753</v>
      </c>
      <c r="AM67" s="299">
        <f t="shared" si="65"/>
        <v>6.06836069630456</v>
      </c>
      <c r="AN67" s="299"/>
      <c r="AO67" s="299">
        <f t="shared" si="60"/>
        <v>7.2861881892846938</v>
      </c>
      <c r="AP67" s="299">
        <f t="shared" si="60"/>
        <v>11.07640201017759</v>
      </c>
      <c r="AR67" t="s">
        <v>188</v>
      </c>
      <c r="AS67" t="s">
        <v>189</v>
      </c>
      <c r="AZ67" s="453" t="s">
        <v>188</v>
      </c>
      <c r="BA67" s="455" t="s">
        <v>189</v>
      </c>
      <c r="BB67" s="456"/>
      <c r="BC67" s="456"/>
      <c r="BD67" s="456"/>
      <c r="BE67" s="457"/>
      <c r="BG67" s="453" t="s">
        <v>188</v>
      </c>
      <c r="BH67" s="455" t="s">
        <v>189</v>
      </c>
      <c r="BI67" s="456"/>
      <c r="BJ67" s="456"/>
      <c r="BK67" s="456"/>
      <c r="BL67" s="457"/>
      <c r="BN67" s="453" t="s">
        <v>188</v>
      </c>
      <c r="BO67" s="455" t="s">
        <v>189</v>
      </c>
      <c r="BP67" s="456"/>
      <c r="BQ67" s="456"/>
      <c r="BR67" s="456"/>
      <c r="BS67" s="457"/>
    </row>
    <row r="68" spans="2:71" ht="15">
      <c r="B68" s="320">
        <v>5.07</v>
      </c>
      <c r="C68" s="1">
        <v>1.34E-2</v>
      </c>
      <c r="D68" s="1">
        <v>3.2399999999999998E-2</v>
      </c>
      <c r="E68" s="1">
        <v>5.8999999999999997E-2</v>
      </c>
      <c r="F68" s="1">
        <v>9.7600000000000006E-2</v>
      </c>
      <c r="G68" s="324"/>
      <c r="I68" s="320">
        <v>5.07</v>
      </c>
      <c r="J68" s="1">
        <v>1.4697026887945271E-2</v>
      </c>
      <c r="K68" s="1">
        <v>3.6222673585541071E-2</v>
      </c>
      <c r="L68" s="5">
        <v>6.7948180630438157E-2</v>
      </c>
      <c r="M68" s="5">
        <v>0.11973411676459257</v>
      </c>
      <c r="N68" s="325"/>
      <c r="P68" s="320">
        <v>5.07</v>
      </c>
      <c r="Q68" s="299">
        <f t="shared" si="62"/>
        <v>9.6793051339199305</v>
      </c>
      <c r="R68" s="299">
        <f t="shared" ref="R68:T72" si="66">ABS(D68-K68)/D68*100</f>
        <v>11.798375264015656</v>
      </c>
      <c r="S68" s="299">
        <f t="shared" si="66"/>
        <v>15.166407848200272</v>
      </c>
      <c r="T68" s="299">
        <f t="shared" si="66"/>
        <v>22.678398324377628</v>
      </c>
      <c r="U68" s="321"/>
      <c r="AS68">
        <v>104.4</v>
      </c>
      <c r="AT68">
        <v>121.1</v>
      </c>
      <c r="AU68">
        <v>137.80000000000001</v>
      </c>
      <c r="AV68">
        <v>154.4</v>
      </c>
      <c r="AZ68" s="454"/>
      <c r="BA68" s="320">
        <v>104.4</v>
      </c>
      <c r="BB68" s="320">
        <v>121.1</v>
      </c>
      <c r="BC68" s="320">
        <v>137.80000000000001</v>
      </c>
      <c r="BD68" s="320">
        <v>154.4</v>
      </c>
      <c r="BE68" s="323"/>
      <c r="BG68" s="454"/>
      <c r="BH68" s="320">
        <v>10.997580102855315</v>
      </c>
      <c r="BI68" s="320">
        <v>27.104921106411783</v>
      </c>
      <c r="BJ68" s="320">
        <v>50.844675254656046</v>
      </c>
      <c r="BK68" s="320">
        <v>89.595368519280996</v>
      </c>
      <c r="BL68" s="323"/>
      <c r="BN68" s="454"/>
      <c r="BO68" s="320">
        <v>104.4</v>
      </c>
      <c r="BP68" s="320">
        <v>121.1</v>
      </c>
      <c r="BQ68" s="320">
        <v>137.80000000000001</v>
      </c>
      <c r="BR68" s="320">
        <v>154.4</v>
      </c>
      <c r="BS68" s="323"/>
    </row>
    <row r="69" spans="2:71" ht="15">
      <c r="B69" s="320">
        <v>7.6</v>
      </c>
      <c r="C69" s="1">
        <v>9.4900000000000002E-3</v>
      </c>
      <c r="D69" s="1">
        <v>1.7600000000000001E-2</v>
      </c>
      <c r="E69" s="1">
        <v>3.5000000000000003E-2</v>
      </c>
      <c r="F69" s="1">
        <v>6.0999999999999999E-2</v>
      </c>
      <c r="G69" s="324"/>
      <c r="I69" s="320">
        <v>7.6</v>
      </c>
      <c r="J69" s="1">
        <v>1.0385455622035106E-2</v>
      </c>
      <c r="K69" s="1">
        <v>1.9958069961672903E-2</v>
      </c>
      <c r="L69" s="5">
        <v>3.9165211054293762E-2</v>
      </c>
      <c r="M69" s="5">
        <v>7.1849754668220175E-2</v>
      </c>
      <c r="N69" s="325"/>
      <c r="P69" s="320">
        <v>7.6</v>
      </c>
      <c r="Q69" s="299">
        <f t="shared" si="62"/>
        <v>9.4357810541107021</v>
      </c>
      <c r="R69" s="299">
        <f t="shared" si="66"/>
        <v>13.398124782232395</v>
      </c>
      <c r="S69" s="299">
        <f t="shared" si="66"/>
        <v>11.900603012267881</v>
      </c>
      <c r="T69" s="299">
        <f t="shared" si="66"/>
        <v>17.786483062656028</v>
      </c>
      <c r="U69" s="321"/>
      <c r="AR69">
        <v>5.07</v>
      </c>
      <c r="AS69">
        <v>9.6793051339199305</v>
      </c>
      <c r="AT69">
        <v>11.798375264015656</v>
      </c>
      <c r="AU69">
        <v>15.166407848200272</v>
      </c>
      <c r="AV69">
        <v>22.678398324377628</v>
      </c>
      <c r="AZ69" s="320">
        <v>5.07</v>
      </c>
      <c r="BA69" s="191">
        <f>($BA$74/AZ69/10*47482+10^((-1713.3/(273.15+$BA$68))+6.694))*0.016*(10^(-7)*$BA$68^2-1.1*10^(-3)*$BA$68*1.5216-0.079*(1.5216)^2+0.73*10^(-3)*$BA$68+0.156*1.5216+0.927)</f>
        <v>17.712678421160859</v>
      </c>
      <c r="BB69" s="191">
        <f>($BB$74/AZ69/10*47482+10^((-1713.3/(273.15+$BB$68))+6.694))*0.016*(10^(-7)*$BB$68^2-1.1*10^(-3)*$BB$68*1.5216-0.079*(1.5216)^2+0.73*10^(-3)*$BB$68+0.156*1.5216+0.927)</f>
        <v>29.027226063397155</v>
      </c>
      <c r="BC69" s="191">
        <f>($BC$74/AZ69/10*47482+10^((-1713.3/(273.15+$BC$68))+6.694))*0.016*(10^(-7)*$BC$68^2-1.1*10^(-3)*$BC$68*1.5216-0.079*(1.5216)^2+0.73*10^(-3)*$BC$68+0.156*1.5216+0.927)</f>
        <v>47.981917589152793</v>
      </c>
      <c r="BD69" s="191">
        <f>($BD$74/AZ69/10*47482+10^((-1713.3/(273.15+$BD$68))+6.694))*0.016*(10^(-7)*$BD$68^2-1.1*10^(-3)*$BD$68*1.5216-0.079*(1.5216)^2+0.73*10^(-3)*$BD$68+0.156*1.5216+0.927)</f>
        <v>73.332551019658169</v>
      </c>
      <c r="BE69" s="324"/>
      <c r="BG69" s="320">
        <v>5.07</v>
      </c>
      <c r="BH69" s="191">
        <v>7.7712914985316477</v>
      </c>
      <c r="BI69" s="191">
        <v>14.934345209772848</v>
      </c>
      <c r="BJ69" s="191">
        <v>29.306780827087916</v>
      </c>
      <c r="BK69" s="191">
        <v>53.764168655251382</v>
      </c>
      <c r="BL69" s="324"/>
      <c r="BN69" s="320">
        <v>5.07</v>
      </c>
      <c r="BO69" s="191">
        <f>C68*18/0.02404</f>
        <v>10.033277870216306</v>
      </c>
      <c r="BP69" s="191">
        <f t="shared" ref="BP69:BR73" si="67">D68*18/0.02404</f>
        <v>24.259567387687188</v>
      </c>
      <c r="BQ69" s="191">
        <f t="shared" si="67"/>
        <v>44.176372712146417</v>
      </c>
      <c r="BR69" s="191">
        <f t="shared" si="67"/>
        <v>73.078202995008326</v>
      </c>
      <c r="BS69" s="324"/>
    </row>
    <row r="70" spans="2:71" ht="15">
      <c r="B70" s="320">
        <v>10.130000000000001</v>
      </c>
      <c r="C70" s="1">
        <v>8.9949999999999995E-3</v>
      </c>
      <c r="D70" s="1">
        <v>1.4E-2</v>
      </c>
      <c r="E70" s="1">
        <v>2.64E-2</v>
      </c>
      <c r="F70" s="1">
        <v>4.4999999999999998E-2</v>
      </c>
      <c r="G70" s="324"/>
      <c r="I70" s="320">
        <v>10.130000000000001</v>
      </c>
      <c r="J70" s="1">
        <v>9.2599869851173969E-3</v>
      </c>
      <c r="K70" s="1">
        <v>1.6451127724582015E-2</v>
      </c>
      <c r="L70" s="5">
        <v>2.9197932593231272E-2</v>
      </c>
      <c r="M70" s="5">
        <v>5.1301311688153113E-2</v>
      </c>
      <c r="N70" s="325"/>
      <c r="P70" s="320">
        <v>10.130000000000001</v>
      </c>
      <c r="Q70" s="299">
        <f t="shared" si="62"/>
        <v>2.9459364660077538</v>
      </c>
      <c r="R70" s="299">
        <f t="shared" si="66"/>
        <v>17.50805517558582</v>
      </c>
      <c r="S70" s="299">
        <f t="shared" si="66"/>
        <v>10.598229519815426</v>
      </c>
      <c r="T70" s="299">
        <f t="shared" si="66"/>
        <v>14.002914862562477</v>
      </c>
      <c r="U70" s="321"/>
      <c r="AR70">
        <v>7.6</v>
      </c>
      <c r="AS70">
        <v>9.4357810541107021</v>
      </c>
      <c r="AT70">
        <v>13.398124782232395</v>
      </c>
      <c r="AU70">
        <v>11.900603012267881</v>
      </c>
      <c r="AV70">
        <v>17.786483062656028</v>
      </c>
      <c r="AZ70" s="320">
        <v>7.6</v>
      </c>
      <c r="BA70" s="191">
        <f>($BA$74/AZ70/10*47482+10^((-1713.3/(273.15+$BA$68))+6.694))*0.016*(10^(-7)*$BA$68^2-1.1*10^(-3)*$BA$68*1.5216-0.079*(1.5216)^2+0.73*10^(-3)*$BA$68+0.156*1.5216+0.927)</f>
        <v>12.490670490762135</v>
      </c>
      <c r="BB70" s="191">
        <f>($BB$74/AZ70/10*47482+10^((-1713.3/(273.15+$BB$68))+6.694))*0.016*(10^(-7)*$BB$68^2-1.1*10^(-3)*$BB$68*1.5216-0.079*(1.5216)^2+0.73*10^(-3)*$BB$68+0.156*1.5216+0.927)</f>
        <v>20.395900904138141</v>
      </c>
      <c r="BC70" s="191">
        <f>($BC$74/AZ70/10*47482+10^((-1713.3/(273.15+$BC$68))+6.694))*0.016*(10^(-7)*$BC$68^2-1.1*10^(-3)*$BC$68*1.5216-0.079*(1.5216)^2+0.73*10^(-3)*$BC$68+0.156*1.5216+0.927)</f>
        <v>33.530989524682539</v>
      </c>
      <c r="BD70" s="191">
        <f>($BD$74/AZ70/10*47482+10^((-1713.3/(273.15+$BD$68))+6.694))*0.016*(10^(-7)*$BD$68^2-1.1*10^(-3)*$BD$68*1.5216-0.079*(1.5216)^2+0.73*10^(-3)*$BD$68+0.156*1.5216+0.927)</f>
        <v>51.090672822476577</v>
      </c>
      <c r="BE70" s="324"/>
      <c r="BG70" s="320">
        <v>7.6</v>
      </c>
      <c r="BH70" s="191">
        <v>6.9291190250019143</v>
      </c>
      <c r="BI70" s="191">
        <v>12.31014927800058</v>
      </c>
      <c r="BJ70" s="191">
        <v>21.84840546186981</v>
      </c>
      <c r="BK70" s="191">
        <v>38.388055555288467</v>
      </c>
      <c r="BL70" s="324"/>
      <c r="BN70" s="320">
        <v>7.6</v>
      </c>
      <c r="BO70" s="191">
        <f>C69*18/0.02404</f>
        <v>7.1056572379367724</v>
      </c>
      <c r="BP70" s="191">
        <f t="shared" si="67"/>
        <v>13.17803660565724</v>
      </c>
      <c r="BQ70" s="191">
        <f t="shared" si="67"/>
        <v>26.206322795341105</v>
      </c>
      <c r="BR70" s="191">
        <f t="shared" si="67"/>
        <v>45.673876871880196</v>
      </c>
      <c r="BS70" s="324"/>
    </row>
    <row r="71" spans="2:71" ht="15">
      <c r="B71" s="320">
        <v>15.2</v>
      </c>
      <c r="C71" s="1">
        <v>8.3339999999999994E-3</v>
      </c>
      <c r="D71" s="1">
        <v>1.32E-2</v>
      </c>
      <c r="E71" s="1">
        <v>2.2200000000000001E-2</v>
      </c>
      <c r="F71" s="1">
        <v>3.4599999999999999E-2</v>
      </c>
      <c r="G71" s="324"/>
      <c r="I71" s="320">
        <v>15.2</v>
      </c>
      <c r="J71" s="1">
        <v>8.0492389776228041E-3</v>
      </c>
      <c r="K71" s="1">
        <v>1.3612736215593123E-2</v>
      </c>
      <c r="L71" s="5">
        <v>2.259906380287002E-2</v>
      </c>
      <c r="M71" s="5">
        <v>3.6902790194004664E-2</v>
      </c>
      <c r="N71" s="325"/>
      <c r="P71" s="320">
        <v>15.2</v>
      </c>
      <c r="Q71" s="299">
        <f t="shared" si="62"/>
        <v>3.4168589198127584</v>
      </c>
      <c r="R71" s="299">
        <f t="shared" si="66"/>
        <v>3.1267895120691178</v>
      </c>
      <c r="S71" s="299">
        <f t="shared" si="66"/>
        <v>1.7975846976126961</v>
      </c>
      <c r="T71" s="299">
        <f t="shared" si="66"/>
        <v>6.6554629884527916</v>
      </c>
      <c r="U71" s="321"/>
      <c r="AR71">
        <v>10.130000000000001</v>
      </c>
      <c r="AS71">
        <v>2.9459364660077538</v>
      </c>
      <c r="AT71">
        <v>17.50805517558582</v>
      </c>
      <c r="AU71">
        <v>10.598229519815426</v>
      </c>
      <c r="AV71">
        <v>14.002914862562477</v>
      </c>
      <c r="AZ71" s="320">
        <v>10.130000000000001</v>
      </c>
      <c r="BA71" s="191">
        <f>($BA$74/AZ71/10*47482+10^((-1713.3/(273.15+$BA$68))+6.694))*0.016*(10^(-7)*$BA$68^2-1.1*10^(-3)*$BA$68*1.5216-0.079*(1.5216)^2+0.73*10^(-3)*$BA$68+0.156*1.5216+0.927)</f>
        <v>9.8770890290522075</v>
      </c>
      <c r="BB71" s="191">
        <f>($BB$74/AZ71/10*47482+10^((-1713.3/(273.15+$BB$68))+6.694))*0.016*(10^(-7)*$BB$68^2-1.1*10^(-3)*$BB$68*1.5216-0.079*(1.5216)^2+0.73*10^(-3)*$BB$68+0.156*1.5216+0.927)</f>
        <v>16.075978045555399</v>
      </c>
      <c r="BC71" s="191">
        <f>($BC$74/AZ71/10*47482+10^((-1713.3/(273.15+$BC$68))+6.694))*0.016*(10^(-7)*$BC$68^2-1.1*10^(-3)*$BC$68*1.5216-0.079*(1.5216)^2+0.73*10^(-3)*$BC$68+0.156*1.5216+0.927)</f>
        <v>26.298392754014795</v>
      </c>
      <c r="BD71" s="191">
        <f>($BD$74/AZ71/10*47482+10^((-1713.3/(273.15+$BD$68))+6.694))*0.016*(10^(-7)*$BD$68^2-1.1*10^(-3)*$BD$68*1.5216-0.079*(1.5216)^2+0.73*10^(-3)*$BD$68+0.156*1.5216+0.927)</f>
        <v>39.95875550167591</v>
      </c>
      <c r="BE71" s="324"/>
      <c r="BG71" s="320">
        <v>10.130000000000001</v>
      </c>
      <c r="BH71" s="191">
        <v>6.023133188661391</v>
      </c>
      <c r="BI71" s="191">
        <v>10.186220525514383</v>
      </c>
      <c r="BJ71" s="191">
        <v>16.910564042408694</v>
      </c>
      <c r="BK71" s="191">
        <v>27.613842872554535</v>
      </c>
      <c r="BL71" s="324"/>
      <c r="BN71" s="320">
        <v>10.130000000000001</v>
      </c>
      <c r="BO71" s="191">
        <f>C70*18/0.02404</f>
        <v>6.7350249584026622</v>
      </c>
      <c r="BP71" s="191">
        <f t="shared" si="67"/>
        <v>10.482529118136441</v>
      </c>
      <c r="BQ71" s="191">
        <f t="shared" si="67"/>
        <v>19.767054908485857</v>
      </c>
      <c r="BR71" s="191">
        <f t="shared" si="67"/>
        <v>33.693843594009984</v>
      </c>
      <c r="BS71" s="324"/>
    </row>
    <row r="72" spans="2:71" ht="15">
      <c r="B72" s="320">
        <v>20.27</v>
      </c>
      <c r="C72" s="1">
        <v>7.9050000000000006E-3</v>
      </c>
      <c r="D72" s="1">
        <v>1.24E-2</v>
      </c>
      <c r="E72" s="1">
        <v>0.02</v>
      </c>
      <c r="F72" s="1">
        <v>3.1E-2</v>
      </c>
      <c r="G72" s="324"/>
      <c r="I72" s="320">
        <v>20.27</v>
      </c>
      <c r="J72" s="1">
        <v>7.3110814613697589E-3</v>
      </c>
      <c r="K72" s="1">
        <v>1.2101628018050399E-2</v>
      </c>
      <c r="L72" s="1">
        <v>1.9568099751025896E-2</v>
      </c>
      <c r="M72" s="1">
        <v>3.0983929603706186E-2</v>
      </c>
      <c r="N72" s="324"/>
      <c r="P72" s="320">
        <v>20.27</v>
      </c>
      <c r="Q72" s="299">
        <f t="shared" si="62"/>
        <v>7.5132009946899645</v>
      </c>
      <c r="R72" s="299">
        <f t="shared" si="66"/>
        <v>2.4062256608838721</v>
      </c>
      <c r="S72" s="299">
        <f t="shared" si="66"/>
        <v>2.1595012448705209</v>
      </c>
      <c r="T72" s="299">
        <f t="shared" si="66"/>
        <v>5.1839988044560359E-2</v>
      </c>
      <c r="AR72">
        <v>15.2</v>
      </c>
      <c r="AS72">
        <v>3.4168589198127584</v>
      </c>
      <c r="AT72">
        <v>3.1267895120691178</v>
      </c>
      <c r="AU72">
        <v>1.7975846976126961</v>
      </c>
      <c r="AV72">
        <v>6.6554629884527916</v>
      </c>
      <c r="AZ72" s="320">
        <v>15.2</v>
      </c>
      <c r="BA72" s="191">
        <f>($BA$74/AZ72/10*47482+10^((-1713.3/(273.15+$BA$68))+6.694))*0.016*(10^(-7)*$BA$68^2-1.1*10^(-3)*$BA$68*1.5216-0.079*(1.5216)^2+0.73*10^(-3)*$BA$68+0.156*1.5216+0.927)</f>
        <v>7.2583423865879189</v>
      </c>
      <c r="BB72" s="191">
        <f>($BB$74/AZ72/10*47482+10^((-1713.3/(273.15+$BB$68))+6.694))*0.016*(10^(-7)*$BB$68^2-1.1*10^(-3)*$BB$68*1.5216-0.079*(1.5216)^2+0.73*10^(-3)*$BB$68+0.156*1.5216+0.927)</f>
        <v>11.74751779001893</v>
      </c>
      <c r="BC72" s="191">
        <f>($BC$74/AZ72/10*47482+10^((-1713.3/(273.15+$BC$68))+6.694))*0.016*(10^(-7)*$BC$68^2-1.1*10^(-3)*$BC$68*1.5216-0.079*(1.5216)^2+0.73*10^(-3)*$BC$68+0.156*1.5216+0.927)</f>
        <v>19.051502313839809</v>
      </c>
      <c r="BD72" s="191">
        <f>($BD$74/AZ72/10*47482+10^((-1713.3/(273.15+$BD$68))+6.694))*0.016*(10^(-7)*$BD$68^2-1.1*10^(-3)*$BD$68*1.5216-0.079*(1.5216)^2+0.73*10^(-3)*$BD$68+0.156*1.5216+0.927)</f>
        <v>28.804838344272877</v>
      </c>
      <c r="BE72" s="324"/>
      <c r="BG72" s="320">
        <v>15.2</v>
      </c>
      <c r="BH72" s="191">
        <v>5.4707802212611574</v>
      </c>
      <c r="BI72" s="191">
        <v>9.0554793509038749</v>
      </c>
      <c r="BJ72" s="191">
        <v>14.64253594372085</v>
      </c>
      <c r="BK72" s="191">
        <v>23.184842098742831</v>
      </c>
      <c r="BL72" s="324"/>
      <c r="BN72" s="320">
        <v>15.2</v>
      </c>
      <c r="BO72" s="191">
        <f>C71*18/0.02404</f>
        <v>6.2400998336106479</v>
      </c>
      <c r="BP72" s="191">
        <f t="shared" si="67"/>
        <v>9.8835274542429286</v>
      </c>
      <c r="BQ72" s="191">
        <f t="shared" si="67"/>
        <v>16.622296173044926</v>
      </c>
      <c r="BR72" s="191">
        <f t="shared" si="67"/>
        <v>25.906821963394346</v>
      </c>
      <c r="BS72" s="324"/>
    </row>
    <row r="73" spans="2:71" ht="15" customHeight="1" thickBot="1">
      <c r="AR73">
        <v>20.27</v>
      </c>
      <c r="AS73">
        <v>7.5132009946899645</v>
      </c>
      <c r="AT73">
        <v>2.4062256608838721</v>
      </c>
      <c r="AU73">
        <v>2.1595012448705209</v>
      </c>
      <c r="AV73">
        <v>5.1839988044560359E-2</v>
      </c>
      <c r="AZ73" s="320">
        <v>20.27</v>
      </c>
      <c r="BA73" s="191">
        <f>($BA$74/AZ73/10*47482+10^((-1713.3/(273.15+$BA$68))+6.694))*0.016*(10^(-7)*$BA$68^2-1.1*10^(-3)*$BA$68*1.5216-0.079*(1.5216)^2+0.73*10^(-3)*$BA$68+0.156*1.5216+0.927)</f>
        <v>5.9496150314737921</v>
      </c>
      <c r="BB73" s="191">
        <f>($BB$74/AZ73/10*47482+10^((-1713.3/(273.15+$BB$68))+6.694))*0.016*(10^(-7)*$BB$68^2-1.1*10^(-3)*$BB$68*1.5216-0.079*(1.5216)^2+0.73*10^(-3)*$BB$68+0.156*1.5216+0.927)</f>
        <v>9.5843553633497436</v>
      </c>
      <c r="BC73" s="191">
        <f>($BC$74/AZ73/10*47482+10^((-1713.3/(273.15+$BC$68))+6.694))*0.016*(10^(-7)*$BC$68^2-1.1*10^(-3)*$BC$68*1.5216-0.079*(1.5216)^2+0.73*10^(-3)*$BC$68+0.156*1.5216+0.927)</f>
        <v>15.429844683895427</v>
      </c>
      <c r="BD73" s="191">
        <f>($BD$74/AZ73/10*47482+10^((-1713.3/(273.15+$BD$68))+6.694))*0.016*(10^(-7)*$BD$68^2-1.1*10^(-3)*$BD$68*1.5216-0.079*(1.5216)^2+0.73*10^(-3)*$BD$68+0.156*1.5216+0.927)</f>
        <v>23.230631101821331</v>
      </c>
      <c r="BE73" s="324"/>
      <c r="BG73" s="320">
        <v>20.27</v>
      </c>
      <c r="BH73" s="191">
        <f>J72*18/0.02404</f>
        <v>5.4741874502768582</v>
      </c>
      <c r="BI73" s="191">
        <f>K72*18/0.02404</f>
        <v>9.0611191482906488</v>
      </c>
      <c r="BJ73" s="191">
        <f>L72*18/0.02404</f>
        <v>14.651655387623382</v>
      </c>
      <c r="BK73" s="191">
        <f>M72*18/0.02404</f>
        <v>23.199281733224268</v>
      </c>
      <c r="BL73" s="324"/>
      <c r="BN73" s="320">
        <v>20.27</v>
      </c>
      <c r="BO73" s="191">
        <f>C72*18/0.02404</f>
        <v>5.918885191347754</v>
      </c>
      <c r="BP73" s="191">
        <f t="shared" si="67"/>
        <v>9.2845257903494165</v>
      </c>
      <c r="BQ73" s="191">
        <f t="shared" si="67"/>
        <v>14.975041597337771</v>
      </c>
      <c r="BR73" s="191">
        <f t="shared" si="67"/>
        <v>23.211314475873547</v>
      </c>
      <c r="BS73" s="324"/>
    </row>
    <row r="74" spans="2:71" ht="19.5" thickTop="1">
      <c r="B74" s="465" t="s">
        <v>185</v>
      </c>
      <c r="C74" s="466"/>
      <c r="D74" s="466"/>
      <c r="E74" s="466"/>
      <c r="F74" s="466"/>
      <c r="G74" s="467"/>
      <c r="I74" s="465" t="s">
        <v>186</v>
      </c>
      <c r="J74" s="466"/>
      <c r="K74" s="466"/>
      <c r="L74" s="466"/>
      <c r="M74" s="466"/>
      <c r="N74" s="467"/>
      <c r="P74" s="465" t="s">
        <v>190</v>
      </c>
      <c r="Q74" s="466"/>
      <c r="R74" s="466"/>
      <c r="S74" s="466"/>
      <c r="T74" s="466"/>
      <c r="U74" s="467"/>
      <c r="W74" s="451" t="s">
        <v>165</v>
      </c>
      <c r="X74" s="422" t="s">
        <v>170</v>
      </c>
      <c r="Y74" s="423"/>
      <c r="Z74" s="424"/>
      <c r="AA74" s="422" t="s">
        <v>170</v>
      </c>
      <c r="AB74" s="423"/>
      <c r="AC74" s="424"/>
      <c r="AF74" s="465" t="s">
        <v>235</v>
      </c>
      <c r="AG74" s="466"/>
      <c r="AH74" s="466"/>
      <c r="AI74" s="466"/>
      <c r="AJ74" s="466"/>
      <c r="AK74" s="467"/>
      <c r="AM74" s="465" t="s">
        <v>254</v>
      </c>
      <c r="AN74" s="466"/>
      <c r="AO74" s="466"/>
      <c r="AP74" s="466"/>
      <c r="AQ74" s="466"/>
      <c r="AR74" s="467"/>
      <c r="AT74" s="465" t="s">
        <v>254</v>
      </c>
      <c r="AU74" s="466"/>
      <c r="AV74" s="466"/>
      <c r="AW74" s="466"/>
      <c r="AX74" s="466"/>
      <c r="AY74" s="467"/>
      <c r="BA74">
        <v>1.1841999999999999</v>
      </c>
      <c r="BB74">
        <v>1.992</v>
      </c>
      <c r="BC74">
        <v>3.395</v>
      </c>
      <c r="BD74">
        <v>5.32</v>
      </c>
    </row>
    <row r="75" spans="2:71" ht="19.5">
      <c r="B75" s="458" t="s">
        <v>200</v>
      </c>
      <c r="C75" s="459"/>
      <c r="D75" s="459"/>
      <c r="E75" s="459"/>
      <c r="F75" s="459"/>
      <c r="G75" s="460"/>
      <c r="I75" s="458" t="s">
        <v>200</v>
      </c>
      <c r="J75" s="459"/>
      <c r="K75" s="459"/>
      <c r="L75" s="459"/>
      <c r="M75" s="459"/>
      <c r="N75" s="460"/>
      <c r="P75" s="458" t="s">
        <v>200</v>
      </c>
      <c r="Q75" s="459"/>
      <c r="R75" s="459"/>
      <c r="S75" s="459"/>
      <c r="T75" s="459"/>
      <c r="U75" s="460"/>
      <c r="W75" s="452"/>
      <c r="X75" s="105" t="s">
        <v>174</v>
      </c>
      <c r="Y75" s="222" t="s">
        <v>175</v>
      </c>
      <c r="Z75" s="293" t="s">
        <v>168</v>
      </c>
      <c r="AA75" s="105" t="s">
        <v>176</v>
      </c>
      <c r="AB75" s="222" t="s">
        <v>177</v>
      </c>
      <c r="AC75" s="293"/>
      <c r="AF75" s="458" t="s">
        <v>200</v>
      </c>
      <c r="AG75" s="459"/>
      <c r="AH75" s="459"/>
      <c r="AI75" s="459"/>
      <c r="AJ75" s="459"/>
      <c r="AK75" s="460"/>
      <c r="AM75" s="458" t="s">
        <v>200</v>
      </c>
      <c r="AN75" s="459"/>
      <c r="AO75" s="459"/>
      <c r="AP75" s="459"/>
      <c r="AQ75" s="459"/>
      <c r="AR75" s="460"/>
      <c r="AT75" s="458" t="s">
        <v>200</v>
      </c>
      <c r="AU75" s="459"/>
      <c r="AV75" s="459"/>
      <c r="AW75" s="459"/>
      <c r="AX75" s="459"/>
      <c r="AY75" s="460"/>
    </row>
    <row r="76" spans="2:71" ht="15" customHeight="1">
      <c r="B76" s="453" t="s">
        <v>188</v>
      </c>
      <c r="C76" s="455" t="s">
        <v>189</v>
      </c>
      <c r="D76" s="456"/>
      <c r="E76" s="456"/>
      <c r="F76" s="456"/>
      <c r="G76" s="457"/>
      <c r="I76" s="453" t="s">
        <v>188</v>
      </c>
      <c r="J76" s="455" t="s">
        <v>189</v>
      </c>
      <c r="K76" s="456"/>
      <c r="L76" s="456"/>
      <c r="M76" s="456"/>
      <c r="N76" s="457"/>
      <c r="P76" s="453" t="s">
        <v>188</v>
      </c>
      <c r="Q76" s="455" t="s">
        <v>189</v>
      </c>
      <c r="R76" s="456"/>
      <c r="S76" s="456"/>
      <c r="T76" s="456"/>
      <c r="U76" s="457"/>
      <c r="W76" s="296" t="s">
        <v>7</v>
      </c>
      <c r="X76" s="298">
        <v>4968</v>
      </c>
      <c r="Y76" s="299">
        <v>1567</v>
      </c>
      <c r="Z76" s="140">
        <v>0.06</v>
      </c>
      <c r="AA76" s="313">
        <v>-19.600000000000001</v>
      </c>
      <c r="AB76" s="191">
        <v>5.7</v>
      </c>
      <c r="AF76" s="453" t="s">
        <v>188</v>
      </c>
      <c r="AG76" s="455" t="s">
        <v>189</v>
      </c>
      <c r="AH76" s="456"/>
      <c r="AI76" s="456"/>
      <c r="AJ76" s="456"/>
      <c r="AK76" s="457"/>
      <c r="AM76" s="453" t="s">
        <v>188</v>
      </c>
      <c r="AN76" s="455" t="s">
        <v>189</v>
      </c>
      <c r="AO76" s="456"/>
      <c r="AP76" s="456"/>
      <c r="AQ76" s="456"/>
      <c r="AR76" s="457"/>
      <c r="AT76" s="453" t="s">
        <v>188</v>
      </c>
      <c r="AU76" s="455" t="s">
        <v>189</v>
      </c>
      <c r="AV76" s="456"/>
      <c r="AW76" s="456"/>
      <c r="AX76" s="456"/>
      <c r="AY76" s="457"/>
    </row>
    <row r="77" spans="2:71" ht="15" customHeight="1">
      <c r="B77" s="454"/>
      <c r="C77" s="320">
        <v>37.799999999999997</v>
      </c>
      <c r="D77" s="320">
        <v>71.099999999999994</v>
      </c>
      <c r="E77" s="320">
        <v>104.4</v>
      </c>
      <c r="F77" s="320">
        <v>137.80000000000001</v>
      </c>
      <c r="G77" s="320">
        <v>171.1</v>
      </c>
      <c r="I77" s="454"/>
      <c r="J77" s="320">
        <v>37.799999999999997</v>
      </c>
      <c r="K77" s="320">
        <v>71.099999999999994</v>
      </c>
      <c r="L77" s="320">
        <v>104.4</v>
      </c>
      <c r="M77" s="320">
        <v>137.80000000000001</v>
      </c>
      <c r="N77" s="320">
        <v>171.1</v>
      </c>
      <c r="P77" s="454"/>
      <c r="Q77" s="320">
        <v>37.799999999999997</v>
      </c>
      <c r="R77" s="320">
        <v>71.099999999999994</v>
      </c>
      <c r="S77" s="320">
        <v>104.4</v>
      </c>
      <c r="T77" s="320">
        <v>137.80000000000001</v>
      </c>
      <c r="U77" s="320">
        <v>171.1</v>
      </c>
      <c r="W77" t="s">
        <v>188</v>
      </c>
      <c r="X77" s="321" t="s">
        <v>189</v>
      </c>
      <c r="Y77" s="321"/>
      <c r="Z77" s="321"/>
      <c r="AA77" s="321"/>
      <c r="AB77" s="321"/>
      <c r="AF77" s="454"/>
      <c r="AG77" s="320">
        <v>37.799999999999997</v>
      </c>
      <c r="AH77" s="320">
        <v>71.099999999999994</v>
      </c>
      <c r="AI77" s="320">
        <v>104.4</v>
      </c>
      <c r="AJ77" s="320">
        <v>137.80000000000001</v>
      </c>
      <c r="AK77" s="320">
        <v>171.1</v>
      </c>
      <c r="AM77" s="454"/>
      <c r="AN77" s="320">
        <v>37.799999999999997</v>
      </c>
      <c r="AO77" s="320">
        <v>71.099999999999994</v>
      </c>
      <c r="AP77" s="320">
        <v>104.4</v>
      </c>
      <c r="AQ77" s="320">
        <v>137.80000000000001</v>
      </c>
      <c r="AR77" s="320">
        <v>171.1</v>
      </c>
      <c r="AT77" s="454"/>
      <c r="AU77" s="320">
        <v>37.799999999999997</v>
      </c>
      <c r="AV77" s="320">
        <v>71.099999999999994</v>
      </c>
      <c r="AW77" s="320">
        <v>104.4</v>
      </c>
      <c r="AX77" s="320">
        <v>137.80000000000001</v>
      </c>
      <c r="AY77" s="320">
        <v>171.1</v>
      </c>
    </row>
    <row r="78" spans="2:71" ht="15">
      <c r="B78" s="320">
        <v>1.01</v>
      </c>
      <c r="C78" s="1">
        <v>5.0000000000000001E-4</v>
      </c>
      <c r="D78" s="1">
        <v>2E-3</v>
      </c>
      <c r="E78" s="1">
        <v>1.0999999999999999E-2</v>
      </c>
      <c r="F78" s="1">
        <v>0.35</v>
      </c>
      <c r="G78" s="1" t="s">
        <v>192</v>
      </c>
      <c r="I78" s="320">
        <v>1.01</v>
      </c>
      <c r="J78" s="79">
        <v>6.3106473518799563E-4</v>
      </c>
      <c r="K78" s="79">
        <v>2.3814944681457978E-3</v>
      </c>
      <c r="L78" s="79">
        <v>0.12108682172131366</v>
      </c>
      <c r="M78" s="79">
        <v>0.50208928006974318</v>
      </c>
      <c r="N78" s="79" t="s">
        <v>192</v>
      </c>
      <c r="P78" s="320">
        <v>1.01</v>
      </c>
      <c r="Q78" s="321">
        <f>ABS(C78-J78)/C78*100</f>
        <v>26.212947037599122</v>
      </c>
      <c r="R78" s="321">
        <f>ABS(D78-K78)/D78*100</f>
        <v>19.074723407289888</v>
      </c>
      <c r="S78" s="321">
        <f>ABS(E78-L78)/E78*100</f>
        <v>1000.7892883755788</v>
      </c>
      <c r="T78" s="321">
        <f>ABS(F78-M78)/F78*100</f>
        <v>43.454080019926636</v>
      </c>
      <c r="U78" s="321" t="s">
        <v>192</v>
      </c>
      <c r="X78" s="321">
        <v>37.799999999999997</v>
      </c>
      <c r="Y78" s="321">
        <v>71.099999999999994</v>
      </c>
      <c r="Z78" s="321">
        <v>104.4</v>
      </c>
      <c r="AA78" s="321">
        <v>137.80000000000001</v>
      </c>
      <c r="AB78" s="321">
        <v>171.1</v>
      </c>
      <c r="AF78" s="320">
        <v>1.01</v>
      </c>
      <c r="AG78" s="191">
        <f>($AG$87/AF78/10*47482+10^((-1713.3/(273.15+$AG$77))+6.694))*0.016*(10^(-7)*$AG$77^2-1.1*10^(-3)*$AG$77*2.006-0.079*(2.006)^2+0.73*10^(-3)*$AG$77+0.156*2.006+0.927)</f>
        <v>4.4841568125698297</v>
      </c>
      <c r="AH78" s="191">
        <f>($AH$87/AF78/10*47482+10^((-1713.3/(273.15+$AH$77))+6.694))*0.016*(10^(-7)*$AH$77^2-1.1*10^(-3)*$AH$77*2.006-0.079*(2.006)^2+0.73*10^(-3)*$AH$77+0.156*2.006+0.927)</f>
        <v>20.717243310209099</v>
      </c>
      <c r="AI78" s="191">
        <f>($AI$87/AF78/10*47482+10^((-1713.3/(273.15+$AI$77))+6.694))*0.016*(10^(-7)*$AI$77^2-1.1*10^(-3)*$AI$77*2.006-0.079*(2.006)^2+0.73*10^(-3)*$AI$77+0.156*2.006+0.927)</f>
        <v>70.257839455267998</v>
      </c>
      <c r="AJ78" s="191">
        <f>($AJ$87/AF78/10*47482+10^((-1713.3/(273.15+$AJ$77))+6.694))*0.016*(10^(-7)*$AJ$77^2-1.1*10^(-3)*$AJ$77*2.006-0.079*(2.006)^2+0.73*10^(-3)*$AJ$77+0.156*2.006+0.927)</f>
        <v>187.84316083959823</v>
      </c>
      <c r="AK78" s="191">
        <f>($AK$87/AF78/10*47482+10^((-1713.3/(273.15+$AK$77))+6.694))*0.016*(10^(-7)*$AK$77^2-1.1*10^(-3)*$AK$77*2.006-0.079*(2.006)^2+0.73*10^(-3)*$AK$77+0.156*2.006+0.927)</f>
        <v>417.78214643101285</v>
      </c>
      <c r="AM78" s="320">
        <v>1.01</v>
      </c>
      <c r="AN78" s="191">
        <f>J78*18/0.02404</f>
        <v>0.47251103300265895</v>
      </c>
      <c r="AO78" s="191">
        <f t="shared" ref="AO78:AR86" si="68">K78*18/0.02404</f>
        <v>1.7831489362156556</v>
      </c>
      <c r="AP78" s="191">
        <f t="shared" si="68"/>
        <v>90.664009608304738</v>
      </c>
      <c r="AQ78" s="191">
        <f t="shared" si="68"/>
        <v>375.94039273108893</v>
      </c>
      <c r="AR78" s="191"/>
      <c r="AT78" s="320">
        <v>1.01</v>
      </c>
      <c r="AU78" s="191">
        <f>C78*18/0.02404</f>
        <v>0.37437603993344432</v>
      </c>
      <c r="AV78" s="191">
        <f t="shared" ref="AV78:AY86" si="69">D78*18/0.02404</f>
        <v>1.4975041597337773</v>
      </c>
      <c r="AW78" s="191">
        <f t="shared" si="69"/>
        <v>8.2362728785357735</v>
      </c>
      <c r="AX78" s="191">
        <f t="shared" si="69"/>
        <v>262.063227953411</v>
      </c>
      <c r="AY78" s="191"/>
    </row>
    <row r="79" spans="2:71" ht="15">
      <c r="B79" s="320">
        <v>2.0299999999999998</v>
      </c>
      <c r="C79" s="1">
        <v>5.0000000000000001E-4</v>
      </c>
      <c r="D79" s="1">
        <v>2E-3</v>
      </c>
      <c r="E79" s="1">
        <v>8.26E-3</v>
      </c>
      <c r="F79" s="1">
        <v>0.151</v>
      </c>
      <c r="G79" s="1">
        <v>0.4</v>
      </c>
      <c r="I79" s="320">
        <v>2.0299999999999998</v>
      </c>
      <c r="J79" s="79">
        <v>6.2299847543285242E-4</v>
      </c>
      <c r="K79" s="79">
        <v>2.331145973222521E-3</v>
      </c>
      <c r="L79" s="79">
        <v>8.253050294240059E-3</v>
      </c>
      <c r="M79" s="79">
        <v>0.18753179009745688</v>
      </c>
      <c r="N79" s="79" t="s">
        <v>192</v>
      </c>
      <c r="P79" s="320">
        <v>2.0299999999999998</v>
      </c>
      <c r="Q79" s="321">
        <f t="shared" ref="Q79:R97" si="70">ABS(C79-J79)/C79*100</f>
        <v>24.599695086570481</v>
      </c>
      <c r="R79" s="321">
        <f>ABS(D79-K79)/D79*100</f>
        <v>16.557298661126048</v>
      </c>
      <c r="S79" s="321">
        <f>ABS(E79-L79)/E79*100</f>
        <v>8.4136873607033397E-2</v>
      </c>
      <c r="T79" s="321">
        <f>ABS(F79-M79)/F79*100</f>
        <v>24.193238475137012</v>
      </c>
      <c r="U79" s="321" t="e">
        <f>ABS(G79-N79)/G79*100</f>
        <v>#VALUE!</v>
      </c>
      <c r="W79">
        <v>1.01</v>
      </c>
      <c r="X79" s="321">
        <v>26.212947037599122</v>
      </c>
      <c r="Y79" s="321">
        <v>19.074723407289888</v>
      </c>
      <c r="Z79" s="321">
        <v>1000.7892883755788</v>
      </c>
      <c r="AA79" s="321">
        <v>43.454080019926636</v>
      </c>
      <c r="AB79" s="321" t="s">
        <v>192</v>
      </c>
      <c r="AF79" s="320">
        <v>2.0299999999999998</v>
      </c>
      <c r="AG79" s="191">
        <f t="shared" ref="AG79:AG86" si="71">($AG$87/AF79/10*47482+10^((-1713.3/(273.15+$AG$77))+6.694))*0.016*(10^(-7)*$AG$77^2-1.1*10^(-3)*$AG$77*2.006-0.079*(2.006)^2+0.73*10^(-3)*$AG$77+0.156*2.006+0.927)</f>
        <v>2.3374567458540074</v>
      </c>
      <c r="AH79" s="191">
        <f t="shared" ref="AH79:AH86" si="72">($AH$87/AF79/10*47482+10^((-1713.3/(273.15+$AH$77))+6.694))*0.016*(10^(-7)*$AH$77^2-1.1*10^(-3)*$AH$77*2.006-0.079*(2.006)^2+0.73*10^(-3)*$AH$77+0.156*2.006+0.927)</f>
        <v>10.650231965137431</v>
      </c>
      <c r="AI79" s="191">
        <f t="shared" ref="AI79:AI86" si="73">($AI$87/AF79/10*47482+10^((-1713.3/(273.15+$AI$77))+6.694))*0.016*(10^(-7)*$AI$77^2-1.1*10^(-3)*$AI$77*2.006-0.079*(2.006)^2+0.73*10^(-3)*$AI$77+0.156*2.006+0.927)</f>
        <v>35.841376943774257</v>
      </c>
      <c r="AJ79" s="191">
        <f t="shared" ref="AJ79:AJ86" si="74">($AJ$87/AF79/10*47482+10^((-1713.3/(273.15+$AJ$77))+6.694))*0.016*(10^(-7)*$AJ$77^2-1.1*10^(-3)*$AJ$77*2.006-0.079*(2.006)^2+0.73*10^(-3)*$AJ$77+0.156*2.006+0.927)</f>
        <v>95.398520670708251</v>
      </c>
      <c r="AK79" s="191">
        <f t="shared" ref="AK79:AK86" si="75">($AK$87/AF79/10*47482+10^((-1713.3/(273.15+$AK$77))+6.694))*0.016*(10^(-7)*$AK$77^2-1.1*10^(-3)*$AK$77*2.006-0.079*(2.006)^2+0.73*10^(-3)*$AK$77+0.156*2.006+0.927)</f>
        <v>211.57900432933002</v>
      </c>
      <c r="AM79" s="320">
        <v>2.0299999999999998</v>
      </c>
      <c r="AN79" s="191">
        <f t="shared" ref="AN79:AN86" si="76">J79*18/0.02404</f>
        <v>0.46647140423424893</v>
      </c>
      <c r="AO79" s="191">
        <f t="shared" si="68"/>
        <v>1.7454503959236847</v>
      </c>
      <c r="AP79" s="191">
        <f t="shared" si="68"/>
        <v>6.1794885730582809</v>
      </c>
      <c r="AQ79" s="191">
        <f t="shared" si="68"/>
        <v>140.41481787663162</v>
      </c>
      <c r="AR79" s="191"/>
      <c r="AT79" s="320">
        <v>2.0299999999999998</v>
      </c>
      <c r="AU79" s="191">
        <f t="shared" ref="AU79:AU86" si="77">C79*18/0.02404</f>
        <v>0.37437603993344432</v>
      </c>
      <c r="AV79" s="191">
        <f t="shared" si="69"/>
        <v>1.4975041597337773</v>
      </c>
      <c r="AW79" s="191">
        <f t="shared" si="69"/>
        <v>6.1846921797004999</v>
      </c>
      <c r="AX79" s="191">
        <f t="shared" si="69"/>
        <v>113.06156405990016</v>
      </c>
      <c r="AY79" s="191">
        <f t="shared" si="69"/>
        <v>299.50083194675545</v>
      </c>
    </row>
    <row r="80" spans="2:71" ht="15">
      <c r="B80" s="320">
        <v>5.07</v>
      </c>
      <c r="C80" s="1">
        <v>5.0000000000000001E-4</v>
      </c>
      <c r="D80" s="1">
        <v>2E-3</v>
      </c>
      <c r="E80" s="1">
        <v>7.5399999999999998E-3</v>
      </c>
      <c r="F80" s="1">
        <v>2.4799999999999999E-2</v>
      </c>
      <c r="G80" s="1">
        <v>0.10199999999999999</v>
      </c>
      <c r="I80" s="320">
        <v>5.07</v>
      </c>
      <c r="J80" s="79">
        <v>6.0108402756624355E-4</v>
      </c>
      <c r="K80" s="79">
        <v>2.2036258862504969E-3</v>
      </c>
      <c r="L80" s="79">
        <v>7.4166040414047237E-3</v>
      </c>
      <c r="M80" s="79">
        <v>2.5198465341993357E-2</v>
      </c>
      <c r="N80" s="79">
        <v>0.15966062927763616</v>
      </c>
      <c r="P80" s="320">
        <v>5.07</v>
      </c>
      <c r="Q80" s="321">
        <f t="shared" si="70"/>
        <v>20.216805513248708</v>
      </c>
      <c r="R80" s="321">
        <f t="shared" ref="R80:R86" si="78">ABS(D80-K80)/D80*100</f>
        <v>10.181294312524843</v>
      </c>
      <c r="S80" s="321">
        <f t="shared" ref="S80:S86" si="79">ABS(E80-L80)/E80*100</f>
        <v>1.636551175003663</v>
      </c>
      <c r="T80" s="321">
        <f t="shared" ref="T80:T86" si="80">ABS(F80-M80)/F80*100</f>
        <v>1.6067150886828947</v>
      </c>
      <c r="U80" s="321">
        <f t="shared" ref="U80:U86" si="81">ABS(G80-N80)/G80*100</f>
        <v>56.530028703564874</v>
      </c>
      <c r="W80">
        <v>2.0299999999999998</v>
      </c>
      <c r="X80" s="321">
        <v>24.599695086570481</v>
      </c>
      <c r="Y80" s="321">
        <v>16.557298661126048</v>
      </c>
      <c r="Z80" s="321">
        <v>8.4136873607033397E-2</v>
      </c>
      <c r="AA80" s="321">
        <v>24.193238475137012</v>
      </c>
      <c r="AB80" s="321" t="e">
        <v>#VALUE!</v>
      </c>
      <c r="AF80" s="320">
        <v>5.07</v>
      </c>
      <c r="AG80" s="191">
        <f t="shared" si="71"/>
        <v>1.0629028755588728</v>
      </c>
      <c r="AH80" s="191">
        <f t="shared" si="72"/>
        <v>4.6731751461120092</v>
      </c>
      <c r="AI80" s="191">
        <f t="shared" si="73"/>
        <v>15.407392627092033</v>
      </c>
      <c r="AJ80" s="191">
        <f t="shared" si="74"/>
        <v>40.51163836136071</v>
      </c>
      <c r="AK80" s="191">
        <f t="shared" si="75"/>
        <v>89.150623714988228</v>
      </c>
      <c r="AM80" s="320">
        <v>5.07</v>
      </c>
      <c r="AN80" s="191">
        <f t="shared" si="76"/>
        <v>0.45006291581499103</v>
      </c>
      <c r="AO80" s="191">
        <f t="shared" si="68"/>
        <v>1.649969465578575</v>
      </c>
      <c r="AP80" s="191">
        <f t="shared" si="68"/>
        <v>5.5531977015509577</v>
      </c>
      <c r="AQ80" s="191">
        <f t="shared" si="68"/>
        <v>18.867403334271234</v>
      </c>
      <c r="AR80" s="191">
        <f t="shared" si="68"/>
        <v>119.54622824448631</v>
      </c>
      <c r="AT80" s="320">
        <v>5.07</v>
      </c>
      <c r="AU80" s="191">
        <f t="shared" si="77"/>
        <v>0.37437603993344432</v>
      </c>
      <c r="AV80" s="191">
        <f t="shared" si="69"/>
        <v>1.4975041597337773</v>
      </c>
      <c r="AW80" s="191">
        <f t="shared" si="69"/>
        <v>5.6455906821963397</v>
      </c>
      <c r="AX80" s="191">
        <f t="shared" si="69"/>
        <v>18.569051580698833</v>
      </c>
      <c r="AY80" s="191">
        <f t="shared" si="69"/>
        <v>76.372712146422629</v>
      </c>
    </row>
    <row r="81" spans="2:51" ht="15">
      <c r="B81" s="320">
        <v>10.130000000000001</v>
      </c>
      <c r="C81" s="1">
        <v>5.0000000000000001E-4</v>
      </c>
      <c r="D81" s="1">
        <v>2E-3</v>
      </c>
      <c r="E81" s="1">
        <v>6.9199999999999999E-3</v>
      </c>
      <c r="F81" s="1">
        <v>1.9699999999999999E-2</v>
      </c>
      <c r="G81" s="1">
        <v>5.0200000000000002E-2</v>
      </c>
      <c r="I81" s="320">
        <v>10.130000000000001</v>
      </c>
      <c r="J81" s="79">
        <v>5.7007699163091159E-4</v>
      </c>
      <c r="K81" s="79">
        <v>2.0401956734727627E-3</v>
      </c>
      <c r="L81" s="79">
        <v>6.571413714526372E-3</v>
      </c>
      <c r="M81" s="79">
        <v>1.9894533653845765E-2</v>
      </c>
      <c r="N81" s="79">
        <v>5.9999680074675737E-2</v>
      </c>
      <c r="P81" s="320">
        <v>10.130000000000001</v>
      </c>
      <c r="Q81" s="321">
        <f t="shared" si="70"/>
        <v>14.015398326182316</v>
      </c>
      <c r="R81" s="321">
        <f t="shared" si="78"/>
        <v>2.0097836736381307</v>
      </c>
      <c r="S81" s="321">
        <f t="shared" si="79"/>
        <v>5.0373740675379759</v>
      </c>
      <c r="T81" s="321">
        <f t="shared" si="80"/>
        <v>0.98748047637444647</v>
      </c>
      <c r="U81" s="321">
        <f t="shared" si="81"/>
        <v>19.521275049154852</v>
      </c>
      <c r="W81">
        <v>5.07</v>
      </c>
      <c r="X81" s="321">
        <v>20.216805513248708</v>
      </c>
      <c r="Y81" s="321">
        <v>10.181294312524843</v>
      </c>
      <c r="Z81" s="321">
        <v>1.636551175003663</v>
      </c>
      <c r="AA81" s="321">
        <v>1.6067150886828947</v>
      </c>
      <c r="AB81" s="321">
        <v>56.530028703564874</v>
      </c>
      <c r="AF81" s="320">
        <v>10.130000000000001</v>
      </c>
      <c r="AG81" s="191">
        <f t="shared" si="71"/>
        <v>0.63777290579418322</v>
      </c>
      <c r="AH81" s="191">
        <f t="shared" si="72"/>
        <v>2.6795159968398723</v>
      </c>
      <c r="AI81" s="191">
        <f t="shared" si="73"/>
        <v>8.5915966555089174</v>
      </c>
      <c r="AJ81" s="191">
        <f t="shared" si="74"/>
        <v>22.204009974301815</v>
      </c>
      <c r="AK81" s="191">
        <f t="shared" si="75"/>
        <v>48.314394692465385</v>
      </c>
      <c r="AM81" s="320">
        <v>10.130000000000001</v>
      </c>
      <c r="AN81" s="191">
        <f t="shared" si="76"/>
        <v>0.42684633316790394</v>
      </c>
      <c r="AO81" s="191">
        <f t="shared" si="68"/>
        <v>1.5276007538481584</v>
      </c>
      <c r="AP81" s="191">
        <f t="shared" si="68"/>
        <v>4.9203596864174166</v>
      </c>
      <c r="AQ81" s="191">
        <f t="shared" si="68"/>
        <v>14.896073451298827</v>
      </c>
      <c r="AR81" s="191">
        <f t="shared" si="68"/>
        <v>44.924885247261365</v>
      </c>
      <c r="AT81" s="320">
        <v>10.130000000000001</v>
      </c>
      <c r="AU81" s="191">
        <f t="shared" si="77"/>
        <v>0.37437603993344432</v>
      </c>
      <c r="AV81" s="191">
        <f t="shared" si="69"/>
        <v>1.4975041597337773</v>
      </c>
      <c r="AW81" s="191">
        <f t="shared" si="69"/>
        <v>5.1813643926788693</v>
      </c>
      <c r="AX81" s="191">
        <f t="shared" si="69"/>
        <v>14.750415973377704</v>
      </c>
      <c r="AY81" s="191">
        <f t="shared" si="69"/>
        <v>37.587354409317811</v>
      </c>
    </row>
    <row r="82" spans="2:51" ht="15">
      <c r="B82" s="320">
        <v>20.27</v>
      </c>
      <c r="C82" s="1">
        <v>5.0000000000000001E-4</v>
      </c>
      <c r="D82" s="1">
        <v>2E-3</v>
      </c>
      <c r="E82" s="1">
        <v>5.8399999999999997E-3</v>
      </c>
      <c r="F82" s="1">
        <v>1.54E-2</v>
      </c>
      <c r="G82" s="1">
        <v>3.7199999999999997E-2</v>
      </c>
      <c r="I82" s="320">
        <v>20.27</v>
      </c>
      <c r="J82" s="79">
        <v>5.2151107979986539E-4</v>
      </c>
      <c r="K82" s="1">
        <v>1.8105975857500862E-3</v>
      </c>
      <c r="L82" s="79">
        <v>5.5845198237555599E-3</v>
      </c>
      <c r="M82" s="79">
        <v>1.5778269899527974E-2</v>
      </c>
      <c r="N82" s="79">
        <v>4.1935787903179166E-2</v>
      </c>
      <c r="P82" s="320">
        <v>20.27</v>
      </c>
      <c r="Q82" s="321">
        <f t="shared" si="70"/>
        <v>4.3022159599730765</v>
      </c>
      <c r="R82" s="321">
        <f t="shared" si="78"/>
        <v>9.4701207124956923</v>
      </c>
      <c r="S82" s="321">
        <f t="shared" si="79"/>
        <v>4.3746605521308188</v>
      </c>
      <c r="T82" s="321">
        <f t="shared" si="80"/>
        <v>2.4562980488829442</v>
      </c>
      <c r="U82" s="321">
        <f t="shared" si="81"/>
        <v>12.730612642954755</v>
      </c>
      <c r="W82">
        <v>10.130000000000001</v>
      </c>
      <c r="X82" s="321">
        <v>14.015398326182316</v>
      </c>
      <c r="Y82" s="321">
        <v>2.0097836736381307</v>
      </c>
      <c r="Z82" s="321">
        <v>5.0373740675379759</v>
      </c>
      <c r="AA82" s="321">
        <v>0.98748047637444647</v>
      </c>
      <c r="AB82" s="321">
        <v>19.521275049154852</v>
      </c>
      <c r="AF82" s="320">
        <v>20.27</v>
      </c>
      <c r="AG82" s="191">
        <f t="shared" si="71"/>
        <v>0.42468275797152111</v>
      </c>
      <c r="AH82" s="191">
        <f t="shared" si="72"/>
        <v>1.6802236555788066</v>
      </c>
      <c r="AI82" s="191">
        <f t="shared" si="73"/>
        <v>5.1752791187385805</v>
      </c>
      <c r="AJ82" s="191">
        <f t="shared" si="74"/>
        <v>13.027580372220232</v>
      </c>
      <c r="AK82" s="191">
        <f t="shared" si="75"/>
        <v>27.845835198186613</v>
      </c>
      <c r="AM82" s="320">
        <v>20.27</v>
      </c>
      <c r="AN82" s="191">
        <f t="shared" si="76"/>
        <v>0.39048250567377607</v>
      </c>
      <c r="AO82" s="191">
        <f t="shared" si="68"/>
        <v>1.3556887081323439</v>
      </c>
      <c r="AP82" s="191">
        <f t="shared" si="68"/>
        <v>4.1814208330948457</v>
      </c>
      <c r="AQ82" s="191">
        <f t="shared" si="68"/>
        <v>11.814012403972692</v>
      </c>
      <c r="AR82" s="191">
        <f t="shared" si="68"/>
        <v>31.399508413362103</v>
      </c>
      <c r="AT82" s="320">
        <v>20.27</v>
      </c>
      <c r="AU82" s="191">
        <f t="shared" si="77"/>
        <v>0.37437603993344432</v>
      </c>
      <c r="AV82" s="191">
        <f t="shared" si="69"/>
        <v>1.4975041597337773</v>
      </c>
      <c r="AW82" s="191">
        <f t="shared" si="69"/>
        <v>4.3727121464226286</v>
      </c>
      <c r="AX82" s="191">
        <f t="shared" si="69"/>
        <v>11.530782029950084</v>
      </c>
      <c r="AY82" s="191">
        <f t="shared" si="69"/>
        <v>27.853577371048253</v>
      </c>
    </row>
    <row r="83" spans="2:51" ht="15">
      <c r="B83" s="320">
        <v>30.4</v>
      </c>
      <c r="C83" s="1">
        <v>5.0000000000000001E-4</v>
      </c>
      <c r="D83" s="1">
        <v>2E-3</v>
      </c>
      <c r="E83" s="1">
        <v>5.0299999999999997E-3</v>
      </c>
      <c r="F83" s="1">
        <v>1.34E-2</v>
      </c>
      <c r="G83" s="1">
        <v>3.2000000000000001E-2</v>
      </c>
      <c r="I83" s="320">
        <v>30.4</v>
      </c>
      <c r="J83" s="1">
        <v>4.8434848959558771E-4</v>
      </c>
      <c r="K83" s="79">
        <v>1.6496749342274715E-3</v>
      </c>
      <c r="L83" s="79">
        <v>4.9710706172532149E-3</v>
      </c>
      <c r="M83" s="79">
        <v>1.3632498378607116E-2</v>
      </c>
      <c r="N83" s="79">
        <v>3.4791581262139645E-2</v>
      </c>
      <c r="P83" s="320">
        <v>30.4</v>
      </c>
      <c r="Q83" s="321">
        <f t="shared" si="70"/>
        <v>3.1303020808824598</v>
      </c>
      <c r="R83" s="321">
        <f t="shared" si="78"/>
        <v>17.516253288626427</v>
      </c>
      <c r="S83" s="321">
        <f t="shared" si="79"/>
        <v>1.1715583051050673</v>
      </c>
      <c r="T83" s="321">
        <f t="shared" si="80"/>
        <v>1.7350625269187725</v>
      </c>
      <c r="U83" s="321">
        <f t="shared" si="81"/>
        <v>8.7236914441863895</v>
      </c>
      <c r="W83">
        <v>20.27</v>
      </c>
      <c r="X83" s="321">
        <v>4.3022159599730765</v>
      </c>
      <c r="Y83" s="321">
        <v>9.4701207124956923</v>
      </c>
      <c r="Z83" s="321">
        <v>4.3746605521308188</v>
      </c>
      <c r="AA83" s="321">
        <v>2.4562980488829442</v>
      </c>
      <c r="AB83" s="321">
        <v>12.730612642954755</v>
      </c>
      <c r="AF83" s="320">
        <v>30.4</v>
      </c>
      <c r="AG83" s="191">
        <f t="shared" si="71"/>
        <v>0.35374610016079444</v>
      </c>
      <c r="AH83" s="191">
        <f t="shared" si="72"/>
        <v>1.3475641704302526</v>
      </c>
      <c r="AI83" s="191">
        <f t="shared" si="73"/>
        <v>4.0380038830935074</v>
      </c>
      <c r="AJ83" s="191">
        <f t="shared" si="74"/>
        <v>9.9727922777992113</v>
      </c>
      <c r="AK83" s="191">
        <f t="shared" si="75"/>
        <v>21.031952831684567</v>
      </c>
      <c r="AM83" s="320">
        <v>30.4</v>
      </c>
      <c r="AN83" s="191">
        <f t="shared" si="76"/>
        <v>0.36265693896508233</v>
      </c>
      <c r="AO83" s="191">
        <f t="shared" si="68"/>
        <v>1.2351975381070919</v>
      </c>
      <c r="AP83" s="191">
        <f t="shared" si="68"/>
        <v>3.7220994638335223</v>
      </c>
      <c r="AQ83" s="191">
        <f t="shared" si="68"/>
        <v>10.207361514764063</v>
      </c>
      <c r="AR83" s="191">
        <f t="shared" si="68"/>
        <v>26.050268831884928</v>
      </c>
      <c r="AT83" s="320">
        <v>30.4</v>
      </c>
      <c r="AU83" s="191">
        <f t="shared" si="77"/>
        <v>0.37437603993344432</v>
      </c>
      <c r="AV83" s="191">
        <f t="shared" si="69"/>
        <v>1.4975041597337773</v>
      </c>
      <c r="AW83" s="191">
        <f t="shared" si="69"/>
        <v>3.7662229617304495</v>
      </c>
      <c r="AX83" s="191">
        <f t="shared" si="69"/>
        <v>10.033277870216306</v>
      </c>
      <c r="AY83" s="191">
        <f t="shared" si="69"/>
        <v>23.960066555740436</v>
      </c>
    </row>
    <row r="84" spans="2:51" ht="15">
      <c r="B84" s="320">
        <v>40.53</v>
      </c>
      <c r="C84" s="1">
        <v>5.0000000000000001E-4</v>
      </c>
      <c r="D84" s="1">
        <v>2E-3</v>
      </c>
      <c r="E84" s="1">
        <v>4.4999999999999997E-3</v>
      </c>
      <c r="F84" s="1">
        <v>1.2200000000000001E-2</v>
      </c>
      <c r="G84" s="1">
        <v>2.8799999999999999E-2</v>
      </c>
      <c r="I84" s="320">
        <v>40.53</v>
      </c>
      <c r="J84" s="1">
        <v>4.5440940222491529E-4</v>
      </c>
      <c r="K84" s="1">
        <v>1.5268371013475866E-3</v>
      </c>
      <c r="L84" s="79">
        <v>4.5316470626984009E-3</v>
      </c>
      <c r="M84" s="79">
        <v>1.2209166467942961E-2</v>
      </c>
      <c r="N84" s="79">
        <v>3.0480263540279804E-2</v>
      </c>
      <c r="P84" s="320">
        <v>40.53</v>
      </c>
      <c r="Q84" s="321">
        <f t="shared" si="70"/>
        <v>9.1181195550169445</v>
      </c>
      <c r="R84" s="321">
        <f t="shared" si="78"/>
        <v>23.658144932620669</v>
      </c>
      <c r="S84" s="321">
        <f t="shared" si="79"/>
        <v>0.70326805996447239</v>
      </c>
      <c r="T84" s="321">
        <f t="shared" si="80"/>
        <v>7.51349831390173E-2</v>
      </c>
      <c r="U84" s="321">
        <f t="shared" si="81"/>
        <v>5.8342484037493225</v>
      </c>
      <c r="W84">
        <v>30.4</v>
      </c>
      <c r="X84" s="321">
        <v>3.1303020808824598</v>
      </c>
      <c r="Y84" s="321">
        <v>17.516253288626427</v>
      </c>
      <c r="Z84" s="321">
        <v>1.1715583051050673</v>
      </c>
      <c r="AA84" s="321">
        <v>1.7350625269187725</v>
      </c>
      <c r="AB84" s="321">
        <v>8.7236914441863895</v>
      </c>
      <c r="AF84" s="320">
        <v>40.53</v>
      </c>
      <c r="AG84" s="191">
        <f t="shared" si="71"/>
        <v>0.3182690201256741</v>
      </c>
      <c r="AH84" s="191">
        <f t="shared" si="72"/>
        <v>1.1811933891827522</v>
      </c>
      <c r="AI84" s="191">
        <f t="shared" si="73"/>
        <v>3.4692259648471304</v>
      </c>
      <c r="AJ84" s="191">
        <f t="shared" si="74"/>
        <v>8.4450213754080412</v>
      </c>
      <c r="AK84" s="191">
        <f t="shared" si="75"/>
        <v>17.624171051053022</v>
      </c>
      <c r="AM84" s="320">
        <v>40.53</v>
      </c>
      <c r="AN84" s="191">
        <f t="shared" si="76"/>
        <v>0.34023998502697483</v>
      </c>
      <c r="AO84" s="191">
        <f t="shared" si="68"/>
        <v>1.1432224552519368</v>
      </c>
      <c r="AP84" s="191">
        <f t="shared" si="68"/>
        <v>3.3930801634181043</v>
      </c>
      <c r="AQ84" s="191">
        <f t="shared" si="68"/>
        <v>9.141638786313365</v>
      </c>
      <c r="AR84" s="191">
        <f t="shared" si="68"/>
        <v>22.822160720675395</v>
      </c>
      <c r="AT84" s="320">
        <v>40.53</v>
      </c>
      <c r="AU84" s="191">
        <f t="shared" si="77"/>
        <v>0.37437603993344432</v>
      </c>
      <c r="AV84" s="191">
        <f t="shared" si="69"/>
        <v>1.4975041597337773</v>
      </c>
      <c r="AW84" s="191">
        <f t="shared" si="69"/>
        <v>3.369384359400998</v>
      </c>
      <c r="AX84" s="191">
        <f t="shared" si="69"/>
        <v>9.1347753743760407</v>
      </c>
      <c r="AY84" s="191">
        <f t="shared" si="69"/>
        <v>21.564059900166388</v>
      </c>
    </row>
    <row r="85" spans="2:51" ht="15">
      <c r="B85" s="320">
        <v>50.66</v>
      </c>
      <c r="C85" s="1">
        <v>5.0000000000000001E-4</v>
      </c>
      <c r="D85" s="1">
        <v>2E-3</v>
      </c>
      <c r="E85" s="1">
        <v>4.2399999999999998E-3</v>
      </c>
      <c r="F85" s="1">
        <v>1.2E-2</v>
      </c>
      <c r="G85" s="1">
        <v>2.58E-2</v>
      </c>
      <c r="I85" s="320">
        <v>50.66</v>
      </c>
      <c r="J85" s="1">
        <v>4.2949189214995791E-4</v>
      </c>
      <c r="K85" s="1">
        <v>1.4283726953444307E-3</v>
      </c>
      <c r="L85" s="79">
        <v>4.1935886944055945E-3</v>
      </c>
      <c r="M85" s="79">
        <v>1.116331710132825E-2</v>
      </c>
      <c r="N85" s="79">
        <v>2.7474854527329305E-2</v>
      </c>
      <c r="P85" s="320">
        <v>50.66</v>
      </c>
      <c r="Q85" s="321">
        <f t="shared" si="70"/>
        <v>14.101621570008419</v>
      </c>
      <c r="R85" s="321">
        <f t="shared" si="78"/>
        <v>28.581365232778467</v>
      </c>
      <c r="S85" s="321">
        <f t="shared" si="79"/>
        <v>1.0946062640189944</v>
      </c>
      <c r="T85" s="321">
        <f t="shared" si="80"/>
        <v>6.9723574889312498</v>
      </c>
      <c r="U85" s="321">
        <f t="shared" si="81"/>
        <v>6.4916842144546711</v>
      </c>
      <c r="W85">
        <v>40.53</v>
      </c>
      <c r="X85" s="321">
        <v>9.1181195550169445</v>
      </c>
      <c r="Y85" s="321">
        <v>23.658144932620669</v>
      </c>
      <c r="Z85" s="321">
        <v>0.70326805996447239</v>
      </c>
      <c r="AA85" s="321">
        <v>7.51349831390173E-2</v>
      </c>
      <c r="AB85" s="321">
        <v>5.8342484037493225</v>
      </c>
      <c r="AF85" s="320">
        <v>50.66</v>
      </c>
      <c r="AG85" s="191">
        <f t="shared" si="71"/>
        <v>0.29697997091391615</v>
      </c>
      <c r="AH85" s="191">
        <f t="shared" si="72"/>
        <v>1.0813577841704345</v>
      </c>
      <c r="AI85" s="191">
        <f t="shared" si="73"/>
        <v>3.1279143044703073</v>
      </c>
      <c r="AJ85" s="191">
        <f t="shared" si="74"/>
        <v>7.528238204608761</v>
      </c>
      <c r="AK85" s="191">
        <f t="shared" si="75"/>
        <v>15.579232911866312</v>
      </c>
      <c r="AM85" s="320">
        <v>50.66</v>
      </c>
      <c r="AN85" s="191">
        <f t="shared" si="76"/>
        <v>0.32158294753324634</v>
      </c>
      <c r="AO85" s="191">
        <f t="shared" si="68"/>
        <v>1.0694970264642161</v>
      </c>
      <c r="AP85" s="191">
        <f t="shared" si="68"/>
        <v>3.1399582570424585</v>
      </c>
      <c r="AQ85" s="191">
        <f t="shared" si="68"/>
        <v>8.3585568978331342</v>
      </c>
      <c r="AR85" s="191">
        <f t="shared" si="68"/>
        <v>20.571854471378018</v>
      </c>
      <c r="AT85" s="320">
        <v>50.66</v>
      </c>
      <c r="AU85" s="191">
        <f t="shared" si="77"/>
        <v>0.37437603993344432</v>
      </c>
      <c r="AV85" s="191">
        <f t="shared" si="69"/>
        <v>1.4975041597337773</v>
      </c>
      <c r="AW85" s="191">
        <f t="shared" si="69"/>
        <v>3.1747088186356076</v>
      </c>
      <c r="AX85" s="191">
        <f t="shared" si="69"/>
        <v>8.9850249584026631</v>
      </c>
      <c r="AY85" s="191">
        <f t="shared" si="69"/>
        <v>19.317803660565723</v>
      </c>
    </row>
    <row r="86" spans="2:51" ht="15">
      <c r="B86" s="320">
        <v>60.8</v>
      </c>
      <c r="C86" s="1">
        <v>5.0000000000000001E-4</v>
      </c>
      <c r="D86" s="1">
        <v>2E-3</v>
      </c>
      <c r="E86" s="1">
        <v>4.0200000000000001E-3</v>
      </c>
      <c r="F86" s="1">
        <v>1.01E-2</v>
      </c>
      <c r="G86" s="1">
        <v>2.3599999999999999E-2</v>
      </c>
      <c r="I86" s="320">
        <v>60.8</v>
      </c>
      <c r="J86" s="1">
        <v>4.0825134962356365E-4</v>
      </c>
      <c r="K86" s="1">
        <v>1.3467697891439252E-3</v>
      </c>
      <c r="L86" s="79">
        <v>3.9215294503268834E-3</v>
      </c>
      <c r="M86" s="79">
        <v>1.0347704018527358E-2</v>
      </c>
      <c r="N86" s="79">
        <v>2.5211284113963648E-2</v>
      </c>
      <c r="P86" s="320">
        <v>60.8</v>
      </c>
      <c r="Q86" s="321">
        <f t="shared" si="70"/>
        <v>18.349730075287273</v>
      </c>
      <c r="R86" s="321">
        <f t="shared" si="78"/>
        <v>32.661510542803747</v>
      </c>
      <c r="S86" s="321">
        <f t="shared" si="79"/>
        <v>2.449516161022804</v>
      </c>
      <c r="T86" s="321">
        <f t="shared" si="80"/>
        <v>2.4525150349243376</v>
      </c>
      <c r="U86" s="321">
        <f t="shared" si="81"/>
        <v>6.8274750591680018</v>
      </c>
      <c r="W86">
        <v>50.66</v>
      </c>
      <c r="X86" s="321">
        <v>14.101621570008419</v>
      </c>
      <c r="Y86" s="321">
        <v>28.581365232778467</v>
      </c>
      <c r="Z86" s="321">
        <v>1.0946062640189944</v>
      </c>
      <c r="AA86" s="321">
        <v>6.9723574889312498</v>
      </c>
      <c r="AB86" s="321">
        <v>6.4916842144546711</v>
      </c>
      <c r="AF86" s="320">
        <v>60.8</v>
      </c>
      <c r="AG86" s="191">
        <f t="shared" si="71"/>
        <v>0.28277442919221457</v>
      </c>
      <c r="AH86" s="191">
        <f t="shared" si="72"/>
        <v>1.0147404900767882</v>
      </c>
      <c r="AI86" s="191">
        <f t="shared" si="73"/>
        <v>2.9001673072531498</v>
      </c>
      <c r="AJ86" s="191">
        <f t="shared" si="74"/>
        <v>6.9164963906366221</v>
      </c>
      <c r="AK86" s="191">
        <f t="shared" si="75"/>
        <v>14.214707245850583</v>
      </c>
      <c r="AM86" s="320">
        <v>60.8</v>
      </c>
      <c r="AN86" s="191">
        <f t="shared" si="76"/>
        <v>0.3056790471391076</v>
      </c>
      <c r="AO86" s="191">
        <f t="shared" si="68"/>
        <v>1.0083966807234048</v>
      </c>
      <c r="AP86" s="191">
        <f t="shared" si="68"/>
        <v>2.9362533321915101</v>
      </c>
      <c r="AQ86" s="191">
        <f t="shared" si="68"/>
        <v>7.7478649057193199</v>
      </c>
      <c r="AR86" s="191">
        <f t="shared" si="68"/>
        <v>18.877001416445328</v>
      </c>
      <c r="AT86" s="320">
        <v>60.8</v>
      </c>
      <c r="AU86" s="191">
        <f t="shared" si="77"/>
        <v>0.37437603993344432</v>
      </c>
      <c r="AV86" s="191">
        <f t="shared" si="69"/>
        <v>1.4975041597337773</v>
      </c>
      <c r="AW86" s="191">
        <f t="shared" si="69"/>
        <v>3.0099833610648923</v>
      </c>
      <c r="AX86" s="191">
        <f t="shared" si="69"/>
        <v>7.5623960066555735</v>
      </c>
      <c r="AY86" s="191">
        <f t="shared" si="69"/>
        <v>17.670549084858571</v>
      </c>
    </row>
    <row r="87" spans="2:51" ht="15" customHeight="1">
      <c r="B87" s="453" t="s">
        <v>188</v>
      </c>
      <c r="C87" s="455" t="s">
        <v>189</v>
      </c>
      <c r="D87" s="456"/>
      <c r="E87" s="456"/>
      <c r="F87" s="456"/>
      <c r="G87" s="457"/>
      <c r="I87" s="453" t="s">
        <v>188</v>
      </c>
      <c r="J87" s="455" t="s">
        <v>189</v>
      </c>
      <c r="K87" s="456"/>
      <c r="L87" s="456"/>
      <c r="M87" s="456"/>
      <c r="N87" s="457"/>
      <c r="P87" s="453" t="s">
        <v>188</v>
      </c>
      <c r="Q87" s="455" t="s">
        <v>189</v>
      </c>
      <c r="R87" s="456"/>
      <c r="S87" s="456"/>
      <c r="T87" s="456"/>
      <c r="U87" s="457"/>
      <c r="W87">
        <v>60.8</v>
      </c>
      <c r="X87" s="321">
        <v>18.349730075287273</v>
      </c>
      <c r="Y87" s="321">
        <v>32.661510542803747</v>
      </c>
      <c r="Z87" s="321">
        <v>2.449516161022804</v>
      </c>
      <c r="AA87" s="321">
        <v>2.4525150349243376</v>
      </c>
      <c r="AB87" s="321">
        <v>6.8274750591680018</v>
      </c>
      <c r="AG87">
        <v>6.5559999999999993E-2</v>
      </c>
      <c r="AH87">
        <v>0.32579999999999998</v>
      </c>
      <c r="AI87">
        <v>1.1841999999999999</v>
      </c>
      <c r="AJ87">
        <v>3.395</v>
      </c>
      <c r="AK87">
        <v>8.1150000000000002</v>
      </c>
      <c r="AN87">
        <v>6.5559999999999993E-2</v>
      </c>
      <c r="AO87">
        <v>0.32579999999999998</v>
      </c>
      <c r="AP87">
        <v>1.1841999999999999</v>
      </c>
      <c r="AQ87">
        <v>3.395</v>
      </c>
      <c r="AR87">
        <v>8.1150000000000002</v>
      </c>
      <c r="AU87">
        <v>6.5559999999999993E-2</v>
      </c>
      <c r="AV87">
        <v>0.32579999999999998</v>
      </c>
      <c r="AW87">
        <v>1.1841999999999999</v>
      </c>
      <c r="AX87">
        <v>3.395</v>
      </c>
      <c r="AY87">
        <v>8.1150000000000002</v>
      </c>
    </row>
    <row r="88" spans="2:51" ht="15" customHeight="1">
      <c r="B88" s="454"/>
      <c r="C88" s="320">
        <v>204.4</v>
      </c>
      <c r="D88" s="320">
        <v>237.8</v>
      </c>
      <c r="E88" s="323"/>
      <c r="F88" s="326"/>
      <c r="G88" s="326"/>
      <c r="I88" s="454"/>
      <c r="J88" s="320">
        <v>204.4</v>
      </c>
      <c r="K88" s="320">
        <v>237.8</v>
      </c>
      <c r="L88" s="323"/>
      <c r="M88" s="326"/>
      <c r="N88" s="326"/>
      <c r="P88" s="454"/>
      <c r="Q88" s="320">
        <v>204.4</v>
      </c>
      <c r="R88" s="320">
        <v>237.8</v>
      </c>
      <c r="S88" s="323"/>
      <c r="T88" s="326"/>
      <c r="U88" s="326"/>
      <c r="W88" t="s">
        <v>188</v>
      </c>
      <c r="X88" s="321" t="s">
        <v>189</v>
      </c>
      <c r="Y88" s="321"/>
      <c r="Z88" s="321"/>
      <c r="AA88" s="321"/>
      <c r="AB88" s="321"/>
      <c r="AF88" s="453" t="s">
        <v>188</v>
      </c>
      <c r="AG88" s="455" t="s">
        <v>189</v>
      </c>
      <c r="AH88" s="456"/>
      <c r="AI88" s="456"/>
      <c r="AJ88" s="456"/>
      <c r="AK88" s="457"/>
      <c r="AM88" s="453" t="s">
        <v>188</v>
      </c>
      <c r="AN88" s="455" t="s">
        <v>189</v>
      </c>
      <c r="AO88" s="456"/>
      <c r="AP88" s="456"/>
      <c r="AQ88" s="456"/>
      <c r="AR88" s="457"/>
      <c r="AT88" s="453" t="s">
        <v>188</v>
      </c>
      <c r="AU88" s="455" t="s">
        <v>189</v>
      </c>
      <c r="AV88" s="456"/>
      <c r="AW88" s="456"/>
      <c r="AX88" s="456"/>
      <c r="AY88" s="457"/>
    </row>
    <row r="89" spans="2:51" ht="15" customHeight="1">
      <c r="B89" s="320">
        <v>1.01</v>
      </c>
      <c r="C89" s="1" t="s">
        <v>192</v>
      </c>
      <c r="D89" s="1" t="s">
        <v>192</v>
      </c>
      <c r="I89" s="320">
        <v>1.01</v>
      </c>
      <c r="J89" s="1" t="s">
        <v>192</v>
      </c>
      <c r="K89" s="1" t="s">
        <v>192</v>
      </c>
      <c r="P89" s="320">
        <v>1.01</v>
      </c>
      <c r="Q89" s="321" t="s">
        <v>192</v>
      </c>
      <c r="R89" s="321" t="s">
        <v>192</v>
      </c>
      <c r="X89" s="321">
        <v>204.4</v>
      </c>
      <c r="Y89" s="321">
        <v>237.8</v>
      </c>
      <c r="Z89" s="321"/>
      <c r="AA89" s="321"/>
      <c r="AB89" s="321"/>
      <c r="AF89" s="454"/>
      <c r="AG89" s="320">
        <v>204.4</v>
      </c>
      <c r="AH89" s="320">
        <v>237.8</v>
      </c>
      <c r="AI89" s="323"/>
      <c r="AJ89" s="326"/>
      <c r="AK89" s="326"/>
      <c r="AM89" s="454"/>
      <c r="AN89" s="320">
        <v>204.4</v>
      </c>
      <c r="AO89" s="320">
        <v>237.8</v>
      </c>
      <c r="AP89" s="323"/>
      <c r="AQ89" s="326"/>
      <c r="AR89" s="326"/>
      <c r="AT89" s="454"/>
      <c r="AU89" s="320">
        <v>204.4</v>
      </c>
      <c r="AV89" s="320">
        <v>237.8</v>
      </c>
      <c r="AW89" s="323"/>
      <c r="AX89" s="326"/>
      <c r="AY89" s="326"/>
    </row>
    <row r="90" spans="2:51" ht="15">
      <c r="B90" s="320">
        <v>2.0299999999999998</v>
      </c>
      <c r="C90" s="1" t="s">
        <v>192</v>
      </c>
      <c r="D90" s="1" t="s">
        <v>192</v>
      </c>
      <c r="I90" s="320">
        <v>2.0299999999999998</v>
      </c>
      <c r="J90" s="1" t="s">
        <v>192</v>
      </c>
      <c r="K90" s="1" t="s">
        <v>192</v>
      </c>
      <c r="P90" s="320">
        <v>2.0299999999999998</v>
      </c>
      <c r="Q90" s="321" t="s">
        <v>192</v>
      </c>
      <c r="R90" s="321" t="s">
        <v>192</v>
      </c>
      <c r="W90">
        <v>1.01</v>
      </c>
      <c r="X90" s="321" t="s">
        <v>192</v>
      </c>
      <c r="Y90" s="321" t="s">
        <v>192</v>
      </c>
      <c r="Z90" s="321"/>
      <c r="AA90" s="321"/>
      <c r="AB90" s="321"/>
      <c r="AF90" s="320">
        <v>1.01</v>
      </c>
      <c r="AG90" s="191">
        <f>($AG$99/AF90/10*47482+10^((-1713.3/(273.15+$AG$89))+6.694))*0.016*(10^(-7)*$AG$89^2-1.1*10^(-3)*$AG$89*2.006-0.079*(2.006)^2+0.73*10^(-3)*$AG$89+0.156*2.006+0.927)</f>
        <v>812.13287126357989</v>
      </c>
      <c r="AH90" s="1" t="s">
        <v>192</v>
      </c>
      <c r="AM90" s="320">
        <v>1.01</v>
      </c>
      <c r="AN90" s="191"/>
      <c r="AO90" s="191"/>
      <c r="AT90" s="320">
        <v>1.01</v>
      </c>
      <c r="AU90" s="191"/>
      <c r="AV90" s="191"/>
    </row>
    <row r="91" spans="2:51" ht="15">
      <c r="B91" s="320">
        <v>5.07</v>
      </c>
      <c r="C91" s="1">
        <v>0.33800000000000002</v>
      </c>
      <c r="D91" s="1">
        <v>0.67400000000000004</v>
      </c>
      <c r="I91" s="320">
        <v>5.07</v>
      </c>
      <c r="J91" s="1" t="s">
        <v>192</v>
      </c>
      <c r="K91" s="1" t="s">
        <v>192</v>
      </c>
      <c r="P91" s="320">
        <v>5.07</v>
      </c>
      <c r="Q91" s="321" t="e">
        <f t="shared" si="70"/>
        <v>#VALUE!</v>
      </c>
      <c r="R91" s="321" t="e">
        <f t="shared" si="70"/>
        <v>#VALUE!</v>
      </c>
      <c r="W91">
        <v>2.0299999999999998</v>
      </c>
      <c r="X91" s="321" t="s">
        <v>192</v>
      </c>
      <c r="Y91" s="321" t="s">
        <v>192</v>
      </c>
      <c r="Z91" s="321"/>
      <c r="AA91" s="321"/>
      <c r="AB91" s="321"/>
      <c r="AF91" s="320">
        <v>2.0299999999999998</v>
      </c>
      <c r="AG91" s="191">
        <f t="shared" ref="AG91:AG98" si="82">($AG$99/AF91/10*47482+10^((-1713.3/(273.15+$AG$89))+6.694))*0.016*(10^(-7)*$AG$89^2-1.1*10^(-3)*$AG$89*2.006-0.079*(2.006)^2+0.73*10^(-3)*$AG$89+0.156*2.006+0.927)</f>
        <v>410.47818202338442</v>
      </c>
      <c r="AH91" s="1" t="s">
        <v>192</v>
      </c>
      <c r="AM91" s="320">
        <v>2.0299999999999998</v>
      </c>
      <c r="AN91" s="191"/>
      <c r="AO91" s="191"/>
      <c r="AT91" s="320">
        <v>2.0299999999999998</v>
      </c>
      <c r="AU91" s="191"/>
      <c r="AV91" s="191"/>
    </row>
    <row r="92" spans="2:51" ht="15">
      <c r="B92" s="320">
        <v>10.130000000000001</v>
      </c>
      <c r="C92" s="1">
        <v>0.14199999999999999</v>
      </c>
      <c r="D92" s="1">
        <v>0.316</v>
      </c>
      <c r="I92" s="320">
        <v>10.130000000000001</v>
      </c>
      <c r="J92" s="1">
        <v>0.19803306646463961</v>
      </c>
      <c r="K92" s="1" t="s">
        <v>192</v>
      </c>
      <c r="P92" s="320">
        <v>10.130000000000001</v>
      </c>
      <c r="Q92" s="321">
        <f t="shared" si="70"/>
        <v>39.459905961013824</v>
      </c>
      <c r="R92" s="321" t="e">
        <f t="shared" si="70"/>
        <v>#VALUE!</v>
      </c>
      <c r="W92">
        <v>5.07</v>
      </c>
      <c r="X92" s="321" t="e">
        <v>#VALUE!</v>
      </c>
      <c r="Y92" s="321" t="e">
        <v>#VALUE!</v>
      </c>
      <c r="Z92" s="321"/>
      <c r="AA92" s="321"/>
      <c r="AB92" s="321"/>
      <c r="AF92" s="320">
        <v>5.07</v>
      </c>
      <c r="AG92" s="191">
        <f t="shared" si="82"/>
        <v>172.00493341699215</v>
      </c>
      <c r="AH92" s="1">
        <v>0.67400000000000004</v>
      </c>
      <c r="AM92" s="320">
        <v>5.07</v>
      </c>
      <c r="AN92" s="191"/>
      <c r="AO92" s="191"/>
      <c r="AT92" s="320">
        <v>5.07</v>
      </c>
      <c r="AU92" s="191">
        <f t="shared" ref="AU92:AV98" si="83">C91*18/0.02404</f>
        <v>253.07820299500835</v>
      </c>
      <c r="AV92" s="191">
        <f t="shared" si="83"/>
        <v>504.65890183028296</v>
      </c>
    </row>
    <row r="93" spans="2:51" ht="15">
      <c r="B93" s="320">
        <v>20.27</v>
      </c>
      <c r="C93" s="1">
        <v>8.5900000000000004E-2</v>
      </c>
      <c r="D93" s="1">
        <v>0.18099999999999999</v>
      </c>
      <c r="I93" s="320">
        <v>20.27</v>
      </c>
      <c r="J93" s="1">
        <v>0.10957558056007832</v>
      </c>
      <c r="K93" s="1">
        <v>0.29421512874777056</v>
      </c>
      <c r="P93" s="320">
        <v>20.27</v>
      </c>
      <c r="Q93" s="321">
        <f t="shared" si="70"/>
        <v>27.561793434317018</v>
      </c>
      <c r="R93" s="321">
        <f t="shared" si="70"/>
        <v>62.549794888271038</v>
      </c>
      <c r="W93">
        <v>10.130000000000001</v>
      </c>
      <c r="X93" s="321">
        <v>39.459905961013824</v>
      </c>
      <c r="Y93" s="321" t="e">
        <v>#VALUE!</v>
      </c>
      <c r="Z93" s="321"/>
      <c r="AA93" s="321"/>
      <c r="AB93" s="321"/>
      <c r="AF93" s="320">
        <v>10.130000000000001</v>
      </c>
      <c r="AG93" s="191">
        <f t="shared" si="82"/>
        <v>92.461708660045019</v>
      </c>
      <c r="AH93" s="1">
        <v>0.316</v>
      </c>
      <c r="AM93" s="320">
        <v>10.130000000000001</v>
      </c>
      <c r="AN93" s="191">
        <f t="shared" ref="AN93:AN98" si="84">J92*18/0.02404</f>
        <v>148.27767039781671</v>
      </c>
      <c r="AO93" s="191"/>
      <c r="AT93" s="320">
        <v>10.130000000000001</v>
      </c>
      <c r="AU93" s="191">
        <f t="shared" si="83"/>
        <v>106.32279534109816</v>
      </c>
      <c r="AV93" s="191">
        <f t="shared" si="83"/>
        <v>236.60565723793678</v>
      </c>
    </row>
    <row r="94" spans="2:51" ht="15">
      <c r="B94" s="320">
        <v>30.4</v>
      </c>
      <c r="C94" s="1">
        <v>7.0300000000000001E-2</v>
      </c>
      <c r="D94" s="1">
        <v>0.14299999999999999</v>
      </c>
      <c r="I94" s="320">
        <v>30.4</v>
      </c>
      <c r="J94" s="1">
        <v>8.5699494394099629E-2</v>
      </c>
      <c r="K94" s="1">
        <v>0.21208875296301899</v>
      </c>
      <c r="P94" s="320">
        <v>30.4</v>
      </c>
      <c r="Q94" s="321">
        <f t="shared" si="70"/>
        <v>21.905397431151673</v>
      </c>
      <c r="R94" s="321">
        <f t="shared" si="70"/>
        <v>48.313813260852449</v>
      </c>
      <c r="W94">
        <v>20.27</v>
      </c>
      <c r="X94" s="321">
        <v>27.561793434317018</v>
      </c>
      <c r="Y94" s="321">
        <v>62.549794888271038</v>
      </c>
      <c r="Z94" s="321"/>
      <c r="AA94" s="321"/>
      <c r="AB94" s="321"/>
      <c r="AF94" s="320">
        <v>20.27</v>
      </c>
      <c r="AG94" s="191">
        <f t="shared" si="82"/>
        <v>52.591836556859938</v>
      </c>
      <c r="AH94" s="1">
        <v>0.18099999999999999</v>
      </c>
      <c r="AM94" s="320">
        <v>20.27</v>
      </c>
      <c r="AN94" s="191">
        <f t="shared" si="84"/>
        <v>82.044943846980445</v>
      </c>
      <c r="AO94" s="191">
        <f>K93*18/0.02404</f>
        <v>220.2941895781976</v>
      </c>
      <c r="AT94" s="320">
        <v>20.27</v>
      </c>
      <c r="AU94" s="191">
        <f t="shared" si="83"/>
        <v>64.31780366056573</v>
      </c>
      <c r="AV94" s="191">
        <f t="shared" si="83"/>
        <v>135.52412645590684</v>
      </c>
    </row>
    <row r="95" spans="2:51" ht="15">
      <c r="B95" s="320">
        <v>40.53</v>
      </c>
      <c r="C95" s="1">
        <v>6.1600000000000002E-2</v>
      </c>
      <c r="D95" s="1">
        <v>0.127</v>
      </c>
      <c r="I95" s="320">
        <v>40.53</v>
      </c>
      <c r="J95" s="1">
        <v>7.2871741700006792E-2</v>
      </c>
      <c r="K95" s="1">
        <v>0.17285002971082902</v>
      </c>
      <c r="P95" s="320">
        <v>40.53</v>
      </c>
      <c r="Q95" s="321">
        <f t="shared" si="70"/>
        <v>18.298281980530504</v>
      </c>
      <c r="R95" s="321">
        <f t="shared" si="70"/>
        <v>36.102385599077969</v>
      </c>
      <c r="W95">
        <v>30.4</v>
      </c>
      <c r="X95" s="321">
        <v>21.905397431151673</v>
      </c>
      <c r="Y95" s="321">
        <v>48.313813260852449</v>
      </c>
      <c r="Z95" s="321"/>
      <c r="AA95" s="321"/>
      <c r="AB95" s="321"/>
      <c r="AF95" s="320">
        <v>30.4</v>
      </c>
      <c r="AG95" s="191">
        <f t="shared" si="82"/>
        <v>39.319353041128423</v>
      </c>
      <c r="AH95" s="1">
        <v>0.14299999999999999</v>
      </c>
      <c r="AM95" s="320">
        <v>30.4</v>
      </c>
      <c r="AN95" s="191">
        <f t="shared" si="84"/>
        <v>64.167674671122853</v>
      </c>
      <c r="AO95" s="191">
        <f>K94*18/0.02404</f>
        <v>158.8018948974352</v>
      </c>
      <c r="AT95" s="320">
        <v>30.4</v>
      </c>
      <c r="AU95" s="191">
        <f t="shared" si="83"/>
        <v>52.637271214642269</v>
      </c>
      <c r="AV95" s="191">
        <f t="shared" si="83"/>
        <v>107.07154742096506</v>
      </c>
    </row>
    <row r="96" spans="2:51" ht="15">
      <c r="B96" s="320">
        <v>50.66</v>
      </c>
      <c r="C96" s="1">
        <v>5.6500000000000002E-2</v>
      </c>
      <c r="D96" s="1">
        <v>0.11799999999999999</v>
      </c>
      <c r="I96" s="320">
        <v>50.66</v>
      </c>
      <c r="J96" s="1">
        <v>6.4471815879289546E-2</v>
      </c>
      <c r="K96" s="1">
        <v>0.14893148576038862</v>
      </c>
      <c r="P96" s="320">
        <v>50.66</v>
      </c>
      <c r="Q96" s="321">
        <f t="shared" si="70"/>
        <v>14.109408635910697</v>
      </c>
      <c r="R96" s="321">
        <f t="shared" si="70"/>
        <v>26.213123525753069</v>
      </c>
      <c r="W96">
        <v>40.53</v>
      </c>
      <c r="X96" s="321">
        <v>18.298281980530504</v>
      </c>
      <c r="Y96" s="321">
        <v>36.102385599077969</v>
      </c>
      <c r="Z96" s="321"/>
      <c r="AA96" s="321"/>
      <c r="AB96" s="321"/>
      <c r="AF96" s="320">
        <v>40.53</v>
      </c>
      <c r="AG96" s="191">
        <f t="shared" si="82"/>
        <v>32.681473917914062</v>
      </c>
      <c r="AH96" s="1">
        <v>0.127</v>
      </c>
      <c r="AM96" s="320">
        <v>40.53</v>
      </c>
      <c r="AN96" s="191">
        <f t="shared" si="84"/>
        <v>54.562868161402754</v>
      </c>
      <c r="AO96" s="191">
        <f>K95*18/0.02404</f>
        <v>129.42181925103671</v>
      </c>
      <c r="AT96" s="320">
        <v>40.53</v>
      </c>
      <c r="AU96" s="191">
        <f t="shared" si="83"/>
        <v>46.123128119800334</v>
      </c>
      <c r="AV96" s="191">
        <f t="shared" si="83"/>
        <v>95.091514143094841</v>
      </c>
    </row>
    <row r="97" spans="2:48" ht="15">
      <c r="B97" s="320">
        <v>60.8</v>
      </c>
      <c r="C97" s="1">
        <v>5.2200000000000003E-2</v>
      </c>
      <c r="D97" s="1">
        <v>0.112</v>
      </c>
      <c r="I97" s="320">
        <v>60.8</v>
      </c>
      <c r="J97" s="1">
        <v>5.8398197472724747E-2</v>
      </c>
      <c r="K97" s="1">
        <v>0.13246241190639466</v>
      </c>
      <c r="P97" s="320">
        <v>60.8</v>
      </c>
      <c r="Q97" s="321">
        <f t="shared" si="70"/>
        <v>11.873941518629778</v>
      </c>
      <c r="R97" s="321">
        <f t="shared" si="70"/>
        <v>18.270010630709514</v>
      </c>
      <c r="W97">
        <v>50.66</v>
      </c>
      <c r="X97" s="321">
        <v>88.589059136408935</v>
      </c>
      <c r="Y97" s="321">
        <v>26.213123525753069</v>
      </c>
      <c r="Z97" s="321"/>
      <c r="AA97" s="321"/>
      <c r="AB97" s="321"/>
      <c r="AF97" s="320">
        <v>50.66</v>
      </c>
      <c r="AG97" s="191">
        <f t="shared" si="82"/>
        <v>28.698222331934662</v>
      </c>
      <c r="AH97" s="1">
        <v>0.11799999999999999</v>
      </c>
      <c r="AM97" s="320">
        <v>50.66</v>
      </c>
      <c r="AN97" s="191">
        <f t="shared" si="84"/>
        <v>48.273406232413137</v>
      </c>
      <c r="AO97" s="191">
        <f>K96*18/0.02404</f>
        <v>111.51275972075686</v>
      </c>
      <c r="AT97" s="320">
        <v>50.66</v>
      </c>
      <c r="AU97" s="191">
        <f t="shared" si="83"/>
        <v>42.304492512479207</v>
      </c>
      <c r="AV97" s="191">
        <f t="shared" si="83"/>
        <v>88.352745424292834</v>
      </c>
    </row>
    <row r="98" spans="2:48" ht="15">
      <c r="W98">
        <v>60.8</v>
      </c>
      <c r="X98" s="321">
        <v>11.873941518629778</v>
      </c>
      <c r="Y98" s="321">
        <v>18.270010630709514</v>
      </c>
      <c r="Z98" s="321"/>
      <c r="AA98" s="321"/>
      <c r="AB98" s="321"/>
      <c r="AF98" s="320">
        <v>60.8</v>
      </c>
      <c r="AG98" s="191">
        <f t="shared" si="82"/>
        <v>26.040318447649753</v>
      </c>
      <c r="AH98" s="1">
        <v>0.112</v>
      </c>
      <c r="AM98" s="320">
        <v>60.8</v>
      </c>
      <c r="AN98" s="191">
        <f t="shared" si="84"/>
        <v>43.725771818179936</v>
      </c>
      <c r="AO98" s="191">
        <f>K97*18/0.02404</f>
        <v>99.181506419097502</v>
      </c>
      <c r="AT98" s="320">
        <v>60.8</v>
      </c>
      <c r="AU98" s="191">
        <f t="shared" si="83"/>
        <v>39.084858569051583</v>
      </c>
      <c r="AV98" s="191">
        <f t="shared" si="83"/>
        <v>83.860232945091525</v>
      </c>
    </row>
    <row r="99" spans="2:48">
      <c r="AG99">
        <v>17.02</v>
      </c>
    </row>
    <row r="100" spans="2:48" ht="13.5" thickBot="1"/>
    <row r="101" spans="2:48" ht="19.5" thickTop="1">
      <c r="B101" s="465" t="s">
        <v>185</v>
      </c>
      <c r="C101" s="468"/>
      <c r="D101" s="468"/>
      <c r="E101" s="468"/>
      <c r="F101" s="468"/>
      <c r="G101" s="469"/>
      <c r="I101" s="465" t="s">
        <v>186</v>
      </c>
      <c r="J101" s="466"/>
      <c r="K101" s="466"/>
      <c r="L101" s="466"/>
      <c r="M101" s="466"/>
      <c r="N101" s="467"/>
      <c r="P101" s="465" t="s">
        <v>190</v>
      </c>
      <c r="Q101" s="468"/>
      <c r="R101" s="468"/>
      <c r="S101" s="468"/>
      <c r="T101" s="468"/>
      <c r="U101" s="469"/>
      <c r="X101" s="451" t="s">
        <v>165</v>
      </c>
      <c r="Y101" s="422" t="s">
        <v>170</v>
      </c>
      <c r="Z101" s="423"/>
      <c r="AA101" s="424"/>
      <c r="AB101" s="422" t="s">
        <v>170</v>
      </c>
      <c r="AC101" s="423"/>
      <c r="AD101" s="424"/>
      <c r="AF101" s="465" t="s">
        <v>185</v>
      </c>
      <c r="AG101" s="468"/>
      <c r="AH101" s="468"/>
      <c r="AI101" s="468"/>
      <c r="AJ101" s="468"/>
      <c r="AK101" s="469"/>
      <c r="AM101" s="465" t="s">
        <v>254</v>
      </c>
      <c r="AN101" s="468"/>
      <c r="AO101" s="468"/>
      <c r="AP101" s="468"/>
      <c r="AQ101" s="468"/>
      <c r="AR101" s="469"/>
    </row>
    <row r="102" spans="2:48" ht="19.5">
      <c r="B102" s="458" t="s">
        <v>201</v>
      </c>
      <c r="C102" s="459"/>
      <c r="D102" s="459"/>
      <c r="E102" s="459"/>
      <c r="F102" s="459"/>
      <c r="G102" s="460"/>
      <c r="I102" s="458" t="s">
        <v>201</v>
      </c>
      <c r="J102" s="459"/>
      <c r="K102" s="459"/>
      <c r="L102" s="459"/>
      <c r="M102" s="459"/>
      <c r="N102" s="460"/>
      <c r="P102" s="458" t="s">
        <v>201</v>
      </c>
      <c r="Q102" s="459"/>
      <c r="R102" s="459"/>
      <c r="S102" s="459"/>
      <c r="T102" s="459"/>
      <c r="U102" s="460"/>
      <c r="X102" s="452"/>
      <c r="Y102" s="105" t="s">
        <v>174</v>
      </c>
      <c r="Z102" s="222" t="s">
        <v>175</v>
      </c>
      <c r="AA102" s="293" t="s">
        <v>168</v>
      </c>
      <c r="AB102" s="105" t="s">
        <v>176</v>
      </c>
      <c r="AC102" s="222" t="s">
        <v>177</v>
      </c>
      <c r="AD102" s="293"/>
      <c r="AF102" s="458" t="s">
        <v>201</v>
      </c>
      <c r="AG102" s="459"/>
      <c r="AH102" s="459"/>
      <c r="AI102" s="459"/>
      <c r="AJ102" s="459"/>
      <c r="AK102" s="460"/>
      <c r="AM102" s="458" t="s">
        <v>201</v>
      </c>
      <c r="AN102" s="459"/>
      <c r="AO102" s="459"/>
      <c r="AP102" s="459"/>
      <c r="AQ102" s="459"/>
      <c r="AR102" s="460"/>
    </row>
    <row r="103" spans="2:48" ht="15" customHeight="1">
      <c r="B103" s="453" t="s">
        <v>188</v>
      </c>
      <c r="C103" s="455" t="s">
        <v>189</v>
      </c>
      <c r="D103" s="456"/>
      <c r="E103" s="456"/>
      <c r="F103" s="456"/>
      <c r="G103" s="457"/>
      <c r="I103" s="453" t="s">
        <v>188</v>
      </c>
      <c r="J103" s="455" t="s">
        <v>189</v>
      </c>
      <c r="K103" s="456"/>
      <c r="L103" s="456"/>
      <c r="M103" s="456"/>
      <c r="N103" s="457"/>
      <c r="P103" s="453" t="s">
        <v>188</v>
      </c>
      <c r="Q103" s="455" t="s">
        <v>189</v>
      </c>
      <c r="R103" s="456"/>
      <c r="S103" s="456"/>
      <c r="T103" s="456"/>
      <c r="U103" s="457"/>
      <c r="X103" s="296" t="s">
        <v>172</v>
      </c>
      <c r="Y103" s="298">
        <v>-64.5</v>
      </c>
      <c r="Z103" s="299">
        <v>3500</v>
      </c>
      <c r="AA103" s="140">
        <v>0.08</v>
      </c>
      <c r="AB103" s="313">
        <v>-1.05</v>
      </c>
      <c r="AC103" s="191">
        <v>-1</v>
      </c>
      <c r="AF103" s="453" t="s">
        <v>188</v>
      </c>
      <c r="AG103" s="455" t="s">
        <v>189</v>
      </c>
      <c r="AH103" s="456"/>
      <c r="AI103" s="456"/>
      <c r="AJ103" s="456"/>
      <c r="AK103" s="457"/>
      <c r="AM103" s="453" t="s">
        <v>188</v>
      </c>
      <c r="AN103" s="455" t="s">
        <v>189</v>
      </c>
      <c r="AO103" s="456"/>
      <c r="AP103" s="456"/>
      <c r="AQ103" s="456"/>
      <c r="AR103" s="457"/>
    </row>
    <row r="104" spans="2:48" ht="15" customHeight="1">
      <c r="B104" s="454"/>
      <c r="C104" s="320">
        <v>25</v>
      </c>
      <c r="D104" s="320">
        <v>50</v>
      </c>
      <c r="E104" s="320">
        <v>75</v>
      </c>
      <c r="F104" s="320">
        <v>100</v>
      </c>
      <c r="G104" s="320">
        <v>150</v>
      </c>
      <c r="I104" s="454"/>
      <c r="J104" s="320">
        <v>25</v>
      </c>
      <c r="K104" s="320">
        <v>50</v>
      </c>
      <c r="L104" s="320">
        <v>75</v>
      </c>
      <c r="M104" s="320">
        <v>100</v>
      </c>
      <c r="N104" s="320">
        <v>150</v>
      </c>
      <c r="P104" s="454"/>
      <c r="Q104" s="320">
        <v>37.799999999999997</v>
      </c>
      <c r="R104" s="320">
        <v>71.099999999999994</v>
      </c>
      <c r="S104" s="320">
        <v>104.4</v>
      </c>
      <c r="T104" s="320">
        <v>137.80000000000001</v>
      </c>
      <c r="U104" s="320">
        <v>171.1</v>
      </c>
      <c r="X104" s="321" t="s">
        <v>188</v>
      </c>
      <c r="Y104" s="321" t="s">
        <v>189</v>
      </c>
      <c r="Z104" s="321"/>
      <c r="AA104" s="321"/>
      <c r="AB104" s="321"/>
      <c r="AC104" s="321"/>
      <c r="AF104" s="454"/>
      <c r="AG104" s="320">
        <v>25</v>
      </c>
      <c r="AH104" s="320">
        <v>50</v>
      </c>
      <c r="AI104" s="320">
        <v>75</v>
      </c>
      <c r="AJ104" s="320">
        <v>100</v>
      </c>
      <c r="AK104" s="320">
        <v>150</v>
      </c>
      <c r="AM104" s="454"/>
      <c r="AN104" s="320">
        <v>25</v>
      </c>
      <c r="AO104" s="320">
        <v>50</v>
      </c>
      <c r="AP104" s="320">
        <v>75</v>
      </c>
      <c r="AQ104" s="320">
        <v>100</v>
      </c>
      <c r="AR104" s="320">
        <v>150</v>
      </c>
    </row>
    <row r="105" spans="2:48" ht="15">
      <c r="B105" s="320">
        <v>5.07</v>
      </c>
      <c r="C105" s="1">
        <v>6.6E-4</v>
      </c>
      <c r="D105" s="1">
        <v>2.7499999999999998E-3</v>
      </c>
      <c r="E105" s="1">
        <v>8.3499999999999998E-3</v>
      </c>
      <c r="F105" s="1">
        <v>2.1499999999999998E-2</v>
      </c>
      <c r="G105" s="1">
        <v>8.8999999999999996E-2</v>
      </c>
      <c r="I105" s="320">
        <v>5.07</v>
      </c>
      <c r="J105" s="1">
        <v>6.7233276506243234E-4</v>
      </c>
      <c r="K105" s="1">
        <v>2.6091618493785619E-3</v>
      </c>
      <c r="L105" s="1">
        <v>8.1829464574806176E-3</v>
      </c>
      <c r="M105" s="1">
        <v>2.1810376171115378E-2</v>
      </c>
      <c r="N105" s="1">
        <v>0.11237834403282697</v>
      </c>
      <c r="P105" s="320">
        <v>5.07</v>
      </c>
      <c r="Q105" s="321">
        <f>ABS(C105-J105)/C105*100</f>
        <v>1.8686007670352032</v>
      </c>
      <c r="R105" s="321">
        <f>ABS(D105-K105)/D105*100</f>
        <v>5.1213872953250172</v>
      </c>
      <c r="S105" s="321">
        <f>ABS(E105-L105)/E105*100</f>
        <v>2.0006412277770322</v>
      </c>
      <c r="T105" s="321">
        <f>ABS(F105-M105)/F105*100</f>
        <v>1.4436100982110696</v>
      </c>
      <c r="U105" s="321">
        <f>ABS(G105-N105)/G105*100</f>
        <v>26.267802284075252</v>
      </c>
      <c r="X105" s="321"/>
      <c r="Y105" s="321">
        <v>37.799999999999997</v>
      </c>
      <c r="Z105" s="321">
        <v>71.099999999999994</v>
      </c>
      <c r="AA105" s="321">
        <v>104.4</v>
      </c>
      <c r="AB105" s="321">
        <v>137.80000000000001</v>
      </c>
      <c r="AC105" s="321">
        <v>171.1</v>
      </c>
      <c r="AF105" s="320">
        <v>5.07</v>
      </c>
      <c r="AG105" s="191">
        <f>C105*18/0.02404</f>
        <v>0.49417637271214643</v>
      </c>
      <c r="AH105" s="191">
        <f>D105*18/0.02404</f>
        <v>2.0590682196339434</v>
      </c>
      <c r="AI105" s="191">
        <f>E105*18/0.02404</f>
        <v>6.2520798668885194</v>
      </c>
      <c r="AJ105" s="191">
        <f>F105*18/0.02404</f>
        <v>16.098169717138102</v>
      </c>
      <c r="AK105" s="191">
        <f>G105*18/0.02404</f>
        <v>66.638935108153078</v>
      </c>
      <c r="AM105" s="320">
        <v>5.07</v>
      </c>
      <c r="AN105" s="191">
        <f>J105*18/0.02404</f>
        <v>0.50341055620315234</v>
      </c>
      <c r="AO105" s="191">
        <f t="shared" ref="AO105:AR111" si="85">K105*18/0.02404</f>
        <v>1.9536153614315357</v>
      </c>
      <c r="AP105" s="191">
        <f t="shared" si="85"/>
        <v>6.126998179478</v>
      </c>
      <c r="AQ105" s="191">
        <f t="shared" si="85"/>
        <v>16.330564520801865</v>
      </c>
      <c r="AR105" s="191">
        <f t="shared" si="85"/>
        <v>84.143518826575928</v>
      </c>
    </row>
    <row r="106" spans="2:48" ht="15" customHeight="1">
      <c r="B106" s="320">
        <v>10.130000000000001</v>
      </c>
      <c r="C106" s="1">
        <v>4.4999999999999999E-4</v>
      </c>
      <c r="D106" s="1">
        <v>1.58E-3</v>
      </c>
      <c r="E106" s="1">
        <v>5.0000000000000001E-3</v>
      </c>
      <c r="F106" s="1">
        <v>1.17E-2</v>
      </c>
      <c r="G106" s="1">
        <v>5.0999999999999997E-2</v>
      </c>
      <c r="I106" s="320">
        <v>10.130000000000001</v>
      </c>
      <c r="J106" s="1">
        <v>4.1915650344541964E-4</v>
      </c>
      <c r="K106" s="1">
        <v>1.5434958559685664E-3</v>
      </c>
      <c r="L106" s="1">
        <v>4.6521655671434708E-3</v>
      </c>
      <c r="M106" s="1">
        <v>1.1989770066105522E-2</v>
      </c>
      <c r="N106" s="1">
        <v>5.7219350202186769E-2</v>
      </c>
      <c r="P106" s="320">
        <v>10.130000000000001</v>
      </c>
      <c r="Q106" s="321">
        <f>ABS(C106-J106)/C106*100</f>
        <v>6.8541103454623</v>
      </c>
      <c r="R106" s="321">
        <f t="shared" ref="R106:R111" si="86">ABS(D106-K106)/D106*100</f>
        <v>2.3103888627489635</v>
      </c>
      <c r="S106" s="321">
        <f t="shared" ref="S106:S111" si="87">ABS(E106-L106)/E106*100</f>
        <v>6.9566886571305844</v>
      </c>
      <c r="T106" s="321">
        <f t="shared" ref="T106:T111" si="88">ABS(F106-M106)/F106*100</f>
        <v>2.4766672316711285</v>
      </c>
      <c r="U106" s="321">
        <f t="shared" ref="U106:U111" si="89">ABS(G106-N106)/G106*100</f>
        <v>12.194804318013281</v>
      </c>
      <c r="X106" s="321">
        <v>5.07</v>
      </c>
      <c r="Y106" s="321">
        <v>2.7046830359797451</v>
      </c>
      <c r="Z106" s="321">
        <v>4.2248912552461722</v>
      </c>
      <c r="AA106" s="321">
        <v>0.70795033224600046</v>
      </c>
      <c r="AB106" s="321">
        <v>3.5294878903364322</v>
      </c>
      <c r="AC106" s="321">
        <v>32.358812213827612</v>
      </c>
      <c r="AF106" s="320">
        <v>10.130000000000001</v>
      </c>
      <c r="AG106" s="191">
        <f>C106*18/0.02404</f>
        <v>0.33693843594009981</v>
      </c>
      <c r="AH106" s="191">
        <f t="shared" ref="AH106:AH111" si="90">D106*18/0.02404</f>
        <v>1.1830282861896839</v>
      </c>
      <c r="AI106" s="191">
        <f>E106*18/0.02404</f>
        <v>3.7437603993344428</v>
      </c>
      <c r="AJ106" s="191">
        <f t="shared" ref="AJ106:AJ111" si="91">F106*18/0.02404</f>
        <v>8.7603993344425959</v>
      </c>
      <c r="AK106" s="191">
        <f t="shared" ref="AK106:AK111" si="92">G106*18/0.02404</f>
        <v>38.186356073211314</v>
      </c>
      <c r="AM106" s="320">
        <v>10.130000000000001</v>
      </c>
      <c r="AN106" s="191">
        <f t="shared" ref="AN106:AN111" si="93">J106*18/0.02404</f>
        <v>0.31384430374449057</v>
      </c>
      <c r="AO106" s="191">
        <f t="shared" si="85"/>
        <v>1.1556957324223875</v>
      </c>
      <c r="AP106" s="191">
        <f t="shared" si="85"/>
        <v>3.4833186442837971</v>
      </c>
      <c r="AQ106" s="191">
        <f t="shared" si="85"/>
        <v>8.9773652741222723</v>
      </c>
      <c r="AR106" s="191">
        <f t="shared" si="85"/>
        <v>42.843107472519208</v>
      </c>
    </row>
    <row r="107" spans="2:48" ht="15">
      <c r="B107" s="320">
        <v>15.2</v>
      </c>
      <c r="C107" s="1" t="s">
        <v>192</v>
      </c>
      <c r="D107" s="1">
        <v>1.2999999999999999E-3</v>
      </c>
      <c r="E107" s="1">
        <v>4.5599999999999998E-3</v>
      </c>
      <c r="F107" s="1">
        <v>8.6700000000000006E-3</v>
      </c>
      <c r="G107" s="1">
        <v>3.5999999999999997E-2</v>
      </c>
      <c r="I107" s="320">
        <v>15.2</v>
      </c>
      <c r="J107" s="1">
        <v>3.401196509064694E-4</v>
      </c>
      <c r="K107" s="1">
        <v>1.1966361173154068E-3</v>
      </c>
      <c r="L107" s="1">
        <v>3.4869325192295767E-3</v>
      </c>
      <c r="M107" s="1">
        <v>8.7516966037394714E-3</v>
      </c>
      <c r="N107" s="1">
        <v>3.9898341927986455E-2</v>
      </c>
      <c r="P107" s="320">
        <v>15.2</v>
      </c>
      <c r="Q107" s="321" t="s">
        <v>192</v>
      </c>
      <c r="R107" s="321">
        <f t="shared" si="86"/>
        <v>7.9510678988148582</v>
      </c>
      <c r="S107" s="321">
        <f t="shared" si="87"/>
        <v>23.532181595842612</v>
      </c>
      <c r="T107" s="321">
        <f t="shared" si="88"/>
        <v>0.94229070057059694</v>
      </c>
      <c r="U107" s="321">
        <f t="shared" si="89"/>
        <v>10.828727577740162</v>
      </c>
      <c r="X107" s="321">
        <v>10.130000000000001</v>
      </c>
      <c r="Y107" s="321">
        <v>5.4611204816990844</v>
      </c>
      <c r="Z107" s="321">
        <v>0.79401578753641111</v>
      </c>
      <c r="AA107" s="321">
        <v>5.2038770160798933</v>
      </c>
      <c r="AB107" s="321">
        <v>5.1489857663986518</v>
      </c>
      <c r="AC107" s="321">
        <v>18.567819332809904</v>
      </c>
      <c r="AF107" s="320">
        <v>15.2</v>
      </c>
      <c r="AG107" s="1" t="s">
        <v>192</v>
      </c>
      <c r="AH107" s="191">
        <f t="shared" si="90"/>
        <v>0.97337770382695499</v>
      </c>
      <c r="AI107" s="191"/>
      <c r="AJ107" s="191">
        <f t="shared" si="91"/>
        <v>6.4916805324459244</v>
      </c>
      <c r="AK107" s="191">
        <f t="shared" si="92"/>
        <v>26.955074875207984</v>
      </c>
      <c r="AM107" s="320">
        <v>15.2</v>
      </c>
      <c r="AN107" s="191">
        <f t="shared" si="93"/>
        <v>0.25466529601981902</v>
      </c>
      <c r="AO107" s="191">
        <f t="shared" si="85"/>
        <v>0.89598378168374881</v>
      </c>
      <c r="AP107" s="191">
        <f t="shared" si="85"/>
        <v>2.610847976128635</v>
      </c>
      <c r="AQ107" s="191">
        <f t="shared" si="85"/>
        <v>6.5528510344139148</v>
      </c>
      <c r="AR107" s="191">
        <f t="shared" si="85"/>
        <v>29.873966501820142</v>
      </c>
    </row>
    <row r="108" spans="2:48" ht="15">
      <c r="B108" s="320">
        <v>20.27</v>
      </c>
      <c r="C108" s="1" t="s">
        <v>192</v>
      </c>
      <c r="D108" s="1">
        <v>1.1299999999999999E-3</v>
      </c>
      <c r="E108" s="1">
        <v>4.4799999999999996E-3</v>
      </c>
      <c r="F108" s="1">
        <v>6.8500000000000002E-3</v>
      </c>
      <c r="G108" s="1">
        <v>0.03</v>
      </c>
      <c r="I108" s="320">
        <v>20.27</v>
      </c>
      <c r="J108" s="1">
        <v>3.0348874937861388E-4</v>
      </c>
      <c r="K108" s="1">
        <v>1.0272465482077107E-3</v>
      </c>
      <c r="L108" s="1">
        <v>2.9080049615866493E-3</v>
      </c>
      <c r="M108" s="1">
        <v>7.1366104087143183E-3</v>
      </c>
      <c r="N108" s="1">
        <v>3.1397961591673469E-2</v>
      </c>
      <c r="P108" s="320">
        <v>20.27</v>
      </c>
      <c r="Q108" s="321" t="s">
        <v>192</v>
      </c>
      <c r="R108" s="321">
        <f t="shared" si="86"/>
        <v>9.0932258223264846</v>
      </c>
      <c r="S108" s="321">
        <f t="shared" si="87"/>
        <v>35.089174964583712</v>
      </c>
      <c r="T108" s="321">
        <f t="shared" si="88"/>
        <v>4.1840935578732568</v>
      </c>
      <c r="U108" s="321">
        <f t="shared" si="89"/>
        <v>4.6598719722449014</v>
      </c>
      <c r="X108" s="321">
        <v>15.2</v>
      </c>
      <c r="Y108" s="321" t="s">
        <v>192</v>
      </c>
      <c r="Z108" s="321">
        <v>6.0181253212746713</v>
      </c>
      <c r="AA108" s="321">
        <v>21.704745817463618</v>
      </c>
      <c r="AB108" s="321">
        <v>4.0569070968037986</v>
      </c>
      <c r="AC108" s="321">
        <v>17.704221132754917</v>
      </c>
      <c r="AF108" s="320">
        <v>20.27</v>
      </c>
      <c r="AG108" s="1" t="s">
        <v>192</v>
      </c>
      <c r="AH108" s="191">
        <f t="shared" si="90"/>
        <v>0.84608985024958394</v>
      </c>
      <c r="AI108" s="191"/>
      <c r="AJ108" s="191">
        <f t="shared" si="91"/>
        <v>5.1289517470881867</v>
      </c>
      <c r="AK108" s="191">
        <f t="shared" si="92"/>
        <v>22.462562396006657</v>
      </c>
      <c r="AM108" s="320">
        <v>20.27</v>
      </c>
      <c r="AN108" s="191">
        <f t="shared" si="93"/>
        <v>0.22723783231343803</v>
      </c>
      <c r="AO108" s="191">
        <f t="shared" si="85"/>
        <v>0.76915298950660538</v>
      </c>
      <c r="AP108" s="191">
        <f t="shared" si="85"/>
        <v>2.177374763251235</v>
      </c>
      <c r="AQ108" s="191">
        <f t="shared" si="85"/>
        <v>5.3435518867245317</v>
      </c>
      <c r="AR108" s="191">
        <f t="shared" si="85"/>
        <v>23.509289045346193</v>
      </c>
    </row>
    <row r="109" spans="2:48" ht="15">
      <c r="B109" s="320">
        <v>30.4</v>
      </c>
      <c r="C109" s="1" t="s">
        <v>192</v>
      </c>
      <c r="D109" s="1">
        <v>8.9999999999999998E-4</v>
      </c>
      <c r="E109" s="1">
        <v>4.1000000000000003E-3</v>
      </c>
      <c r="F109" s="1">
        <v>5.2599999999999999E-3</v>
      </c>
      <c r="G109" s="1">
        <v>2.5000000000000001E-2</v>
      </c>
      <c r="I109" s="320">
        <v>30.4</v>
      </c>
      <c r="J109" s="1">
        <v>2.6984291515987904E-4</v>
      </c>
      <c r="K109" s="1">
        <v>8.6051303253650803E-4</v>
      </c>
      <c r="L109" s="1">
        <v>2.3269442146866574E-3</v>
      </c>
      <c r="M109" s="1">
        <v>5.5089191399748764E-3</v>
      </c>
      <c r="N109" s="1">
        <v>2.2935687470517226E-2</v>
      </c>
      <c r="P109" s="320">
        <v>30.4</v>
      </c>
      <c r="Q109" s="321" t="s">
        <v>192</v>
      </c>
      <c r="R109" s="321">
        <f t="shared" si="86"/>
        <v>4.3874408292768834</v>
      </c>
      <c r="S109" s="321">
        <f t="shared" si="87"/>
        <v>43.245263056422992</v>
      </c>
      <c r="T109" s="321">
        <f t="shared" si="88"/>
        <v>4.7323030413474623</v>
      </c>
      <c r="U109" s="321">
        <f t="shared" si="89"/>
        <v>8.257250117931104</v>
      </c>
      <c r="X109" s="321">
        <v>20.27</v>
      </c>
      <c r="Y109" s="321" t="s">
        <v>192</v>
      </c>
      <c r="Z109" s="321">
        <v>6.7431907586758255</v>
      </c>
      <c r="AA109" s="321">
        <v>33.246827235643956</v>
      </c>
      <c r="AB109" s="321">
        <v>7.8345871147454087</v>
      </c>
      <c r="AC109" s="321">
        <v>11.56257467424903</v>
      </c>
      <c r="AF109" s="320">
        <v>30.4</v>
      </c>
      <c r="AG109" s="1" t="s">
        <v>192</v>
      </c>
      <c r="AH109" s="191">
        <f t="shared" si="90"/>
        <v>0.67387687188019962</v>
      </c>
      <c r="AI109" s="191"/>
      <c r="AJ109" s="191">
        <f t="shared" si="91"/>
        <v>3.9384359400998337</v>
      </c>
      <c r="AK109" s="191">
        <f t="shared" si="92"/>
        <v>18.718801996672216</v>
      </c>
      <c r="AM109" s="320">
        <v>30.4</v>
      </c>
      <c r="AN109" s="191">
        <f t="shared" si="93"/>
        <v>0.20204544396330379</v>
      </c>
      <c r="AO109" s="191">
        <f t="shared" si="85"/>
        <v>0.64431092286427394</v>
      </c>
      <c r="AP109" s="191">
        <f t="shared" si="85"/>
        <v>1.7423043204808584</v>
      </c>
      <c r="AQ109" s="191">
        <f t="shared" si="85"/>
        <v>4.1248146638746999</v>
      </c>
      <c r="AR109" s="191">
        <f t="shared" si="85"/>
        <v>17.173143696726708</v>
      </c>
    </row>
    <row r="110" spans="2:48" ht="15">
      <c r="B110" s="320">
        <v>40.53</v>
      </c>
      <c r="C110" s="1" t="s">
        <v>192</v>
      </c>
      <c r="D110" s="1">
        <v>6.9999999999999999E-4</v>
      </c>
      <c r="E110" s="1">
        <v>3.7000000000000002E-3</v>
      </c>
      <c r="F110" s="1">
        <v>4.45E-3</v>
      </c>
      <c r="G110" s="1">
        <v>2.1000000000000001E-2</v>
      </c>
      <c r="I110" s="320">
        <v>40.53</v>
      </c>
      <c r="J110" s="1">
        <v>2.5374603370216802E-4</v>
      </c>
      <c r="K110" s="1">
        <v>7.7562430395534065E-4</v>
      </c>
      <c r="L110" s="1">
        <v>2.027639668240694E-3</v>
      </c>
      <c r="M110" s="1">
        <v>4.6714398109349081E-3</v>
      </c>
      <c r="N110" s="1">
        <v>1.8652097317614132E-2</v>
      </c>
      <c r="P110" s="320">
        <v>40.53</v>
      </c>
      <c r="Q110" s="321" t="s">
        <v>192</v>
      </c>
      <c r="R110" s="321">
        <f t="shared" si="86"/>
        <v>10.803471993620093</v>
      </c>
      <c r="S110" s="321">
        <f t="shared" si="87"/>
        <v>45.198927885386652</v>
      </c>
      <c r="T110" s="321">
        <f t="shared" si="88"/>
        <v>4.9761755266271486</v>
      </c>
      <c r="U110" s="321">
        <f t="shared" si="89"/>
        <v>11.180488963742233</v>
      </c>
      <c r="X110" s="321">
        <v>30.4</v>
      </c>
      <c r="Y110" s="321" t="s">
        <v>192</v>
      </c>
      <c r="Z110" s="321">
        <v>1.1511220953876604</v>
      </c>
      <c r="AA110" s="321">
        <v>41.213197565953649</v>
      </c>
      <c r="AB110" s="321">
        <v>9.1197287059858532</v>
      </c>
      <c r="AC110" s="321">
        <v>1.694097524931812</v>
      </c>
      <c r="AF110" s="320">
        <v>40.53</v>
      </c>
      <c r="AG110" s="1" t="s">
        <v>192</v>
      </c>
      <c r="AH110" s="191">
        <f t="shared" si="90"/>
        <v>0.52412645590682194</v>
      </c>
      <c r="AI110" s="191"/>
      <c r="AJ110" s="191">
        <f t="shared" si="91"/>
        <v>3.3319467554076541</v>
      </c>
      <c r="AK110" s="191">
        <f t="shared" si="92"/>
        <v>15.723793677204659</v>
      </c>
      <c r="AM110" s="320">
        <v>40.53</v>
      </c>
      <c r="AN110" s="191">
        <f t="shared" si="93"/>
        <v>0.18999287049247188</v>
      </c>
      <c r="AO110" s="191">
        <f t="shared" si="85"/>
        <v>0.58075031078186912</v>
      </c>
      <c r="AP110" s="191">
        <f t="shared" si="85"/>
        <v>1.5181994188158274</v>
      </c>
      <c r="AQ110" s="191">
        <f t="shared" si="85"/>
        <v>3.4977502744104974</v>
      </c>
      <c r="AR110" s="191">
        <f t="shared" si="85"/>
        <v>13.965796660443194</v>
      </c>
    </row>
    <row r="111" spans="2:48" ht="15">
      <c r="B111" s="320">
        <v>50.66</v>
      </c>
      <c r="C111" s="1" t="s">
        <v>192</v>
      </c>
      <c r="D111" s="1">
        <v>6.2E-4</v>
      </c>
      <c r="E111" s="1">
        <v>3.3999999999999998E-3</v>
      </c>
      <c r="F111" s="1">
        <v>4.2500000000000003E-3</v>
      </c>
      <c r="G111" s="1">
        <v>1.9E-2</v>
      </c>
      <c r="I111" s="320">
        <v>50.66</v>
      </c>
      <c r="J111" s="1">
        <v>2.4353830734259632E-4</v>
      </c>
      <c r="K111" s="1">
        <v>7.216145983834567E-4</v>
      </c>
      <c r="L111" s="1">
        <v>1.8387080174577335E-3</v>
      </c>
      <c r="M111" s="1">
        <v>4.1476560818853965E-3</v>
      </c>
      <c r="N111" s="1">
        <v>1.6023550835055307E-2</v>
      </c>
      <c r="P111" s="320">
        <v>50.66</v>
      </c>
      <c r="Q111" s="321" t="s">
        <v>192</v>
      </c>
      <c r="R111" s="321">
        <f t="shared" si="86"/>
        <v>16.389451352170433</v>
      </c>
      <c r="S111" s="321">
        <f t="shared" si="87"/>
        <v>45.920352427713716</v>
      </c>
      <c r="T111" s="321">
        <f t="shared" si="88"/>
        <v>2.4080921909318551</v>
      </c>
      <c r="U111" s="321">
        <f t="shared" si="89"/>
        <v>15.665521920761538</v>
      </c>
      <c r="X111" s="321">
        <v>40.53</v>
      </c>
      <c r="Y111" s="321" t="s">
        <v>192</v>
      </c>
      <c r="Z111" s="321">
        <v>15.23713722370514</v>
      </c>
      <c r="AA111" s="321">
        <v>42.921762945960914</v>
      </c>
      <c r="AB111" s="321">
        <v>9.9243669062048649</v>
      </c>
      <c r="AC111" s="321">
        <v>4.5014613885304158</v>
      </c>
      <c r="AF111" s="320">
        <v>50.66</v>
      </c>
      <c r="AG111" s="1" t="s">
        <v>192</v>
      </c>
      <c r="AH111" s="191">
        <f t="shared" si="90"/>
        <v>0.46422628951747091</v>
      </c>
      <c r="AI111" s="191"/>
      <c r="AJ111" s="191">
        <f t="shared" si="91"/>
        <v>3.1821963394342769</v>
      </c>
      <c r="AK111" s="191">
        <f t="shared" si="92"/>
        <v>14.226289517470882</v>
      </c>
      <c r="AM111" s="320">
        <v>50.66</v>
      </c>
      <c r="AN111" s="191">
        <f t="shared" si="93"/>
        <v>0.18234981415003054</v>
      </c>
      <c r="AO111" s="191">
        <f t="shared" si="85"/>
        <v>0.54031043140192259</v>
      </c>
      <c r="AP111" s="191">
        <f t="shared" si="85"/>
        <v>1.3767364523394012</v>
      </c>
      <c r="AQ111" s="191">
        <f t="shared" si="85"/>
        <v>3.1055661178842402</v>
      </c>
      <c r="AR111" s="191">
        <f t="shared" si="85"/>
        <v>11.997667014600479</v>
      </c>
    </row>
    <row r="112" spans="2:48" ht="15">
      <c r="B112" s="453" t="s">
        <v>188</v>
      </c>
      <c r="C112" s="455" t="s">
        <v>189</v>
      </c>
      <c r="D112" s="456"/>
      <c r="E112" s="456"/>
      <c r="F112" s="456"/>
      <c r="G112" s="457"/>
      <c r="I112" s="453" t="s">
        <v>188</v>
      </c>
      <c r="J112" s="455" t="s">
        <v>189</v>
      </c>
      <c r="K112" s="456"/>
      <c r="L112" s="456"/>
      <c r="M112" s="456"/>
      <c r="N112" s="457"/>
      <c r="P112" s="453" t="s">
        <v>188</v>
      </c>
      <c r="Q112" s="455" t="s">
        <v>189</v>
      </c>
      <c r="R112" s="456"/>
      <c r="S112" s="456"/>
      <c r="T112" s="456"/>
      <c r="U112" s="457"/>
      <c r="X112" s="321">
        <v>50.66</v>
      </c>
      <c r="Y112" s="321" t="s">
        <v>192</v>
      </c>
      <c r="Z112" s="321">
        <v>21.606626236791627</v>
      </c>
      <c r="AA112" s="321">
        <v>43.430283339522809</v>
      </c>
      <c r="AB112" s="321">
        <v>2.5862348024485522</v>
      </c>
      <c r="AC112" s="321">
        <v>9.1219163321012626</v>
      </c>
      <c r="AF112" s="453" t="s">
        <v>188</v>
      </c>
      <c r="AG112" s="455" t="s">
        <v>189</v>
      </c>
      <c r="AH112" s="456"/>
      <c r="AI112" s="456"/>
      <c r="AJ112" s="456"/>
      <c r="AK112" s="457"/>
      <c r="AM112" s="453" t="s">
        <v>188</v>
      </c>
      <c r="AN112" s="455" t="s">
        <v>189</v>
      </c>
      <c r="AO112" s="456"/>
      <c r="AP112" s="456"/>
      <c r="AQ112" s="456"/>
      <c r="AR112" s="457"/>
    </row>
    <row r="113" spans="2:56" ht="15" customHeight="1">
      <c r="B113" s="454"/>
      <c r="C113" s="320">
        <v>200</v>
      </c>
      <c r="D113" s="320">
        <v>240</v>
      </c>
      <c r="E113" s="320">
        <v>270</v>
      </c>
      <c r="F113" s="320">
        <v>300</v>
      </c>
      <c r="G113" s="320">
        <v>330</v>
      </c>
      <c r="I113" s="454"/>
      <c r="J113" s="320">
        <v>200</v>
      </c>
      <c r="K113" s="320">
        <v>240</v>
      </c>
      <c r="L113" s="320">
        <v>270</v>
      </c>
      <c r="M113" s="320">
        <v>300</v>
      </c>
      <c r="N113" s="320">
        <v>330</v>
      </c>
      <c r="P113" s="454"/>
      <c r="Q113" s="320">
        <v>200</v>
      </c>
      <c r="R113" s="320">
        <v>240</v>
      </c>
      <c r="S113" s="320">
        <v>270</v>
      </c>
      <c r="T113" s="320">
        <v>300</v>
      </c>
      <c r="U113" s="320">
        <v>330</v>
      </c>
      <c r="X113" s="321" t="s">
        <v>188</v>
      </c>
      <c r="Y113" s="321" t="s">
        <v>189</v>
      </c>
      <c r="Z113" s="321"/>
      <c r="AA113" s="321"/>
      <c r="AB113" s="321"/>
      <c r="AC113" s="321"/>
      <c r="AF113" s="454"/>
      <c r="AG113" s="320">
        <v>200</v>
      </c>
      <c r="AH113" s="320">
        <v>240</v>
      </c>
      <c r="AI113" s="320">
        <v>270</v>
      </c>
      <c r="AJ113" s="320">
        <v>300</v>
      </c>
      <c r="AK113" s="320">
        <v>330</v>
      </c>
      <c r="AM113" s="454"/>
      <c r="AN113" s="320">
        <v>200</v>
      </c>
      <c r="AO113" s="320">
        <v>240</v>
      </c>
      <c r="AP113" s="320">
        <v>270</v>
      </c>
      <c r="AQ113" s="320">
        <v>300</v>
      </c>
      <c r="AR113" s="320">
        <v>330</v>
      </c>
    </row>
    <row r="114" spans="2:56" ht="15">
      <c r="B114" s="320">
        <v>5.07</v>
      </c>
      <c r="C114" s="1">
        <v>0.221</v>
      </c>
      <c r="D114" s="1">
        <v>0.69</v>
      </c>
      <c r="E114" s="1" t="s">
        <v>192</v>
      </c>
      <c r="F114" s="1" t="s">
        <v>192</v>
      </c>
      <c r="G114" s="1" t="s">
        <v>192</v>
      </c>
      <c r="I114" s="320">
        <v>5.07</v>
      </c>
      <c r="J114" s="1">
        <v>0.50028586537503505</v>
      </c>
      <c r="K114" s="1" t="s">
        <v>192</v>
      </c>
      <c r="L114" s="1" t="s">
        <v>192</v>
      </c>
      <c r="M114" s="1" t="s">
        <v>192</v>
      </c>
      <c r="N114" s="1" t="s">
        <v>192</v>
      </c>
      <c r="P114" s="320">
        <v>5.07</v>
      </c>
      <c r="Q114" s="321">
        <f>ABS(C114-J114)/C114*100</f>
        <v>126.37369473983489</v>
      </c>
      <c r="R114" s="321" t="e">
        <f>ABS(D114-K114)/D114*100</f>
        <v>#VALUE!</v>
      </c>
      <c r="S114" s="321" t="e">
        <f>ABS(E114-L114)/E114*100</f>
        <v>#VALUE!</v>
      </c>
      <c r="T114" s="321" t="e">
        <f>ABS(F114-M114)/F114*100</f>
        <v>#VALUE!</v>
      </c>
      <c r="U114" s="321" t="e">
        <f>ABS(G114-N114)/G114*100</f>
        <v>#VALUE!</v>
      </c>
      <c r="X114" s="321"/>
      <c r="Y114" s="321">
        <v>200</v>
      </c>
      <c r="Z114" s="321">
        <v>240</v>
      </c>
      <c r="AA114" s="321">
        <v>270</v>
      </c>
      <c r="AB114" s="321">
        <v>300</v>
      </c>
      <c r="AC114" s="321">
        <v>330</v>
      </c>
      <c r="AF114" s="320">
        <v>5.07</v>
      </c>
      <c r="AG114" s="191">
        <f>C114*18/0.02404</f>
        <v>165.47420965058237</v>
      </c>
      <c r="AH114" s="1"/>
      <c r="AI114" s="1"/>
      <c r="AJ114" s="1"/>
      <c r="AK114" s="1"/>
      <c r="AM114" s="320">
        <v>5.07</v>
      </c>
      <c r="AN114" s="191">
        <f>J114*18/0.02404</f>
        <v>374.59008222756376</v>
      </c>
      <c r="AO114" s="1"/>
      <c r="AP114" s="1"/>
      <c r="AQ114" s="1"/>
      <c r="AR114" s="1"/>
    </row>
    <row r="115" spans="2:56" ht="15">
      <c r="B115" s="320">
        <v>10.130000000000001</v>
      </c>
      <c r="C115" s="1">
        <v>0.14299999999999999</v>
      </c>
      <c r="D115" s="1">
        <v>0.31</v>
      </c>
      <c r="E115" s="1">
        <v>0.5</v>
      </c>
      <c r="F115" s="1">
        <v>0.9</v>
      </c>
      <c r="G115" s="1" t="s">
        <v>192</v>
      </c>
      <c r="I115" s="320">
        <v>10.130000000000001</v>
      </c>
      <c r="J115" s="1">
        <v>0.21410242680243144</v>
      </c>
      <c r="K115" s="1">
        <v>0.61499633307094115</v>
      </c>
      <c r="L115" s="1" t="s">
        <v>192</v>
      </c>
      <c r="M115" s="1" t="s">
        <v>192</v>
      </c>
      <c r="N115" s="1" t="s">
        <v>192</v>
      </c>
      <c r="P115" s="320">
        <v>10.130000000000001</v>
      </c>
      <c r="Q115" s="321">
        <f t="shared" ref="Q115:Q120" si="94">ABS(C115-J115)/C115*100</f>
        <v>49.721976784917103</v>
      </c>
      <c r="R115" s="321">
        <f t="shared" ref="R115:R120" si="95">ABS(D115-K115)/D115*100</f>
        <v>98.385913893851978</v>
      </c>
      <c r="S115" s="321" t="e">
        <f t="shared" ref="S115:S120" si="96">ABS(E115-L115)/E115*100</f>
        <v>#VALUE!</v>
      </c>
      <c r="T115" s="321" t="e">
        <f t="shared" ref="T115:T120" si="97">ABS(F115-M115)/F115*100</f>
        <v>#VALUE!</v>
      </c>
      <c r="U115" s="321" t="e">
        <f t="shared" ref="U115:U120" si="98">ABS(G115-N115)/G115*100</f>
        <v>#VALUE!</v>
      </c>
      <c r="X115" s="321">
        <v>5.07</v>
      </c>
      <c r="Y115" s="321">
        <v>143.44225991837604</v>
      </c>
      <c r="Z115" s="321" t="e">
        <v>#VALUE!</v>
      </c>
      <c r="AA115" s="321" t="e">
        <v>#VALUE!</v>
      </c>
      <c r="AB115" s="321" t="e">
        <v>#VALUE!</v>
      </c>
      <c r="AC115" s="321" t="e">
        <v>#VALUE!</v>
      </c>
      <c r="AF115" s="320">
        <v>10.130000000000001</v>
      </c>
      <c r="AG115" s="191">
        <f t="shared" ref="AG115:AG120" si="99">C115*18/0.02404</f>
        <v>107.07154742096506</v>
      </c>
      <c r="AH115" s="1"/>
      <c r="AI115" s="1"/>
      <c r="AJ115" s="1"/>
      <c r="AK115" s="1"/>
      <c r="AM115" s="320">
        <v>10.130000000000001</v>
      </c>
      <c r="AN115" s="191">
        <f t="shared" ref="AN115:AN120" si="100">J115*18/0.02404</f>
        <v>160.30963737286879</v>
      </c>
      <c r="AO115" s="1"/>
      <c r="AP115" s="1"/>
      <c r="AQ115" s="1"/>
      <c r="AR115" s="1"/>
    </row>
    <row r="116" spans="2:56" ht="15">
      <c r="B116" s="320">
        <v>15.2</v>
      </c>
      <c r="C116" s="1">
        <v>0.122</v>
      </c>
      <c r="D116" s="1">
        <v>0.23300000000000001</v>
      </c>
      <c r="E116" s="1">
        <v>0.34899999999999998</v>
      </c>
      <c r="F116" s="1">
        <v>0.56999999999999995</v>
      </c>
      <c r="G116" s="1">
        <v>0.88600000000000001</v>
      </c>
      <c r="I116" s="320">
        <v>15.2</v>
      </c>
      <c r="J116" s="1">
        <v>0.14006039589149047</v>
      </c>
      <c r="K116" s="1">
        <v>0.36078563341806874</v>
      </c>
      <c r="L116" s="1">
        <v>0.77402339396292763</v>
      </c>
      <c r="M116" s="1" t="s">
        <v>192</v>
      </c>
      <c r="N116" s="1" t="s">
        <v>192</v>
      </c>
      <c r="P116" s="320">
        <v>15.2</v>
      </c>
      <c r="Q116" s="321">
        <f t="shared" si="94"/>
        <v>14.803603189746289</v>
      </c>
      <c r="R116" s="321">
        <f t="shared" si="95"/>
        <v>54.843619492733353</v>
      </c>
      <c r="S116" s="321">
        <f t="shared" si="96"/>
        <v>121.7832074392343</v>
      </c>
      <c r="T116" s="321" t="e">
        <f t="shared" si="97"/>
        <v>#VALUE!</v>
      </c>
      <c r="U116" s="321" t="e">
        <f t="shared" si="98"/>
        <v>#VALUE!</v>
      </c>
      <c r="X116" s="321">
        <v>10.130000000000001</v>
      </c>
      <c r="Y116" s="321">
        <v>65.889748112226698</v>
      </c>
      <c r="Z116" s="321">
        <v>125.40309374566448</v>
      </c>
      <c r="AA116" s="321" t="e">
        <v>#VALUE!</v>
      </c>
      <c r="AB116" s="321" t="e">
        <v>#VALUE!</v>
      </c>
      <c r="AC116" s="321" t="e">
        <v>#VALUE!</v>
      </c>
      <c r="AF116" s="320">
        <v>15.2</v>
      </c>
      <c r="AG116" s="191">
        <f t="shared" si="99"/>
        <v>91.347753743760393</v>
      </c>
      <c r="AH116" s="1"/>
      <c r="AI116" s="1"/>
      <c r="AJ116" s="1"/>
      <c r="AK116" s="1"/>
      <c r="AM116" s="320">
        <v>15.2</v>
      </c>
      <c r="AN116" s="191">
        <f t="shared" si="100"/>
        <v>104.87051273073331</v>
      </c>
      <c r="AO116" s="1"/>
      <c r="AP116" s="1"/>
      <c r="AQ116" s="1"/>
      <c r="AR116" s="1"/>
    </row>
    <row r="117" spans="2:56" ht="15">
      <c r="B117" s="320">
        <v>20.27</v>
      </c>
      <c r="C117" s="1">
        <v>0.105</v>
      </c>
      <c r="D117" s="1">
        <v>0.19500000000000001</v>
      </c>
      <c r="E117" s="1">
        <v>0.28199999999999997</v>
      </c>
      <c r="F117" s="1">
        <v>0.432</v>
      </c>
      <c r="G117" s="1">
        <v>0.68</v>
      </c>
      <c r="I117" s="320">
        <v>20.27</v>
      </c>
      <c r="J117" s="1">
        <v>0.10598027286415973</v>
      </c>
      <c r="K117" s="1">
        <v>0.25887799268500761</v>
      </c>
      <c r="L117" s="1">
        <v>0.51482610319125155</v>
      </c>
      <c r="M117" s="1" t="s">
        <v>192</v>
      </c>
      <c r="N117" s="1" t="s">
        <v>192</v>
      </c>
      <c r="P117" s="320">
        <v>20.27</v>
      </c>
      <c r="Q117" s="321">
        <f t="shared" si="94"/>
        <v>0.93359320396165169</v>
      </c>
      <c r="R117" s="321">
        <f t="shared" si="95"/>
        <v>32.757944966670564</v>
      </c>
      <c r="S117" s="321">
        <f t="shared" si="96"/>
        <v>82.562447940160141</v>
      </c>
      <c r="T117" s="321" t="e">
        <f t="shared" si="97"/>
        <v>#VALUE!</v>
      </c>
      <c r="U117" s="321" t="e">
        <f t="shared" si="98"/>
        <v>#VALUE!</v>
      </c>
      <c r="X117" s="321">
        <v>15.2</v>
      </c>
      <c r="Y117" s="321">
        <v>28.818620938310229</v>
      </c>
      <c r="Z117" s="321">
        <v>82.608945068869986</v>
      </c>
      <c r="AA117" s="321">
        <v>166.25535382103735</v>
      </c>
      <c r="AB117" s="321" t="e">
        <v>#VALUE!</v>
      </c>
      <c r="AC117" s="321" t="e">
        <v>#VALUE!</v>
      </c>
      <c r="AF117" s="320">
        <v>20.27</v>
      </c>
      <c r="AG117" s="191">
        <f t="shared" si="99"/>
        <v>78.618968386023298</v>
      </c>
      <c r="AH117" s="1"/>
      <c r="AI117" s="1"/>
      <c r="AJ117" s="1"/>
      <c r="AK117" s="1"/>
      <c r="AM117" s="320">
        <v>20.27</v>
      </c>
      <c r="AN117" s="191">
        <f t="shared" si="100"/>
        <v>79.352949731899969</v>
      </c>
      <c r="AO117" s="1"/>
      <c r="AP117" s="1"/>
      <c r="AQ117" s="1"/>
      <c r="AR117" s="1"/>
    </row>
    <row r="118" spans="2:56" ht="15">
      <c r="B118" s="320">
        <v>30.4</v>
      </c>
      <c r="C118" s="1">
        <v>8.2000000000000003E-2</v>
      </c>
      <c r="D118" s="1">
        <v>0.152</v>
      </c>
      <c r="E118" s="1">
        <v>0.21299999999999999</v>
      </c>
      <c r="F118" s="1">
        <v>0.33100000000000002</v>
      </c>
      <c r="G118" s="1">
        <v>0.51400000000000001</v>
      </c>
      <c r="I118" s="320">
        <v>30.4</v>
      </c>
      <c r="J118" s="1">
        <v>7.348298342073141E-2</v>
      </c>
      <c r="K118" s="1">
        <v>0.16930262933720944</v>
      </c>
      <c r="L118" s="1">
        <v>0.31354046091192983</v>
      </c>
      <c r="M118" s="1">
        <v>0.60315366174872953</v>
      </c>
      <c r="N118" s="1" t="s">
        <v>192</v>
      </c>
      <c r="P118" s="320">
        <v>30.4</v>
      </c>
      <c r="Q118" s="321">
        <f t="shared" si="94"/>
        <v>10.386605584473894</v>
      </c>
      <c r="R118" s="321">
        <f t="shared" si="95"/>
        <v>11.383308774479897</v>
      </c>
      <c r="S118" s="321">
        <f t="shared" si="96"/>
        <v>47.202094324849689</v>
      </c>
      <c r="T118" s="321">
        <f t="shared" si="97"/>
        <v>82.221650075144865</v>
      </c>
      <c r="U118" s="321" t="e">
        <f t="shared" si="98"/>
        <v>#VALUE!</v>
      </c>
      <c r="X118" s="321">
        <v>20.27</v>
      </c>
      <c r="Y118" s="321">
        <v>14.019039526803533</v>
      </c>
      <c r="Z118" s="321">
        <v>59.844777511579025</v>
      </c>
      <c r="AA118" s="321">
        <v>129.25300270601812</v>
      </c>
      <c r="AB118" s="321" t="e">
        <v>#VALUE!</v>
      </c>
      <c r="AC118" s="321" t="e">
        <v>#VALUE!</v>
      </c>
      <c r="AF118" s="320">
        <v>30.4</v>
      </c>
      <c r="AG118" s="191">
        <f t="shared" si="99"/>
        <v>61.397670549084857</v>
      </c>
      <c r="AH118" s="1"/>
      <c r="AI118" s="1"/>
      <c r="AJ118" s="1"/>
      <c r="AK118" s="1"/>
      <c r="AM118" s="320">
        <v>30.4</v>
      </c>
      <c r="AN118" s="191">
        <f t="shared" si="100"/>
        <v>55.020536671096735</v>
      </c>
      <c r="AO118" s="1"/>
      <c r="AP118" s="1"/>
      <c r="AQ118" s="1"/>
      <c r="AR118" s="1"/>
    </row>
    <row r="119" spans="2:56" ht="15">
      <c r="B119" s="320">
        <v>40.53</v>
      </c>
      <c r="C119" s="1">
        <v>6.8000000000000005E-2</v>
      </c>
      <c r="D119" s="1">
        <v>0.126</v>
      </c>
      <c r="E119" s="1">
        <v>0.185</v>
      </c>
      <c r="F119" s="1">
        <v>0.28599999999999998</v>
      </c>
      <c r="G119" s="1">
        <v>0.435</v>
      </c>
      <c r="I119" s="320">
        <v>40.53</v>
      </c>
      <c r="J119" s="1">
        <v>5.762742118155053E-2</v>
      </c>
      <c r="K119" s="1">
        <v>0.12817798135287767</v>
      </c>
      <c r="L119" s="1">
        <v>0.2285757854425913</v>
      </c>
      <c r="M119" s="1">
        <v>0.41448721979488556</v>
      </c>
      <c r="N119" s="1">
        <v>0.80594994057502789</v>
      </c>
      <c r="P119" s="320">
        <v>40.53</v>
      </c>
      <c r="Q119" s="321">
        <f t="shared" si="94"/>
        <v>15.253792380072756</v>
      </c>
      <c r="R119" s="321">
        <f t="shared" si="95"/>
        <v>1.7285566292679897</v>
      </c>
      <c r="S119" s="321">
        <f t="shared" si="96"/>
        <v>23.554478617616919</v>
      </c>
      <c r="T119" s="321">
        <f t="shared" si="97"/>
        <v>44.925601326883076</v>
      </c>
      <c r="U119" s="321">
        <f t="shared" si="98"/>
        <v>85.275848408052397</v>
      </c>
      <c r="X119" s="321">
        <v>30.4</v>
      </c>
      <c r="Y119" s="321">
        <v>1.8396294604454952</v>
      </c>
      <c r="Z119" s="321">
        <v>36.608829940322678</v>
      </c>
      <c r="AA119" s="321">
        <v>93.937599748374041</v>
      </c>
      <c r="AB119" s="321">
        <v>157.84582200013634</v>
      </c>
      <c r="AC119" s="321" t="e">
        <v>#VALUE!</v>
      </c>
      <c r="AF119" s="320">
        <v>40.53</v>
      </c>
      <c r="AG119" s="191">
        <f t="shared" si="99"/>
        <v>50.915141430948431</v>
      </c>
      <c r="AH119" s="1"/>
      <c r="AI119" s="1"/>
      <c r="AJ119" s="1"/>
      <c r="AK119" s="1"/>
      <c r="AM119" s="320">
        <v>40.53</v>
      </c>
      <c r="AN119" s="191">
        <f t="shared" si="100"/>
        <v>43.148651467051153</v>
      </c>
      <c r="AO119" s="1"/>
      <c r="AP119" s="1"/>
      <c r="AQ119" s="1"/>
      <c r="AR119" s="1"/>
    </row>
    <row r="120" spans="2:56" ht="15">
      <c r="B120" s="320">
        <v>50.66</v>
      </c>
      <c r="C120" s="1">
        <v>5.8999999999999997E-2</v>
      </c>
      <c r="D120" s="1">
        <v>0.11600000000000001</v>
      </c>
      <c r="E120" s="1">
        <v>0.17499999999999999</v>
      </c>
      <c r="F120" s="1">
        <v>0.26100000000000001</v>
      </c>
      <c r="G120" s="1">
        <v>0.4</v>
      </c>
      <c r="I120" s="320">
        <v>50.66</v>
      </c>
      <c r="J120" s="1">
        <v>4.8144315880579304E-2</v>
      </c>
      <c r="K120" s="1">
        <v>0.104426337802243</v>
      </c>
      <c r="L120" s="1">
        <v>0.18159955620787463</v>
      </c>
      <c r="M120" s="1">
        <v>0.31744517290888863</v>
      </c>
      <c r="N120" s="1">
        <v>0.58056772806206236</v>
      </c>
      <c r="P120" s="320">
        <v>50.66</v>
      </c>
      <c r="Q120" s="321">
        <f t="shared" si="94"/>
        <v>18.399464609187614</v>
      </c>
      <c r="R120" s="321">
        <f t="shared" si="95"/>
        <v>9.9772949980663821</v>
      </c>
      <c r="S120" s="321">
        <f t="shared" si="96"/>
        <v>3.7711749759283659</v>
      </c>
      <c r="T120" s="321">
        <f t="shared" si="97"/>
        <v>21.626503030225525</v>
      </c>
      <c r="U120" s="321">
        <f t="shared" si="98"/>
        <v>45.141932015515586</v>
      </c>
      <c r="X120" s="321">
        <v>40.53</v>
      </c>
      <c r="Y120" s="321">
        <v>3.5510471961324424</v>
      </c>
      <c r="Z120" s="321">
        <v>25.272749966364334</v>
      </c>
      <c r="AA120" s="321">
        <v>65.642404392250015</v>
      </c>
      <c r="AB120" s="321">
        <v>116.26154974472178</v>
      </c>
      <c r="AC120" s="321" t="e">
        <v>#VALUE!</v>
      </c>
      <c r="AF120" s="320">
        <v>50.66</v>
      </c>
      <c r="AG120" s="191">
        <f t="shared" si="99"/>
        <v>44.176372712146417</v>
      </c>
      <c r="AH120" s="1"/>
      <c r="AI120" s="1"/>
      <c r="AJ120" s="1"/>
      <c r="AK120" s="1"/>
      <c r="AM120" s="320">
        <v>50.66</v>
      </c>
      <c r="AN120" s="191">
        <f t="shared" si="100"/>
        <v>36.048156649352229</v>
      </c>
      <c r="AO120" s="1"/>
      <c r="AP120" s="1"/>
      <c r="AQ120" s="1"/>
      <c r="AR120" s="1"/>
    </row>
    <row r="121" spans="2:56">
      <c r="X121" s="321">
        <v>50.66</v>
      </c>
      <c r="Y121" s="321">
        <v>7.1912173296672224</v>
      </c>
      <c r="Z121" s="321">
        <v>10.596631561171835</v>
      </c>
      <c r="AA121" s="321">
        <v>39.348492942171056</v>
      </c>
      <c r="AB121" s="321">
        <v>85.365678361100066</v>
      </c>
      <c r="AC121" s="321" t="e">
        <v>#VALUE!</v>
      </c>
    </row>
    <row r="125" spans="2:56" ht="13.5" customHeight="1" thickBot="1">
      <c r="AE125" s="464" t="s">
        <v>233</v>
      </c>
      <c r="AF125" s="464"/>
      <c r="AG125" s="464"/>
      <c r="AH125" s="464"/>
      <c r="AI125" s="464"/>
      <c r="AJ125" s="464"/>
      <c r="AK125" s="464"/>
      <c r="AM125" s="464" t="s">
        <v>234</v>
      </c>
      <c r="AN125" s="464"/>
      <c r="AO125" s="464"/>
      <c r="AP125" s="464"/>
      <c r="AQ125" s="464"/>
      <c r="AR125" s="464"/>
      <c r="AS125" s="464"/>
    </row>
    <row r="126" spans="2:56" ht="19.5" thickTop="1">
      <c r="B126" s="465" t="s">
        <v>185</v>
      </c>
      <c r="C126" s="466"/>
      <c r="D126" s="466"/>
      <c r="E126" s="466"/>
      <c r="F126" s="466"/>
      <c r="G126" s="467"/>
      <c r="I126" s="465" t="s">
        <v>186</v>
      </c>
      <c r="J126" s="466"/>
      <c r="K126" s="466"/>
      <c r="L126" s="466"/>
      <c r="M126" s="466"/>
      <c r="N126" s="467"/>
      <c r="P126" s="465" t="s">
        <v>190</v>
      </c>
      <c r="Q126" s="466"/>
      <c r="R126" s="466"/>
      <c r="S126" s="466"/>
      <c r="T126" s="466"/>
      <c r="U126" s="467"/>
      <c r="X126" s="451" t="s">
        <v>165</v>
      </c>
      <c r="Y126" s="422" t="s">
        <v>170</v>
      </c>
      <c r="Z126" s="423"/>
      <c r="AA126" s="424"/>
      <c r="AB126" s="422" t="s">
        <v>170</v>
      </c>
      <c r="AC126" s="423"/>
      <c r="AD126" s="424"/>
      <c r="AE126" s="464"/>
      <c r="AF126" s="464"/>
      <c r="AG126" s="464"/>
      <c r="AH126" s="464"/>
      <c r="AI126" s="464"/>
      <c r="AJ126" s="464"/>
      <c r="AK126" s="464"/>
      <c r="AM126" s="464"/>
      <c r="AN126" s="464"/>
      <c r="AO126" s="464"/>
      <c r="AP126" s="464"/>
      <c r="AQ126" s="464"/>
      <c r="AR126" s="464"/>
      <c r="AS126" s="464"/>
    </row>
    <row r="127" spans="2:56" ht="18.75">
      <c r="B127" s="458" t="s">
        <v>253</v>
      </c>
      <c r="C127" s="459"/>
      <c r="D127" s="459"/>
      <c r="E127" s="459"/>
      <c r="F127" s="459"/>
      <c r="G127" s="460"/>
      <c r="I127" s="458" t="s">
        <v>253</v>
      </c>
      <c r="J127" s="459"/>
      <c r="K127" s="459"/>
      <c r="L127" s="459"/>
      <c r="M127" s="459"/>
      <c r="N127" s="460"/>
      <c r="P127" s="458" t="s">
        <v>253</v>
      </c>
      <c r="Q127" s="459"/>
      <c r="R127" s="459"/>
      <c r="S127" s="459"/>
      <c r="T127" s="459"/>
      <c r="U127" s="460"/>
      <c r="X127" s="452"/>
      <c r="Y127" s="105" t="s">
        <v>174</v>
      </c>
      <c r="Z127" s="222" t="s">
        <v>175</v>
      </c>
      <c r="AA127" s="293" t="s">
        <v>168</v>
      </c>
      <c r="AB127" s="105" t="s">
        <v>176</v>
      </c>
      <c r="AC127" s="222" t="s">
        <v>177</v>
      </c>
      <c r="AD127" s="293"/>
      <c r="AY127" s="470" t="s">
        <v>185</v>
      </c>
      <c r="AZ127" s="470"/>
      <c r="BA127" s="470"/>
      <c r="BB127" s="470"/>
      <c r="BC127" s="470"/>
      <c r="BD127" s="470"/>
    </row>
    <row r="128" spans="2:56" ht="15" customHeight="1">
      <c r="B128" s="453" t="s">
        <v>188</v>
      </c>
      <c r="C128" s="455" t="s">
        <v>189</v>
      </c>
      <c r="D128" s="456"/>
      <c r="E128" s="456"/>
      <c r="F128" s="456"/>
      <c r="G128" s="457"/>
      <c r="I128" s="453" t="s">
        <v>188</v>
      </c>
      <c r="J128" s="455" t="s">
        <v>189</v>
      </c>
      <c r="K128" s="456"/>
      <c r="L128" s="456"/>
      <c r="M128" s="456"/>
      <c r="N128" s="457"/>
      <c r="P128" s="453" t="s">
        <v>188</v>
      </c>
      <c r="Q128" s="455" t="s">
        <v>189</v>
      </c>
      <c r="R128" s="456"/>
      <c r="S128" s="456"/>
      <c r="T128" s="456"/>
      <c r="U128" s="457"/>
      <c r="X128" s="295" t="s">
        <v>171</v>
      </c>
      <c r="Y128" s="298">
        <v>-4127</v>
      </c>
      <c r="Z128" s="299">
        <v>5230</v>
      </c>
      <c r="AA128" s="140">
        <v>0.03</v>
      </c>
      <c r="AB128" s="313">
        <v>8.9</v>
      </c>
      <c r="AC128" s="191">
        <v>-8</v>
      </c>
      <c r="AD128" s="116"/>
      <c r="AF128" s="458" t="s">
        <v>253</v>
      </c>
      <c r="AG128" s="459"/>
      <c r="AH128" s="459"/>
      <c r="AI128" s="459"/>
      <c r="AJ128" s="459"/>
      <c r="AK128" s="460"/>
      <c r="AM128" s="458" t="s">
        <v>253</v>
      </c>
      <c r="AN128" s="459"/>
      <c r="AO128" s="459"/>
      <c r="AP128" s="459"/>
      <c r="AQ128" s="459"/>
      <c r="AR128" s="460"/>
      <c r="AY128" s="458" t="s">
        <v>253</v>
      </c>
      <c r="AZ128" s="459"/>
      <c r="BA128" s="459"/>
      <c r="BB128" s="459"/>
      <c r="BC128" s="459"/>
      <c r="BD128" s="460"/>
    </row>
    <row r="129" spans="2:104" ht="15" customHeight="1">
      <c r="B129" s="454"/>
      <c r="C129" s="320">
        <v>25</v>
      </c>
      <c r="D129" s="320">
        <v>35</v>
      </c>
      <c r="E129" s="320">
        <v>40</v>
      </c>
      <c r="F129" s="320">
        <v>50</v>
      </c>
      <c r="G129" s="320">
        <v>75</v>
      </c>
      <c r="I129" s="454"/>
      <c r="J129" s="320">
        <v>25</v>
      </c>
      <c r="K129" s="320">
        <v>35</v>
      </c>
      <c r="L129" s="320">
        <v>40</v>
      </c>
      <c r="M129" s="320">
        <v>50</v>
      </c>
      <c r="N129" s="320">
        <v>75</v>
      </c>
      <c r="P129" s="454"/>
      <c r="Q129" s="320">
        <v>25</v>
      </c>
      <c r="R129" s="320">
        <v>35</v>
      </c>
      <c r="S129" s="320">
        <v>40</v>
      </c>
      <c r="T129" s="320">
        <v>50</v>
      </c>
      <c r="U129" s="320">
        <v>75</v>
      </c>
      <c r="X129" s="321" t="s">
        <v>188</v>
      </c>
      <c r="Y129" s="321" t="s">
        <v>189</v>
      </c>
      <c r="Z129" s="321"/>
      <c r="AA129" s="321"/>
      <c r="AB129" s="321"/>
      <c r="AC129" s="321"/>
      <c r="AF129" s="461" t="s">
        <v>188</v>
      </c>
      <c r="AG129" s="463" t="s">
        <v>189</v>
      </c>
      <c r="AH129" s="463"/>
      <c r="AI129" s="463"/>
      <c r="AJ129" s="463"/>
      <c r="AK129" s="463"/>
      <c r="AM129" s="461" t="s">
        <v>188</v>
      </c>
      <c r="AN129" s="463" t="s">
        <v>189</v>
      </c>
      <c r="AO129" s="463"/>
      <c r="AP129" s="463"/>
      <c r="AQ129" s="463"/>
      <c r="AR129" s="463"/>
      <c r="AY129" s="461" t="s">
        <v>188</v>
      </c>
      <c r="AZ129" s="463" t="s">
        <v>189</v>
      </c>
      <c r="BA129" s="463"/>
      <c r="BB129" s="463"/>
      <c r="BC129" s="463"/>
      <c r="BD129" s="463"/>
    </row>
    <row r="130" spans="2:104" ht="15">
      <c r="B130" s="320">
        <v>2.5299999999999998</v>
      </c>
      <c r="C130" s="1">
        <v>1.64E-3</v>
      </c>
      <c r="D130" s="1">
        <v>2.9299999999999999E-3</v>
      </c>
      <c r="E130" s="1">
        <v>3.8800000000000002E-3</v>
      </c>
      <c r="F130" s="1">
        <v>6.1900000000000002E-3</v>
      </c>
      <c r="G130" s="1">
        <v>1.06E-2</v>
      </c>
      <c r="I130" s="320">
        <v>2.5299999999999998</v>
      </c>
      <c r="J130" s="1">
        <v>1.4044076014289356E-3</v>
      </c>
      <c r="K130" s="1">
        <v>2.4855394524303906E-3</v>
      </c>
      <c r="L130" s="1">
        <v>3.2577047300872703E-3</v>
      </c>
      <c r="M130" s="1">
        <v>5.4453243220144434E-3</v>
      </c>
      <c r="N130" s="1">
        <v>1.7130136144298539E-2</v>
      </c>
      <c r="P130" s="320">
        <v>2.5299999999999998</v>
      </c>
      <c r="Q130" s="321">
        <f>ABS(C130-J130)/C130*100</f>
        <v>14.365390156772218</v>
      </c>
      <c r="R130" s="321">
        <f>ABS(D130-K130)/D130*100</f>
        <v>15.169301964833082</v>
      </c>
      <c r="S130" s="321">
        <f>ABS(E130-L130)/E130*100</f>
        <v>16.03853788434871</v>
      </c>
      <c r="T130" s="321">
        <f>ABS(F130-M130)/F130*100</f>
        <v>12.030301744516263</v>
      </c>
      <c r="U130" s="321">
        <f>ABS(G130-N130)/G130*100</f>
        <v>61.605057965080555</v>
      </c>
      <c r="X130" s="321"/>
      <c r="Y130" s="321">
        <v>25</v>
      </c>
      <c r="Z130" s="321">
        <v>35</v>
      </c>
      <c r="AA130" s="321">
        <v>40</v>
      </c>
      <c r="AB130" s="321">
        <v>50</v>
      </c>
      <c r="AC130" s="321">
        <v>75</v>
      </c>
      <c r="AF130" s="462"/>
      <c r="AG130" s="320">
        <v>25</v>
      </c>
      <c r="AH130" s="320">
        <v>35</v>
      </c>
      <c r="AI130" s="320">
        <v>40</v>
      </c>
      <c r="AJ130" s="320">
        <v>50</v>
      </c>
      <c r="AK130" s="320">
        <v>75</v>
      </c>
      <c r="AM130" s="462"/>
      <c r="AN130" s="320">
        <v>25</v>
      </c>
      <c r="AO130" s="320">
        <v>35</v>
      </c>
      <c r="AP130" s="320">
        <v>40</v>
      </c>
      <c r="AQ130" s="320">
        <v>50</v>
      </c>
      <c r="AR130" s="320">
        <v>75</v>
      </c>
      <c r="AT130" s="320">
        <v>37.799999999999997</v>
      </c>
      <c r="AU130" s="320">
        <v>71.099999999999994</v>
      </c>
      <c r="AV130" s="320">
        <v>104.4</v>
      </c>
      <c r="AW130" s="320">
        <v>137.80000000000001</v>
      </c>
      <c r="AX130" s="320">
        <v>171.1</v>
      </c>
      <c r="AY130" s="462"/>
      <c r="AZ130" s="320">
        <v>25</v>
      </c>
      <c r="BA130" s="320">
        <v>35</v>
      </c>
      <c r="BB130" s="320">
        <v>40</v>
      </c>
      <c r="BC130" s="320">
        <v>50</v>
      </c>
      <c r="BD130" s="320">
        <v>75</v>
      </c>
      <c r="CV130">
        <v>1.0744317227701132E-4</v>
      </c>
      <c r="CW130">
        <v>1.307100259818413E-4</v>
      </c>
      <c r="CX130">
        <v>1.4364969609253518E-4</v>
      </c>
      <c r="CY130">
        <v>1.7228476982187222E-4</v>
      </c>
      <c r="CZ130">
        <v>2.6038669115732537E-4</v>
      </c>
    </row>
    <row r="131" spans="2:104" ht="15" customHeight="1">
      <c r="B131" s="320">
        <v>5.07</v>
      </c>
      <c r="C131" s="1">
        <v>1.2899999999999999E-3</v>
      </c>
      <c r="D131" s="1">
        <v>1.9400000000000001E-3</v>
      </c>
      <c r="E131" s="1">
        <v>2.49E-3</v>
      </c>
      <c r="F131" s="1">
        <v>3.8300000000000001E-3</v>
      </c>
      <c r="G131" s="1">
        <v>9.8499999999999994E-3</v>
      </c>
      <c r="I131" s="320">
        <v>5.07</v>
      </c>
      <c r="J131" s="1">
        <v>1.0099433795584167E-3</v>
      </c>
      <c r="K131" s="1">
        <v>1.6962688633566504E-3</v>
      </c>
      <c r="L131" s="1">
        <v>2.1775087499550862E-3</v>
      </c>
      <c r="M131" s="1">
        <v>3.5152421179706732E-3</v>
      </c>
      <c r="N131" s="1">
        <v>1.036786812299134E-2</v>
      </c>
      <c r="P131" s="320">
        <v>5.07</v>
      </c>
      <c r="Q131" s="321">
        <f t="shared" ref="Q131:Q137" si="101">ABS(C131-J131)/C131*100</f>
        <v>21.709815538107225</v>
      </c>
      <c r="R131" s="321">
        <f t="shared" ref="R131:R137" si="102">ABS(D131-K131)/D131*100</f>
        <v>12.563460651719055</v>
      </c>
      <c r="S131" s="321">
        <f t="shared" ref="S131:S137" si="103">ABS(E131-L131)/E131*100</f>
        <v>12.54984939939413</v>
      </c>
      <c r="T131" s="321">
        <f t="shared" ref="T131:T139" si="104">ABS(F131-M131)/F131*100</f>
        <v>8.2182214629067065</v>
      </c>
      <c r="U131" s="321">
        <f t="shared" ref="U131:U139" si="105">ABS(G131-N131)/G131*100</f>
        <v>5.2575443958511734</v>
      </c>
      <c r="X131" s="321">
        <v>2.5299999999999998</v>
      </c>
      <c r="Y131" s="321">
        <v>15.724520118114665</v>
      </c>
      <c r="Z131" s="321">
        <v>16.217666880512073</v>
      </c>
      <c r="AA131" s="321">
        <v>16.930390619607149</v>
      </c>
      <c r="AB131" s="321">
        <v>12.664490412122237</v>
      </c>
      <c r="AC131" s="321">
        <v>61.73962505473979</v>
      </c>
      <c r="AF131" s="320">
        <v>2.5299999999999998</v>
      </c>
      <c r="AG131" s="191"/>
      <c r="AH131" s="191"/>
      <c r="AI131" s="191"/>
      <c r="AJ131" s="191"/>
      <c r="AK131" s="191"/>
      <c r="AM131" s="320">
        <v>2.5299999999999998</v>
      </c>
      <c r="AN131" s="191">
        <f>J130*18/0.02404</f>
        <v>1.0515531125507838</v>
      </c>
      <c r="AO131" s="191">
        <f t="shared" ref="AO131:AR140" si="106">K130*18/0.02404</f>
        <v>1.8610528345984623</v>
      </c>
      <c r="AP131" s="191">
        <f t="shared" si="106"/>
        <v>2.4392131922450444</v>
      </c>
      <c r="AQ131" s="191">
        <f t="shared" si="106"/>
        <v>4.077197911658069</v>
      </c>
      <c r="AR131" s="191">
        <f t="shared" si="106"/>
        <v>12.826225066446494</v>
      </c>
      <c r="AS131" s="320">
        <v>2.5299999999999998</v>
      </c>
      <c r="AT131" s="321" t="e">
        <f>(AG131-AN131)/AG131*100</f>
        <v>#DIV/0!</v>
      </c>
      <c r="AU131" s="321" t="e">
        <f t="shared" ref="AU131:AU140" si="107">(AH131-AO131)/AH131*100</f>
        <v>#DIV/0!</v>
      </c>
      <c r="AV131" s="321" t="e">
        <f t="shared" ref="AV131:AV140" si="108">(AI131-AP131)/AI131*100</f>
        <v>#DIV/0!</v>
      </c>
      <c r="AW131" s="321" t="e">
        <f t="shared" ref="AW131:AW140" si="109">(AJ131-AQ131)/AJ131*100</f>
        <v>#DIV/0!</v>
      </c>
      <c r="AX131" s="321" t="e">
        <f t="shared" ref="AX131:AX140" si="110">(AK131-AR131)/AK131*100</f>
        <v>#DIV/0!</v>
      </c>
      <c r="AY131" s="320">
        <v>2.5299999999999998</v>
      </c>
      <c r="AZ131" s="368">
        <f>C130*18/0.02404</f>
        <v>1.2279534109816972</v>
      </c>
      <c r="BA131" s="368">
        <f t="shared" ref="BA131:BD140" si="111">D130*18/0.02404</f>
        <v>2.1938435940099832</v>
      </c>
      <c r="BB131" s="368">
        <f t="shared" si="111"/>
        <v>2.9051580698835275</v>
      </c>
      <c r="BC131" s="368">
        <f t="shared" si="111"/>
        <v>4.6347753743760407</v>
      </c>
      <c r="BD131" s="368">
        <f t="shared" si="111"/>
        <v>7.9367720465890184</v>
      </c>
      <c r="BF131" s="321" t="e">
        <f>(AG131-AZ131)/AG131*100</f>
        <v>#DIV/0!</v>
      </c>
      <c r="BG131" s="321" t="e">
        <f t="shared" ref="BG131:BG140" si="112">(AH131-BA131)/AH131*100</f>
        <v>#DIV/0!</v>
      </c>
      <c r="BH131" s="321" t="e">
        <f t="shared" ref="BH131:BH140" si="113">(AI131-BB131)/AI131*100</f>
        <v>#DIV/0!</v>
      </c>
      <c r="BI131" s="321" t="e">
        <f t="shared" ref="BI131:BI140" si="114">(AJ131-BC131)/AJ131*100</f>
        <v>#DIV/0!</v>
      </c>
      <c r="BJ131" s="321" t="e">
        <f t="shared" ref="BJ131:BJ140" si="115">(AK131-BD131)/AK131*100</f>
        <v>#DIV/0!</v>
      </c>
      <c r="CV131">
        <v>1.7745428035999801E-4</v>
      </c>
      <c r="CW131">
        <v>2.2072956729814021E-4</v>
      </c>
      <c r="CX131">
        <v>2.4497080370994057E-4</v>
      </c>
      <c r="CY131">
        <v>2.9911301719004729E-4</v>
      </c>
      <c r="CZ131">
        <v>4.7099272218340687E-4</v>
      </c>
    </row>
    <row r="132" spans="2:104" ht="15">
      <c r="B132" s="320">
        <v>7.6</v>
      </c>
      <c r="C132" s="1">
        <v>2.3E-3</v>
      </c>
      <c r="D132" s="1">
        <v>2.6900000000000001E-3</v>
      </c>
      <c r="E132" s="1">
        <v>2.98E-3</v>
      </c>
      <c r="F132" s="1">
        <v>3.49E-3</v>
      </c>
      <c r="G132" s="1">
        <v>9.0600000000000003E-3</v>
      </c>
      <c r="I132" s="320">
        <v>7.6</v>
      </c>
      <c r="J132" s="1">
        <v>2.7576551473401595E-3</v>
      </c>
      <c r="K132" s="1">
        <v>1.9478253669564113E-3</v>
      </c>
      <c r="L132" s="1">
        <v>2.2207919805778804E-3</v>
      </c>
      <c r="M132" s="1">
        <v>3.2535785742663693E-3</v>
      </c>
      <c r="N132" s="1">
        <v>8.6308189344851474E-3</v>
      </c>
      <c r="P132" s="320">
        <v>7.6</v>
      </c>
      <c r="Q132" s="321">
        <f t="shared" si="101"/>
        <v>19.898049884354762</v>
      </c>
      <c r="R132" s="321">
        <f t="shared" si="102"/>
        <v>27.590135057382486</v>
      </c>
      <c r="S132" s="321">
        <f t="shared" si="103"/>
        <v>25.476779175238917</v>
      </c>
      <c r="T132" s="321">
        <f t="shared" si="104"/>
        <v>6.7742528863504514</v>
      </c>
      <c r="U132" s="321">
        <f t="shared" si="105"/>
        <v>4.7370978533648227</v>
      </c>
      <c r="X132" s="321">
        <v>5.07</v>
      </c>
      <c r="Y132" s="321">
        <v>24.646164074866142</v>
      </c>
      <c r="Z132" s="321">
        <v>15.014119300656336</v>
      </c>
      <c r="AA132" s="321">
        <v>14.627628871778327</v>
      </c>
      <c r="AB132" s="321">
        <v>60.820720981356025</v>
      </c>
      <c r="AC132" s="321">
        <v>5.3970846115143845</v>
      </c>
      <c r="AF132" s="320">
        <v>5.07</v>
      </c>
      <c r="AG132" s="191"/>
      <c r="AH132" s="191"/>
      <c r="AI132" s="191"/>
      <c r="AJ132" s="191"/>
      <c r="AK132" s="191"/>
      <c r="AM132" s="320">
        <v>5.07</v>
      </c>
      <c r="AN132" s="191">
        <f t="shared" ref="AN132:AN140" si="116">J131*18/0.02404</f>
        <v>0.75619720599215901</v>
      </c>
      <c r="AO132" s="191">
        <f t="shared" si="106"/>
        <v>1.270084839451735</v>
      </c>
      <c r="AP132" s="191">
        <f t="shared" si="106"/>
        <v>1.6304142054572193</v>
      </c>
      <c r="AQ132" s="191">
        <f t="shared" si="106"/>
        <v>2.6320448470662283</v>
      </c>
      <c r="AR132" s="191">
        <f t="shared" si="106"/>
        <v>7.76296282087538</v>
      </c>
      <c r="AS132" s="320">
        <v>5.07</v>
      </c>
      <c r="AT132" s="321" t="e">
        <f t="shared" ref="AT132:AT140" si="117">(AG132-AN132)/AG132*100</f>
        <v>#DIV/0!</v>
      </c>
      <c r="AU132" s="321" t="e">
        <f t="shared" si="107"/>
        <v>#DIV/0!</v>
      </c>
      <c r="AV132" s="321" t="e">
        <f t="shared" si="108"/>
        <v>#DIV/0!</v>
      </c>
      <c r="AW132" s="321" t="e">
        <f t="shared" si="109"/>
        <v>#DIV/0!</v>
      </c>
      <c r="AX132" s="321" t="e">
        <f t="shared" si="110"/>
        <v>#DIV/0!</v>
      </c>
      <c r="AY132" s="320">
        <v>5.07</v>
      </c>
      <c r="AZ132" s="368">
        <f t="shared" ref="AZ132:AZ140" si="118">C131*18/0.02404</f>
        <v>0.96589018302828611</v>
      </c>
      <c r="BA132" s="368">
        <f t="shared" si="111"/>
        <v>1.4525790349417638</v>
      </c>
      <c r="BB132" s="368">
        <f t="shared" si="111"/>
        <v>1.8643926788685525</v>
      </c>
      <c r="BC132" s="368">
        <f t="shared" si="111"/>
        <v>2.8677204658901831</v>
      </c>
      <c r="BD132" s="368">
        <f t="shared" si="111"/>
        <v>7.375207986688852</v>
      </c>
      <c r="BF132" s="321" t="e">
        <f t="shared" ref="BF132:BF140" si="119">(AG132-AZ132)/AG132*100</f>
        <v>#DIV/0!</v>
      </c>
      <c r="BG132" s="321" t="e">
        <f t="shared" si="112"/>
        <v>#DIV/0!</v>
      </c>
      <c r="BH132" s="321" t="e">
        <f t="shared" si="113"/>
        <v>#DIV/0!</v>
      </c>
      <c r="BI132" s="321" t="e">
        <f t="shared" si="114"/>
        <v>#DIV/0!</v>
      </c>
      <c r="BJ132" s="321" t="e">
        <f t="shared" si="115"/>
        <v>#DIV/0!</v>
      </c>
      <c r="CV132">
        <v>2.0148964533785876E-4</v>
      </c>
      <c r="CW132">
        <v>2.7197098280829353E-4</v>
      </c>
      <c r="CX132">
        <v>3.0684017233833637E-4</v>
      </c>
      <c r="CY132">
        <v>3.837041428410625E-4</v>
      </c>
      <c r="CZ132">
        <v>6.2940049381927888E-4</v>
      </c>
    </row>
    <row r="133" spans="2:104" ht="15">
      <c r="B133" s="320">
        <v>10.130000000000001</v>
      </c>
      <c r="C133" s="1">
        <v>3.32E-3</v>
      </c>
      <c r="D133" s="1">
        <v>3.7799999999999999E-3</v>
      </c>
      <c r="E133" s="1">
        <v>4.0000000000000001E-3</v>
      </c>
      <c r="F133" s="1">
        <v>4.4900000000000001E-3</v>
      </c>
      <c r="G133" s="1">
        <v>8.2799999999999992E-3</v>
      </c>
      <c r="I133" s="320">
        <v>10.130000000000001</v>
      </c>
      <c r="J133" s="1">
        <v>3.088147962360449E-3</v>
      </c>
      <c r="K133" s="1">
        <v>3.6516540364334841E-3</v>
      </c>
      <c r="L133" s="1">
        <v>3.8390980730845605E-3</v>
      </c>
      <c r="M133" s="1">
        <v>4.0787008943129156E-3</v>
      </c>
      <c r="N133" s="1">
        <v>8.3645548966285212E-3</v>
      </c>
      <c r="P133" s="320">
        <v>10.130000000000001</v>
      </c>
      <c r="Q133" s="321">
        <f t="shared" si="101"/>
        <v>6.9834951096250304</v>
      </c>
      <c r="R133" s="321">
        <f t="shared" si="102"/>
        <v>3.395395861548038</v>
      </c>
      <c r="S133" s="321">
        <f t="shared" si="103"/>
        <v>4.0225481728859886</v>
      </c>
      <c r="T133" s="321">
        <f t="shared" si="104"/>
        <v>9.1603364295564464</v>
      </c>
      <c r="U133" s="321">
        <f t="shared" si="105"/>
        <v>1.0211944037261114</v>
      </c>
      <c r="X133" s="321">
        <v>7.6</v>
      </c>
      <c r="Y133" s="321">
        <v>3.4661043113123005</v>
      </c>
      <c r="Z133" s="321">
        <v>31.913220279711592</v>
      </c>
      <c r="AA133" s="321">
        <v>28.7788177171428</v>
      </c>
      <c r="AB133" s="321">
        <v>9.2708241814060894</v>
      </c>
      <c r="AC133" s="321">
        <v>4.4741075778316066</v>
      </c>
      <c r="AF133" s="320">
        <v>7.6</v>
      </c>
      <c r="AG133" s="191"/>
      <c r="AH133" s="191"/>
      <c r="AI133" s="191"/>
      <c r="AJ133" s="191"/>
      <c r="AK133" s="191"/>
      <c r="AM133" s="320">
        <v>10.130000000000001</v>
      </c>
      <c r="AN133" s="191">
        <f t="shared" si="116"/>
        <v>2.0648000271265752</v>
      </c>
      <c r="AO133" s="191">
        <f t="shared" si="106"/>
        <v>1.4584382947260983</v>
      </c>
      <c r="AP133" s="191">
        <f t="shared" si="106"/>
        <v>1.6628226144093945</v>
      </c>
      <c r="AQ133" s="191">
        <f t="shared" si="106"/>
        <v>2.43612372449229</v>
      </c>
      <c r="AR133" s="191">
        <f t="shared" si="106"/>
        <v>6.4623436281502764</v>
      </c>
      <c r="AS133" s="320">
        <v>10.130000000000001</v>
      </c>
      <c r="AT133" s="321" t="e">
        <f t="shared" si="117"/>
        <v>#DIV/0!</v>
      </c>
      <c r="AU133" s="321" t="e">
        <f t="shared" si="107"/>
        <v>#DIV/0!</v>
      </c>
      <c r="AV133" s="321" t="e">
        <f t="shared" si="108"/>
        <v>#DIV/0!</v>
      </c>
      <c r="AW133" s="321" t="e">
        <f t="shared" si="109"/>
        <v>#DIV/0!</v>
      </c>
      <c r="AX133" s="321" t="e">
        <f t="shared" si="110"/>
        <v>#DIV/0!</v>
      </c>
      <c r="AY133" s="320">
        <v>10.130000000000001</v>
      </c>
      <c r="AZ133" s="368">
        <f t="shared" si="118"/>
        <v>1.7221297836938436</v>
      </c>
      <c r="BA133" s="368">
        <f t="shared" si="111"/>
        <v>2.0141430948419305</v>
      </c>
      <c r="BB133" s="368">
        <f t="shared" si="111"/>
        <v>2.231281198003328</v>
      </c>
      <c r="BC133" s="368">
        <f t="shared" si="111"/>
        <v>2.6131447587354413</v>
      </c>
      <c r="BD133" s="368">
        <f t="shared" si="111"/>
        <v>6.7836938435940102</v>
      </c>
      <c r="BF133" s="321" t="e">
        <f t="shared" si="119"/>
        <v>#DIV/0!</v>
      </c>
      <c r="BG133" s="321" t="e">
        <f t="shared" si="112"/>
        <v>#DIV/0!</v>
      </c>
      <c r="BH133" s="321" t="e">
        <f t="shared" si="113"/>
        <v>#DIV/0!</v>
      </c>
      <c r="BI133" s="321" t="e">
        <f t="shared" si="114"/>
        <v>#DIV/0!</v>
      </c>
      <c r="BJ133" s="321" t="e">
        <f t="shared" si="115"/>
        <v>#DIV/0!</v>
      </c>
      <c r="CV133">
        <v>2.0655291763438694E-4</v>
      </c>
      <c r="CW133">
        <v>2.8445186308974298E-4</v>
      </c>
      <c r="CX133">
        <v>3.2974540584433957E-4</v>
      </c>
      <c r="CY133">
        <v>4.3067269231489589E-4</v>
      </c>
      <c r="CZ133">
        <v>7.4403381338545768E-4</v>
      </c>
    </row>
    <row r="134" spans="2:104" ht="15">
      <c r="B134" s="320">
        <v>15.2</v>
      </c>
      <c r="C134" s="1">
        <v>3.5899999999999999E-3</v>
      </c>
      <c r="D134" s="1">
        <v>4.3E-3</v>
      </c>
      <c r="E134" s="1">
        <v>4.8500000000000001E-3</v>
      </c>
      <c r="F134" s="1">
        <v>6.0899999999999999E-3</v>
      </c>
      <c r="G134" s="1">
        <v>9.5499999999999995E-3</v>
      </c>
      <c r="I134" s="320">
        <v>15.2</v>
      </c>
      <c r="J134" s="1">
        <v>3.4493410718235387E-3</v>
      </c>
      <c r="K134" s="1">
        <v>4.3568103313041786E-3</v>
      </c>
      <c r="L134" s="1">
        <v>4.8577352610791524E-3</v>
      </c>
      <c r="M134" s="1">
        <v>5.9567823331245122E-3</v>
      </c>
      <c r="N134" s="1">
        <v>9.8980975070470066E-3</v>
      </c>
      <c r="P134" s="320">
        <v>15.2</v>
      </c>
      <c r="Q134" s="321">
        <f t="shared" si="101"/>
        <v>3.9180759937732907</v>
      </c>
      <c r="R134" s="321">
        <f t="shared" si="102"/>
        <v>1.3211704954460128</v>
      </c>
      <c r="S134" s="321">
        <f t="shared" si="103"/>
        <v>0.15948991915777844</v>
      </c>
      <c r="T134" s="321">
        <f t="shared" si="104"/>
        <v>2.1874822147042314</v>
      </c>
      <c r="U134" s="321">
        <f t="shared" si="105"/>
        <v>3.6450000737906509</v>
      </c>
      <c r="X134" s="321">
        <v>10.130000000000001</v>
      </c>
      <c r="Y134" s="321">
        <v>20.59369060060105</v>
      </c>
      <c r="Z134" s="321">
        <v>13.730763118710227</v>
      </c>
      <c r="AA134" s="321">
        <v>12.271410908512276</v>
      </c>
      <c r="AB134" s="321">
        <v>13.240414620198443</v>
      </c>
      <c r="AC134" s="321">
        <v>1.5705134602762547</v>
      </c>
      <c r="AF134" s="320">
        <v>10.130000000000001</v>
      </c>
      <c r="AG134" s="191"/>
      <c r="AH134" s="191"/>
      <c r="AI134" s="191"/>
      <c r="AJ134" s="191"/>
      <c r="AK134" s="191"/>
      <c r="AM134" s="320">
        <v>15.2</v>
      </c>
      <c r="AN134" s="191">
        <f t="shared" si="116"/>
        <v>2.3122572097540801</v>
      </c>
      <c r="AO134" s="191">
        <f t="shared" si="106"/>
        <v>2.7341835547338897</v>
      </c>
      <c r="AP134" s="191">
        <f t="shared" si="106"/>
        <v>2.8745326670350289</v>
      </c>
      <c r="AQ134" s="191">
        <f t="shared" si="106"/>
        <v>3.0539357777717338</v>
      </c>
      <c r="AR134" s="191">
        <f t="shared" si="106"/>
        <v>6.2629778760113721</v>
      </c>
      <c r="AS134" s="320">
        <v>15.2</v>
      </c>
      <c r="AT134" s="321" t="e">
        <f t="shared" si="117"/>
        <v>#DIV/0!</v>
      </c>
      <c r="AU134" s="321" t="e">
        <f t="shared" si="107"/>
        <v>#DIV/0!</v>
      </c>
      <c r="AV134" s="321" t="e">
        <f t="shared" si="108"/>
        <v>#DIV/0!</v>
      </c>
      <c r="AW134" s="321" t="e">
        <f t="shared" si="109"/>
        <v>#DIV/0!</v>
      </c>
      <c r="AX134" s="321" t="e">
        <f t="shared" si="110"/>
        <v>#DIV/0!</v>
      </c>
      <c r="AY134" s="320">
        <v>15.2</v>
      </c>
      <c r="AZ134" s="368">
        <f t="shared" si="118"/>
        <v>2.4858569051580699</v>
      </c>
      <c r="BA134" s="368">
        <f t="shared" si="111"/>
        <v>2.8302828618968388</v>
      </c>
      <c r="BB134" s="368">
        <f t="shared" si="111"/>
        <v>2.9950083194675545</v>
      </c>
      <c r="BC134" s="368">
        <f t="shared" si="111"/>
        <v>3.3618968386023296</v>
      </c>
      <c r="BD134" s="368">
        <f t="shared" si="111"/>
        <v>6.1996672212978368</v>
      </c>
      <c r="BF134" s="321" t="e">
        <f t="shared" si="119"/>
        <v>#DIV/0!</v>
      </c>
      <c r="BG134" s="321" t="e">
        <f t="shared" si="112"/>
        <v>#DIV/0!</v>
      </c>
      <c r="BH134" s="321" t="e">
        <f t="shared" si="113"/>
        <v>#DIV/0!</v>
      </c>
      <c r="BI134" s="321" t="e">
        <f t="shared" si="114"/>
        <v>#DIV/0!</v>
      </c>
      <c r="BJ134" s="321" t="e">
        <f t="shared" si="115"/>
        <v>#DIV/0!</v>
      </c>
      <c r="CV134">
        <v>2.1473695324417743E-4</v>
      </c>
      <c r="CW134">
        <v>2.9886744042712676E-4</v>
      </c>
      <c r="CX134">
        <v>3.4916019316051368E-4</v>
      </c>
      <c r="CY134">
        <v>4.6773367079700276E-4</v>
      </c>
      <c r="CZ134">
        <v>8.7808880049149466E-4</v>
      </c>
    </row>
    <row r="135" spans="2:104" ht="15">
      <c r="B135" s="320">
        <v>20.27</v>
      </c>
      <c r="C135" s="1">
        <v>3.7699999999999999E-3</v>
      </c>
      <c r="D135" s="1">
        <v>4.62E-3</v>
      </c>
      <c r="E135" s="1">
        <v>5.2700000000000004E-3</v>
      </c>
      <c r="F135" s="1">
        <v>6.7600000000000004E-3</v>
      </c>
      <c r="G135" s="1">
        <v>1.1299999999999999E-2</v>
      </c>
      <c r="I135" s="320">
        <v>20.27</v>
      </c>
      <c r="J135" s="1">
        <v>3.6710795047521522E-3</v>
      </c>
      <c r="K135" s="1">
        <v>4.7197946471699385E-3</v>
      </c>
      <c r="L135" s="1">
        <v>5.3204136894827855E-3</v>
      </c>
      <c r="M135" s="1">
        <v>6.6937715749715108E-3</v>
      </c>
      <c r="N135" s="1">
        <v>1.1489061122108436E-2</v>
      </c>
      <c r="P135" s="320">
        <v>20.27</v>
      </c>
      <c r="Q135" s="321">
        <f t="shared" si="101"/>
        <v>2.6238858155927769</v>
      </c>
      <c r="R135" s="321">
        <f t="shared" si="102"/>
        <v>2.1600572980506185</v>
      </c>
      <c r="S135" s="321">
        <f t="shared" si="103"/>
        <v>0.95661649872457521</v>
      </c>
      <c r="T135" s="321">
        <f t="shared" si="104"/>
        <v>0.97971042941552666</v>
      </c>
      <c r="U135" s="321">
        <f t="shared" si="105"/>
        <v>1.6731072752959029</v>
      </c>
      <c r="X135" s="321">
        <v>15.2</v>
      </c>
      <c r="Y135" s="321">
        <v>18.956103962928271</v>
      </c>
      <c r="Z135" s="321">
        <v>10.864559890802864</v>
      </c>
      <c r="AA135" s="321">
        <v>9.9995037218830163</v>
      </c>
      <c r="AB135" s="321">
        <v>8.4328980692146303</v>
      </c>
      <c r="AC135" s="321">
        <v>5.1226050496831137</v>
      </c>
      <c r="AF135" s="320">
        <v>15.2</v>
      </c>
      <c r="AG135" s="191"/>
      <c r="AH135" s="191"/>
      <c r="AI135" s="191"/>
      <c r="AJ135" s="191"/>
      <c r="AK135" s="191"/>
      <c r="AM135" s="320">
        <v>20.27</v>
      </c>
      <c r="AN135" s="191">
        <f t="shared" si="116"/>
        <v>2.5827013016981573</v>
      </c>
      <c r="AO135" s="191">
        <f t="shared" si="106"/>
        <v>3.2621707971495515</v>
      </c>
      <c r="AP135" s="191">
        <f t="shared" si="106"/>
        <v>3.6372393801757381</v>
      </c>
      <c r="AQ135" s="191">
        <f t="shared" si="106"/>
        <v>4.4601531612413154</v>
      </c>
      <c r="AR135" s="191">
        <f t="shared" si="106"/>
        <v>7.4112210951267112</v>
      </c>
      <c r="AS135" s="320">
        <v>20.27</v>
      </c>
      <c r="AT135" s="321" t="e">
        <f t="shared" si="117"/>
        <v>#DIV/0!</v>
      </c>
      <c r="AU135" s="321" t="e">
        <f t="shared" si="107"/>
        <v>#DIV/0!</v>
      </c>
      <c r="AV135" s="321" t="e">
        <f t="shared" si="108"/>
        <v>#DIV/0!</v>
      </c>
      <c r="AW135" s="321" t="e">
        <f t="shared" si="109"/>
        <v>#DIV/0!</v>
      </c>
      <c r="AX135" s="321" t="e">
        <f t="shared" si="110"/>
        <v>#DIV/0!</v>
      </c>
      <c r="AY135" s="320">
        <v>20.27</v>
      </c>
      <c r="AZ135" s="368">
        <f t="shared" si="118"/>
        <v>2.6880199667221296</v>
      </c>
      <c r="BA135" s="368">
        <f t="shared" si="111"/>
        <v>3.2196339434276204</v>
      </c>
      <c r="BB135" s="368">
        <f t="shared" si="111"/>
        <v>3.6314475873544096</v>
      </c>
      <c r="BC135" s="368">
        <f t="shared" si="111"/>
        <v>4.559900166389351</v>
      </c>
      <c r="BD135" s="368">
        <f t="shared" si="111"/>
        <v>7.1505823627287857</v>
      </c>
      <c r="BF135" s="321" t="e">
        <f t="shared" si="119"/>
        <v>#DIV/0!</v>
      </c>
      <c r="BG135" s="321" t="e">
        <f t="shared" si="112"/>
        <v>#DIV/0!</v>
      </c>
      <c r="BH135" s="321" t="e">
        <f t="shared" si="113"/>
        <v>#DIV/0!</v>
      </c>
      <c r="BI135" s="321" t="e">
        <f t="shared" si="114"/>
        <v>#DIV/0!</v>
      </c>
      <c r="BJ135" s="321" t="e">
        <f t="shared" si="115"/>
        <v>#DIV/0!</v>
      </c>
      <c r="CV135">
        <v>2.2153505555471938E-4</v>
      </c>
      <c r="CW135">
        <v>3.1006114495710685E-4</v>
      </c>
      <c r="CX135">
        <v>3.6347167237288217E-4</v>
      </c>
      <c r="CY135">
        <v>4.9099191016226313E-4</v>
      </c>
      <c r="CZ135">
        <v>9.5158221083118039E-4</v>
      </c>
    </row>
    <row r="136" spans="2:104" ht="15">
      <c r="B136" s="320">
        <v>40.53</v>
      </c>
      <c r="C136" s="1">
        <v>3.9500000000000004E-3</v>
      </c>
      <c r="D136" s="1">
        <v>5.2700000000000004E-3</v>
      </c>
      <c r="E136" s="1">
        <v>5.9699999999999996E-3</v>
      </c>
      <c r="F136" s="1">
        <v>7.5799999999999999E-3</v>
      </c>
      <c r="G136" s="1">
        <v>1.32E-2</v>
      </c>
      <c r="I136" s="320">
        <v>40.53</v>
      </c>
      <c r="J136" s="1">
        <v>4.1152824893078213E-3</v>
      </c>
      <c r="K136" s="1">
        <v>5.3795807649049945E-3</v>
      </c>
      <c r="L136" s="1">
        <v>6.1186300635308862E-3</v>
      </c>
      <c r="M136" s="1">
        <v>7.8416874554669332E-3</v>
      </c>
      <c r="N136" s="1">
        <v>1.3935224434368286E-2</v>
      </c>
      <c r="P136" s="320">
        <v>40.53</v>
      </c>
      <c r="Q136" s="321">
        <f t="shared" si="101"/>
        <v>4.1843668179195168</v>
      </c>
      <c r="R136" s="321">
        <f t="shared" si="102"/>
        <v>2.079331402371805</v>
      </c>
      <c r="S136" s="321">
        <f t="shared" si="103"/>
        <v>2.4896158045374635</v>
      </c>
      <c r="T136" s="321">
        <f t="shared" si="104"/>
        <v>3.4523411011468772</v>
      </c>
      <c r="U136" s="321">
        <f t="shared" si="105"/>
        <v>5.5698820785476197</v>
      </c>
      <c r="X136" s="321">
        <v>20.27</v>
      </c>
      <c r="Y136" s="321">
        <v>18.495295131984687</v>
      </c>
      <c r="Z136" s="321">
        <v>10.835991460556658</v>
      </c>
      <c r="AA136" s="321">
        <v>9.983764758225794</v>
      </c>
      <c r="AB136" s="321">
        <v>7.8962534827440463</v>
      </c>
      <c r="AC136" s="321">
        <v>3.8436625966528712</v>
      </c>
      <c r="AF136" s="320">
        <v>20.27</v>
      </c>
      <c r="AG136" s="191"/>
      <c r="AH136" s="191"/>
      <c r="AI136" s="191"/>
      <c r="AJ136" s="191"/>
      <c r="AK136" s="191"/>
      <c r="AM136" s="320">
        <v>25.33</v>
      </c>
      <c r="AN136" s="191">
        <f t="shared" si="116"/>
        <v>2.7487284145398809</v>
      </c>
      <c r="AO136" s="191">
        <f t="shared" si="106"/>
        <v>3.5339560586130991</v>
      </c>
      <c r="AP136" s="191">
        <f t="shared" si="106"/>
        <v>3.983670815752502</v>
      </c>
      <c r="AQ136" s="191">
        <f t="shared" si="106"/>
        <v>5.0119753889137773</v>
      </c>
      <c r="AR136" s="191">
        <f t="shared" si="106"/>
        <v>8.6024584108964994</v>
      </c>
      <c r="AS136" s="320">
        <v>25.33</v>
      </c>
      <c r="AT136" s="321" t="e">
        <f t="shared" si="117"/>
        <v>#DIV/0!</v>
      </c>
      <c r="AU136" s="321" t="e">
        <f t="shared" si="107"/>
        <v>#DIV/0!</v>
      </c>
      <c r="AV136" s="321" t="e">
        <f t="shared" si="108"/>
        <v>#DIV/0!</v>
      </c>
      <c r="AW136" s="321" t="e">
        <f t="shared" si="109"/>
        <v>#DIV/0!</v>
      </c>
      <c r="AX136" s="321" t="e">
        <f t="shared" si="110"/>
        <v>#DIV/0!</v>
      </c>
      <c r="AY136" s="320">
        <v>25.33</v>
      </c>
      <c r="AZ136" s="368">
        <f t="shared" si="118"/>
        <v>2.8227953410981699</v>
      </c>
      <c r="BA136" s="368">
        <f t="shared" si="111"/>
        <v>3.459234608985025</v>
      </c>
      <c r="BB136" s="368">
        <f t="shared" si="111"/>
        <v>3.9459234608985025</v>
      </c>
      <c r="BC136" s="368">
        <f t="shared" si="111"/>
        <v>5.0615640599001672</v>
      </c>
      <c r="BD136" s="368">
        <f t="shared" si="111"/>
        <v>8.4608985024958407</v>
      </c>
      <c r="BF136" s="321" t="e">
        <f t="shared" si="119"/>
        <v>#DIV/0!</v>
      </c>
      <c r="BG136" s="321" t="e">
        <f t="shared" si="112"/>
        <v>#DIV/0!</v>
      </c>
      <c r="BH136" s="321" t="e">
        <f t="shared" si="113"/>
        <v>#DIV/0!</v>
      </c>
      <c r="BI136" s="321" t="e">
        <f t="shared" si="114"/>
        <v>#DIV/0!</v>
      </c>
      <c r="BJ136" s="321" t="e">
        <f t="shared" si="115"/>
        <v>#DIV/0!</v>
      </c>
      <c r="CV136">
        <v>2.4203580040718894E-4</v>
      </c>
      <c r="CW136">
        <v>3.4233474702386173E-4</v>
      </c>
      <c r="CX136">
        <v>4.0366490725479969E-4</v>
      </c>
      <c r="CY136">
        <v>5.5246786442606627E-4</v>
      </c>
      <c r="CZ136">
        <v>1.1160405696003144E-3</v>
      </c>
    </row>
    <row r="137" spans="2:104" ht="15">
      <c r="B137" s="320">
        <v>50.66</v>
      </c>
      <c r="C137" s="1">
        <v>3.9699999999999996E-3</v>
      </c>
      <c r="D137" s="1">
        <v>5.2700000000000004E-3</v>
      </c>
      <c r="E137" s="1">
        <v>5.9699999999999996E-3</v>
      </c>
      <c r="F137" s="1" t="s">
        <v>192</v>
      </c>
      <c r="G137" s="1" t="s">
        <v>192</v>
      </c>
      <c r="I137" s="320">
        <v>50.66</v>
      </c>
      <c r="J137" s="1">
        <v>4.2270152505679845E-3</v>
      </c>
      <c r="K137" s="1">
        <v>5.5350432849770965E-3</v>
      </c>
      <c r="L137" s="1">
        <v>6.3005039376072885E-3</v>
      </c>
      <c r="M137" s="1">
        <v>8.0864384466318717E-3</v>
      </c>
      <c r="N137" s="1">
        <v>1.439772543717634E-2</v>
      </c>
      <c r="P137" s="320">
        <v>50.66</v>
      </c>
      <c r="Q137" s="321">
        <f t="shared" si="101"/>
        <v>6.4739357825688915</v>
      </c>
      <c r="R137" s="321">
        <f t="shared" si="102"/>
        <v>5.0292843449164346</v>
      </c>
      <c r="S137" s="321">
        <f t="shared" si="103"/>
        <v>5.5360793569060123</v>
      </c>
      <c r="T137" s="321" t="s">
        <v>192</v>
      </c>
      <c r="U137" s="321" t="s">
        <v>192</v>
      </c>
      <c r="X137" s="321">
        <v>40.53</v>
      </c>
      <c r="Y137" s="321">
        <v>14.332579719167788</v>
      </c>
      <c r="Z137" s="321">
        <v>12.371967088321554</v>
      </c>
      <c r="AA137" s="321">
        <v>10.009480219902004</v>
      </c>
      <c r="AB137" s="321">
        <v>4.8515320223768397</v>
      </c>
      <c r="AC137" s="321">
        <v>9.0988171201448118</v>
      </c>
      <c r="AF137" s="320">
        <v>40.53</v>
      </c>
      <c r="AG137" s="191"/>
      <c r="AH137" s="191"/>
      <c r="AI137" s="191"/>
      <c r="AJ137" s="191"/>
      <c r="AK137" s="191"/>
      <c r="AM137" s="320">
        <v>30.4</v>
      </c>
      <c r="AN137" s="191">
        <f t="shared" si="116"/>
        <v>3.0813263231090176</v>
      </c>
      <c r="AO137" s="191">
        <f t="shared" si="106"/>
        <v>4.0279722865345216</v>
      </c>
      <c r="AP137" s="191">
        <f t="shared" si="106"/>
        <v>4.5813369860048239</v>
      </c>
      <c r="AQ137" s="191">
        <f t="shared" si="106"/>
        <v>5.871479791946955</v>
      </c>
      <c r="AR137" s="191">
        <f t="shared" si="106"/>
        <v>10.434028278645139</v>
      </c>
      <c r="AS137" s="320">
        <v>30.4</v>
      </c>
      <c r="AT137" s="321" t="e">
        <f t="shared" si="117"/>
        <v>#DIV/0!</v>
      </c>
      <c r="AU137" s="321" t="e">
        <f t="shared" si="107"/>
        <v>#DIV/0!</v>
      </c>
      <c r="AV137" s="321" t="e">
        <f t="shared" si="108"/>
        <v>#DIV/0!</v>
      </c>
      <c r="AW137" s="321" t="e">
        <f t="shared" si="109"/>
        <v>#DIV/0!</v>
      </c>
      <c r="AX137" s="321" t="e">
        <f t="shared" si="110"/>
        <v>#DIV/0!</v>
      </c>
      <c r="AY137" s="320">
        <v>30.4</v>
      </c>
      <c r="AZ137" s="368">
        <f t="shared" si="118"/>
        <v>2.9575707154742101</v>
      </c>
      <c r="BA137" s="368">
        <f t="shared" si="111"/>
        <v>3.9459234608985025</v>
      </c>
      <c r="BB137" s="368">
        <f t="shared" si="111"/>
        <v>4.4700499168053245</v>
      </c>
      <c r="BC137" s="368">
        <f t="shared" si="111"/>
        <v>5.6755407653910153</v>
      </c>
      <c r="BD137" s="368">
        <f t="shared" si="111"/>
        <v>9.8835274542429286</v>
      </c>
      <c r="BF137" s="321" t="e">
        <f t="shared" si="119"/>
        <v>#DIV/0!</v>
      </c>
      <c r="BG137" s="321" t="e">
        <f t="shared" si="112"/>
        <v>#DIV/0!</v>
      </c>
      <c r="BH137" s="321" t="e">
        <f t="shared" si="113"/>
        <v>#DIV/0!</v>
      </c>
      <c r="BI137" s="321" t="e">
        <f t="shared" si="114"/>
        <v>#DIV/0!</v>
      </c>
      <c r="BJ137" s="321" t="e">
        <f t="shared" si="115"/>
        <v>#DIV/0!</v>
      </c>
      <c r="CV137">
        <v>2.4994975606944453E-4</v>
      </c>
      <c r="CW137">
        <v>3.5448072661461489E-4</v>
      </c>
      <c r="CX137">
        <v>4.185859612606103E-4</v>
      </c>
      <c r="CY137">
        <v>5.7463536088709602E-4</v>
      </c>
      <c r="CZ137">
        <v>1.1709231209291796E-3</v>
      </c>
    </row>
    <row r="138" spans="2:104" ht="15">
      <c r="B138" s="320">
        <v>60.8</v>
      </c>
      <c r="C138" t="s">
        <v>192</v>
      </c>
      <c r="D138" s="1" t="s">
        <v>192</v>
      </c>
      <c r="E138" s="1" t="s">
        <v>192</v>
      </c>
      <c r="F138" s="1">
        <v>7.92E-3</v>
      </c>
      <c r="G138" s="1">
        <v>1.49E-2</v>
      </c>
      <c r="I138" s="320">
        <v>60.8</v>
      </c>
      <c r="J138" s="1">
        <v>4.3042193946719581E-3</v>
      </c>
      <c r="K138" s="1">
        <v>5.6397753065296121E-3</v>
      </c>
      <c r="L138" s="1">
        <v>6.4214615581368569E-3</v>
      </c>
      <c r="M138" s="1">
        <v>8.2450487430772244E-3</v>
      </c>
      <c r="N138" s="1">
        <v>1.4679116632224576E-2</v>
      </c>
      <c r="P138" s="320">
        <v>60.8</v>
      </c>
      <c r="Q138" s="321" t="s">
        <v>192</v>
      </c>
      <c r="R138" s="321" t="s">
        <v>192</v>
      </c>
      <c r="S138" s="321" t="s">
        <v>192</v>
      </c>
      <c r="T138" s="321">
        <f t="shared" si="104"/>
        <v>4.1041507964296011</v>
      </c>
      <c r="U138" s="321">
        <f t="shared" si="105"/>
        <v>1.4824387099021781</v>
      </c>
      <c r="X138" s="321">
        <v>50.66</v>
      </c>
      <c r="Y138" s="321">
        <v>12.944480105808594</v>
      </c>
      <c r="Z138" s="321">
        <v>10.293902505565255</v>
      </c>
      <c r="AA138" s="321">
        <v>7.7572336520185372</v>
      </c>
      <c r="AB138" s="321" t="s">
        <v>192</v>
      </c>
      <c r="AC138" s="321" t="s">
        <v>192</v>
      </c>
      <c r="AF138" s="320">
        <v>50.66</v>
      </c>
      <c r="AG138" s="191"/>
      <c r="AH138" s="191"/>
      <c r="AI138" s="191"/>
      <c r="AJ138" s="191"/>
      <c r="AK138" s="191"/>
      <c r="AM138" s="320">
        <v>40.53</v>
      </c>
      <c r="AN138" s="191">
        <f t="shared" si="116"/>
        <v>3.1649864604918356</v>
      </c>
      <c r="AO138" s="191">
        <f t="shared" si="106"/>
        <v>4.1443751717798563</v>
      </c>
      <c r="AP138" s="191">
        <f t="shared" si="106"/>
        <v>4.7175154274929785</v>
      </c>
      <c r="AQ138" s="191">
        <f t="shared" si="106"/>
        <v>6.0547376056311855</v>
      </c>
      <c r="AR138" s="191">
        <f t="shared" si="106"/>
        <v>10.780326866438193</v>
      </c>
      <c r="AS138" s="320">
        <v>40.53</v>
      </c>
      <c r="AT138" s="321" t="e">
        <f t="shared" si="117"/>
        <v>#DIV/0!</v>
      </c>
      <c r="AU138" s="321" t="e">
        <f t="shared" si="107"/>
        <v>#DIV/0!</v>
      </c>
      <c r="AV138" s="321" t="e">
        <f t="shared" si="108"/>
        <v>#DIV/0!</v>
      </c>
      <c r="AW138" s="321" t="e">
        <f t="shared" si="109"/>
        <v>#DIV/0!</v>
      </c>
      <c r="AX138" s="321" t="e">
        <f t="shared" si="110"/>
        <v>#DIV/0!</v>
      </c>
      <c r="AY138" s="320">
        <v>40.53</v>
      </c>
      <c r="AZ138" s="368">
        <f t="shared" si="118"/>
        <v>2.9725457570715474</v>
      </c>
      <c r="BA138" s="368">
        <f t="shared" si="111"/>
        <v>3.9459234608985025</v>
      </c>
      <c r="BB138" s="368">
        <f t="shared" si="111"/>
        <v>4.4700499168053245</v>
      </c>
      <c r="BC138" s="368"/>
      <c r="BD138" s="368"/>
      <c r="BF138" s="321" t="e">
        <f t="shared" si="119"/>
        <v>#DIV/0!</v>
      </c>
      <c r="BG138" s="321" t="e">
        <f t="shared" si="112"/>
        <v>#DIV/0!</v>
      </c>
      <c r="BH138" s="321" t="e">
        <f t="shared" si="113"/>
        <v>#DIV/0!</v>
      </c>
      <c r="BI138" s="321" t="e">
        <f t="shared" si="114"/>
        <v>#DIV/0!</v>
      </c>
      <c r="BJ138" s="321" t="e">
        <f t="shared" si="115"/>
        <v>#DIV/0!</v>
      </c>
      <c r="CV138">
        <v>2.5686201119899573E-4</v>
      </c>
      <c r="CW138">
        <v>3.6499673394079797E-4</v>
      </c>
      <c r="CX138">
        <v>4.3144676795749132E-4</v>
      </c>
      <c r="CY138">
        <v>5.9356879689819288E-4</v>
      </c>
      <c r="CZ138">
        <v>1.2167527894188133E-3</v>
      </c>
    </row>
    <row r="139" spans="2:104" ht="15">
      <c r="B139" s="320">
        <v>70.930000000000007</v>
      </c>
      <c r="C139" s="1" t="s">
        <v>192</v>
      </c>
      <c r="D139" s="1" t="s">
        <v>192</v>
      </c>
      <c r="E139" s="1" t="s">
        <v>192</v>
      </c>
      <c r="F139" s="1">
        <v>8.0099999999999998E-3</v>
      </c>
      <c r="G139" s="1">
        <v>1.55E-2</v>
      </c>
      <c r="I139" s="320">
        <v>70.930000000000007</v>
      </c>
      <c r="J139" s="1">
        <v>4.3582998808769135E-3</v>
      </c>
      <c r="K139" s="1">
        <v>5.711408883436863E-3</v>
      </c>
      <c r="L139" s="1">
        <v>6.5031748329168002E-3</v>
      </c>
      <c r="M139" s="1">
        <v>8.3494797328665365E-3</v>
      </c>
      <c r="N139" s="1">
        <v>1.4851642914040042E-2</v>
      </c>
      <c r="P139" s="320">
        <v>70.930000000000007</v>
      </c>
      <c r="Q139" s="321" t="s">
        <v>192</v>
      </c>
      <c r="R139" s="321" t="s">
        <v>192</v>
      </c>
      <c r="S139" s="321" t="s">
        <v>192</v>
      </c>
      <c r="T139" s="321">
        <f t="shared" si="104"/>
        <v>4.2381989121914696</v>
      </c>
      <c r="U139" s="321">
        <f t="shared" si="105"/>
        <v>4.1829489416771501</v>
      </c>
      <c r="X139" s="321">
        <v>60.8</v>
      </c>
      <c r="Y139" s="321" t="s">
        <v>192</v>
      </c>
      <c r="Z139" s="321" t="s">
        <v>192</v>
      </c>
      <c r="AA139" s="321" t="s">
        <v>192</v>
      </c>
      <c r="AB139" s="321">
        <v>4.8067647354415586</v>
      </c>
      <c r="AC139" s="321">
        <v>2.3141597835502496</v>
      </c>
      <c r="AF139" s="320">
        <v>60.8</v>
      </c>
      <c r="AG139" s="191"/>
      <c r="AH139" s="191"/>
      <c r="AI139" s="191"/>
      <c r="AJ139" s="191"/>
      <c r="AK139" s="191"/>
      <c r="AM139" s="320">
        <v>50.66</v>
      </c>
      <c r="AN139" s="191">
        <f t="shared" si="116"/>
        <v>3.2227932239640289</v>
      </c>
      <c r="AO139" s="191">
        <f t="shared" si="106"/>
        <v>4.2227934907459659</v>
      </c>
      <c r="AP139" s="191">
        <f t="shared" si="106"/>
        <v>4.8080826974402431</v>
      </c>
      <c r="AQ139" s="191">
        <f t="shared" si="106"/>
        <v>6.173497394982947</v>
      </c>
      <c r="AR139" s="191">
        <f t="shared" si="106"/>
        <v>10.991019108986789</v>
      </c>
      <c r="AS139" s="320">
        <v>50.66</v>
      </c>
      <c r="AT139" s="321" t="e">
        <f t="shared" si="117"/>
        <v>#DIV/0!</v>
      </c>
      <c r="AU139" s="321" t="e">
        <f t="shared" si="107"/>
        <v>#DIV/0!</v>
      </c>
      <c r="AV139" s="321" t="e">
        <f t="shared" si="108"/>
        <v>#DIV/0!</v>
      </c>
      <c r="AW139" s="321" t="e">
        <f t="shared" si="109"/>
        <v>#DIV/0!</v>
      </c>
      <c r="AX139" s="321" t="e">
        <f t="shared" si="110"/>
        <v>#DIV/0!</v>
      </c>
      <c r="AY139" s="320">
        <v>50.66</v>
      </c>
      <c r="AZ139" s="368" t="e">
        <f t="shared" si="118"/>
        <v>#VALUE!</v>
      </c>
      <c r="BA139" s="368" t="e">
        <f t="shared" si="111"/>
        <v>#VALUE!</v>
      </c>
      <c r="BB139" s="368" t="e">
        <f t="shared" si="111"/>
        <v>#VALUE!</v>
      </c>
      <c r="BC139" s="368">
        <f t="shared" si="111"/>
        <v>5.9301164725457571</v>
      </c>
      <c r="BD139" s="368">
        <f t="shared" si="111"/>
        <v>11.156405990016639</v>
      </c>
      <c r="BF139" s="321" t="e">
        <f t="shared" si="119"/>
        <v>#VALUE!</v>
      </c>
      <c r="BG139" s="321" t="e">
        <f t="shared" si="112"/>
        <v>#VALUE!</v>
      </c>
      <c r="BH139" s="321" t="e">
        <f t="shared" si="113"/>
        <v>#VALUE!</v>
      </c>
      <c r="BI139" s="321" t="e">
        <f t="shared" si="114"/>
        <v>#DIV/0!</v>
      </c>
      <c r="BJ139" s="321" t="e">
        <f t="shared" si="115"/>
        <v>#DIV/0!</v>
      </c>
      <c r="CV139">
        <v>2.6296803749152522E-4</v>
      </c>
      <c r="CW139">
        <v>3.7422436767863926E-4</v>
      </c>
      <c r="CX139">
        <v>4.4269383706980239E-4</v>
      </c>
      <c r="CY139">
        <v>6.1001436437000138E-4</v>
      </c>
      <c r="CZ139">
        <v>1.2559035831771299E-3</v>
      </c>
    </row>
    <row r="140" spans="2:104" ht="15">
      <c r="B140" s="453" t="s">
        <v>188</v>
      </c>
      <c r="C140" s="455" t="s">
        <v>189</v>
      </c>
      <c r="D140" s="456"/>
      <c r="E140" s="456"/>
      <c r="F140" s="456"/>
      <c r="G140" s="457"/>
      <c r="I140" s="453" t="s">
        <v>188</v>
      </c>
      <c r="J140" s="455" t="s">
        <v>189</v>
      </c>
      <c r="K140" s="456"/>
      <c r="L140" s="456"/>
      <c r="M140" s="456"/>
      <c r="N140" s="457"/>
      <c r="P140" s="453" t="s">
        <v>188</v>
      </c>
      <c r="Q140" s="455" t="s">
        <v>189</v>
      </c>
      <c r="R140" s="456"/>
      <c r="S140" s="456"/>
      <c r="T140" s="456"/>
      <c r="U140" s="457"/>
      <c r="X140" s="321">
        <v>70.930000000000007</v>
      </c>
      <c r="Y140" s="321" t="s">
        <v>192</v>
      </c>
      <c r="Z140" s="321" t="s">
        <v>192</v>
      </c>
      <c r="AA140" s="321" t="s">
        <v>192</v>
      </c>
      <c r="AB140" s="321">
        <v>4.8911749564741624</v>
      </c>
      <c r="AC140" s="321">
        <v>0.33289638420814388</v>
      </c>
      <c r="AF140" s="320">
        <v>70.930000000000007</v>
      </c>
      <c r="AG140" s="191"/>
      <c r="AH140" s="191"/>
      <c r="AI140" s="191"/>
      <c r="AJ140" s="191"/>
      <c r="AK140" s="191"/>
      <c r="AM140" s="320">
        <v>60.8</v>
      </c>
      <c r="AN140" s="191">
        <f t="shared" si="116"/>
        <v>3.2632861004902018</v>
      </c>
      <c r="AO140" s="191">
        <f t="shared" si="106"/>
        <v>4.2764292804435753</v>
      </c>
      <c r="AP140" s="191">
        <f t="shared" si="106"/>
        <v>4.8692656818844595</v>
      </c>
      <c r="AQ140" s="191">
        <f t="shared" si="106"/>
        <v>6.2516903157902526</v>
      </c>
      <c r="AR140" s="191">
        <f t="shared" si="106"/>
        <v>11.120198521327818</v>
      </c>
      <c r="AS140" s="320">
        <v>60.8</v>
      </c>
      <c r="AT140" s="321" t="e">
        <f t="shared" si="117"/>
        <v>#DIV/0!</v>
      </c>
      <c r="AU140" s="321" t="e">
        <f t="shared" si="107"/>
        <v>#DIV/0!</v>
      </c>
      <c r="AV140" s="321" t="e">
        <f t="shared" si="108"/>
        <v>#DIV/0!</v>
      </c>
      <c r="AW140" s="321" t="e">
        <f t="shared" si="109"/>
        <v>#DIV/0!</v>
      </c>
      <c r="AX140" s="321" t="e">
        <f t="shared" si="110"/>
        <v>#DIV/0!</v>
      </c>
      <c r="AY140" s="320">
        <v>60.8</v>
      </c>
      <c r="AZ140" s="368" t="e">
        <f t="shared" si="118"/>
        <v>#VALUE!</v>
      </c>
      <c r="BA140" s="368" t="e">
        <f t="shared" si="111"/>
        <v>#VALUE!</v>
      </c>
      <c r="BB140" s="368" t="e">
        <f t="shared" si="111"/>
        <v>#VALUE!</v>
      </c>
      <c r="BC140" s="368">
        <f t="shared" si="111"/>
        <v>5.9975041597337775</v>
      </c>
      <c r="BD140" s="368">
        <f t="shared" si="111"/>
        <v>11.605657237936773</v>
      </c>
      <c r="BF140" s="321" t="e">
        <f t="shared" si="119"/>
        <v>#VALUE!</v>
      </c>
      <c r="BG140" s="321" t="e">
        <f t="shared" si="112"/>
        <v>#VALUE!</v>
      </c>
      <c r="BH140" s="321" t="e">
        <f t="shared" si="113"/>
        <v>#VALUE!</v>
      </c>
      <c r="BI140" s="321" t="e">
        <f t="shared" si="114"/>
        <v>#DIV/0!</v>
      </c>
      <c r="BJ140" s="321" t="e">
        <f t="shared" si="115"/>
        <v>#DIV/0!</v>
      </c>
    </row>
    <row r="141" spans="2:104" ht="15" customHeight="1">
      <c r="B141" s="454"/>
      <c r="C141" s="320">
        <v>100</v>
      </c>
      <c r="D141" s="320">
        <v>150</v>
      </c>
      <c r="E141" s="320">
        <v>200</v>
      </c>
      <c r="F141" s="320">
        <v>250</v>
      </c>
      <c r="G141" s="320">
        <v>260</v>
      </c>
      <c r="I141" s="454"/>
      <c r="J141" s="320">
        <v>100</v>
      </c>
      <c r="K141" s="320">
        <v>150</v>
      </c>
      <c r="L141" s="320">
        <v>200</v>
      </c>
      <c r="M141" s="320">
        <v>250</v>
      </c>
      <c r="N141" s="320">
        <v>260</v>
      </c>
      <c r="P141" s="454"/>
      <c r="Q141" s="320">
        <v>100</v>
      </c>
      <c r="R141" s="320">
        <v>150</v>
      </c>
      <c r="S141" s="320">
        <v>200</v>
      </c>
      <c r="T141" s="320">
        <v>250</v>
      </c>
      <c r="U141" s="320">
        <v>260</v>
      </c>
      <c r="X141" s="321" t="s">
        <v>188</v>
      </c>
      <c r="Y141" s="321" t="s">
        <v>189</v>
      </c>
      <c r="Z141" s="321"/>
      <c r="AA141" s="321"/>
      <c r="AB141" s="321"/>
      <c r="AC141" s="321"/>
      <c r="AF141" s="320"/>
      <c r="AG141" s="191"/>
      <c r="AH141" s="191"/>
      <c r="AI141" s="191"/>
      <c r="AJ141" s="191"/>
      <c r="AK141" s="191"/>
      <c r="AM141" s="320"/>
      <c r="AN141" s="191"/>
      <c r="AO141" s="191"/>
      <c r="AP141" s="191"/>
      <c r="AQ141" s="191"/>
      <c r="AR141" s="191"/>
      <c r="AS141" s="320"/>
      <c r="AT141" s="321"/>
      <c r="AU141" s="321"/>
      <c r="AV141" s="321"/>
      <c r="AW141" s="321"/>
      <c r="AX141" s="321"/>
      <c r="AY141" s="320"/>
      <c r="AZ141" s="368"/>
      <c r="BA141" s="368"/>
      <c r="BB141" s="368"/>
      <c r="BC141" s="368"/>
      <c r="BD141" s="368"/>
      <c r="BF141" s="321"/>
      <c r="BG141" s="321"/>
      <c r="BH141" s="321"/>
      <c r="BI141" s="321"/>
      <c r="BJ141" s="321"/>
    </row>
    <row r="142" spans="2:104" ht="15">
      <c r="B142" s="320">
        <v>19.23</v>
      </c>
      <c r="C142" s="1">
        <v>2.9000000000000001E-2</v>
      </c>
      <c r="D142" s="1">
        <v>0.06</v>
      </c>
      <c r="E142" s="1">
        <v>0.155</v>
      </c>
      <c r="F142" s="1">
        <v>0.33500000000000002</v>
      </c>
      <c r="G142" s="1">
        <v>0.39900000000000002</v>
      </c>
      <c r="I142" s="320">
        <v>19.23</v>
      </c>
      <c r="J142" s="1">
        <v>1.9547467913924761E-2</v>
      </c>
      <c r="K142" s="1">
        <v>6.1594908530605855E-2</v>
      </c>
      <c r="L142" s="1">
        <v>0.1788413911965587</v>
      </c>
      <c r="M142" s="1">
        <v>0.50109092337193417</v>
      </c>
      <c r="N142" s="1">
        <v>0.62136672250935476</v>
      </c>
      <c r="P142" s="320">
        <v>19.23</v>
      </c>
      <c r="Q142" s="321">
        <f>ABS(C142-J142)/C142*100</f>
        <v>32.594938227845653</v>
      </c>
      <c r="R142" s="321">
        <f>ABS(D142-K142)/D142*100</f>
        <v>2.658180884343095</v>
      </c>
      <c r="S142" s="321">
        <f>ABS(E142-L142)/E142*100</f>
        <v>15.381542707457227</v>
      </c>
      <c r="T142" s="321">
        <f>ABS(F142-M142)/F142*100</f>
        <v>49.579380111025117</v>
      </c>
      <c r="U142" s="321">
        <f>ABS(G142-N142)/G142*100</f>
        <v>55.731008147707954</v>
      </c>
      <c r="X142" s="321"/>
      <c r="Y142" s="321">
        <v>100</v>
      </c>
      <c r="Z142" s="321">
        <v>150</v>
      </c>
      <c r="AA142" s="321">
        <v>200</v>
      </c>
      <c r="AB142" s="321">
        <v>250</v>
      </c>
      <c r="AC142" s="321">
        <v>260</v>
      </c>
      <c r="CV142">
        <v>1.6228920923420645E-3</v>
      </c>
      <c r="CW142">
        <v>3.8316278127695758E-3</v>
      </c>
      <c r="CX142">
        <v>6.886300131606903E-3</v>
      </c>
      <c r="CY142">
        <v>7.337424550956222E-3</v>
      </c>
      <c r="CZ142">
        <v>6.0903865323315076E-3</v>
      </c>
    </row>
    <row r="143" spans="2:104" ht="15" customHeight="1">
      <c r="B143" s="320">
        <v>28.85</v>
      </c>
      <c r="C143" s="1" t="s">
        <v>192</v>
      </c>
      <c r="D143" s="1" t="s">
        <v>192</v>
      </c>
      <c r="E143" s="1" t="s">
        <v>192</v>
      </c>
      <c r="F143" s="1" t="s">
        <v>192</v>
      </c>
      <c r="G143" s="1" t="s">
        <v>192</v>
      </c>
      <c r="I143" s="320">
        <v>28.85</v>
      </c>
      <c r="J143" s="1">
        <v>2.2003449122927978E-2</v>
      </c>
      <c r="K143" s="1">
        <v>6.063974440494059E-2</v>
      </c>
      <c r="L143" s="1">
        <v>0.15791156132510442</v>
      </c>
      <c r="M143" s="1">
        <v>0.40051562760779064</v>
      </c>
      <c r="N143" s="1">
        <v>0.48500899564915639</v>
      </c>
      <c r="P143" s="320">
        <v>28.85</v>
      </c>
      <c r="Q143" s="321" t="s">
        <v>192</v>
      </c>
      <c r="R143" s="321" t="s">
        <v>192</v>
      </c>
      <c r="S143" s="321" t="s">
        <v>192</v>
      </c>
      <c r="T143" s="321" t="s">
        <v>192</v>
      </c>
      <c r="U143" s="321" t="s">
        <v>192</v>
      </c>
      <c r="X143" s="321">
        <v>19.23</v>
      </c>
      <c r="Y143" s="321">
        <v>26.740623123367037</v>
      </c>
      <c r="Z143" s="321">
        <v>20.284830809166092</v>
      </c>
      <c r="AA143" s="321">
        <v>39.725118083274666</v>
      </c>
      <c r="AB143" s="321">
        <v>79.510198180200035</v>
      </c>
      <c r="AC143" s="321">
        <v>85.972538795546456</v>
      </c>
      <c r="AF143" s="461" t="s">
        <v>188</v>
      </c>
      <c r="AG143" s="463" t="s">
        <v>189</v>
      </c>
      <c r="AH143" s="463"/>
      <c r="AI143" s="463"/>
      <c r="AJ143" s="463"/>
      <c r="AK143" s="463"/>
      <c r="AM143" s="461" t="s">
        <v>188</v>
      </c>
      <c r="AN143" s="463" t="s">
        <v>189</v>
      </c>
      <c r="AO143" s="463"/>
      <c r="AP143" s="463"/>
      <c r="AQ143" s="463"/>
      <c r="AR143" s="463"/>
      <c r="AY143" s="461" t="s">
        <v>188</v>
      </c>
      <c r="AZ143" s="463" t="s">
        <v>189</v>
      </c>
      <c r="BA143" s="463"/>
      <c r="BB143" s="463"/>
      <c r="BC143" s="463"/>
      <c r="BD143" s="463"/>
      <c r="CV143">
        <v>1.8583585983278626E-3</v>
      </c>
      <c r="CW143">
        <v>4.7544516186459468E-3</v>
      </c>
      <c r="CX143">
        <v>9.4343116881506553E-3</v>
      </c>
      <c r="CY143">
        <v>1.3101230507588034E-2</v>
      </c>
      <c r="CZ143">
        <v>1.2693859401610429E-2</v>
      </c>
    </row>
    <row r="144" spans="2:104" ht="15">
      <c r="B144" s="320">
        <v>38.47</v>
      </c>
      <c r="C144" s="1" t="s">
        <v>192</v>
      </c>
      <c r="D144" s="1" t="s">
        <v>192</v>
      </c>
      <c r="E144" s="1" t="s">
        <v>192</v>
      </c>
      <c r="F144" s="1" t="s">
        <v>192</v>
      </c>
      <c r="G144" s="1" t="s">
        <v>192</v>
      </c>
      <c r="I144" s="320">
        <v>38.47</v>
      </c>
      <c r="J144" s="1">
        <v>2.3390195591433263E-2</v>
      </c>
      <c r="K144" s="1">
        <v>6.165829220876802E-2</v>
      </c>
      <c r="L144" s="1">
        <v>0.15162190442922763</v>
      </c>
      <c r="M144" s="1">
        <v>0.36492710468187112</v>
      </c>
      <c r="N144" s="1">
        <v>0.43728636189819792</v>
      </c>
      <c r="P144" s="320">
        <v>38.47</v>
      </c>
      <c r="Q144" s="321" t="s">
        <v>192</v>
      </c>
      <c r="R144" s="321" t="s">
        <v>192</v>
      </c>
      <c r="S144" s="321" t="s">
        <v>192</v>
      </c>
      <c r="T144" s="321" t="s">
        <v>192</v>
      </c>
      <c r="U144" s="321" t="s">
        <v>192</v>
      </c>
      <c r="X144" s="321">
        <v>28.85</v>
      </c>
      <c r="Y144" s="321" t="s">
        <v>192</v>
      </c>
      <c r="Z144" s="321" t="s">
        <v>192</v>
      </c>
      <c r="AA144" s="321" t="s">
        <v>192</v>
      </c>
      <c r="AB144" s="321" t="s">
        <v>192</v>
      </c>
      <c r="AC144" s="321" t="s">
        <v>192</v>
      </c>
      <c r="AF144" s="462"/>
      <c r="AG144" s="320">
        <v>150</v>
      </c>
      <c r="AH144" s="320">
        <v>200</v>
      </c>
      <c r="AI144" s="320">
        <v>250</v>
      </c>
      <c r="AJ144" s="320">
        <v>300</v>
      </c>
      <c r="AK144" s="320">
        <v>330</v>
      </c>
      <c r="AM144" s="462"/>
      <c r="AN144" s="320">
        <v>100</v>
      </c>
      <c r="AO144" s="320">
        <v>150</v>
      </c>
      <c r="AP144" s="320">
        <v>200</v>
      </c>
      <c r="AQ144" s="320">
        <v>250</v>
      </c>
      <c r="AR144" s="320">
        <v>260</v>
      </c>
      <c r="AY144" s="462"/>
      <c r="AZ144" s="320">
        <v>100</v>
      </c>
      <c r="BA144" s="320">
        <v>150</v>
      </c>
      <c r="BB144" s="320">
        <v>200</v>
      </c>
      <c r="BC144" s="320">
        <v>250</v>
      </c>
      <c r="BD144" s="320">
        <v>260</v>
      </c>
      <c r="CV144">
        <v>2.0169264084334017E-3</v>
      </c>
      <c r="CW144">
        <v>5.3831009046397225E-3</v>
      </c>
      <c r="CX144">
        <v>1.1282780061839017E-2</v>
      </c>
      <c r="CY144">
        <v>1.7553912044245439E-2</v>
      </c>
      <c r="CZ144">
        <v>1.7851835057504213E-2</v>
      </c>
    </row>
    <row r="145" spans="2:104" ht="15" customHeight="1">
      <c r="B145" s="320">
        <v>48.08</v>
      </c>
      <c r="C145" s="1">
        <v>0.03</v>
      </c>
      <c r="D145" s="1">
        <v>6.3E-2</v>
      </c>
      <c r="E145" s="1">
        <v>0.14000000000000001</v>
      </c>
      <c r="F145" s="1">
        <v>0.28000000000000003</v>
      </c>
      <c r="G145" s="1">
        <v>0.318</v>
      </c>
      <c r="I145" s="320">
        <v>48.08</v>
      </c>
      <c r="J145" s="1">
        <v>2.4179817215489941E-2</v>
      </c>
      <c r="K145" s="1">
        <v>6.246771730429556E-2</v>
      </c>
      <c r="L145" s="1">
        <v>0.14898958216767505</v>
      </c>
      <c r="M145" s="1">
        <v>0.34823316451459135</v>
      </c>
      <c r="N145" s="1">
        <v>0.41508689474435723</v>
      </c>
      <c r="P145" s="320">
        <v>48.08</v>
      </c>
      <c r="Q145" s="321">
        <f t="shared" ref="Q145:Q150" si="120">ABS(C145-J145)/C145*100</f>
        <v>19.400609281700191</v>
      </c>
      <c r="R145" s="321">
        <f t="shared" ref="R145:R150" si="121">ABS(D145-K145)/D145*100</f>
        <v>0.84489316778482615</v>
      </c>
      <c r="S145" s="321">
        <f t="shared" ref="S145:S150" si="122">ABS(E145-L145)/E145*100</f>
        <v>6.4211301197678834</v>
      </c>
      <c r="T145" s="321">
        <f t="shared" ref="T145:T150" si="123">ABS(F145-M145)/F145*100</f>
        <v>24.368987326639758</v>
      </c>
      <c r="U145" s="321">
        <f t="shared" ref="U145:U150" si="124">ABS(G145-N145)/G145*100</f>
        <v>30.530470045395354</v>
      </c>
      <c r="X145" s="321">
        <v>38.47</v>
      </c>
      <c r="Y145" s="321" t="s">
        <v>192</v>
      </c>
      <c r="Z145" s="321" t="s">
        <v>192</v>
      </c>
      <c r="AA145" s="321" t="s">
        <v>192</v>
      </c>
      <c r="AB145" s="321" t="s">
        <v>192</v>
      </c>
      <c r="AC145" s="321" t="s">
        <v>192</v>
      </c>
      <c r="AF145" s="322">
        <v>4.9000000000000004</v>
      </c>
      <c r="AG145" s="191"/>
      <c r="AH145" s="191"/>
      <c r="AI145" s="191"/>
      <c r="AJ145" s="1"/>
      <c r="AK145" s="1"/>
      <c r="AM145" s="320">
        <v>19.23</v>
      </c>
      <c r="AN145" s="191">
        <f t="shared" ref="AN145:AN153" si="125">J142*18/0.02404</f>
        <v>14.636207256682434</v>
      </c>
      <c r="AO145" s="191">
        <f t="shared" ref="AO145:AR153" si="126">K142*18/0.02404</f>
        <v>46.119315871501897</v>
      </c>
      <c r="AP145" s="191">
        <f t="shared" si="126"/>
        <v>133.90786362471118</v>
      </c>
      <c r="AQ145" s="191">
        <f t="shared" si="126"/>
        <v>375.19287107715536</v>
      </c>
      <c r="AR145" s="191">
        <f t="shared" si="126"/>
        <v>465.24962583895115</v>
      </c>
      <c r="AT145" s="321" t="e">
        <f>(AG145-AN145)/AG145*100</f>
        <v>#DIV/0!</v>
      </c>
      <c r="AU145" s="321" t="e">
        <f>(AH145-AO145)/AH145*100</f>
        <v>#DIV/0!</v>
      </c>
      <c r="AV145" s="321"/>
      <c r="AY145" s="320">
        <v>19.23</v>
      </c>
      <c r="AZ145" s="368">
        <f>C142*18/0.02404</f>
        <v>21.713810316139767</v>
      </c>
      <c r="BA145" s="368">
        <f t="shared" ref="BA145:BD153" si="127">D142*18/0.02404</f>
        <v>44.925124792013314</v>
      </c>
      <c r="BB145" s="368">
        <f t="shared" si="127"/>
        <v>116.05657237936772</v>
      </c>
      <c r="BC145" s="368">
        <f t="shared" si="127"/>
        <v>250.83194675540767</v>
      </c>
      <c r="BD145" s="368">
        <f t="shared" si="127"/>
        <v>298.75207986688855</v>
      </c>
      <c r="BF145" s="321" t="e">
        <f>(AG145-AZ145)/AG145*100</f>
        <v>#DIV/0!</v>
      </c>
      <c r="BG145" s="321" t="e">
        <f>(AH145-BA145)/AH145*100</f>
        <v>#DIV/0!</v>
      </c>
      <c r="BH145" s="321"/>
      <c r="BI145" s="321"/>
      <c r="BJ145" s="321"/>
      <c r="CV145">
        <v>2.1392346877139481E-3</v>
      </c>
      <c r="CW145">
        <v>5.856807054096887E-3</v>
      </c>
      <c r="CX145">
        <v>1.270048780038753E-2</v>
      </c>
      <c r="CY145">
        <v>2.1087779211132369E-2</v>
      </c>
      <c r="CZ145">
        <v>2.1974981591036155E-2</v>
      </c>
    </row>
    <row r="146" spans="2:104" ht="15">
      <c r="B146" s="320">
        <v>96.17</v>
      </c>
      <c r="C146" s="1">
        <v>0.03</v>
      </c>
      <c r="D146" s="1">
        <v>6.5000000000000002E-2</v>
      </c>
      <c r="E146" s="1">
        <v>0.14499999999999999</v>
      </c>
      <c r="F146" s="1">
        <v>0.30499999999999999</v>
      </c>
      <c r="G146" s="1">
        <v>0.36799999999999999</v>
      </c>
      <c r="I146" s="320">
        <v>96.17</v>
      </c>
      <c r="J146" s="1">
        <v>2.5142612575361701E-2</v>
      </c>
      <c r="K146" s="1">
        <v>6.2455457968345791E-2</v>
      </c>
      <c r="L146" s="1">
        <v>0.14111021616966235</v>
      </c>
      <c r="M146" s="1">
        <v>0.31303712383692545</v>
      </c>
      <c r="N146" s="1">
        <v>0.37010798057148003</v>
      </c>
      <c r="P146" s="320">
        <v>96.17</v>
      </c>
      <c r="Q146" s="321">
        <f t="shared" si="120"/>
        <v>16.191291415460991</v>
      </c>
      <c r="R146" s="321">
        <f t="shared" si="121"/>
        <v>3.9146800486987856</v>
      </c>
      <c r="S146" s="321">
        <f t="shared" si="122"/>
        <v>2.6826095381638897</v>
      </c>
      <c r="T146" s="321">
        <f t="shared" si="123"/>
        <v>2.6351225694837552</v>
      </c>
      <c r="U146" s="321">
        <f t="shared" si="124"/>
        <v>0.57282080746740194</v>
      </c>
      <c r="X146" s="321">
        <v>48.08</v>
      </c>
      <c r="Y146" s="321">
        <v>6.1607658860098988</v>
      </c>
      <c r="Z146" s="321">
        <v>42.253392090140835</v>
      </c>
      <c r="AA146" s="321">
        <v>85.577319951850455</v>
      </c>
      <c r="AB146" s="321">
        <v>251.089462514313</v>
      </c>
      <c r="AC146" s="321" t="e">
        <v>#VALUE!</v>
      </c>
      <c r="AF146" s="322">
        <v>9.8000000000000007</v>
      </c>
      <c r="AG146" s="191"/>
      <c r="AH146" s="191"/>
      <c r="AI146" s="191"/>
      <c r="AJ146" s="1"/>
      <c r="AK146" s="1"/>
      <c r="AM146" s="320">
        <v>28.85</v>
      </c>
      <c r="AN146" s="191">
        <f t="shared" si="125"/>
        <v>16.475128295037589</v>
      </c>
      <c r="AO146" s="191">
        <f t="shared" si="126"/>
        <v>45.404134745795787</v>
      </c>
      <c r="AP146" s="191">
        <f t="shared" si="126"/>
        <v>118.23660997719966</v>
      </c>
      <c r="AQ146" s="191">
        <f t="shared" si="126"/>
        <v>299.88690919052544</v>
      </c>
      <c r="AR146" s="191">
        <f t="shared" si="126"/>
        <v>363.15149424645654</v>
      </c>
      <c r="AT146" s="321" t="e">
        <f t="shared" ref="AT146:AT155" si="128">(AG146-AN146)/AG146*100</f>
        <v>#DIV/0!</v>
      </c>
      <c r="AU146" s="321" t="e">
        <f t="shared" ref="AU146:AU155" si="129">(AH146-AO146)/AH146*100</f>
        <v>#DIV/0!</v>
      </c>
      <c r="AV146" s="321" t="e">
        <f t="shared" ref="AV146:AV154" si="130">(AI146-AP147)/AI146*100</f>
        <v>#DIV/0!</v>
      </c>
      <c r="AY146" s="320">
        <v>28.85</v>
      </c>
      <c r="AZ146" s="368"/>
      <c r="BA146" s="368"/>
      <c r="BB146" s="368"/>
      <c r="BC146" s="368"/>
      <c r="BD146" s="368"/>
      <c r="BF146" s="321" t="e">
        <f t="shared" ref="BF146:BF155" si="131">(AG146-AZ146)/AG146*100</f>
        <v>#DIV/0!</v>
      </c>
      <c r="BG146" s="321" t="e">
        <f t="shared" ref="BG146:BG155" si="132">(AH146-BA146)/AH146*100</f>
        <v>#DIV/0!</v>
      </c>
      <c r="BH146" s="321" t="e">
        <f t="shared" ref="BH146:BH155" si="133">(AI146-BB146)/AI146*100</f>
        <v>#DIV/0!</v>
      </c>
      <c r="BI146" s="321"/>
      <c r="BJ146" s="321"/>
      <c r="CV146">
        <v>2.5157841314389913E-3</v>
      </c>
      <c r="CW146">
        <v>7.240786752458709E-3</v>
      </c>
      <c r="CX146">
        <v>1.6823504121812365E-2</v>
      </c>
      <c r="CY146">
        <v>3.183201403459731E-2</v>
      </c>
      <c r="CZ146">
        <v>3.4735972753259785E-2</v>
      </c>
    </row>
    <row r="147" spans="2:104" ht="15">
      <c r="B147" s="320">
        <v>144.26</v>
      </c>
      <c r="C147" s="1">
        <v>2.9000000000000001E-2</v>
      </c>
      <c r="D147" s="1">
        <v>6.8000000000000005E-2</v>
      </c>
      <c r="E147" s="1">
        <v>0.15</v>
      </c>
      <c r="F147" s="1">
        <v>0.315</v>
      </c>
      <c r="G147" s="1">
        <v>0.41499999999999998</v>
      </c>
      <c r="I147" s="320">
        <v>144.26</v>
      </c>
      <c r="J147" s="1">
        <v>2.476750915112089E-2</v>
      </c>
      <c r="K147" s="1">
        <v>6.0331128504906163E-2</v>
      </c>
      <c r="L147" s="1">
        <v>0.1332055590274249</v>
      </c>
      <c r="M147" s="1">
        <v>0.28816651669326959</v>
      </c>
      <c r="N147" s="1">
        <v>0.33895386466996413</v>
      </c>
      <c r="P147" s="320">
        <v>144.26</v>
      </c>
      <c r="Q147" s="321">
        <f t="shared" si="120"/>
        <v>14.594796030617625</v>
      </c>
      <c r="R147" s="321">
        <f t="shared" si="121"/>
        <v>11.277752198667415</v>
      </c>
      <c r="S147" s="321">
        <f t="shared" si="122"/>
        <v>11.196293981716732</v>
      </c>
      <c r="T147" s="321">
        <f t="shared" si="123"/>
        <v>8.5185661291207655</v>
      </c>
      <c r="U147" s="321">
        <f t="shared" si="124"/>
        <v>18.324369959044784</v>
      </c>
      <c r="X147" s="321">
        <v>96.17</v>
      </c>
      <c r="Y147" s="321">
        <v>1.0000941157824994</v>
      </c>
      <c r="Z147" s="321">
        <v>56.863626512446466</v>
      </c>
      <c r="AA147" s="321">
        <v>136.11550293394305</v>
      </c>
      <c r="AB147" s="321" t="e">
        <v>#VALUE!</v>
      </c>
      <c r="AC147" s="321" t="e">
        <v>#VALUE!</v>
      </c>
      <c r="AF147" s="322">
        <v>14.7</v>
      </c>
      <c r="AG147" s="191"/>
      <c r="AH147" s="191"/>
      <c r="AI147" s="191"/>
      <c r="AJ147" s="1"/>
      <c r="AK147" s="1"/>
      <c r="AM147" s="320">
        <v>38.47</v>
      </c>
      <c r="AN147" s="191">
        <f t="shared" si="125"/>
        <v>17.513457597578984</v>
      </c>
      <c r="AO147" s="191">
        <f t="shared" si="126"/>
        <v>46.166774532355426</v>
      </c>
      <c r="AP147" s="191">
        <f t="shared" si="126"/>
        <v>113.52721629476278</v>
      </c>
      <c r="AQ147" s="191">
        <f t="shared" si="126"/>
        <v>273.23992863035272</v>
      </c>
      <c r="AR147" s="191">
        <f t="shared" si="126"/>
        <v>327.41907296870062</v>
      </c>
      <c r="AT147" s="321" t="e">
        <f t="shared" si="128"/>
        <v>#DIV/0!</v>
      </c>
      <c r="AU147" s="321" t="e">
        <f t="shared" si="129"/>
        <v>#DIV/0!</v>
      </c>
      <c r="AV147" s="321" t="e">
        <f t="shared" si="130"/>
        <v>#DIV/0!</v>
      </c>
      <c r="AY147" s="320">
        <v>38.47</v>
      </c>
      <c r="AZ147" s="368"/>
      <c r="BA147" s="368"/>
      <c r="BB147" s="368"/>
      <c r="BC147" s="368"/>
      <c r="BD147" s="368"/>
      <c r="BF147" s="321" t="e">
        <f t="shared" si="131"/>
        <v>#DIV/0!</v>
      </c>
      <c r="BG147" s="321" t="e">
        <f t="shared" si="132"/>
        <v>#DIV/0!</v>
      </c>
      <c r="BH147" s="321" t="e">
        <f t="shared" si="133"/>
        <v>#DIV/0!</v>
      </c>
      <c r="BI147" s="321"/>
      <c r="BJ147" s="321"/>
      <c r="CV147">
        <v>2.7154833108069499E-3</v>
      </c>
      <c r="CW147">
        <v>7.9230784991538971E-3</v>
      </c>
      <c r="CX147">
        <v>1.8791285355982065E-2</v>
      </c>
      <c r="CY147">
        <v>3.7218281454182274E-2</v>
      </c>
      <c r="CZ147">
        <v>4.135306187919735E-2</v>
      </c>
    </row>
    <row r="148" spans="2:104" ht="15">
      <c r="B148" s="320">
        <v>192.31</v>
      </c>
      <c r="C148" s="1">
        <v>2.9000000000000001E-2</v>
      </c>
      <c r="D148" s="1">
        <v>6.8000000000000005E-2</v>
      </c>
      <c r="E148" s="1">
        <v>0.14499999999999999</v>
      </c>
      <c r="F148" s="1">
        <v>0.32500000000000001</v>
      </c>
      <c r="G148" s="1">
        <v>0.42499999999999999</v>
      </c>
      <c r="I148" s="320">
        <v>192.31</v>
      </c>
      <c r="J148" s="1">
        <v>2.4150815004770898E-2</v>
      </c>
      <c r="K148" s="1">
        <v>5.8037631762946643E-2</v>
      </c>
      <c r="L148" s="1">
        <v>0.1261266319098549</v>
      </c>
      <c r="M148" s="1">
        <v>0.26748804754301858</v>
      </c>
      <c r="N148" s="1">
        <v>0.31306202779427428</v>
      </c>
      <c r="P148" s="320">
        <v>192.31</v>
      </c>
      <c r="Q148" s="321">
        <f t="shared" si="120"/>
        <v>16.72132756975553</v>
      </c>
      <c r="R148" s="321">
        <f t="shared" si="121"/>
        <v>14.650541525078472</v>
      </c>
      <c r="S148" s="321">
        <f t="shared" si="122"/>
        <v>13.016115924237992</v>
      </c>
      <c r="T148" s="321">
        <f t="shared" si="123"/>
        <v>17.695985371378899</v>
      </c>
      <c r="U148" s="321">
        <f t="shared" si="124"/>
        <v>26.338346401347231</v>
      </c>
      <c r="X148" s="321">
        <v>144.26</v>
      </c>
      <c r="Y148" s="321">
        <v>4.520680385330107</v>
      </c>
      <c r="Z148" s="321">
        <v>53.724795816884416</v>
      </c>
      <c r="AA148" s="321">
        <v>154.73642237316042</v>
      </c>
      <c r="AB148" s="321" t="e">
        <v>#VALUE!</v>
      </c>
      <c r="AC148" s="321" t="e">
        <v>#VALUE!</v>
      </c>
      <c r="AF148" s="322">
        <v>19.600000000000001</v>
      </c>
      <c r="AG148" s="191"/>
      <c r="AH148" s="191"/>
      <c r="AI148" s="191"/>
      <c r="AJ148" s="1"/>
      <c r="AK148" s="1"/>
      <c r="AM148" s="320">
        <v>48.08</v>
      </c>
      <c r="AN148" s="191">
        <f t="shared" si="125"/>
        <v>18.104688430899291</v>
      </c>
      <c r="AO148" s="191">
        <f t="shared" si="126"/>
        <v>46.772833256128123</v>
      </c>
      <c r="AP148" s="191">
        <f t="shared" si="126"/>
        <v>111.55625952654538</v>
      </c>
      <c r="AQ148" s="191">
        <f t="shared" si="126"/>
        <v>260.74030620892864</v>
      </c>
      <c r="AR148" s="191">
        <f t="shared" si="126"/>
        <v>310.79717576532573</v>
      </c>
      <c r="AT148" s="321" t="e">
        <f t="shared" si="128"/>
        <v>#DIV/0!</v>
      </c>
      <c r="AU148" s="321" t="e">
        <f t="shared" si="129"/>
        <v>#DIV/0!</v>
      </c>
      <c r="AV148" s="321" t="e">
        <f t="shared" si="130"/>
        <v>#DIV/0!</v>
      </c>
      <c r="AY148" s="320">
        <v>48.08</v>
      </c>
      <c r="AZ148" s="368">
        <f t="shared" ref="AZ148:AZ153" si="134">C145*18/0.02404</f>
        <v>22.462562396006657</v>
      </c>
      <c r="BA148" s="368">
        <f t="shared" si="127"/>
        <v>47.171381031613976</v>
      </c>
      <c r="BB148" s="368">
        <f t="shared" si="127"/>
        <v>104.82529118136442</v>
      </c>
      <c r="BC148" s="368">
        <f t="shared" si="127"/>
        <v>209.65058236272884</v>
      </c>
      <c r="BD148" s="368">
        <f t="shared" si="127"/>
        <v>238.10316139767056</v>
      </c>
      <c r="BF148" s="321" t="e">
        <f t="shared" si="131"/>
        <v>#DIV/0!</v>
      </c>
      <c r="BG148" s="321" t="e">
        <f t="shared" si="132"/>
        <v>#DIV/0!</v>
      </c>
      <c r="BH148" s="321" t="e">
        <f t="shared" si="133"/>
        <v>#DIV/0!</v>
      </c>
      <c r="BI148" s="321"/>
      <c r="BJ148" s="321"/>
      <c r="CV148">
        <v>2.8333332227328369E-3</v>
      </c>
      <c r="CW148">
        <v>8.3011274820151103E-3</v>
      </c>
      <c r="CX148">
        <v>1.9836863239530742E-2</v>
      </c>
      <c r="CY148">
        <v>4.0152798168764436E-2</v>
      </c>
      <c r="CZ148">
        <v>4.5054123246459361E-2</v>
      </c>
    </row>
    <row r="149" spans="2:104" ht="15">
      <c r="B149" s="320">
        <v>240.46</v>
      </c>
      <c r="C149" s="1">
        <v>2.9000000000000001E-2</v>
      </c>
      <c r="D149" s="1">
        <v>6.7000000000000004E-2</v>
      </c>
      <c r="E149" s="1">
        <v>0.14000000000000001</v>
      </c>
      <c r="F149" s="1">
        <v>0.307</v>
      </c>
      <c r="G149" s="1">
        <v>0.40500000000000003</v>
      </c>
      <c r="I149" s="320">
        <v>240.46</v>
      </c>
      <c r="J149" s="1">
        <v>2.3507807266287907E-2</v>
      </c>
      <c r="K149" s="1">
        <v>5.5920782789038663E-2</v>
      </c>
      <c r="L149" s="1">
        <v>0.12006816808106605</v>
      </c>
      <c r="M149" s="1">
        <v>0.2505193490684357</v>
      </c>
      <c r="N149" s="1">
        <v>0.29190232576855318</v>
      </c>
      <c r="P149" s="320">
        <v>240.46</v>
      </c>
      <c r="Q149" s="321">
        <f t="shared" si="120"/>
        <v>18.938595633489978</v>
      </c>
      <c r="R149" s="321">
        <f t="shared" si="121"/>
        <v>16.536145090987077</v>
      </c>
      <c r="S149" s="321">
        <f t="shared" si="122"/>
        <v>14.237022799238547</v>
      </c>
      <c r="T149" s="321">
        <f t="shared" si="123"/>
        <v>18.39760616663332</v>
      </c>
      <c r="U149" s="321">
        <f t="shared" si="124"/>
        <v>27.925351662085639</v>
      </c>
      <c r="X149" s="321">
        <v>192.31</v>
      </c>
      <c r="Y149" s="321">
        <v>2.8312180351385092</v>
      </c>
      <c r="Z149" s="321">
        <v>53.123591332568054</v>
      </c>
      <c r="AA149" s="321">
        <v>175.59246775093735</v>
      </c>
      <c r="AB149" s="321" t="e">
        <v>#VALUE!</v>
      </c>
      <c r="AC149" s="321" t="e">
        <v>#VALUE!</v>
      </c>
      <c r="AF149" s="322">
        <v>24.5</v>
      </c>
      <c r="AG149" s="191"/>
      <c r="AH149" s="191"/>
      <c r="AI149" s="191"/>
      <c r="AJ149" s="1"/>
      <c r="AK149" s="1"/>
      <c r="AM149" s="320">
        <v>96.17</v>
      </c>
      <c r="AN149" s="191">
        <f t="shared" si="125"/>
        <v>18.825583459089462</v>
      </c>
      <c r="AO149" s="191">
        <f t="shared" si="126"/>
        <v>46.76365405283795</v>
      </c>
      <c r="AP149" s="191">
        <f t="shared" si="126"/>
        <v>105.65656784750094</v>
      </c>
      <c r="AQ149" s="191">
        <f t="shared" si="126"/>
        <v>234.38719754844669</v>
      </c>
      <c r="AR149" s="191">
        <f t="shared" si="126"/>
        <v>277.11912022822963</v>
      </c>
      <c r="AT149" s="321" t="e">
        <f t="shared" si="128"/>
        <v>#DIV/0!</v>
      </c>
      <c r="AU149" s="321" t="e">
        <f t="shared" si="129"/>
        <v>#DIV/0!</v>
      </c>
      <c r="AV149" s="321" t="e">
        <f t="shared" si="130"/>
        <v>#DIV/0!</v>
      </c>
      <c r="AY149" s="320">
        <v>96.17</v>
      </c>
      <c r="AZ149" s="368">
        <f t="shared" si="134"/>
        <v>22.462562396006657</v>
      </c>
      <c r="BA149" s="368">
        <f t="shared" si="127"/>
        <v>48.668885191347755</v>
      </c>
      <c r="BB149" s="368">
        <f t="shared" si="127"/>
        <v>108.56905158069884</v>
      </c>
      <c r="BC149" s="368">
        <f t="shared" si="127"/>
        <v>228.36938435940101</v>
      </c>
      <c r="BD149" s="368">
        <f t="shared" si="127"/>
        <v>275.54076539101499</v>
      </c>
      <c r="BF149" s="321" t="e">
        <f t="shared" si="131"/>
        <v>#DIV/0!</v>
      </c>
      <c r="BG149" s="321" t="e">
        <f t="shared" si="132"/>
        <v>#DIV/0!</v>
      </c>
      <c r="BH149" s="321" t="e">
        <f t="shared" si="133"/>
        <v>#DIV/0!</v>
      </c>
      <c r="BI149" s="321"/>
      <c r="BJ149" s="321"/>
      <c r="CV149">
        <v>2.9047833763259229E-3</v>
      </c>
      <c r="CW149">
        <v>8.5151697811019084E-3</v>
      </c>
      <c r="CX149">
        <v>2.0399050296936651E-2</v>
      </c>
      <c r="CY149">
        <v>4.176148752714768E-2</v>
      </c>
      <c r="CZ149">
        <v>4.7132086138719949E-2</v>
      </c>
    </row>
    <row r="150" spans="2:104" ht="15">
      <c r="B150" s="320">
        <v>288.5</v>
      </c>
      <c r="C150" s="1">
        <v>2.8000000000000001E-2</v>
      </c>
      <c r="D150" s="1">
        <v>6.5000000000000002E-2</v>
      </c>
      <c r="E150" s="1">
        <v>0.13300000000000001</v>
      </c>
      <c r="F150" s="1">
        <v>0.29499999999999998</v>
      </c>
      <c r="G150" s="1">
        <v>0.38500000000000001</v>
      </c>
      <c r="I150" s="320">
        <v>288.5</v>
      </c>
      <c r="J150" s="1">
        <v>2.2899602669192772E-2</v>
      </c>
      <c r="K150" s="1">
        <v>5.4043837688744489E-2</v>
      </c>
      <c r="L150" s="1">
        <v>0.11493647813160646</v>
      </c>
      <c r="M150" s="1">
        <v>0.23661150540352777</v>
      </c>
      <c r="N150" s="1">
        <v>0.27465638237532736</v>
      </c>
      <c r="P150" s="320">
        <v>288.5</v>
      </c>
      <c r="Q150" s="321">
        <f t="shared" si="120"/>
        <v>18.215704752882957</v>
      </c>
      <c r="R150" s="321">
        <f t="shared" si="121"/>
        <v>16.855634325008481</v>
      </c>
      <c r="S150" s="321">
        <f t="shared" si="122"/>
        <v>13.581595389769586</v>
      </c>
      <c r="T150" s="321">
        <f t="shared" si="123"/>
        <v>19.792710032702448</v>
      </c>
      <c r="U150" s="321">
        <f t="shared" si="124"/>
        <v>28.660679902512378</v>
      </c>
      <c r="X150" s="321">
        <v>240.46</v>
      </c>
      <c r="Y150" s="321">
        <v>0.67956259465971702</v>
      </c>
      <c r="Z150" s="321">
        <v>53.201603689973822</v>
      </c>
      <c r="AA150" s="321">
        <v>189.53076581012368</v>
      </c>
      <c r="AB150" s="321" t="e">
        <v>#VALUE!</v>
      </c>
      <c r="AC150" s="321" t="e">
        <v>#VALUE!</v>
      </c>
      <c r="AF150" s="322">
        <v>29.4</v>
      </c>
      <c r="AG150" s="191"/>
      <c r="AH150" s="191"/>
      <c r="AI150" s="191"/>
      <c r="AJ150" s="1"/>
      <c r="AK150" s="1"/>
      <c r="AM150" s="320">
        <v>144.26</v>
      </c>
      <c r="AN150" s="191">
        <f t="shared" si="125"/>
        <v>18.544723990023961</v>
      </c>
      <c r="AO150" s="191">
        <f t="shared" si="126"/>
        <v>45.173057948765013</v>
      </c>
      <c r="AP150" s="191">
        <f t="shared" si="126"/>
        <v>99.73793937161598</v>
      </c>
      <c r="AQ150" s="191">
        <f t="shared" si="126"/>
        <v>215.76527872208206</v>
      </c>
      <c r="AR150" s="191">
        <f t="shared" si="126"/>
        <v>253.79241115055552</v>
      </c>
      <c r="AT150" s="321" t="e">
        <f t="shared" si="128"/>
        <v>#DIV/0!</v>
      </c>
      <c r="AU150" s="321" t="e">
        <f t="shared" si="129"/>
        <v>#DIV/0!</v>
      </c>
      <c r="AV150" s="321" t="e">
        <f t="shared" si="130"/>
        <v>#DIV/0!</v>
      </c>
      <c r="AY150" s="320">
        <v>144.26</v>
      </c>
      <c r="AZ150" s="368">
        <f t="shared" si="134"/>
        <v>21.713810316139767</v>
      </c>
      <c r="BA150" s="368">
        <f t="shared" si="127"/>
        <v>50.915141430948431</v>
      </c>
      <c r="BB150" s="368">
        <f t="shared" si="127"/>
        <v>112.31281198003327</v>
      </c>
      <c r="BC150" s="368">
        <f t="shared" si="127"/>
        <v>235.85690515806988</v>
      </c>
      <c r="BD150" s="368">
        <f t="shared" si="127"/>
        <v>310.73211314475873</v>
      </c>
      <c r="BF150" s="321" t="e">
        <f t="shared" si="131"/>
        <v>#DIV/0!</v>
      </c>
      <c r="BG150" s="321" t="e">
        <f t="shared" si="132"/>
        <v>#DIV/0!</v>
      </c>
      <c r="BH150" s="321" t="e">
        <f t="shared" si="133"/>
        <v>#DIV/0!</v>
      </c>
      <c r="BI150" s="321"/>
      <c r="BJ150" s="321"/>
      <c r="CV150">
        <v>2.9471115675171345E-3</v>
      </c>
      <c r="CW150">
        <v>8.6309852541837807E-3</v>
      </c>
      <c r="CX150">
        <v>2.0681386256522789E-2</v>
      </c>
      <c r="CY150">
        <v>4.2596741567495135E-2</v>
      </c>
      <c r="CZ150">
        <v>4.824699512199096E-2</v>
      </c>
    </row>
    <row r="151" spans="2:104" ht="15">
      <c r="X151" s="321">
        <v>288.5</v>
      </c>
      <c r="Y151" s="321">
        <v>1.9941507515593915</v>
      </c>
      <c r="Z151" s="321">
        <v>55.071673638168491</v>
      </c>
      <c r="AA151" s="321">
        <v>204.26901696330609</v>
      </c>
      <c r="AB151" s="321" t="e">
        <v>#VALUE!</v>
      </c>
      <c r="AC151" s="321" t="e">
        <v>#VALUE!</v>
      </c>
      <c r="AF151" s="322">
        <v>39.200000000000003</v>
      </c>
      <c r="AG151" s="191"/>
      <c r="AH151" s="191"/>
      <c r="AI151" s="191"/>
      <c r="AJ151" s="1"/>
      <c r="AK151" s="1"/>
      <c r="AM151" s="320">
        <v>192.31</v>
      </c>
      <c r="AN151" s="191">
        <f t="shared" si="125"/>
        <v>18.08297296530267</v>
      </c>
      <c r="AO151" s="191">
        <f t="shared" si="126"/>
        <v>43.455797493054888</v>
      </c>
      <c r="AP151" s="191">
        <f t="shared" si="126"/>
        <v>94.437577969109327</v>
      </c>
      <c r="AQ151" s="191">
        <f t="shared" si="126"/>
        <v>200.28223193736832</v>
      </c>
      <c r="AR151" s="191">
        <f t="shared" si="126"/>
        <v>234.40584443830855</v>
      </c>
      <c r="AT151" s="321" t="e">
        <f t="shared" si="128"/>
        <v>#DIV/0!</v>
      </c>
      <c r="AU151" s="321" t="e">
        <f t="shared" si="129"/>
        <v>#DIV/0!</v>
      </c>
      <c r="AV151" s="321" t="e">
        <f t="shared" si="130"/>
        <v>#DIV/0!</v>
      </c>
      <c r="AY151" s="320">
        <v>192.31</v>
      </c>
      <c r="AZ151" s="368">
        <f t="shared" si="134"/>
        <v>21.713810316139767</v>
      </c>
      <c r="BA151" s="368">
        <f t="shared" si="127"/>
        <v>50.915141430948431</v>
      </c>
      <c r="BB151" s="368">
        <f t="shared" si="127"/>
        <v>108.56905158069884</v>
      </c>
      <c r="BC151" s="368">
        <f t="shared" si="127"/>
        <v>243.3444259567388</v>
      </c>
      <c r="BD151" s="368">
        <f t="shared" si="127"/>
        <v>318.2196339434276</v>
      </c>
      <c r="BF151" s="321" t="e">
        <f t="shared" si="131"/>
        <v>#DIV/0!</v>
      </c>
      <c r="BG151" s="321" t="e">
        <f t="shared" si="132"/>
        <v>#DIV/0!</v>
      </c>
      <c r="BH151" s="321" t="e">
        <f t="shared" si="133"/>
        <v>#DIV/0!</v>
      </c>
      <c r="BI151" s="321"/>
      <c r="BJ151" s="321"/>
    </row>
    <row r="152" spans="2:104" ht="15">
      <c r="AF152" s="322">
        <v>49</v>
      </c>
      <c r="AG152" s="191"/>
      <c r="AH152" s="191"/>
      <c r="AI152" s="191"/>
      <c r="AJ152" s="1"/>
      <c r="AK152" s="1"/>
      <c r="AM152" s="320">
        <v>240.46</v>
      </c>
      <c r="AN152" s="191">
        <f t="shared" si="125"/>
        <v>17.601519583743027</v>
      </c>
      <c r="AO152" s="191">
        <f t="shared" si="126"/>
        <v>41.870802421077201</v>
      </c>
      <c r="AP152" s="191">
        <f t="shared" si="126"/>
        <v>89.90129057650536</v>
      </c>
      <c r="AQ152" s="191">
        <f t="shared" si="126"/>
        <v>187.57688366189029</v>
      </c>
      <c r="AR152" s="191">
        <f t="shared" si="126"/>
        <v>218.56247353718626</v>
      </c>
      <c r="AT152" s="321" t="e">
        <f t="shared" si="128"/>
        <v>#DIV/0!</v>
      </c>
      <c r="AU152" s="321" t="e">
        <f t="shared" si="129"/>
        <v>#DIV/0!</v>
      </c>
      <c r="AV152" s="321" t="e">
        <f t="shared" si="130"/>
        <v>#DIV/0!</v>
      </c>
      <c r="AY152" s="320">
        <v>240.46</v>
      </c>
      <c r="AZ152" s="368">
        <f t="shared" si="134"/>
        <v>21.713810316139767</v>
      </c>
      <c r="BA152" s="368">
        <f t="shared" si="127"/>
        <v>50.166389351081534</v>
      </c>
      <c r="BB152" s="368">
        <f t="shared" si="127"/>
        <v>104.82529118136442</v>
      </c>
      <c r="BC152" s="368">
        <f t="shared" si="127"/>
        <v>229.86688851913479</v>
      </c>
      <c r="BD152" s="368">
        <f t="shared" si="127"/>
        <v>303.24459234608992</v>
      </c>
      <c r="BF152" s="321" t="e">
        <f t="shared" si="131"/>
        <v>#DIV/0!</v>
      </c>
      <c r="BG152" s="321" t="e">
        <f t="shared" si="132"/>
        <v>#DIV/0!</v>
      </c>
      <c r="BH152" s="321" t="e">
        <f t="shared" si="133"/>
        <v>#DIV/0!</v>
      </c>
      <c r="BI152" s="321"/>
      <c r="BJ152" s="321"/>
    </row>
    <row r="153" spans="2:104" ht="15">
      <c r="AF153" s="322">
        <v>58.8</v>
      </c>
      <c r="AG153" s="191"/>
      <c r="AH153" s="191"/>
      <c r="AI153" s="191"/>
      <c r="AJ153" s="1"/>
      <c r="AK153" s="1"/>
      <c r="AM153" s="320">
        <v>288.5</v>
      </c>
      <c r="AN153" s="191">
        <f t="shared" si="125"/>
        <v>17.14612512668344</v>
      </c>
      <c r="AO153" s="191">
        <f t="shared" si="126"/>
        <v>40.465435873435979</v>
      </c>
      <c r="AP153" s="191">
        <f t="shared" si="126"/>
        <v>86.058927053615491</v>
      </c>
      <c r="AQ153" s="191">
        <f t="shared" si="126"/>
        <v>177.16335679132695</v>
      </c>
      <c r="AR153" s="191">
        <f t="shared" si="126"/>
        <v>205.64953755224178</v>
      </c>
      <c r="AT153" s="321" t="e">
        <f t="shared" si="128"/>
        <v>#DIV/0!</v>
      </c>
      <c r="AU153" s="321" t="e">
        <f t="shared" si="129"/>
        <v>#DIV/0!</v>
      </c>
      <c r="AV153" s="321" t="e">
        <f t="shared" si="130"/>
        <v>#DIV/0!</v>
      </c>
      <c r="AY153" s="320">
        <v>288.5</v>
      </c>
      <c r="AZ153" s="368">
        <f t="shared" si="134"/>
        <v>20.965058236272881</v>
      </c>
      <c r="BA153" s="368">
        <f t="shared" si="127"/>
        <v>48.668885191347755</v>
      </c>
      <c r="BB153" s="368">
        <f t="shared" si="127"/>
        <v>99.584026622296179</v>
      </c>
      <c r="BC153" s="368">
        <f t="shared" si="127"/>
        <v>220.88186356073211</v>
      </c>
      <c r="BD153" s="368">
        <f t="shared" si="127"/>
        <v>288.26955074875207</v>
      </c>
      <c r="BF153" s="321" t="e">
        <f t="shared" si="131"/>
        <v>#DIV/0!</v>
      </c>
      <c r="BG153" s="321" t="e">
        <f t="shared" si="132"/>
        <v>#DIV/0!</v>
      </c>
      <c r="BH153" s="321" t="e">
        <f t="shared" si="133"/>
        <v>#DIV/0!</v>
      </c>
      <c r="BI153" s="321"/>
      <c r="BJ153" s="321"/>
    </row>
    <row r="154" spans="2:104" ht="15.75" thickBot="1">
      <c r="AF154" s="322">
        <v>78.400000000000006</v>
      </c>
      <c r="AG154" s="191"/>
      <c r="AH154" s="191"/>
      <c r="AI154" s="191"/>
      <c r="AJ154" s="1"/>
      <c r="AK154" s="1"/>
      <c r="AM154" s="322"/>
      <c r="AN154" s="191"/>
      <c r="AO154" s="191"/>
      <c r="AP154" s="191"/>
      <c r="AQ154" s="191"/>
      <c r="AR154" s="191"/>
      <c r="AT154" s="321" t="e">
        <f t="shared" si="128"/>
        <v>#DIV/0!</v>
      </c>
      <c r="AU154" s="321" t="e">
        <f t="shared" si="129"/>
        <v>#DIV/0!</v>
      </c>
      <c r="AV154" s="321" t="e">
        <f t="shared" si="130"/>
        <v>#DIV/0!</v>
      </c>
      <c r="AY154" s="322"/>
      <c r="AZ154" s="368"/>
      <c r="BA154" s="368"/>
      <c r="BB154" s="368"/>
      <c r="BC154" s="368"/>
      <c r="BD154" s="368"/>
      <c r="BF154" s="321" t="e">
        <f t="shared" si="131"/>
        <v>#DIV/0!</v>
      </c>
      <c r="BG154" s="321" t="e">
        <f t="shared" si="132"/>
        <v>#DIV/0!</v>
      </c>
      <c r="BH154" s="321" t="e">
        <f t="shared" si="133"/>
        <v>#DIV/0!</v>
      </c>
      <c r="BI154" s="321"/>
      <c r="BJ154" s="321"/>
    </row>
    <row r="155" spans="2:104" ht="19.5" thickTop="1">
      <c r="B155" s="465" t="s">
        <v>185</v>
      </c>
      <c r="C155" s="466"/>
      <c r="D155" s="466"/>
      <c r="E155" s="466"/>
      <c r="F155" s="466"/>
      <c r="G155" s="467"/>
      <c r="I155" s="465" t="s">
        <v>186</v>
      </c>
      <c r="J155" s="466"/>
      <c r="K155" s="466"/>
      <c r="L155" s="466"/>
      <c r="M155" s="466"/>
      <c r="N155" s="467"/>
      <c r="P155" s="465" t="s">
        <v>190</v>
      </c>
      <c r="Q155" s="466"/>
      <c r="R155" s="466"/>
      <c r="S155" s="466"/>
      <c r="T155" s="466"/>
      <c r="U155" s="467"/>
      <c r="Y155" s="422" t="s">
        <v>170</v>
      </c>
      <c r="Z155" s="423"/>
      <c r="AA155" s="424"/>
      <c r="AB155" s="422" t="s">
        <v>170</v>
      </c>
      <c r="AC155" s="423"/>
      <c r="AD155" s="424"/>
      <c r="AF155" s="322">
        <v>98</v>
      </c>
      <c r="AG155" s="191"/>
      <c r="AH155" s="191"/>
      <c r="AI155" s="191"/>
      <c r="AJ155" s="1"/>
      <c r="AK155" s="1"/>
      <c r="AM155" s="322"/>
      <c r="AN155" s="191"/>
      <c r="AO155" s="191"/>
      <c r="AP155" s="191"/>
      <c r="AQ155" s="191"/>
      <c r="AR155" s="191"/>
      <c r="AT155" s="321" t="e">
        <f t="shared" si="128"/>
        <v>#DIV/0!</v>
      </c>
      <c r="AU155" s="321" t="e">
        <f t="shared" si="129"/>
        <v>#DIV/0!</v>
      </c>
      <c r="AV155" s="321" t="e">
        <f>(AI155-#REF!)/AI155*100</f>
        <v>#REF!</v>
      </c>
      <c r="AY155" s="322"/>
      <c r="AZ155" s="368"/>
      <c r="BA155" s="368"/>
      <c r="BB155" s="368"/>
      <c r="BC155" s="368"/>
      <c r="BD155" s="368"/>
      <c r="BF155" s="321" t="e">
        <f t="shared" si="131"/>
        <v>#DIV/0!</v>
      </c>
      <c r="BG155" s="321" t="e">
        <f t="shared" si="132"/>
        <v>#DIV/0!</v>
      </c>
      <c r="BH155" s="321" t="e">
        <f t="shared" si="133"/>
        <v>#DIV/0!</v>
      </c>
      <c r="BI155" s="321"/>
      <c r="BJ155" s="321"/>
    </row>
    <row r="156" spans="2:104" ht="19.5">
      <c r="B156" s="458" t="s">
        <v>202</v>
      </c>
      <c r="C156" s="459"/>
      <c r="D156" s="459"/>
      <c r="E156" s="459"/>
      <c r="F156" s="459"/>
      <c r="G156" s="460"/>
      <c r="I156" s="458" t="s">
        <v>202</v>
      </c>
      <c r="J156" s="459"/>
      <c r="K156" s="459"/>
      <c r="L156" s="459"/>
      <c r="M156" s="459"/>
      <c r="N156" s="460"/>
      <c r="P156" s="458" t="s">
        <v>202</v>
      </c>
      <c r="Q156" s="459"/>
      <c r="R156" s="459"/>
      <c r="S156" s="459"/>
      <c r="T156" s="459"/>
      <c r="U156" s="460"/>
      <c r="Y156" s="105" t="s">
        <v>174</v>
      </c>
      <c r="Z156" s="222" t="s">
        <v>175</v>
      </c>
      <c r="AA156" s="293" t="s">
        <v>168</v>
      </c>
      <c r="AB156" s="105" t="s">
        <v>176</v>
      </c>
      <c r="AC156" s="222" t="s">
        <v>177</v>
      </c>
      <c r="AD156" s="293"/>
    </row>
    <row r="157" spans="2:104" ht="18.75">
      <c r="B157" s="453" t="s">
        <v>188</v>
      </c>
      <c r="C157" s="455" t="s">
        <v>189</v>
      </c>
      <c r="D157" s="456"/>
      <c r="E157" s="456"/>
      <c r="F157" s="456"/>
      <c r="G157" s="457"/>
      <c r="I157" s="453" t="s">
        <v>188</v>
      </c>
      <c r="J157" s="455" t="s">
        <v>189</v>
      </c>
      <c r="K157" s="456"/>
      <c r="L157" s="456"/>
      <c r="M157" s="456"/>
      <c r="N157" s="457"/>
      <c r="P157" s="453" t="s">
        <v>188</v>
      </c>
      <c r="Q157" s="455" t="s">
        <v>189</v>
      </c>
      <c r="R157" s="456"/>
      <c r="S157" s="456"/>
      <c r="T157" s="456"/>
      <c r="U157" s="457"/>
      <c r="X157" s="298" t="s">
        <v>193</v>
      </c>
      <c r="Y157" s="334">
        <v>0</v>
      </c>
      <c r="Z157" s="332">
        <v>1250</v>
      </c>
      <c r="AA157" s="140">
        <v>0.03</v>
      </c>
      <c r="AB157" s="313">
        <v>2.9</v>
      </c>
      <c r="AC157" s="191">
        <v>-1.5</v>
      </c>
      <c r="AF157" s="465" t="s">
        <v>185</v>
      </c>
      <c r="AG157" s="466"/>
      <c r="AH157" s="466"/>
      <c r="AI157" s="466"/>
      <c r="AJ157" s="466"/>
      <c r="AK157" s="467"/>
      <c r="AM157" s="465" t="s">
        <v>185</v>
      </c>
      <c r="AN157" s="466"/>
      <c r="AO157" s="466"/>
      <c r="AP157" s="466"/>
      <c r="AQ157" s="466"/>
      <c r="AR157" s="467"/>
    </row>
    <row r="158" spans="2:104" ht="18.75">
      <c r="B158" s="454"/>
      <c r="C158" s="320">
        <v>37.799999999999997</v>
      </c>
      <c r="D158" s="320">
        <v>71.099999999999994</v>
      </c>
      <c r="E158" s="320">
        <v>104.4</v>
      </c>
      <c r="F158" s="320">
        <v>137.80000000000001</v>
      </c>
      <c r="G158" s="320">
        <v>171.1</v>
      </c>
      <c r="I158" s="454"/>
      <c r="J158" s="320">
        <v>37.799999999999997</v>
      </c>
      <c r="K158" s="320">
        <v>71.099999999999994</v>
      </c>
      <c r="L158" s="320">
        <v>104.4</v>
      </c>
      <c r="M158" s="320">
        <v>137.80000000000001</v>
      </c>
      <c r="N158" s="320">
        <v>171.1</v>
      </c>
      <c r="P158" s="454"/>
      <c r="Q158" s="320">
        <v>37.799999999999997</v>
      </c>
      <c r="R158" s="320">
        <v>71.099999999999994</v>
      </c>
      <c r="S158" s="320">
        <v>104.4</v>
      </c>
      <c r="T158" s="320">
        <v>137.80000000000001</v>
      </c>
      <c r="U158" s="320">
        <v>171.1</v>
      </c>
      <c r="AF158" s="458" t="s">
        <v>202</v>
      </c>
      <c r="AG158" s="459"/>
      <c r="AH158" s="459"/>
      <c r="AI158" s="459"/>
      <c r="AJ158" s="459"/>
      <c r="AK158" s="460"/>
      <c r="AM158" s="458" t="s">
        <v>202</v>
      </c>
      <c r="AN158" s="459"/>
      <c r="AO158" s="459"/>
      <c r="AP158" s="459"/>
      <c r="AQ158" s="459"/>
      <c r="AR158" s="460"/>
    </row>
    <row r="159" spans="2:104" ht="15">
      <c r="B159" s="320">
        <v>1.01</v>
      </c>
      <c r="C159" s="1">
        <v>7.6E-3</v>
      </c>
      <c r="D159" s="1">
        <v>3.6600000000000001E-2</v>
      </c>
      <c r="E159" s="1" t="s">
        <v>192</v>
      </c>
      <c r="F159" s="1" t="s">
        <v>192</v>
      </c>
      <c r="G159" s="1" t="s">
        <v>192</v>
      </c>
      <c r="I159" s="320">
        <v>1.01</v>
      </c>
      <c r="J159" s="79">
        <v>6.3366637210239543E-3</v>
      </c>
      <c r="K159" s="79">
        <v>3.3257416618991294E-2</v>
      </c>
      <c r="L159" s="79">
        <v>0.13418160132994753</v>
      </c>
      <c r="M159" s="79">
        <v>0.51778293870699588</v>
      </c>
      <c r="N159" s="79" t="s">
        <v>192</v>
      </c>
      <c r="P159" s="320">
        <v>1.01</v>
      </c>
      <c r="Q159" s="321">
        <f>ABS(C159-J159)/C159*100</f>
        <v>16.622845776000602</v>
      </c>
      <c r="R159" s="321">
        <f>ABS(D159-K159)/D159*100</f>
        <v>9.1327414781658653</v>
      </c>
      <c r="S159" s="321" t="s">
        <v>192</v>
      </c>
      <c r="T159" s="321" t="s">
        <v>192</v>
      </c>
      <c r="U159" s="321" t="s">
        <v>192</v>
      </c>
      <c r="X159" s="321">
        <v>16.599488138348249</v>
      </c>
      <c r="Y159" s="321">
        <v>9.1129629078457146</v>
      </c>
      <c r="Z159" s="321" t="s">
        <v>192</v>
      </c>
      <c r="AA159" s="321" t="s">
        <v>192</v>
      </c>
      <c r="AB159" s="321" t="s">
        <v>192</v>
      </c>
      <c r="AF159" s="453" t="s">
        <v>188</v>
      </c>
      <c r="AG159" s="455" t="s">
        <v>189</v>
      </c>
      <c r="AH159" s="456"/>
      <c r="AI159" s="456"/>
      <c r="AJ159" s="456"/>
      <c r="AK159" s="457"/>
      <c r="AM159" s="453" t="s">
        <v>188</v>
      </c>
      <c r="AN159" s="455" t="s">
        <v>189</v>
      </c>
      <c r="AO159" s="456"/>
      <c r="AP159" s="456"/>
      <c r="AQ159" s="456"/>
      <c r="AR159" s="457"/>
      <c r="CV159">
        <v>9.9255345089554158E-4</v>
      </c>
      <c r="CW159">
        <v>9.1184630854027515E-4</v>
      </c>
      <c r="CX159">
        <v>7.6632117665232876E-4</v>
      </c>
      <c r="CY159">
        <v>3.4511369096653418E-4</v>
      </c>
    </row>
    <row r="160" spans="2:104" ht="15">
      <c r="B160" s="320">
        <v>2.0299999999999998</v>
      </c>
      <c r="C160" s="1">
        <v>4.64E-3</v>
      </c>
      <c r="D160" s="1">
        <v>2.01E-2</v>
      </c>
      <c r="E160" s="1">
        <v>7.46E-2</v>
      </c>
      <c r="F160" s="1">
        <v>0.184</v>
      </c>
      <c r="G160" s="1">
        <v>0.41399999999999998</v>
      </c>
      <c r="I160" s="320">
        <v>2.0299999999999998</v>
      </c>
      <c r="J160" s="79">
        <v>3.5575801911665373E-3</v>
      </c>
      <c r="K160" s="79">
        <v>1.7795717692697926E-2</v>
      </c>
      <c r="L160" s="79">
        <v>6.7024920922721276E-2</v>
      </c>
      <c r="M160" s="79">
        <v>0.21734182911551728</v>
      </c>
      <c r="N160" s="79">
        <v>0.7284475573729442</v>
      </c>
      <c r="P160" s="320">
        <v>2.0299999999999998</v>
      </c>
      <c r="Q160" s="321">
        <f>ABS(C160-J160)/C160*100</f>
        <v>23.328013121410834</v>
      </c>
      <c r="R160" s="321">
        <f>ABS(D160-K160)/D160*100</f>
        <v>11.464091081104845</v>
      </c>
      <c r="S160" s="321">
        <f>ABS(E160-L160)/E160*100</f>
        <v>10.154261497692659</v>
      </c>
      <c r="T160" s="321">
        <f>ABS(F160-M160)/F160*100</f>
        <v>18.120559301911566</v>
      </c>
      <c r="U160" s="321">
        <f>ABS(G160-N160)/G160*100</f>
        <v>75.953516273658025</v>
      </c>
      <c r="X160" s="321">
        <v>23.279595053976301</v>
      </c>
      <c r="Y160" s="321">
        <v>11.421771081899692</v>
      </c>
      <c r="Z160" s="321">
        <v>10.121417443879379</v>
      </c>
      <c r="AA160" s="321">
        <v>18.152495059817319</v>
      </c>
      <c r="AB160" s="321">
        <v>75.984493482413001</v>
      </c>
      <c r="AF160" s="454"/>
      <c r="AG160" s="320">
        <v>37.799999999999997</v>
      </c>
      <c r="AH160" s="320">
        <v>71.099999999999994</v>
      </c>
      <c r="AI160" s="320">
        <v>104.4</v>
      </c>
      <c r="AJ160" s="320">
        <v>137.80000000000001</v>
      </c>
      <c r="AK160" s="320">
        <v>171.1</v>
      </c>
      <c r="AM160" s="454"/>
      <c r="AN160" s="320">
        <v>37.799999999999997</v>
      </c>
      <c r="AO160" s="320">
        <v>71.099999999999994</v>
      </c>
      <c r="AP160" s="320">
        <v>104.4</v>
      </c>
      <c r="AQ160" s="320">
        <v>137.80000000000001</v>
      </c>
      <c r="AR160" s="320">
        <v>171.1</v>
      </c>
      <c r="CV160">
        <v>1.8619992162052538E-3</v>
      </c>
      <c r="CW160">
        <v>1.7903033170848742E-3</v>
      </c>
      <c r="CX160">
        <v>1.6942978233244876E-3</v>
      </c>
      <c r="CY160">
        <v>1.3606325149097564E-3</v>
      </c>
      <c r="CZ160">
        <v>3.7863243079034616E-4</v>
      </c>
    </row>
    <row r="161" spans="2:104" ht="15">
      <c r="B161" s="320">
        <v>2.09</v>
      </c>
      <c r="C161" s="1">
        <v>4.0000000000000001E-3</v>
      </c>
      <c r="D161" s="1" t="s">
        <v>192</v>
      </c>
      <c r="E161" s="1" t="s">
        <v>192</v>
      </c>
      <c r="F161" s="1" t="s">
        <v>192</v>
      </c>
      <c r="G161" s="1" t="s">
        <v>192</v>
      </c>
      <c r="I161" s="320">
        <v>2.09</v>
      </c>
      <c r="J161" s="79">
        <v>3.481996576316153E-3</v>
      </c>
      <c r="K161" s="79">
        <v>1.7370496573508414E-2</v>
      </c>
      <c r="L161" s="79">
        <v>6.5246985866827742E-2</v>
      </c>
      <c r="M161" s="79">
        <v>0.21055201809908136</v>
      </c>
      <c r="N161" s="79">
        <v>0.69597556680254635</v>
      </c>
      <c r="P161" s="320">
        <v>2.09</v>
      </c>
      <c r="Q161" s="321">
        <f>ABS(C161-J161)/C161*100</f>
        <v>12.950085592096178</v>
      </c>
      <c r="R161" s="321" t="s">
        <v>192</v>
      </c>
      <c r="S161" s="321" t="s">
        <v>192</v>
      </c>
      <c r="T161" s="321" t="s">
        <v>192</v>
      </c>
      <c r="U161" s="321" t="s">
        <v>192</v>
      </c>
      <c r="X161" s="321">
        <v>12.893066484577453</v>
      </c>
      <c r="Y161" s="321" t="s">
        <v>192</v>
      </c>
      <c r="Z161" s="321" t="s">
        <v>192</v>
      </c>
      <c r="AA161" s="321" t="s">
        <v>192</v>
      </c>
      <c r="AB161" s="321" t="s">
        <v>192</v>
      </c>
      <c r="AF161" s="320">
        <v>1.01</v>
      </c>
      <c r="AG161" s="191">
        <f>C159*18/0.02404</f>
        <v>5.690515806988353</v>
      </c>
      <c r="AH161" s="191">
        <f t="shared" ref="AH161:AK173" si="135">D159*18/0.02404</f>
        <v>27.404326123128122</v>
      </c>
      <c r="AI161" s="191"/>
      <c r="AJ161" s="191"/>
      <c r="AK161" s="191"/>
      <c r="AM161" s="320">
        <v>1.01</v>
      </c>
      <c r="AN161" s="191">
        <f>J159*18/0.02404</f>
        <v>4.7445901405337434</v>
      </c>
      <c r="AO161" s="191">
        <f t="shared" ref="AO161:AR173" si="136">K159*18/0.02404</f>
        <v>24.901559864469355</v>
      </c>
      <c r="AP161" s="191">
        <f t="shared" si="136"/>
        <v>100.46875307566786</v>
      </c>
      <c r="AQ161" s="191">
        <f t="shared" si="136"/>
        <v>387.69105227645287</v>
      </c>
      <c r="AR161" s="191" t="e">
        <f t="shared" si="136"/>
        <v>#VALUE!</v>
      </c>
      <c r="CV161">
        <v>1.9084606397121E-3</v>
      </c>
      <c r="CW161">
        <v>1.8386643575339543E-3</v>
      </c>
      <c r="CX161">
        <v>1.7463439910071156E-3</v>
      </c>
      <c r="CY161">
        <v>1.4183262722306631E-3</v>
      </c>
      <c r="CZ161">
        <v>4.4411984417851125E-4</v>
      </c>
    </row>
    <row r="162" spans="2:104" ht="15">
      <c r="B162" s="320">
        <v>3.04</v>
      </c>
      <c r="C162" s="1" t="s">
        <v>192</v>
      </c>
      <c r="D162" s="1">
        <v>1.54E-2</v>
      </c>
      <c r="E162" s="1">
        <v>4.8000000000000001E-2</v>
      </c>
      <c r="F162" s="1">
        <v>0.1295</v>
      </c>
      <c r="G162" s="1">
        <v>0.28999999999999998</v>
      </c>
      <c r="I162" s="320">
        <v>3.04</v>
      </c>
      <c r="J162" s="79">
        <v>1.7751682389676091E-2</v>
      </c>
      <c r="K162" s="79">
        <v>1.2990250902163188E-2</v>
      </c>
      <c r="L162" s="79">
        <v>4.6977354377052069E-2</v>
      </c>
      <c r="M162" s="79">
        <v>0.14342457197554967</v>
      </c>
      <c r="N162" s="79">
        <v>0.41501672217827151</v>
      </c>
      <c r="P162" s="320">
        <v>3.04</v>
      </c>
      <c r="Q162" s="321" t="s">
        <v>192</v>
      </c>
      <c r="R162" s="321">
        <f>ABS(D162-K162)/D162*100</f>
        <v>15.647721414524757</v>
      </c>
      <c r="S162" s="321">
        <f t="shared" ref="S162:S169" si="137">ABS(E162-L162)/E162*100</f>
        <v>2.1305117144748582</v>
      </c>
      <c r="T162" s="321">
        <f t="shared" ref="T162:T169" si="138">ABS(F162-M162)/F162*100</f>
        <v>10.752565232084683</v>
      </c>
      <c r="U162" s="321">
        <f t="shared" ref="U162:U169" si="139">ABS(G162-N162)/G162*100</f>
        <v>43.10921454423157</v>
      </c>
      <c r="X162" s="321" t="s">
        <v>192</v>
      </c>
      <c r="Y162" s="321">
        <v>15.581563129526621</v>
      </c>
      <c r="Z162" s="321">
        <v>2.0727438628254129</v>
      </c>
      <c r="AA162" s="321">
        <v>10.801652590296031</v>
      </c>
      <c r="AB162" s="321">
        <v>43.15432488966006</v>
      </c>
      <c r="AF162" s="320">
        <v>2.0299999999999998</v>
      </c>
      <c r="AG162" s="191">
        <f>C160*18/0.02404</f>
        <v>3.4742096505823628</v>
      </c>
      <c r="AH162" s="191">
        <f t="shared" si="135"/>
        <v>15.049916805324461</v>
      </c>
      <c r="AI162" s="191">
        <f t="shared" si="135"/>
        <v>55.856905158069885</v>
      </c>
      <c r="AJ162" s="191">
        <f t="shared" si="135"/>
        <v>137.77038269550749</v>
      </c>
      <c r="AK162" s="191">
        <f t="shared" si="135"/>
        <v>309.98336106489188</v>
      </c>
      <c r="AM162" s="320">
        <v>2.0299999999999998</v>
      </c>
      <c r="AN162" s="191">
        <f>J160*18/0.02404</f>
        <v>2.6637455674291877</v>
      </c>
      <c r="AO162" s="191">
        <f t="shared" si="136"/>
        <v>13.324580635131559</v>
      </c>
      <c r="AP162" s="191">
        <f t="shared" si="136"/>
        <v>50.185048943801291</v>
      </c>
      <c r="AQ162" s="191">
        <f t="shared" si="136"/>
        <v>162.73514659231745</v>
      </c>
      <c r="AR162" s="191">
        <f t="shared" si="136"/>
        <v>545.42662365694662</v>
      </c>
      <c r="CV162">
        <v>2.2875622223631591E-3</v>
      </c>
      <c r="CW162">
        <v>2.5543312966629702E-3</v>
      </c>
      <c r="CX162">
        <v>2.5321879344256657E-3</v>
      </c>
      <c r="CY162">
        <v>2.3010436025146341E-3</v>
      </c>
      <c r="CZ162">
        <v>1.4555440869377209E-3</v>
      </c>
    </row>
    <row r="163" spans="2:104" ht="15">
      <c r="B163" s="320">
        <v>4.05</v>
      </c>
      <c r="C163" s="1" t="s">
        <v>192</v>
      </c>
      <c r="D163" s="1">
        <v>1.3599999999999999E-2</v>
      </c>
      <c r="E163" s="1">
        <v>4.0399999999999998E-2</v>
      </c>
      <c r="F163" s="1">
        <v>0.10199999999999999</v>
      </c>
      <c r="G163" s="1">
        <v>0.22600000000000001</v>
      </c>
      <c r="I163" s="320">
        <v>4.05</v>
      </c>
      <c r="J163" s="79">
        <v>1.7889265652743649E-2</v>
      </c>
      <c r="K163" s="1">
        <v>1.0791128738130195E-2</v>
      </c>
      <c r="L163" s="79">
        <v>3.7523530472042071E-2</v>
      </c>
      <c r="M163" s="79">
        <v>0.1101501198337908</v>
      </c>
      <c r="N163" s="79">
        <v>0.29767659549192732</v>
      </c>
      <c r="P163" s="320">
        <v>4.05</v>
      </c>
      <c r="Q163" s="321" t="s">
        <v>192</v>
      </c>
      <c r="R163" s="321">
        <f>ABS(D163-K163)/D163*100</f>
        <v>20.653465160807389</v>
      </c>
      <c r="S163" s="321">
        <f t="shared" si="137"/>
        <v>7.1199740791037804</v>
      </c>
      <c r="T163" s="321">
        <f t="shared" si="138"/>
        <v>7.9903135625400123</v>
      </c>
      <c r="U163" s="321">
        <f t="shared" si="139"/>
        <v>31.715307739790845</v>
      </c>
      <c r="X163" s="321" t="s">
        <v>192</v>
      </c>
      <c r="Y163" s="321">
        <v>20.561200401940056</v>
      </c>
      <c r="Z163" s="321">
        <v>7.0412779967207531</v>
      </c>
      <c r="AA163" s="321">
        <v>8.0587343828832942</v>
      </c>
      <c r="AB163" s="321">
        <v>31.776381272038218</v>
      </c>
      <c r="AF163" s="320">
        <v>2.09</v>
      </c>
      <c r="AG163" s="191">
        <f>C161*18/0.02404</f>
        <v>2.9950083194675545</v>
      </c>
      <c r="AH163" s="191"/>
      <c r="AI163" s="191"/>
      <c r="AJ163" s="191"/>
      <c r="AK163" s="191"/>
      <c r="AM163" s="320">
        <v>2.09</v>
      </c>
      <c r="AN163" s="191">
        <f>J161*18/0.02404</f>
        <v>2.6071521786061047</v>
      </c>
      <c r="AO163" s="191">
        <f t="shared" si="136"/>
        <v>13.006195437735085</v>
      </c>
      <c r="AP163" s="191">
        <f t="shared" si="136"/>
        <v>48.853816372832753</v>
      </c>
      <c r="AQ163" s="191">
        <f t="shared" si="136"/>
        <v>157.65126147185794</v>
      </c>
      <c r="AR163" s="191">
        <f t="shared" si="136"/>
        <v>521.1131531799432</v>
      </c>
      <c r="CV163">
        <v>2.2957165587386532E-3</v>
      </c>
      <c r="CW163">
        <v>3.2094435149617358E-3</v>
      </c>
      <c r="CX163">
        <v>3.2876210000408052E-3</v>
      </c>
      <c r="CY163">
        <v>3.175042490551375E-3</v>
      </c>
      <c r="CZ163">
        <v>2.4774337660108214E-3</v>
      </c>
    </row>
    <row r="164" spans="2:104" ht="15">
      <c r="B164" s="320">
        <v>5.07</v>
      </c>
      <c r="C164" s="1" t="s">
        <v>192</v>
      </c>
      <c r="D164" s="1">
        <v>1.32E-2</v>
      </c>
      <c r="E164" s="1">
        <v>3.6499999999999998E-2</v>
      </c>
      <c r="F164" s="1">
        <v>8.7999999999999995E-2</v>
      </c>
      <c r="G164" s="1">
        <v>0.1885</v>
      </c>
      <c r="I164" s="320">
        <v>5.07</v>
      </c>
      <c r="J164" s="1">
        <v>1.8020183939501104E-2</v>
      </c>
      <c r="K164" s="79">
        <v>9.7221954754614041E-3</v>
      </c>
      <c r="L164" s="79">
        <v>3.2207400014732206E-2</v>
      </c>
      <c r="M164" s="79">
        <v>9.1397080105365666E-2</v>
      </c>
      <c r="N164" s="79">
        <v>0.23629600261586167</v>
      </c>
      <c r="P164" s="320">
        <v>5.07</v>
      </c>
      <c r="Q164" s="321" t="s">
        <v>192</v>
      </c>
      <c r="R164" s="321">
        <f>ABS(D164-K164)/D164*100</f>
        <v>26.347003973777237</v>
      </c>
      <c r="S164" s="321">
        <f t="shared" si="137"/>
        <v>11.760547904843268</v>
      </c>
      <c r="T164" s="321">
        <f t="shared" si="138"/>
        <v>3.8603183015518994</v>
      </c>
      <c r="U164" s="321">
        <f t="shared" si="139"/>
        <v>25.355969557486297</v>
      </c>
      <c r="X164" s="321" t="s">
        <v>192</v>
      </c>
      <c r="Y164" s="321">
        <v>26.223449132715277</v>
      </c>
      <c r="Z164" s="321">
        <v>11.659024936486983</v>
      </c>
      <c r="AA164" s="321">
        <v>3.9483018323680361</v>
      </c>
      <c r="AB164" s="321">
        <v>25.43439236427162</v>
      </c>
      <c r="AF164" s="320">
        <v>3.04</v>
      </c>
      <c r="AG164" s="191"/>
      <c r="AH164" s="191">
        <f t="shared" si="135"/>
        <v>11.530782029950084</v>
      </c>
      <c r="AI164" s="191">
        <f t="shared" si="135"/>
        <v>35.940099833610653</v>
      </c>
      <c r="AJ164" s="191">
        <f t="shared" si="135"/>
        <v>96.963394342762072</v>
      </c>
      <c r="AK164" s="191">
        <f t="shared" si="135"/>
        <v>217.13810316139768</v>
      </c>
      <c r="AM164" s="320">
        <v>3.04</v>
      </c>
      <c r="AN164" s="191"/>
      <c r="AO164" s="191">
        <f t="shared" si="136"/>
        <v>9.7264773809874114</v>
      </c>
      <c r="AP164" s="191">
        <f t="shared" si="136"/>
        <v>35.17439179646162</v>
      </c>
      <c r="AQ164" s="191">
        <f t="shared" si="136"/>
        <v>107.38944657071106</v>
      </c>
      <c r="AR164" s="191">
        <f t="shared" si="136"/>
        <v>310.74463391051944</v>
      </c>
      <c r="CV164">
        <v>2.3037642934680019E-3</v>
      </c>
      <c r="CW164">
        <v>3.7544127323053808E-3</v>
      </c>
      <c r="CX164">
        <v>3.9649958198297551E-3</v>
      </c>
      <c r="CY164">
        <v>3.9889042034230958E-3</v>
      </c>
      <c r="CZ164">
        <v>3.4521524519556695E-3</v>
      </c>
    </row>
    <row r="165" spans="2:104" ht="15">
      <c r="B165" s="320">
        <v>5.24</v>
      </c>
      <c r="C165" s="1" t="s">
        <v>192</v>
      </c>
      <c r="D165" s="1">
        <v>1.3100000000000001E-2</v>
      </c>
      <c r="E165" s="1" t="s">
        <v>192</v>
      </c>
      <c r="F165" s="1" t="s">
        <v>192</v>
      </c>
      <c r="G165" s="1" t="s">
        <v>192</v>
      </c>
      <c r="I165" s="320">
        <v>5.24</v>
      </c>
      <c r="J165" s="1">
        <v>1.8041276255147311E-2</v>
      </c>
      <c r="K165" s="1">
        <v>2.7918173738080899E-2</v>
      </c>
      <c r="L165" s="79">
        <v>3.1564550405985964E-2</v>
      </c>
      <c r="M165" s="79">
        <v>8.9077823385353444E-2</v>
      </c>
      <c r="N165" s="79">
        <v>0.22888174437243214</v>
      </c>
      <c r="P165" s="320">
        <v>5.24</v>
      </c>
      <c r="Q165" s="321" t="s">
        <v>192</v>
      </c>
      <c r="R165" s="321">
        <f>ABS(D165-K165)/D165*100</f>
        <v>113.11583006168624</v>
      </c>
      <c r="S165" s="321" t="s">
        <v>192</v>
      </c>
      <c r="T165" s="321" t="s">
        <v>192</v>
      </c>
      <c r="U165" s="321" t="s">
        <v>192</v>
      </c>
      <c r="X165" s="321" t="s">
        <v>192</v>
      </c>
      <c r="Y165" s="321">
        <v>115.64527866506545</v>
      </c>
      <c r="Z165" s="321" t="s">
        <v>192</v>
      </c>
      <c r="AA165" s="321" t="s">
        <v>192</v>
      </c>
      <c r="AB165" s="321" t="s">
        <v>192</v>
      </c>
      <c r="AF165" s="320">
        <v>4.05</v>
      </c>
      <c r="AG165" s="191"/>
      <c r="AH165" s="191">
        <f t="shared" si="135"/>
        <v>10.183028286189684</v>
      </c>
      <c r="AI165" s="191">
        <f t="shared" si="135"/>
        <v>30.249584026622294</v>
      </c>
      <c r="AJ165" s="191">
        <f t="shared" si="135"/>
        <v>76.372712146422629</v>
      </c>
      <c r="AK165" s="191">
        <f t="shared" si="135"/>
        <v>169.21797004991683</v>
      </c>
      <c r="AM165" s="320">
        <v>4.05</v>
      </c>
      <c r="AN165" s="191"/>
      <c r="AO165" s="191">
        <f t="shared" si="136"/>
        <v>8.0798800867863356</v>
      </c>
      <c r="AP165" s="191">
        <f t="shared" si="136"/>
        <v>28.09582148489007</v>
      </c>
      <c r="AQ165" s="191">
        <f t="shared" si="136"/>
        <v>82.475131323137887</v>
      </c>
      <c r="AR165" s="191">
        <f t="shared" si="136"/>
        <v>222.88597000227506</v>
      </c>
      <c r="CV165">
        <v>2.3050880167120951E-3</v>
      </c>
      <c r="CW165">
        <v>3.7520219424261856E-3</v>
      </c>
      <c r="CX165">
        <v>4.0693883165600119E-3</v>
      </c>
      <c r="CY165">
        <v>4.1177428645339303E-3</v>
      </c>
      <c r="CZ165">
        <v>3.6089113285346546E-3</v>
      </c>
    </row>
    <row r="166" spans="2:104" ht="15">
      <c r="B166" s="320">
        <v>7.6</v>
      </c>
      <c r="C166" s="1" t="s">
        <v>192</v>
      </c>
      <c r="D166" s="1" t="s">
        <v>192</v>
      </c>
      <c r="E166" s="1">
        <v>3.3300000000000003E-2</v>
      </c>
      <c r="F166" s="1">
        <v>7.2499999999999995E-2</v>
      </c>
      <c r="G166" s="1">
        <v>0.14199999999999999</v>
      </c>
      <c r="I166" s="320">
        <v>7.6</v>
      </c>
      <c r="J166" s="1">
        <v>1.8314914587275126E-2</v>
      </c>
      <c r="K166" s="1">
        <v>2.9046240334355863E-2</v>
      </c>
      <c r="L166" s="79">
        <v>2.6911196919015414E-2</v>
      </c>
      <c r="M166" s="79">
        <v>6.9311708692267174E-2</v>
      </c>
      <c r="N166" s="79">
        <v>0.16582994572191853</v>
      </c>
      <c r="P166" s="320">
        <v>7.6</v>
      </c>
      <c r="Q166" s="321" t="s">
        <v>192</v>
      </c>
      <c r="R166" s="321" t="s">
        <v>192</v>
      </c>
      <c r="S166" s="321">
        <f t="shared" si="137"/>
        <v>19.185594837791555</v>
      </c>
      <c r="T166" s="321">
        <f t="shared" si="138"/>
        <v>4.3976431830797535</v>
      </c>
      <c r="U166" s="321">
        <f t="shared" si="139"/>
        <v>16.781651916844044</v>
      </c>
      <c r="X166" s="321" t="s">
        <v>192</v>
      </c>
      <c r="Y166" s="321" t="s">
        <v>192</v>
      </c>
      <c r="Z166" s="321">
        <v>19.001474389302668</v>
      </c>
      <c r="AA166" s="321">
        <v>4.2538585058973313</v>
      </c>
      <c r="AB166" s="321">
        <v>16.909259980160392</v>
      </c>
      <c r="AF166" s="320">
        <v>5.07</v>
      </c>
      <c r="AG166" s="191"/>
      <c r="AH166" s="191">
        <f t="shared" si="135"/>
        <v>9.8835274542429286</v>
      </c>
      <c r="AI166" s="191">
        <f t="shared" si="135"/>
        <v>27.329450915141429</v>
      </c>
      <c r="AJ166" s="191">
        <f t="shared" si="135"/>
        <v>65.890183028286188</v>
      </c>
      <c r="AK166" s="191">
        <f t="shared" si="135"/>
        <v>141.13976705490848</v>
      </c>
      <c r="AM166" s="320">
        <v>5.07</v>
      </c>
      <c r="AN166" s="191"/>
      <c r="AO166" s="191">
        <f t="shared" si="136"/>
        <v>7.2795140831241802</v>
      </c>
      <c r="AP166" s="191">
        <f t="shared" si="136"/>
        <v>24.115357748135597</v>
      </c>
      <c r="AQ166" s="191">
        <f t="shared" si="136"/>
        <v>68.433753822653159</v>
      </c>
      <c r="AR166" s="191">
        <f t="shared" si="136"/>
        <v>176.92712342285819</v>
      </c>
      <c r="CV166">
        <v>2.3229770450387648E-3</v>
      </c>
      <c r="CW166">
        <v>3.7995851932778896E-3</v>
      </c>
      <c r="CX166">
        <v>5.2563589435938403E-3</v>
      </c>
      <c r="CY166">
        <v>5.7020897971171401E-3</v>
      </c>
      <c r="CZ166">
        <v>5.6133898463941708E-3</v>
      </c>
    </row>
    <row r="167" spans="2:104" ht="15">
      <c r="B167" s="320">
        <v>10.130000000000001</v>
      </c>
      <c r="C167" s="1" t="s">
        <v>192</v>
      </c>
      <c r="D167" s="1" t="s">
        <v>192</v>
      </c>
      <c r="E167" s="1">
        <v>3.44E-2</v>
      </c>
      <c r="F167" s="1">
        <v>6.7000000000000004E-2</v>
      </c>
      <c r="G167" s="1">
        <v>0.126</v>
      </c>
      <c r="I167" s="320">
        <v>10.130000000000001</v>
      </c>
      <c r="J167" s="1">
        <v>1.8573973143598127E-2</v>
      </c>
      <c r="K167" s="1">
        <v>2.9942629192599962E-2</v>
      </c>
      <c r="L167" s="79">
        <v>4.145488385219278E-2</v>
      </c>
      <c r="M167" s="79">
        <v>6.1572013296312414E-2</v>
      </c>
      <c r="N167" s="79">
        <v>0.1365992944494234</v>
      </c>
      <c r="P167" s="320">
        <v>10.130000000000001</v>
      </c>
      <c r="Q167" s="321" t="s">
        <v>192</v>
      </c>
      <c r="R167" s="321" t="s">
        <v>192</v>
      </c>
      <c r="S167" s="321">
        <f t="shared" si="137"/>
        <v>20.508383291258081</v>
      </c>
      <c r="T167" s="321">
        <f t="shared" si="138"/>
        <v>8.1014726920710292</v>
      </c>
      <c r="U167" s="321">
        <f t="shared" si="139"/>
        <v>8.4121384519233295</v>
      </c>
      <c r="X167" s="321" t="s">
        <v>192</v>
      </c>
      <c r="Y167" s="321" t="s">
        <v>192</v>
      </c>
      <c r="Z167" s="321">
        <v>21.639899393240679</v>
      </c>
      <c r="AA167" s="321">
        <v>7.8734614485442913</v>
      </c>
      <c r="AB167" s="321">
        <v>8.5949050630095414</v>
      </c>
      <c r="AF167" s="320">
        <v>5.24</v>
      </c>
      <c r="AG167" s="191"/>
      <c r="AH167" s="191">
        <f t="shared" si="135"/>
        <v>9.8086522462562407</v>
      </c>
      <c r="AI167" s="191"/>
      <c r="AJ167" s="191"/>
      <c r="AK167" s="191"/>
      <c r="AM167" s="320">
        <v>5.24</v>
      </c>
      <c r="AN167" s="191"/>
      <c r="AO167" s="191"/>
      <c r="AP167" s="191">
        <f t="shared" si="136"/>
        <v>23.634022766545229</v>
      </c>
      <c r="AQ167" s="191">
        <f t="shared" si="136"/>
        <v>66.697205529798751</v>
      </c>
      <c r="AR167" s="191">
        <f t="shared" si="136"/>
        <v>171.37568214242006</v>
      </c>
      <c r="CV167">
        <v>2.341224181026278E-3</v>
      </c>
      <c r="CW167">
        <v>3.846019872235552E-3</v>
      </c>
      <c r="CX167">
        <v>5.7232450424265675E-3</v>
      </c>
      <c r="CY167">
        <v>6.9689851626169455E-3</v>
      </c>
      <c r="CZ167">
        <v>7.3996635926750027E-3</v>
      </c>
    </row>
    <row r="168" spans="2:104" ht="15">
      <c r="B168" s="320">
        <v>12.66</v>
      </c>
      <c r="C168" s="1" t="s">
        <v>192</v>
      </c>
      <c r="D168" s="1" t="s">
        <v>192</v>
      </c>
      <c r="E168" s="1">
        <v>3.7600000000000001E-2</v>
      </c>
      <c r="F168" s="1">
        <v>6.7500000000000004E-2</v>
      </c>
      <c r="G168" s="1">
        <v>0.121</v>
      </c>
      <c r="I168" s="320">
        <v>12.66</v>
      </c>
      <c r="J168" s="1">
        <v>1.880400103579951E-2</v>
      </c>
      <c r="K168" s="1">
        <v>3.0646390183849948E-2</v>
      </c>
      <c r="L168" s="79">
        <v>4.5664361388491143E-2</v>
      </c>
      <c r="M168" s="79">
        <v>6.2140076993231222E-2</v>
      </c>
      <c r="N168" s="79">
        <v>0.12318744466523091</v>
      </c>
      <c r="P168" s="320">
        <v>12.66</v>
      </c>
      <c r="Q168" s="321" t="s">
        <v>192</v>
      </c>
      <c r="R168" s="321" t="s">
        <v>192</v>
      </c>
      <c r="S168" s="321">
        <f t="shared" si="137"/>
        <v>21.447769650242396</v>
      </c>
      <c r="T168" s="321">
        <f t="shared" si="138"/>
        <v>7.9406266766944924</v>
      </c>
      <c r="U168" s="321">
        <f t="shared" si="139"/>
        <v>1.8078055084552964</v>
      </c>
      <c r="X168" s="321" t="s">
        <v>192</v>
      </c>
      <c r="Y168" s="321" t="s">
        <v>192</v>
      </c>
      <c r="Z168" s="321">
        <v>22.656647076418746</v>
      </c>
      <c r="AA168" s="321">
        <v>7.5449004078746968</v>
      </c>
      <c r="AB168" s="321">
        <v>2.0587268548221025</v>
      </c>
      <c r="AF168" s="320">
        <v>7.6</v>
      </c>
      <c r="AG168" s="191"/>
      <c r="AH168" s="191"/>
      <c r="AI168" s="191">
        <f t="shared" si="135"/>
        <v>24.933444259567391</v>
      </c>
      <c r="AJ168" s="191">
        <f t="shared" si="135"/>
        <v>54.28452579034942</v>
      </c>
      <c r="AK168" s="191">
        <f t="shared" si="135"/>
        <v>106.32279534109816</v>
      </c>
      <c r="AM168" s="320">
        <v>7.6</v>
      </c>
      <c r="AN168" s="191"/>
      <c r="AO168" s="191"/>
      <c r="AP168" s="191">
        <f t="shared" si="136"/>
        <v>20.149814664820195</v>
      </c>
      <c r="AQ168" s="191">
        <f t="shared" si="136"/>
        <v>51.897286042462945</v>
      </c>
      <c r="AR168" s="191">
        <f t="shared" si="136"/>
        <v>124.16551676349974</v>
      </c>
      <c r="CV168">
        <v>2.3586100913445371E-3</v>
      </c>
      <c r="CW168">
        <v>3.8887746781736086E-3</v>
      </c>
      <c r="CX168">
        <v>5.8407696536578188E-3</v>
      </c>
      <c r="CY168">
        <v>7.7758271855476206E-3</v>
      </c>
      <c r="CZ168">
        <v>8.8102045946691701E-3</v>
      </c>
    </row>
    <row r="169" spans="2:104" ht="15">
      <c r="B169" s="320">
        <v>15.2</v>
      </c>
      <c r="C169" s="1" t="s">
        <v>192</v>
      </c>
      <c r="D169" s="1" t="s">
        <v>192</v>
      </c>
      <c r="E169" s="1">
        <v>4.2500000000000003E-2</v>
      </c>
      <c r="F169" s="1">
        <v>7.2499999999999995E-2</v>
      </c>
      <c r="G169" s="1">
        <v>0.122</v>
      </c>
      <c r="I169" s="320">
        <v>15.2</v>
      </c>
      <c r="J169" s="1">
        <v>1.9010662981273088E-2</v>
      </c>
      <c r="K169" s="1">
        <v>3.1223342763012019E-2</v>
      </c>
      <c r="L169" s="79">
        <v>4.7859424374179636E-2</v>
      </c>
      <c r="M169" s="79">
        <v>6.8768702538488852E-2</v>
      </c>
      <c r="N169" s="79">
        <v>0.11828798656631455</v>
      </c>
      <c r="P169" s="320">
        <v>15.2</v>
      </c>
      <c r="Q169" s="321" t="s">
        <v>192</v>
      </c>
      <c r="R169" s="321" t="s">
        <v>192</v>
      </c>
      <c r="S169" s="321">
        <f t="shared" si="137"/>
        <v>12.610410292187371</v>
      </c>
      <c r="T169" s="321">
        <f t="shared" si="138"/>
        <v>5.1466171882912324</v>
      </c>
      <c r="U169" s="321">
        <f t="shared" si="139"/>
        <v>3.0426339620372533</v>
      </c>
      <c r="X169" s="321" t="s">
        <v>192</v>
      </c>
      <c r="Y169" s="321" t="s">
        <v>192</v>
      </c>
      <c r="Z169" s="321">
        <v>13.785771725076486</v>
      </c>
      <c r="AA169" s="321">
        <v>4.50867122504616</v>
      </c>
      <c r="AB169" s="321">
        <v>2.7033186166977861</v>
      </c>
      <c r="AF169" s="320">
        <v>10.130000000000001</v>
      </c>
      <c r="AG169" s="191"/>
      <c r="AH169" s="191"/>
      <c r="AI169" s="191">
        <f t="shared" si="135"/>
        <v>25.757071547420963</v>
      </c>
      <c r="AJ169" s="191">
        <f t="shared" si="135"/>
        <v>50.166389351081534</v>
      </c>
      <c r="AK169" s="191">
        <f t="shared" si="135"/>
        <v>94.342762063227951</v>
      </c>
      <c r="AM169" s="320">
        <v>10.130000000000001</v>
      </c>
      <c r="AN169" s="191"/>
      <c r="AO169" s="191"/>
      <c r="AP169" s="191">
        <f t="shared" si="136"/>
        <v>31.039430504969634</v>
      </c>
      <c r="AQ169" s="191">
        <f t="shared" si="136"/>
        <v>46.102173017205637</v>
      </c>
      <c r="AR169" s="191">
        <f t="shared" si="136"/>
        <v>102.27900582735529</v>
      </c>
      <c r="CV169">
        <v>2.3752835754096667E-3</v>
      </c>
      <c r="CW169">
        <v>3.9286839599842723E-3</v>
      </c>
      <c r="CX169">
        <v>5.9418028095799538E-3</v>
      </c>
      <c r="CY169">
        <v>8.1869150729508584E-3</v>
      </c>
      <c r="CZ169">
        <v>9.8675182761918286E-3</v>
      </c>
    </row>
    <row r="170" spans="2:104" ht="15">
      <c r="B170" s="327">
        <v>17.73</v>
      </c>
      <c r="C170" s="1" t="s">
        <v>192</v>
      </c>
      <c r="D170" s="1" t="s">
        <v>192</v>
      </c>
      <c r="E170" s="1">
        <v>4.82E-2</v>
      </c>
      <c r="F170" s="1">
        <v>8.2000000000000003E-2</v>
      </c>
      <c r="G170" s="1">
        <v>0.128</v>
      </c>
      <c r="I170" s="327">
        <v>17.73</v>
      </c>
      <c r="J170" s="1">
        <v>1.9196067600925754E-2</v>
      </c>
      <c r="K170" s="1">
        <v>3.1704711995406712E-2</v>
      </c>
      <c r="L170" s="79">
        <v>4.9344744966823305E-2</v>
      </c>
      <c r="M170" s="79">
        <v>7.3801776863744326E-2</v>
      </c>
      <c r="N170" s="79">
        <v>0.11850378832641395</v>
      </c>
      <c r="P170" s="327">
        <v>17.73</v>
      </c>
      <c r="Q170" s="321" t="s">
        <v>192</v>
      </c>
      <c r="R170" s="321" t="s">
        <v>192</v>
      </c>
      <c r="S170" s="321">
        <f t="shared" ref="S170:U171" si="140">ABS(E170-L170)/E170*100</f>
        <v>2.3749895577246996</v>
      </c>
      <c r="T170" s="321">
        <f t="shared" si="140"/>
        <v>9.9978330929947283</v>
      </c>
      <c r="U170" s="321">
        <f t="shared" si="140"/>
        <v>7.4189153699891026</v>
      </c>
      <c r="X170" s="321" t="s">
        <v>192</v>
      </c>
      <c r="Y170" s="321" t="s">
        <v>192</v>
      </c>
      <c r="Z170" s="321">
        <v>3.4827669508770041</v>
      </c>
      <c r="AA170" s="321">
        <v>9.2824809213545407</v>
      </c>
      <c r="AB170" s="321">
        <v>6.9815113872159511</v>
      </c>
      <c r="AF170" s="320">
        <v>12.66</v>
      </c>
      <c r="AG170" s="191"/>
      <c r="AH170" s="191"/>
      <c r="AI170" s="191">
        <f t="shared" si="135"/>
        <v>28.153078202995012</v>
      </c>
      <c r="AJ170" s="191">
        <f t="shared" si="135"/>
        <v>50.540765391014979</v>
      </c>
      <c r="AK170" s="191">
        <f t="shared" si="135"/>
        <v>90.599001663893517</v>
      </c>
      <c r="AM170" s="320">
        <v>12.66</v>
      </c>
      <c r="AN170" s="191"/>
      <c r="AO170" s="191"/>
      <c r="AP170" s="191">
        <f t="shared" si="136"/>
        <v>34.191285565425986</v>
      </c>
      <c r="AQ170" s="191">
        <f t="shared" si="136"/>
        <v>46.527511891770466</v>
      </c>
      <c r="AR170" s="191">
        <f t="shared" si="136"/>
        <v>92.236855406578897</v>
      </c>
      <c r="CV170">
        <v>2.3911835590907206E-3</v>
      </c>
      <c r="CW170">
        <v>3.9659077855280648E-3</v>
      </c>
      <c r="CX170">
        <v>6.031004299777481E-3</v>
      </c>
      <c r="CY170">
        <v>8.4392355882581399E-3</v>
      </c>
      <c r="CZ170">
        <v>1.0618036111821055E-2</v>
      </c>
    </row>
    <row r="171" spans="2:104" ht="15">
      <c r="B171" s="327">
        <v>20.27</v>
      </c>
      <c r="C171" s="1" t="s">
        <v>192</v>
      </c>
      <c r="D171" s="1" t="s">
        <v>192</v>
      </c>
      <c r="E171" s="1">
        <v>5.3999999999999999E-2</v>
      </c>
      <c r="F171" s="1">
        <v>8.8499999999999995E-2</v>
      </c>
      <c r="G171" s="1">
        <v>0.187</v>
      </c>
      <c r="I171" s="327">
        <v>20.27</v>
      </c>
      <c r="J171" s="1">
        <v>1.9364613991624032E-2</v>
      </c>
      <c r="K171" s="1">
        <v>3.2116752929680838E-2</v>
      </c>
      <c r="L171" s="79">
        <v>5.0456921943160517E-2</v>
      </c>
      <c r="M171" s="79">
        <v>7.6935980633385914E-2</v>
      </c>
      <c r="N171" s="79">
        <v>0.12088875084531932</v>
      </c>
      <c r="P171" s="327">
        <v>20.27</v>
      </c>
      <c r="Q171" s="321" t="s">
        <v>192</v>
      </c>
      <c r="R171" s="321" t="s">
        <v>192</v>
      </c>
      <c r="S171" s="321">
        <f t="shared" si="140"/>
        <v>6.561255660813857</v>
      </c>
      <c r="T171" s="321">
        <f t="shared" si="140"/>
        <v>13.06668854984642</v>
      </c>
      <c r="U171" s="321">
        <f t="shared" si="140"/>
        <v>35.353609173626033</v>
      </c>
      <c r="X171" s="321" t="s">
        <v>192</v>
      </c>
      <c r="Y171" s="321" t="s">
        <v>192</v>
      </c>
      <c r="Z171" s="321">
        <v>5.5202277485611342</v>
      </c>
      <c r="AA171" s="321">
        <v>12.311964346675619</v>
      </c>
      <c r="AB171" s="321">
        <v>34.973538701538821</v>
      </c>
      <c r="AF171" s="320">
        <v>15.2</v>
      </c>
      <c r="AG171" s="191"/>
      <c r="AH171" s="191"/>
      <c r="AI171" s="191">
        <f t="shared" si="135"/>
        <v>31.821963394342763</v>
      </c>
      <c r="AJ171" s="191">
        <f t="shared" si="135"/>
        <v>54.28452579034942</v>
      </c>
      <c r="AK171" s="191">
        <f t="shared" si="135"/>
        <v>91.347753743760393</v>
      </c>
      <c r="AM171" s="320">
        <v>15.2</v>
      </c>
      <c r="AN171" s="191"/>
      <c r="AO171" s="191"/>
      <c r="AP171" s="191">
        <f t="shared" si="136"/>
        <v>35.83484354139906</v>
      </c>
      <c r="AQ171" s="191">
        <f t="shared" si="136"/>
        <v>51.490709055440909</v>
      </c>
      <c r="AR171" s="191">
        <f t="shared" si="136"/>
        <v>88.568375964794598</v>
      </c>
      <c r="CV171">
        <v>2.4064951387887182E-3</v>
      </c>
      <c r="CW171">
        <v>4.0010903474742704E-3</v>
      </c>
      <c r="CX171">
        <v>6.1121017034961441E-3</v>
      </c>
      <c r="CY171">
        <v>8.6401180863937312E-3</v>
      </c>
      <c r="CZ171">
        <v>1.1160532566291622E-2</v>
      </c>
    </row>
    <row r="172" spans="2:104" ht="15">
      <c r="AF172" s="327">
        <v>17.73</v>
      </c>
      <c r="AG172" s="191"/>
      <c r="AH172" s="191"/>
      <c r="AI172" s="191">
        <f t="shared" si="135"/>
        <v>36.089850249584032</v>
      </c>
      <c r="AJ172" s="191">
        <f t="shared" si="135"/>
        <v>61.397670549084857</v>
      </c>
      <c r="AK172" s="191">
        <f t="shared" si="135"/>
        <v>95.840266222961745</v>
      </c>
      <c r="AM172" s="327">
        <v>17.73</v>
      </c>
      <c r="AN172" s="191"/>
      <c r="AO172" s="191"/>
      <c r="AP172" s="191">
        <f t="shared" si="136"/>
        <v>36.946980424410128</v>
      </c>
      <c r="AQ172" s="191">
        <f t="shared" si="136"/>
        <v>55.259233924600579</v>
      </c>
      <c r="AR172" s="191">
        <f t="shared" si="136"/>
        <v>88.729957981507951</v>
      </c>
    </row>
    <row r="173" spans="2:104" ht="15">
      <c r="AF173" s="327">
        <v>20.27</v>
      </c>
      <c r="AG173" s="191"/>
      <c r="AH173" s="191"/>
      <c r="AI173" s="191">
        <f t="shared" si="135"/>
        <v>40.432612312811983</v>
      </c>
      <c r="AJ173" s="191">
        <f t="shared" si="135"/>
        <v>66.26455906821964</v>
      </c>
      <c r="AK173" s="191">
        <f t="shared" si="135"/>
        <v>140.01663893510818</v>
      </c>
      <c r="AM173" s="327">
        <v>20.27</v>
      </c>
      <c r="AN173" s="191"/>
      <c r="AO173" s="191"/>
      <c r="AP173" s="191">
        <f t="shared" si="136"/>
        <v>37.77972524862269</v>
      </c>
      <c r="AQ173" s="191">
        <f t="shared" si="136"/>
        <v>57.60597551584636</v>
      </c>
      <c r="AR173" s="191">
        <f t="shared" si="136"/>
        <v>90.515703627942912</v>
      </c>
    </row>
  </sheetData>
  <mergeCells count="256">
    <mergeCell ref="AM159:AM160"/>
    <mergeCell ref="AF129:AF130"/>
    <mergeCell ref="AG129:AK129"/>
    <mergeCell ref="AM129:AM130"/>
    <mergeCell ref="AG159:AK159"/>
    <mergeCell ref="AF101:AK101"/>
    <mergeCell ref="AF112:AF113"/>
    <mergeCell ref="AF157:AK157"/>
    <mergeCell ref="AM158:AR158"/>
    <mergeCell ref="AG112:AK112"/>
    <mergeCell ref="AM101:AR101"/>
    <mergeCell ref="AM102:AR102"/>
    <mergeCell ref="AN159:AR159"/>
    <mergeCell ref="AN103:AR103"/>
    <mergeCell ref="AM112:AM113"/>
    <mergeCell ref="AN112:AR112"/>
    <mergeCell ref="AF158:AK158"/>
    <mergeCell ref="AF159:AF160"/>
    <mergeCell ref="AT74:AY74"/>
    <mergeCell ref="AT75:AY75"/>
    <mergeCell ref="AM157:AR157"/>
    <mergeCell ref="AU76:AY76"/>
    <mergeCell ref="BH59:BL59"/>
    <mergeCell ref="BG67:BG68"/>
    <mergeCell ref="BH67:BL67"/>
    <mergeCell ref="AM74:AR74"/>
    <mergeCell ref="AT88:AT89"/>
    <mergeCell ref="AY128:BD128"/>
    <mergeCell ref="AM75:AR75"/>
    <mergeCell ref="AY143:AY144"/>
    <mergeCell ref="AZ143:BD143"/>
    <mergeCell ref="AU88:AY88"/>
    <mergeCell ref="AZ129:BD129"/>
    <mergeCell ref="AY127:BD127"/>
    <mergeCell ref="AY129:AY130"/>
    <mergeCell ref="AT76:AT77"/>
    <mergeCell ref="AM76:AM77"/>
    <mergeCell ref="AN76:AR76"/>
    <mergeCell ref="AM88:AM89"/>
    <mergeCell ref="AY3:BD3"/>
    <mergeCell ref="AY4:BD4"/>
    <mergeCell ref="AY5:AY6"/>
    <mergeCell ref="AZ47:BD47"/>
    <mergeCell ref="AZ57:BE57"/>
    <mergeCell ref="BN57:BS57"/>
    <mergeCell ref="BN58:BS58"/>
    <mergeCell ref="BN59:BN60"/>
    <mergeCell ref="BO59:BS59"/>
    <mergeCell ref="AZ58:BE58"/>
    <mergeCell ref="AZ59:AZ60"/>
    <mergeCell ref="BA59:BE59"/>
    <mergeCell ref="BG57:BL57"/>
    <mergeCell ref="BG58:BL58"/>
    <mergeCell ref="BG59:BG60"/>
    <mergeCell ref="BN67:BN68"/>
    <mergeCell ref="BO67:BS67"/>
    <mergeCell ref="AF33:AK33"/>
    <mergeCell ref="AF34:AK34"/>
    <mergeCell ref="AF35:AF36"/>
    <mergeCell ref="AG35:AK35"/>
    <mergeCell ref="AZ5:BD5"/>
    <mergeCell ref="AY19:AY20"/>
    <mergeCell ref="AZ19:BD19"/>
    <mergeCell ref="AY34:BD34"/>
    <mergeCell ref="AZ35:BD35"/>
    <mergeCell ref="AM34:AR34"/>
    <mergeCell ref="AR57:AR58"/>
    <mergeCell ref="AS57:AU57"/>
    <mergeCell ref="AV57:AX57"/>
    <mergeCell ref="AN58:AP58"/>
    <mergeCell ref="AZ67:AZ68"/>
    <mergeCell ref="BA67:BE67"/>
    <mergeCell ref="AM35:AM36"/>
    <mergeCell ref="AN35:AR35"/>
    <mergeCell ref="AY47:AY48"/>
    <mergeCell ref="AY35:AY36"/>
    <mergeCell ref="AM32:AS33"/>
    <mergeCell ref="AY33:BD33"/>
    <mergeCell ref="AM4:AR4"/>
    <mergeCell ref="AM5:AM6"/>
    <mergeCell ref="AN5:AR5"/>
    <mergeCell ref="AM19:AM20"/>
    <mergeCell ref="AN19:AR19"/>
    <mergeCell ref="AM1:AS2"/>
    <mergeCell ref="AE1:AK2"/>
    <mergeCell ref="AF4:AK4"/>
    <mergeCell ref="AF5:AF6"/>
    <mergeCell ref="AG5:AK5"/>
    <mergeCell ref="AF19:AF20"/>
    <mergeCell ref="AG19:AK19"/>
    <mergeCell ref="W74:W75"/>
    <mergeCell ref="X74:Z74"/>
    <mergeCell ref="AA74:AC74"/>
    <mergeCell ref="X101:X102"/>
    <mergeCell ref="Y101:AA101"/>
    <mergeCell ref="AB101:AD101"/>
    <mergeCell ref="W32:W33"/>
    <mergeCell ref="X32:Z32"/>
    <mergeCell ref="AA32:AC32"/>
    <mergeCell ref="W57:AB57"/>
    <mergeCell ref="AD57:AI57"/>
    <mergeCell ref="AD58:AF58"/>
    <mergeCell ref="AG58:AI58"/>
    <mergeCell ref="W59:W60"/>
    <mergeCell ref="X59:AB59"/>
    <mergeCell ref="W58:Y58"/>
    <mergeCell ref="Z58:AB58"/>
    <mergeCell ref="A1:S2"/>
    <mergeCell ref="B3:G3"/>
    <mergeCell ref="I3:N3"/>
    <mergeCell ref="B4:G4"/>
    <mergeCell ref="I4:N4"/>
    <mergeCell ref="B5:B6"/>
    <mergeCell ref="C5:G5"/>
    <mergeCell ref="I5:I6"/>
    <mergeCell ref="J5:N5"/>
    <mergeCell ref="P3:U3"/>
    <mergeCell ref="P4:U4"/>
    <mergeCell ref="P5:P6"/>
    <mergeCell ref="Q5:U5"/>
    <mergeCell ref="B32:G32"/>
    <mergeCell ref="I32:N32"/>
    <mergeCell ref="P32:U32"/>
    <mergeCell ref="B33:G33"/>
    <mergeCell ref="I33:N33"/>
    <mergeCell ref="P33:U33"/>
    <mergeCell ref="B126:G126"/>
    <mergeCell ref="B127:G127"/>
    <mergeCell ref="P112:P113"/>
    <mergeCell ref="Q112:U112"/>
    <mergeCell ref="P74:U74"/>
    <mergeCell ref="P75:U75"/>
    <mergeCell ref="P76:P77"/>
    <mergeCell ref="Q76:U76"/>
    <mergeCell ref="B74:G74"/>
    <mergeCell ref="B87:B88"/>
    <mergeCell ref="C87:G87"/>
    <mergeCell ref="I87:I88"/>
    <mergeCell ref="J87:N87"/>
    <mergeCell ref="P87:P88"/>
    <mergeCell ref="Q87:U87"/>
    <mergeCell ref="B75:G75"/>
    <mergeCell ref="I126:N126"/>
    <mergeCell ref="I127:N127"/>
    <mergeCell ref="B112:B113"/>
    <mergeCell ref="C112:G112"/>
    <mergeCell ref="I112:I113"/>
    <mergeCell ref="J112:N112"/>
    <mergeCell ref="P126:U126"/>
    <mergeCell ref="P127:U127"/>
    <mergeCell ref="P66:P67"/>
    <mergeCell ref="Q66:U66"/>
    <mergeCell ref="B102:G102"/>
    <mergeCell ref="B103:B104"/>
    <mergeCell ref="C103:G103"/>
    <mergeCell ref="I101:N101"/>
    <mergeCell ref="I102:N102"/>
    <mergeCell ref="I103:I104"/>
    <mergeCell ref="J103:N103"/>
    <mergeCell ref="B101:G101"/>
    <mergeCell ref="B76:B77"/>
    <mergeCell ref="C76:G76"/>
    <mergeCell ref="I74:N74"/>
    <mergeCell ref="I75:N75"/>
    <mergeCell ref="I76:I77"/>
    <mergeCell ref="J76:N76"/>
    <mergeCell ref="B66:B67"/>
    <mergeCell ref="C66:G66"/>
    <mergeCell ref="I66:I67"/>
    <mergeCell ref="J66:N66"/>
    <mergeCell ref="J59:N59"/>
    <mergeCell ref="P59:P60"/>
    <mergeCell ref="Q59:U59"/>
    <mergeCell ref="Q46:U46"/>
    <mergeCell ref="B57:G57"/>
    <mergeCell ref="I57:N57"/>
    <mergeCell ref="P57:U57"/>
    <mergeCell ref="P58:U58"/>
    <mergeCell ref="I58:N58"/>
    <mergeCell ref="B58:G58"/>
    <mergeCell ref="C18:G18"/>
    <mergeCell ref="B18:B19"/>
    <mergeCell ref="I18:I19"/>
    <mergeCell ref="J18:N18"/>
    <mergeCell ref="Q18:U18"/>
    <mergeCell ref="P18:P19"/>
    <mergeCell ref="C34:G34"/>
    <mergeCell ref="P102:U102"/>
    <mergeCell ref="P103:P104"/>
    <mergeCell ref="Q103:U103"/>
    <mergeCell ref="P101:U101"/>
    <mergeCell ref="J34:N34"/>
    <mergeCell ref="Q34:U34"/>
    <mergeCell ref="B34:B35"/>
    <mergeCell ref="I34:I35"/>
    <mergeCell ref="P34:P35"/>
    <mergeCell ref="B46:B47"/>
    <mergeCell ref="C46:G46"/>
    <mergeCell ref="I46:I47"/>
    <mergeCell ref="J46:N46"/>
    <mergeCell ref="P46:P47"/>
    <mergeCell ref="B59:B60"/>
    <mergeCell ref="C59:G59"/>
    <mergeCell ref="I59:I60"/>
    <mergeCell ref="I157:I158"/>
    <mergeCell ref="J157:N157"/>
    <mergeCell ref="B140:B141"/>
    <mergeCell ref="C140:G140"/>
    <mergeCell ref="I140:I141"/>
    <mergeCell ref="J140:N140"/>
    <mergeCell ref="P128:P129"/>
    <mergeCell ref="Q128:U128"/>
    <mergeCell ref="P157:P158"/>
    <mergeCell ref="Q157:U157"/>
    <mergeCell ref="B155:G155"/>
    <mergeCell ref="B156:G156"/>
    <mergeCell ref="B157:B158"/>
    <mergeCell ref="C157:G157"/>
    <mergeCell ref="I155:N155"/>
    <mergeCell ref="I156:N156"/>
    <mergeCell ref="P155:U155"/>
    <mergeCell ref="P140:P141"/>
    <mergeCell ref="Q140:U140"/>
    <mergeCell ref="P156:U156"/>
    <mergeCell ref="B128:B129"/>
    <mergeCell ref="C128:G128"/>
    <mergeCell ref="I128:I129"/>
    <mergeCell ref="J128:N128"/>
    <mergeCell ref="X126:X127"/>
    <mergeCell ref="AD59:AD60"/>
    <mergeCell ref="AE59:AI59"/>
    <mergeCell ref="AE125:AK126"/>
    <mergeCell ref="AF143:AF144"/>
    <mergeCell ref="AG143:AK143"/>
    <mergeCell ref="AK59:AK60"/>
    <mergeCell ref="AF74:AK74"/>
    <mergeCell ref="AF75:AK75"/>
    <mergeCell ref="AF76:AF77"/>
    <mergeCell ref="AG76:AK76"/>
    <mergeCell ref="Y155:AA155"/>
    <mergeCell ref="AB155:AD155"/>
    <mergeCell ref="Y126:AA126"/>
    <mergeCell ref="AB126:AD126"/>
    <mergeCell ref="AF88:AF89"/>
    <mergeCell ref="AM103:AM104"/>
    <mergeCell ref="AG88:AK88"/>
    <mergeCell ref="AF102:AK102"/>
    <mergeCell ref="AF103:AF104"/>
    <mergeCell ref="AG103:AK103"/>
    <mergeCell ref="AF128:AK128"/>
    <mergeCell ref="AM128:AR128"/>
    <mergeCell ref="AN88:AR88"/>
    <mergeCell ref="AM143:AM144"/>
    <mergeCell ref="AN143:AR143"/>
    <mergeCell ref="AN129:AR129"/>
    <mergeCell ref="AM125:AS126"/>
  </mergeCell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BJ78"/>
  <sheetViews>
    <sheetView topLeftCell="AD1" zoomScale="70" zoomScaleNormal="70" workbookViewId="0">
      <selection activeCell="C9" sqref="C9:BI33"/>
    </sheetView>
  </sheetViews>
  <sheetFormatPr defaultRowHeight="12.75"/>
  <cols>
    <col min="1" max="1" width="26.140625" customWidth="1"/>
    <col min="3" max="3" width="11" customWidth="1"/>
    <col min="4" max="4" width="10.5703125" customWidth="1"/>
    <col min="5" max="5" width="10.140625" customWidth="1"/>
    <col min="6" max="6" width="3.28515625" style="345" customWidth="1"/>
    <col min="7" max="7" width="10.140625" customWidth="1"/>
    <col min="8" max="8" width="10.85546875" customWidth="1"/>
    <col min="9" max="9" width="10.140625" customWidth="1"/>
    <col min="10" max="10" width="3.85546875" style="345" customWidth="1"/>
    <col min="11" max="12" width="10" customWidth="1"/>
    <col min="13" max="13" width="10.140625" customWidth="1"/>
    <col min="14" max="14" width="3" style="345" customWidth="1"/>
    <col min="15" max="15" width="10.140625" bestFit="1" customWidth="1"/>
    <col min="16" max="16" width="9.28515625" bestFit="1" customWidth="1"/>
    <col min="17" max="17" width="10.7109375" customWidth="1"/>
    <col min="18" max="18" width="4" style="345" customWidth="1"/>
    <col min="19" max="19" width="10.140625" bestFit="1" customWidth="1"/>
    <col min="20" max="20" width="9.28515625" bestFit="1" customWidth="1"/>
    <col min="21" max="21" width="10.140625" customWidth="1"/>
    <col min="22" max="22" width="3.42578125" style="345" customWidth="1"/>
    <col min="23" max="23" width="10.140625" bestFit="1" customWidth="1"/>
    <col min="24" max="24" width="10" customWidth="1"/>
    <col min="25" max="25" width="10.42578125" customWidth="1"/>
    <col min="26" max="26" width="3.85546875" style="345" customWidth="1"/>
    <col min="27" max="27" width="10.5703125" customWidth="1"/>
    <col min="28" max="28" width="10.7109375" customWidth="1"/>
    <col min="29" max="29" width="10.140625" customWidth="1"/>
    <col min="30" max="30" width="3.5703125" style="345" customWidth="1"/>
    <col min="31" max="31" width="10.42578125" customWidth="1"/>
    <col min="32" max="32" width="10.140625" customWidth="1"/>
    <col min="33" max="33" width="10.7109375" customWidth="1"/>
    <col min="34" max="34" width="4" style="345" customWidth="1"/>
    <col min="35" max="35" width="10" customWidth="1"/>
    <col min="36" max="36" width="10.5703125" customWidth="1"/>
    <col min="37" max="37" width="9.7109375" customWidth="1"/>
    <col min="38" max="38" width="3.42578125" style="345" customWidth="1"/>
    <col min="39" max="39" width="10.140625" customWidth="1"/>
    <col min="40" max="40" width="9.7109375" customWidth="1"/>
    <col min="41" max="41" width="10.5703125" customWidth="1"/>
    <col min="42" max="42" width="4" style="345" customWidth="1"/>
    <col min="43" max="43" width="10" customWidth="1"/>
    <col min="44" max="45" width="10.42578125" customWidth="1"/>
    <col min="46" max="46" width="4" style="345" customWidth="1"/>
    <col min="50" max="50" width="4" style="345" customWidth="1"/>
    <col min="54" max="54" width="4" style="345" customWidth="1"/>
    <col min="58" max="58" width="4" style="345" customWidth="1"/>
    <col min="62" max="62" width="4" style="345" customWidth="1"/>
  </cols>
  <sheetData>
    <row r="1" spans="1:62">
      <c r="A1" s="479" t="s">
        <v>203</v>
      </c>
      <c r="B1" s="479"/>
      <c r="C1" s="479"/>
      <c r="D1" s="479"/>
      <c r="E1" s="479"/>
      <c r="F1" s="479"/>
      <c r="G1" s="479"/>
      <c r="H1" s="479"/>
      <c r="I1" s="479"/>
      <c r="J1" s="479"/>
      <c r="K1" s="479"/>
      <c r="L1" s="479"/>
      <c r="M1" s="479"/>
      <c r="N1" s="479"/>
      <c r="O1" s="475"/>
      <c r="P1" s="475"/>
      <c r="Q1" s="475"/>
      <c r="R1" s="475"/>
      <c r="S1" s="475"/>
      <c r="T1" s="475"/>
      <c r="U1" s="475"/>
      <c r="V1" s="475"/>
      <c r="W1" s="475"/>
      <c r="X1" s="475"/>
      <c r="Y1" s="475"/>
      <c r="Z1" s="475"/>
      <c r="AA1" s="475"/>
      <c r="AB1" s="475"/>
      <c r="AC1" s="475"/>
      <c r="AD1" s="475"/>
      <c r="AE1" s="475"/>
      <c r="AF1" s="475"/>
      <c r="AG1" s="475"/>
      <c r="AH1" s="475"/>
      <c r="AI1" s="475"/>
      <c r="AJ1" s="475"/>
      <c r="AK1" s="475"/>
      <c r="AL1" s="475"/>
      <c r="AM1" s="475"/>
      <c r="AN1" s="475"/>
      <c r="AO1" s="475"/>
      <c r="AP1" s="475"/>
      <c r="AQ1" s="475"/>
      <c r="AR1" s="475"/>
      <c r="AS1" s="475"/>
      <c r="AT1" s="475"/>
      <c r="AU1" s="475"/>
      <c r="AX1"/>
      <c r="BB1"/>
      <c r="BF1"/>
      <c r="BJ1"/>
    </row>
    <row r="2" spans="1:62">
      <c r="A2" s="479"/>
      <c r="B2" s="479"/>
      <c r="C2" s="479"/>
      <c r="D2" s="479"/>
      <c r="E2" s="479"/>
      <c r="F2" s="479"/>
      <c r="G2" s="479"/>
      <c r="H2" s="479"/>
      <c r="I2" s="479"/>
      <c r="J2" s="479"/>
      <c r="K2" s="479"/>
      <c r="L2" s="479"/>
      <c r="M2" s="479"/>
      <c r="N2" s="479"/>
      <c r="O2" s="475"/>
      <c r="P2" s="475"/>
      <c r="Q2" s="475"/>
      <c r="R2" s="475"/>
      <c r="S2" s="475"/>
      <c r="T2" s="475"/>
      <c r="U2" s="475"/>
      <c r="V2" s="475"/>
      <c r="W2" s="475"/>
      <c r="X2" s="475"/>
      <c r="Y2" s="475"/>
      <c r="Z2" s="475"/>
      <c r="AA2" s="475"/>
      <c r="AB2" s="475"/>
      <c r="AC2" s="475"/>
      <c r="AD2" s="475"/>
      <c r="AE2" s="475"/>
      <c r="AF2" s="475"/>
      <c r="AG2" s="475"/>
      <c r="AH2" s="475"/>
      <c r="AI2" s="475"/>
      <c r="AJ2" s="475"/>
      <c r="AK2" s="475"/>
      <c r="AL2" s="475"/>
      <c r="AM2" s="475"/>
      <c r="AN2" s="475"/>
      <c r="AO2" s="475"/>
      <c r="AP2" s="475"/>
      <c r="AQ2" s="475"/>
      <c r="AR2" s="475"/>
      <c r="AS2" s="475"/>
      <c r="AT2" s="475"/>
      <c r="AU2" s="475"/>
      <c r="AX2"/>
      <c r="BB2"/>
      <c r="BF2"/>
      <c r="BJ2"/>
    </row>
    <row r="3" spans="1:62">
      <c r="A3" s="479"/>
      <c r="B3" s="479"/>
      <c r="C3" s="479"/>
      <c r="D3" s="479"/>
      <c r="E3" s="479"/>
      <c r="F3" s="479"/>
      <c r="G3" s="479"/>
      <c r="H3" s="479"/>
      <c r="I3" s="479"/>
      <c r="J3" s="479"/>
      <c r="K3" s="479"/>
      <c r="L3" s="479"/>
      <c r="M3" s="479"/>
      <c r="N3" s="479"/>
      <c r="O3" s="475"/>
      <c r="P3" s="475"/>
      <c r="Q3" s="475"/>
      <c r="R3" s="475"/>
      <c r="S3" s="475"/>
      <c r="T3" s="475"/>
      <c r="U3" s="475"/>
      <c r="V3" s="475"/>
      <c r="W3" s="475"/>
      <c r="X3" s="475"/>
      <c r="Y3" s="475"/>
      <c r="Z3" s="475"/>
      <c r="AA3" s="475"/>
      <c r="AB3" s="475"/>
      <c r="AC3" s="475"/>
      <c r="AD3" s="475"/>
      <c r="AE3" s="475"/>
      <c r="AF3" s="475"/>
      <c r="AG3" s="475"/>
      <c r="AH3" s="475"/>
      <c r="AI3" s="475"/>
      <c r="AJ3" s="475"/>
      <c r="AK3" s="475"/>
      <c r="AL3" s="475"/>
      <c r="AM3" s="475"/>
      <c r="AN3" s="475"/>
      <c r="AO3" s="475"/>
      <c r="AP3" s="475"/>
      <c r="AQ3" s="475"/>
      <c r="AR3" s="475"/>
      <c r="AS3" s="475"/>
      <c r="AT3" s="475"/>
      <c r="AU3" s="475"/>
      <c r="AX3"/>
      <c r="BB3"/>
      <c r="BF3"/>
      <c r="BJ3"/>
    </row>
    <row r="4" spans="1:62" ht="22.5" customHeight="1">
      <c r="A4" s="344" t="s">
        <v>214</v>
      </c>
      <c r="B4" s="344">
        <v>29.841409588117934</v>
      </c>
    </row>
    <row r="5" spans="1:62" ht="17.25" customHeight="1">
      <c r="A5" s="344" t="s">
        <v>204</v>
      </c>
      <c r="B5" s="344"/>
      <c r="C5" s="476" t="s">
        <v>209</v>
      </c>
      <c r="D5" s="476"/>
      <c r="E5" s="476"/>
      <c r="G5" s="476" t="s">
        <v>215</v>
      </c>
      <c r="H5" s="476"/>
      <c r="I5" s="476"/>
      <c r="K5" s="476" t="s">
        <v>216</v>
      </c>
      <c r="L5" s="476"/>
      <c r="M5" s="476"/>
      <c r="O5" s="476" t="s">
        <v>217</v>
      </c>
      <c r="P5" s="476"/>
      <c r="Q5" s="476"/>
      <c r="S5" s="476" t="s">
        <v>218</v>
      </c>
      <c r="T5" s="476"/>
      <c r="U5" s="476"/>
      <c r="W5" s="476" t="s">
        <v>219</v>
      </c>
      <c r="X5" s="476"/>
      <c r="Y5" s="476"/>
      <c r="AA5" s="476" t="s">
        <v>220</v>
      </c>
      <c r="AB5" s="476"/>
      <c r="AC5" s="476"/>
      <c r="AE5" s="476" t="s">
        <v>221</v>
      </c>
      <c r="AF5" s="476"/>
      <c r="AG5" s="476"/>
      <c r="AI5" s="476" t="s">
        <v>222</v>
      </c>
      <c r="AJ5" s="476"/>
      <c r="AK5" s="476"/>
      <c r="AM5" s="476" t="s">
        <v>223</v>
      </c>
      <c r="AN5" s="476"/>
      <c r="AO5" s="476"/>
      <c r="AQ5" s="476" t="s">
        <v>224</v>
      </c>
      <c r="AR5" s="476"/>
      <c r="AS5" s="476"/>
      <c r="AU5" s="476" t="s">
        <v>229</v>
      </c>
      <c r="AV5" s="476"/>
      <c r="AW5" s="476"/>
      <c r="AY5" s="476" t="s">
        <v>230</v>
      </c>
      <c r="AZ5" s="476"/>
      <c r="BA5" s="476"/>
      <c r="BC5" s="476" t="s">
        <v>231</v>
      </c>
      <c r="BD5" s="476"/>
      <c r="BE5" s="476"/>
      <c r="BG5" s="476" t="s">
        <v>232</v>
      </c>
      <c r="BH5" s="476"/>
      <c r="BI5" s="476"/>
    </row>
    <row r="6" spans="1:62" ht="17.25" customHeight="1">
      <c r="A6" s="346" t="s">
        <v>211</v>
      </c>
      <c r="B6" s="344" t="s">
        <v>213</v>
      </c>
      <c r="C6" s="476">
        <v>65.400000000000006</v>
      </c>
      <c r="D6" s="476"/>
      <c r="E6" s="476"/>
      <c r="G6" s="476">
        <v>50.64</v>
      </c>
      <c r="H6" s="476"/>
      <c r="I6" s="476"/>
      <c r="K6" s="476">
        <v>47.06</v>
      </c>
      <c r="L6" s="476"/>
      <c r="M6" s="476"/>
      <c r="O6" s="476">
        <v>43.480000000000004</v>
      </c>
      <c r="P6" s="476"/>
      <c r="Q6" s="476"/>
      <c r="S6" s="476">
        <v>39.9</v>
      </c>
      <c r="T6" s="476"/>
      <c r="U6" s="476"/>
      <c r="W6" s="476">
        <v>36.32</v>
      </c>
      <c r="X6" s="476"/>
      <c r="Y6" s="476"/>
      <c r="AA6" s="476">
        <v>32.739999999999995</v>
      </c>
      <c r="AB6" s="476"/>
      <c r="AC6" s="476"/>
      <c r="AE6" s="476">
        <v>29.160000000000004</v>
      </c>
      <c r="AF6" s="476"/>
      <c r="AG6" s="476"/>
      <c r="AI6" s="476">
        <v>25.580000000000002</v>
      </c>
      <c r="AJ6" s="476"/>
      <c r="AK6" s="476"/>
      <c r="AM6" s="476">
        <v>22</v>
      </c>
      <c r="AN6" s="476"/>
      <c r="AO6" s="476"/>
      <c r="AQ6" s="476">
        <v>18.419999999999998</v>
      </c>
      <c r="AR6" s="476"/>
      <c r="AS6" s="476"/>
      <c r="AU6" s="476">
        <v>11.26</v>
      </c>
      <c r="AV6" s="476"/>
      <c r="AW6" s="476"/>
      <c r="AY6">
        <v>7.68</v>
      </c>
      <c r="BC6">
        <v>4.0999999999999996</v>
      </c>
      <c r="BG6">
        <v>0.52</v>
      </c>
    </row>
    <row r="7" spans="1:62" ht="17.25" customHeight="1">
      <c r="A7" s="346" t="s">
        <v>212</v>
      </c>
      <c r="B7" s="344" t="s">
        <v>29</v>
      </c>
      <c r="C7" s="478">
        <v>381.04999999999995</v>
      </c>
      <c r="D7" s="476"/>
      <c r="E7" s="476"/>
      <c r="G7" s="476">
        <v>381.04999999999995</v>
      </c>
      <c r="H7" s="476"/>
      <c r="I7" s="476"/>
      <c r="K7" s="476">
        <v>381.04999999999995</v>
      </c>
      <c r="L7" s="476"/>
      <c r="M7" s="476"/>
      <c r="O7" s="476">
        <v>381.04999999999995</v>
      </c>
      <c r="P7" s="476"/>
      <c r="Q7" s="476"/>
      <c r="S7" s="476">
        <v>381.04999999999995</v>
      </c>
      <c r="T7" s="476"/>
      <c r="U7" s="476"/>
      <c r="W7" s="476">
        <v>381.04999999999995</v>
      </c>
      <c r="X7" s="476"/>
      <c r="Y7" s="476"/>
      <c r="AA7" s="476">
        <v>381.04999999999995</v>
      </c>
      <c r="AB7" s="476"/>
      <c r="AC7" s="476"/>
      <c r="AE7" s="476">
        <v>381.04999999999995</v>
      </c>
      <c r="AF7" s="476"/>
      <c r="AG7" s="476"/>
      <c r="AI7" s="476">
        <v>381.04999999999995</v>
      </c>
      <c r="AJ7" s="476"/>
      <c r="AK7" s="476"/>
      <c r="AM7" s="476">
        <v>381.04999999999995</v>
      </c>
      <c r="AN7" s="476"/>
      <c r="AO7" s="476"/>
      <c r="AQ7" s="476">
        <v>381.04999999999995</v>
      </c>
      <c r="AR7" s="476"/>
      <c r="AS7" s="476"/>
      <c r="AU7" s="476">
        <v>381.04999999999995</v>
      </c>
      <c r="AV7" s="476"/>
      <c r="AW7" s="476"/>
      <c r="AY7">
        <v>381.04999999999995</v>
      </c>
      <c r="BC7">
        <v>381.04999999999995</v>
      </c>
      <c r="BG7">
        <v>381.04999999999995</v>
      </c>
    </row>
    <row r="8" spans="1:62" ht="15.75" customHeight="1">
      <c r="A8" s="344"/>
      <c r="B8" s="344"/>
      <c r="C8" s="344" t="s">
        <v>160</v>
      </c>
      <c r="D8" s="344" t="s">
        <v>161</v>
      </c>
      <c r="E8" s="344" t="s">
        <v>162</v>
      </c>
      <c r="G8" s="344" t="s">
        <v>160</v>
      </c>
      <c r="H8" s="344" t="s">
        <v>161</v>
      </c>
      <c r="I8" s="344" t="s">
        <v>162</v>
      </c>
      <c r="K8" s="344" t="s">
        <v>160</v>
      </c>
      <c r="L8" s="344" t="s">
        <v>161</v>
      </c>
      <c r="M8" s="344" t="s">
        <v>162</v>
      </c>
      <c r="O8" s="344" t="s">
        <v>160</v>
      </c>
      <c r="P8" s="344" t="s">
        <v>161</v>
      </c>
      <c r="Q8" s="344" t="s">
        <v>162</v>
      </c>
      <c r="S8" s="344" t="s">
        <v>160</v>
      </c>
      <c r="T8" s="344" t="s">
        <v>161</v>
      </c>
      <c r="U8" s="344" t="s">
        <v>162</v>
      </c>
      <c r="W8" s="344" t="s">
        <v>160</v>
      </c>
      <c r="X8" s="344" t="s">
        <v>161</v>
      </c>
      <c r="Y8" s="344" t="s">
        <v>162</v>
      </c>
      <c r="AA8" s="344" t="s">
        <v>160</v>
      </c>
      <c r="AB8" s="344" t="s">
        <v>161</v>
      </c>
      <c r="AC8" s="344" t="s">
        <v>162</v>
      </c>
      <c r="AE8" s="344" t="s">
        <v>160</v>
      </c>
      <c r="AF8" s="344" t="s">
        <v>161</v>
      </c>
      <c r="AG8" s="344" t="s">
        <v>162</v>
      </c>
      <c r="AI8" s="344" t="s">
        <v>160</v>
      </c>
      <c r="AJ8" s="344" t="s">
        <v>161</v>
      </c>
      <c r="AK8" s="344" t="s">
        <v>162</v>
      </c>
      <c r="AM8" s="344" t="s">
        <v>160</v>
      </c>
      <c r="AN8" s="344" t="s">
        <v>161</v>
      </c>
      <c r="AO8" s="344" t="s">
        <v>162</v>
      </c>
      <c r="AQ8" s="344" t="s">
        <v>160</v>
      </c>
      <c r="AR8" s="344" t="s">
        <v>161</v>
      </c>
      <c r="AS8" s="344" t="s">
        <v>162</v>
      </c>
      <c r="AU8" s="344" t="s">
        <v>160</v>
      </c>
      <c r="AV8" s="344" t="s">
        <v>161</v>
      </c>
      <c r="AW8" s="344" t="s">
        <v>162</v>
      </c>
      <c r="AY8" s="344" t="s">
        <v>160</v>
      </c>
      <c r="AZ8" s="344" t="s">
        <v>161</v>
      </c>
      <c r="BA8" s="344" t="s">
        <v>162</v>
      </c>
      <c r="BC8" s="344" t="s">
        <v>160</v>
      </c>
      <c r="BD8" s="344" t="s">
        <v>161</v>
      </c>
      <c r="BE8" s="344" t="s">
        <v>162</v>
      </c>
      <c r="BG8" s="344" t="s">
        <v>160</v>
      </c>
      <c r="BH8" s="344" t="s">
        <v>161</v>
      </c>
      <c r="BI8" s="344" t="s">
        <v>162</v>
      </c>
    </row>
    <row r="9" spans="1:62" ht="17.25" customHeight="1">
      <c r="A9" s="344" t="s">
        <v>205</v>
      </c>
      <c r="B9" s="344"/>
      <c r="C9" s="13">
        <v>0.25070519051173279</v>
      </c>
      <c r="D9" s="13">
        <v>0.74929480948826721</v>
      </c>
      <c r="E9" s="13"/>
      <c r="F9" s="347"/>
      <c r="G9" s="13">
        <v>0.25085721175417452</v>
      </c>
      <c r="H9" s="13">
        <v>0.74914278824582548</v>
      </c>
      <c r="I9" s="13"/>
      <c r="J9" s="347"/>
      <c r="K9" s="13">
        <v>4.8523414747711317E-3</v>
      </c>
      <c r="L9" s="13">
        <v>0.22359889068334232</v>
      </c>
      <c r="M9" s="13">
        <v>0.7490857408130297</v>
      </c>
      <c r="N9" s="347"/>
      <c r="O9" s="13">
        <v>9.3542491874098535E-3</v>
      </c>
      <c r="P9" s="13">
        <v>0.21187898079936798</v>
      </c>
      <c r="Q9" s="13">
        <v>0.74901491447343449</v>
      </c>
      <c r="R9" s="347"/>
      <c r="S9" s="13">
        <v>1.2259821511498854E-2</v>
      </c>
      <c r="T9" s="13">
        <v>0.20072288589355725</v>
      </c>
      <c r="U9" s="13">
        <v>0.74893548961302225</v>
      </c>
      <c r="V9" s="347"/>
      <c r="W9" s="13">
        <v>1.4267379448997378E-2</v>
      </c>
      <c r="X9" s="13">
        <v>0.18946915441804499</v>
      </c>
      <c r="Y9" s="13">
        <v>0.74884945013405846</v>
      </c>
      <c r="Z9" s="347"/>
      <c r="AA9" s="13">
        <v>1.5612795462948408E-2</v>
      </c>
      <c r="AB9" s="13">
        <v>0.17769697669763851</v>
      </c>
      <c r="AC9" s="13">
        <v>0.74876102205264838</v>
      </c>
      <c r="AD9" s="347"/>
      <c r="AE9" s="13">
        <v>1.6384397644470305E-2</v>
      </c>
      <c r="AF9" s="13">
        <v>0.1651355696510215</v>
      </c>
      <c r="AG9" s="13">
        <v>0.7486579946560582</v>
      </c>
      <c r="AH9" s="347"/>
      <c r="AI9" s="13">
        <v>1.6655309987478415E-2</v>
      </c>
      <c r="AJ9" s="13">
        <v>0.15148020155637126</v>
      </c>
      <c r="AK9" s="13">
        <v>0.74854360202292991</v>
      </c>
      <c r="AL9" s="347"/>
      <c r="AM9" s="13">
        <v>1.6434472287236251E-2</v>
      </c>
      <c r="AN9" s="13">
        <v>0.13653603390645033</v>
      </c>
      <c r="AO9" s="13">
        <v>0.74841363891607204</v>
      </c>
      <c r="AP9" s="347"/>
      <c r="AQ9" s="13">
        <v>1.5731672817845592E-2</v>
      </c>
      <c r="AR9" s="13">
        <v>0.12018997189600054</v>
      </c>
      <c r="AS9" s="13">
        <v>0.74825707376279316</v>
      </c>
      <c r="AT9" s="347"/>
      <c r="AU9">
        <v>1.3217811160892162E-2</v>
      </c>
      <c r="AV9">
        <v>0.10413196639088748</v>
      </c>
      <c r="AW9">
        <v>0.74774804429426645</v>
      </c>
      <c r="AX9" s="347"/>
      <c r="AY9">
        <v>1.1501832322204239E-2</v>
      </c>
      <c r="AZ9">
        <v>6.3684709475775689E-2</v>
      </c>
      <c r="BA9">
        <v>0.74737616738056212</v>
      </c>
      <c r="BB9" s="347"/>
      <c r="BC9">
        <v>9.5657467475696346E-3</v>
      </c>
      <c r="BD9">
        <v>4.3990174387661785E-2</v>
      </c>
      <c r="BE9">
        <v>0.74668013671396372</v>
      </c>
      <c r="BF9" s="347"/>
      <c r="BG9">
        <v>6.384279817491437E-3</v>
      </c>
      <c r="BH9">
        <v>3.177949983181929E-2</v>
      </c>
      <c r="BI9">
        <v>0.73963623090141684</v>
      </c>
      <c r="BJ9" s="347"/>
    </row>
    <row r="10" spans="1:62" ht="17.25" customHeight="1">
      <c r="A10" s="344" t="s">
        <v>206</v>
      </c>
      <c r="B10" s="344" t="s">
        <v>210</v>
      </c>
      <c r="C10" s="13">
        <v>17.930469084882638</v>
      </c>
      <c r="D10" s="13">
        <v>11.910940503235297</v>
      </c>
      <c r="E10" s="13"/>
      <c r="F10" s="347"/>
      <c r="G10" s="13">
        <v>19.62167048561173</v>
      </c>
      <c r="H10" s="13">
        <v>11.976762994255186</v>
      </c>
      <c r="I10" s="13"/>
      <c r="J10" s="347"/>
      <c r="K10" s="13">
        <v>0.51256815269188072</v>
      </c>
      <c r="L10" s="13">
        <v>17.91994708330003</v>
      </c>
      <c r="M10" s="13">
        <v>11.993044930046839</v>
      </c>
      <c r="N10" s="347"/>
      <c r="O10" s="13">
        <v>1.0268472868909673</v>
      </c>
      <c r="P10" s="13">
        <v>17.492865523169492</v>
      </c>
      <c r="Q10" s="13">
        <v>12.009422619811925</v>
      </c>
      <c r="R10" s="347"/>
      <c r="S10" s="13">
        <v>1.4002091415702149</v>
      </c>
      <c r="T10" s="13">
        <v>17.215645230351246</v>
      </c>
      <c r="U10" s="13">
        <v>12.025962542940219</v>
      </c>
      <c r="V10" s="347"/>
      <c r="W10" s="13">
        <v>1.6933596586666981</v>
      </c>
      <c r="X10" s="13">
        <v>17.051722002304324</v>
      </c>
      <c r="Y10" s="13">
        <v>12.042667153787143</v>
      </c>
      <c r="Z10" s="347"/>
      <c r="AA10" s="13">
        <v>1.9259151408720487</v>
      </c>
      <c r="AB10" s="13">
        <v>16.993259780231107</v>
      </c>
      <c r="AC10" s="13">
        <v>12.059552768320531</v>
      </c>
      <c r="AD10" s="347"/>
      <c r="AE10" s="13">
        <v>2.104509540680696</v>
      </c>
      <c r="AF10" s="13">
        <v>17.054462471982447</v>
      </c>
      <c r="AG10" s="13">
        <v>12.076538214581543</v>
      </c>
      <c r="AH10" s="347"/>
      <c r="AI10" s="13">
        <v>2.2335427954091878</v>
      </c>
      <c r="AJ10" s="13">
        <v>17.256658795707306</v>
      </c>
      <c r="AK10" s="13">
        <v>12.093614260276006</v>
      </c>
      <c r="AL10" s="347"/>
      <c r="AM10" s="13">
        <v>2.3107799799379958</v>
      </c>
      <c r="AN10" s="13">
        <v>17.643204602471819</v>
      </c>
      <c r="AO10" s="13">
        <v>12.110712541428764</v>
      </c>
      <c r="AP10" s="347"/>
      <c r="AQ10" s="13">
        <v>2.3336821819741584</v>
      </c>
      <c r="AR10" s="13">
        <v>18.282497869782354</v>
      </c>
      <c r="AS10" s="13">
        <v>12.127688422899906</v>
      </c>
      <c r="AT10" s="347"/>
      <c r="AU10">
        <v>2.23970910689594</v>
      </c>
      <c r="AV10">
        <v>26.105936140359443</v>
      </c>
      <c r="AW10">
        <v>12.159338395083294</v>
      </c>
      <c r="AX10" s="347"/>
      <c r="AY10">
        <v>2.1238144869785156</v>
      </c>
      <c r="AZ10">
        <v>23.935383691636051</v>
      </c>
      <c r="BA10">
        <v>12.173502985082736</v>
      </c>
      <c r="BB10" s="347"/>
      <c r="BC10">
        <v>1.9668615737922936</v>
      </c>
      <c r="BD10">
        <v>32.025861118834527</v>
      </c>
      <c r="BE10">
        <v>12.182646577129892</v>
      </c>
      <c r="BF10" s="347"/>
      <c r="BG10">
        <v>1.5997298225289207</v>
      </c>
      <c r="BH10">
        <v>190.67300932254597</v>
      </c>
      <c r="BI10">
        <v>12.095688412945217</v>
      </c>
      <c r="BJ10" s="347"/>
    </row>
    <row r="11" spans="1:62" ht="18" customHeight="1">
      <c r="A11" s="344" t="s">
        <v>207</v>
      </c>
      <c r="B11" s="344"/>
      <c r="C11" s="13">
        <v>28.009189580590895</v>
      </c>
      <c r="D11" s="13">
        <v>19.136441133278982</v>
      </c>
      <c r="E11" s="13"/>
      <c r="F11" s="347"/>
      <c r="G11" s="13">
        <v>28.003591529224881</v>
      </c>
      <c r="H11" s="13">
        <v>19.136515171653205</v>
      </c>
      <c r="I11" s="13"/>
      <c r="J11" s="347"/>
      <c r="K11" s="13">
        <v>64.490632883288455</v>
      </c>
      <c r="L11" s="13">
        <v>27.209596869040361</v>
      </c>
      <c r="M11" s="13">
        <v>19.136492340126821</v>
      </c>
      <c r="N11" s="347"/>
      <c r="O11" s="13">
        <v>67.927008361221354</v>
      </c>
      <c r="P11" s="13">
        <v>26.262733662420942</v>
      </c>
      <c r="Q11" s="13">
        <v>19.136583295114338</v>
      </c>
      <c r="R11" s="347"/>
      <c r="S11" s="13">
        <v>71.593431341909167</v>
      </c>
      <c r="T11" s="13">
        <v>25.432202425936946</v>
      </c>
      <c r="U11" s="13">
        <v>19.136760050413667</v>
      </c>
      <c r="V11" s="347"/>
      <c r="W11" s="13">
        <v>75.163839226392142</v>
      </c>
      <c r="X11" s="13">
        <v>24.670683873569644</v>
      </c>
      <c r="Y11" s="13">
        <v>19.136934870623882</v>
      </c>
      <c r="Z11" s="347"/>
      <c r="AA11" s="13">
        <v>78.820904022416499</v>
      </c>
      <c r="AB11" s="13">
        <v>23.964174020808727</v>
      </c>
      <c r="AC11" s="13">
        <v>19.136966952386931</v>
      </c>
      <c r="AD11" s="347"/>
      <c r="AE11" s="13">
        <v>82.847962712178699</v>
      </c>
      <c r="AF11" s="13">
        <v>23.304590217811441</v>
      </c>
      <c r="AG11" s="13">
        <v>19.137120439043347</v>
      </c>
      <c r="AH11" s="347"/>
      <c r="AI11" s="13">
        <v>87.428450331561976</v>
      </c>
      <c r="AJ11" s="13">
        <v>22.690745269750391</v>
      </c>
      <c r="AK11" s="13">
        <v>19.137238204885236</v>
      </c>
      <c r="AL11" s="347"/>
      <c r="AM11" s="13">
        <v>92.901202740766507</v>
      </c>
      <c r="AN11" s="13">
        <v>22.132885951975833</v>
      </c>
      <c r="AO11" s="13">
        <v>19.137319446067892</v>
      </c>
      <c r="AP11" s="347"/>
      <c r="AQ11" s="13">
        <v>99.720720207944296</v>
      </c>
      <c r="AR11" s="13">
        <v>21.649280184860608</v>
      </c>
      <c r="AS11" s="13">
        <v>19.137465225042252</v>
      </c>
      <c r="AT11" s="347"/>
      <c r="AU11">
        <v>119.44058693166095</v>
      </c>
      <c r="AV11">
        <v>21.014818621548674</v>
      </c>
      <c r="AW11">
        <v>19.137995440348352</v>
      </c>
      <c r="AX11" s="347"/>
      <c r="AY11">
        <v>134.26580605109345</v>
      </c>
      <c r="AZ11">
        <v>20.976091543177322</v>
      </c>
      <c r="BA11">
        <v>19.138193100749202</v>
      </c>
      <c r="BB11" s="347"/>
      <c r="BC11">
        <v>155.14158732830177</v>
      </c>
      <c r="BD11">
        <v>21.385487064267537</v>
      </c>
      <c r="BE11">
        <v>19.138671928423761</v>
      </c>
      <c r="BF11" s="347"/>
      <c r="BG11">
        <v>201.47139517057323</v>
      </c>
      <c r="BH11">
        <v>24.738049852478341</v>
      </c>
      <c r="BI11">
        <v>19.148662014715764</v>
      </c>
      <c r="BJ11" s="347"/>
    </row>
    <row r="12" spans="1:62">
      <c r="A12" s="344" t="s">
        <v>16</v>
      </c>
      <c r="B12" s="344"/>
      <c r="C12" s="13">
        <v>1.3954300782543734</v>
      </c>
      <c r="D12" s="13">
        <v>0.53180180177308156</v>
      </c>
      <c r="E12" s="13"/>
      <c r="F12" s="347"/>
      <c r="G12" s="13">
        <v>1.187671683226587</v>
      </c>
      <c r="H12" s="13">
        <v>0.41324669706779493</v>
      </c>
      <c r="I12" s="13"/>
      <c r="J12" s="347"/>
      <c r="K12" s="13">
        <v>1.5625692700013405</v>
      </c>
      <c r="L12" s="13">
        <v>1.1312239047617623</v>
      </c>
      <c r="M12" s="13">
        <v>0.38437582972756745</v>
      </c>
      <c r="N12" s="347"/>
      <c r="O12" s="13">
        <v>1.5045415876311048</v>
      </c>
      <c r="P12" s="13">
        <v>1.0771842827066986</v>
      </c>
      <c r="Q12" s="13">
        <v>0.35545962982805968</v>
      </c>
      <c r="R12" s="347"/>
      <c r="S12" s="13">
        <v>1.440379949174198</v>
      </c>
      <c r="T12" s="13">
        <v>1.0279952900413392</v>
      </c>
      <c r="U12" s="13">
        <v>0.3264958921681187</v>
      </c>
      <c r="V12" s="347"/>
      <c r="W12" s="13">
        <v>1.3656598930622639</v>
      </c>
      <c r="X12" s="13">
        <v>0.98353789588286933</v>
      </c>
      <c r="Y12" s="13">
        <v>0.29748211653292489</v>
      </c>
      <c r="Z12" s="347"/>
      <c r="AA12" s="13">
        <v>1.2820989644511507</v>
      </c>
      <c r="AB12" s="13">
        <v>0.9442571712700033</v>
      </c>
      <c r="AC12" s="13">
        <v>0.26841557445182818</v>
      </c>
      <c r="AD12" s="347"/>
      <c r="AE12" s="13">
        <v>1.1914802564191547</v>
      </c>
      <c r="AF12" s="13">
        <v>0.91095527717684432</v>
      </c>
      <c r="AG12" s="13">
        <v>0.23929815964466838</v>
      </c>
      <c r="AH12" s="347"/>
      <c r="AI12" s="13">
        <v>1.0936256180873476</v>
      </c>
      <c r="AJ12" s="13">
        <v>0.88475750367318795</v>
      </c>
      <c r="AK12" s="13">
        <v>0.21012679469721846</v>
      </c>
      <c r="AL12" s="347"/>
      <c r="AM12" s="13">
        <v>0.98866042184131486</v>
      </c>
      <c r="AN12" s="13">
        <v>0.86696678530314397</v>
      </c>
      <c r="AO12" s="13">
        <v>0.1809002562119208</v>
      </c>
      <c r="AP12" s="347"/>
      <c r="AQ12" s="13">
        <v>0.87602603877330221</v>
      </c>
      <c r="AR12" s="13">
        <v>0.85886399068484232</v>
      </c>
      <c r="AS12" s="13">
        <v>0.15161789018700284</v>
      </c>
      <c r="AT12" s="347"/>
      <c r="AU12">
        <v>0.6168713412050596</v>
      </c>
      <c r="AV12">
        <v>0.87538581716944663</v>
      </c>
      <c r="AW12">
        <v>9.2879545688044074E-2</v>
      </c>
      <c r="AX12" s="347"/>
      <c r="AY12">
        <v>0.46116908889449004</v>
      </c>
      <c r="AZ12">
        <v>0.90050675740203201</v>
      </c>
      <c r="BA12">
        <v>6.3418578615440702E-2</v>
      </c>
      <c r="BB12" s="347"/>
      <c r="BC12">
        <v>0.27619199601973016</v>
      </c>
      <c r="BD12">
        <v>0.93670043406835557</v>
      </c>
      <c r="BE12">
        <v>3.3895210426073741E-2</v>
      </c>
      <c r="BF12" s="347"/>
      <c r="BG12">
        <v>4.3245429097814536E-2</v>
      </c>
      <c r="BH12">
        <v>0.98457263115096194</v>
      </c>
      <c r="BI12">
        <v>4.3088552514168321E-3</v>
      </c>
      <c r="BJ12" s="347"/>
    </row>
    <row r="13" spans="1:62">
      <c r="A13" s="344" t="s">
        <v>208</v>
      </c>
      <c r="B13" s="344" t="s">
        <v>27</v>
      </c>
      <c r="C13" s="13">
        <v>391.62663155319473</v>
      </c>
      <c r="D13" s="13">
        <v>1203.8374307510767</v>
      </c>
      <c r="E13" s="13"/>
      <c r="F13" s="347"/>
      <c r="G13" s="13">
        <v>358.01757527604121</v>
      </c>
      <c r="H13" s="13">
        <v>1196.9830529231704</v>
      </c>
      <c r="I13" s="13"/>
      <c r="J13" s="347"/>
      <c r="K13" s="13">
        <v>610.51505254547305</v>
      </c>
      <c r="L13" s="13">
        <v>339.51192197036164</v>
      </c>
      <c r="M13" s="13">
        <v>1195.2655580613075</v>
      </c>
      <c r="N13" s="347"/>
      <c r="O13" s="13">
        <v>618.79324304394436</v>
      </c>
      <c r="P13" s="13">
        <v>318.10232771919118</v>
      </c>
      <c r="Q13" s="13">
        <v>1193.5283446897545</v>
      </c>
      <c r="R13" s="347"/>
      <c r="S13" s="13">
        <v>626.85113501206206</v>
      </c>
      <c r="T13" s="13">
        <v>296.5224362641585</v>
      </c>
      <c r="U13" s="13">
        <v>1191.7714450538622</v>
      </c>
      <c r="V13" s="347"/>
      <c r="W13" s="13">
        <v>633.2919351171621</v>
      </c>
      <c r="X13" s="13">
        <v>274.12677803499622</v>
      </c>
      <c r="Y13" s="13">
        <v>1189.9924636388635</v>
      </c>
      <c r="Z13" s="347"/>
      <c r="AA13" s="13">
        <v>638.97657097677597</v>
      </c>
      <c r="AB13" s="13">
        <v>250.59119483995136</v>
      </c>
      <c r="AC13" s="13">
        <v>1188.1879211887656</v>
      </c>
      <c r="AD13" s="347"/>
      <c r="AE13" s="13">
        <v>645.00252380492122</v>
      </c>
      <c r="AF13" s="13">
        <v>225.65453396283834</v>
      </c>
      <c r="AG13" s="13">
        <v>1186.3630087376077</v>
      </c>
      <c r="AH13" s="347"/>
      <c r="AI13" s="13">
        <v>651.94539589301075</v>
      </c>
      <c r="AJ13" s="13">
        <v>199.18100645190307</v>
      </c>
      <c r="AK13" s="13">
        <v>1184.5141502246568</v>
      </c>
      <c r="AL13" s="347"/>
      <c r="AM13" s="13">
        <v>660.72159839943356</v>
      </c>
      <c r="AN13" s="13">
        <v>171.28047511069479</v>
      </c>
      <c r="AO13" s="13">
        <v>1182.6414702467428</v>
      </c>
      <c r="AP13" s="347"/>
      <c r="AQ13" s="13">
        <v>672.23110138511333</v>
      </c>
      <c r="AR13" s="13">
        <v>142.3233518483114</v>
      </c>
      <c r="AS13" s="13">
        <v>1180.7479899869716</v>
      </c>
      <c r="AT13" s="347"/>
      <c r="AU13">
        <v>704.88757586775705</v>
      </c>
      <c r="AV13">
        <v>83.824398199863708</v>
      </c>
      <c r="AW13">
        <v>1176.9060287046184</v>
      </c>
      <c r="AX13" s="347"/>
      <c r="AY13">
        <v>727.13638468598242</v>
      </c>
      <c r="AZ13">
        <v>55.810941369255048</v>
      </c>
      <c r="BA13">
        <v>1174.9641354468231</v>
      </c>
      <c r="BB13" s="347"/>
      <c r="BC13">
        <v>754.52444349559119</v>
      </c>
      <c r="BD13">
        <v>29.374738803477634</v>
      </c>
      <c r="BE13">
        <v>1173.0182010587259</v>
      </c>
      <c r="BF13" s="347"/>
      <c r="BG13">
        <v>804.04187249317783</v>
      </c>
      <c r="BH13">
        <v>4.12309457914143</v>
      </c>
      <c r="BI13">
        <v>1170.9167528002563</v>
      </c>
      <c r="BJ13" s="347"/>
    </row>
    <row r="15" spans="1:62">
      <c r="A15" s="344" t="s">
        <v>22</v>
      </c>
      <c r="B15" t="s">
        <v>17</v>
      </c>
      <c r="C15" s="79">
        <v>5.3157141614625014E-3</v>
      </c>
      <c r="D15" s="348">
        <v>3.6131130366587226E-5</v>
      </c>
      <c r="E15" s="13"/>
      <c r="F15" s="347"/>
      <c r="G15" s="13">
        <v>5.3217422469795878E-3</v>
      </c>
      <c r="H15" s="13">
        <v>3.3041202073458895E-5</v>
      </c>
      <c r="I15" s="13"/>
      <c r="J15" s="347"/>
      <c r="K15" s="13">
        <v>5.0068679284165267E-3</v>
      </c>
      <c r="L15" s="13">
        <v>5.3299191378305194E-3</v>
      </c>
      <c r="M15" s="13">
        <v>3.223732503665188E-5</v>
      </c>
      <c r="N15" s="347"/>
      <c r="O15" s="13">
        <v>4.9371741872587735E-3</v>
      </c>
      <c r="P15" s="13">
        <v>5.3410835982829708E-3</v>
      </c>
      <c r="Q15" s="13">
        <v>3.1390278405282642E-5</v>
      </c>
      <c r="R15" s="347"/>
      <c r="S15" s="13">
        <v>4.8519174587482831E-3</v>
      </c>
      <c r="T15" s="13">
        <v>5.3535004725463273E-3</v>
      </c>
      <c r="U15" s="13">
        <v>3.0461957854287398E-5</v>
      </c>
      <c r="V15" s="347"/>
      <c r="W15" s="13">
        <v>4.7520762874715544E-3</v>
      </c>
      <c r="X15" s="13">
        <v>5.3679525991332357E-3</v>
      </c>
      <c r="Y15" s="13">
        <v>2.944066468483394E-5</v>
      </c>
      <c r="Z15" s="347"/>
      <c r="AA15" s="13">
        <v>4.6321336075252403E-3</v>
      </c>
      <c r="AB15" s="13">
        <v>5.3852676279396465E-3</v>
      </c>
      <c r="AC15" s="13">
        <v>2.8308591524357207E-5</v>
      </c>
      <c r="AD15" s="347"/>
      <c r="AE15" s="13">
        <v>4.4835980044955334E-3</v>
      </c>
      <c r="AF15" s="13">
        <v>5.4059482597339217E-3</v>
      </c>
      <c r="AG15" s="13">
        <v>2.7036668664360315E-5</v>
      </c>
      <c r="AH15" s="347"/>
      <c r="AI15" s="13">
        <v>4.2973946394151393E-3</v>
      </c>
      <c r="AJ15" s="13">
        <v>5.431174637279444E-3</v>
      </c>
      <c r="AK15" s="13">
        <v>2.5586581084131183E-5</v>
      </c>
      <c r="AL15" s="347"/>
      <c r="AM15" s="13">
        <v>4.0599091763597744E-3</v>
      </c>
      <c r="AN15" s="13">
        <v>5.462025711907674E-3</v>
      </c>
      <c r="AO15" s="13">
        <v>2.3900022435094775E-5</v>
      </c>
      <c r="AP15" s="347"/>
      <c r="AQ15" s="13">
        <v>3.7528436326733526E-3</v>
      </c>
      <c r="AR15" s="13">
        <v>5.4994436432827662E-3</v>
      </c>
      <c r="AS15" s="13">
        <v>2.1890775552550531E-5</v>
      </c>
      <c r="AT15" s="347"/>
      <c r="AU15">
        <v>2.8296191782828141E-3</v>
      </c>
      <c r="AV15">
        <v>5.5875175315628755E-3</v>
      </c>
      <c r="AW15">
        <v>1.634445907538121E-5</v>
      </c>
      <c r="AX15" s="347"/>
      <c r="AY15">
        <v>2.1563518537159607E-3</v>
      </c>
      <c r="AZ15">
        <v>5.6478803498280841E-3</v>
      </c>
      <c r="BA15">
        <v>1.2457973718559394E-5</v>
      </c>
      <c r="BB15" s="347"/>
      <c r="BC15">
        <v>1.2808443289849926E-3</v>
      </c>
      <c r="BD15">
        <v>5.6807419771160673E-3</v>
      </c>
      <c r="BE15">
        <v>7.4316846543220664E-6</v>
      </c>
      <c r="BF15" s="347"/>
      <c r="BG15">
        <v>1.3790273187724901E-4</v>
      </c>
      <c r="BH15">
        <v>4.3663662042455944E-3</v>
      </c>
      <c r="BI15">
        <v>8.1582623581713106E-7</v>
      </c>
      <c r="BJ15" s="347"/>
    </row>
    <row r="16" spans="1:62">
      <c r="A16" s="344" t="s">
        <v>23</v>
      </c>
      <c r="B16" t="s">
        <v>17</v>
      </c>
      <c r="C16" s="79">
        <v>2.5398353399919732E-3</v>
      </c>
      <c r="D16" s="348">
        <v>1.2974716953200685E-10</v>
      </c>
      <c r="E16" s="13"/>
      <c r="F16" s="347"/>
      <c r="G16" s="13">
        <v>2.5382962294457391E-3</v>
      </c>
      <c r="H16" s="13">
        <v>1.1383024524405681E-10</v>
      </c>
      <c r="I16" s="13"/>
      <c r="J16" s="347"/>
      <c r="K16" s="13">
        <v>1.7221795487749316E-3</v>
      </c>
      <c r="L16" s="13">
        <v>2.5553592718847006E-3</v>
      </c>
      <c r="M16" s="13">
        <v>1.0873038255767101E-10</v>
      </c>
      <c r="N16" s="347"/>
      <c r="O16" s="13">
        <v>1.6287415292079103E-3</v>
      </c>
      <c r="P16" s="13">
        <v>2.5763333119653196E-3</v>
      </c>
      <c r="Q16" s="13">
        <v>1.0308121086857185E-10</v>
      </c>
      <c r="R16" s="347"/>
      <c r="S16" s="13">
        <v>1.5286073849624874E-3</v>
      </c>
      <c r="T16" s="13">
        <v>2.5951468260147375E-3</v>
      </c>
      <c r="U16" s="13">
        <v>9.7012437767755997E-11</v>
      </c>
      <c r="V16" s="347"/>
      <c r="W16" s="13">
        <v>1.4240874351847026E-3</v>
      </c>
      <c r="X16" s="13">
        <v>2.6131396509300017E-3</v>
      </c>
      <c r="Y16" s="13">
        <v>9.0481517867111138E-11</v>
      </c>
      <c r="Z16" s="347"/>
      <c r="AA16" s="13">
        <v>1.3126769573656525E-3</v>
      </c>
      <c r="AB16" s="13">
        <v>2.6306308277167564E-3</v>
      </c>
      <c r="AC16" s="13">
        <v>8.3461158576311659E-11</v>
      </c>
      <c r="AD16" s="347"/>
      <c r="AE16" s="13">
        <v>1.1917081043584694E-3</v>
      </c>
      <c r="AF16" s="13">
        <v>2.6471500821312935E-3</v>
      </c>
      <c r="AG16" s="13">
        <v>7.5910111167795893E-11</v>
      </c>
      <c r="AH16" s="347"/>
      <c r="AI16" s="13">
        <v>1.0607120801268059E-3</v>
      </c>
      <c r="AJ16" s="13">
        <v>2.6621571137896622E-3</v>
      </c>
      <c r="AK16" s="13">
        <v>6.7823937563166503E-11</v>
      </c>
      <c r="AL16" s="347"/>
      <c r="AM16" s="13">
        <v>9.196015785545705E-4</v>
      </c>
      <c r="AN16" s="13">
        <v>2.6740180224494058E-3</v>
      </c>
      <c r="AO16" s="13">
        <v>5.9221292964466499E-11</v>
      </c>
      <c r="AP16" s="347"/>
      <c r="AQ16" s="13">
        <v>7.6959832103726928E-4</v>
      </c>
      <c r="AR16" s="13">
        <v>2.6799099281487764E-3</v>
      </c>
      <c r="AS16" s="13">
        <v>5.0147284566369045E-11</v>
      </c>
      <c r="AT16" s="347"/>
      <c r="AU16">
        <v>4.5692885473233634E-4</v>
      </c>
      <c r="AV16">
        <v>2.6603809405849463E-3</v>
      </c>
      <c r="AW16">
        <v>3.0936523670230253E-11</v>
      </c>
      <c r="AX16" s="347"/>
      <c r="AY16">
        <v>3.0103784040541885E-4</v>
      </c>
      <c r="AZ16">
        <v>2.6136291906244781E-3</v>
      </c>
      <c r="BA16">
        <v>2.0938478439120798E-11</v>
      </c>
      <c r="BB16" s="347"/>
      <c r="BC16">
        <v>1.5088700093634938E-4</v>
      </c>
      <c r="BD16">
        <v>2.5031447833374809E-3</v>
      </c>
      <c r="BE16">
        <v>1.0815759561046265E-11</v>
      </c>
      <c r="BF16" s="347"/>
      <c r="BG16">
        <v>1.2894552477513747E-5</v>
      </c>
      <c r="BH16">
        <v>1.7405602003043004E-3</v>
      </c>
      <c r="BI16">
        <v>9.1004205776582766E-13</v>
      </c>
      <c r="BJ16" s="347"/>
    </row>
    <row r="17" spans="1:62">
      <c r="A17" s="344" t="s">
        <v>157</v>
      </c>
      <c r="B17" t="s">
        <v>17</v>
      </c>
      <c r="C17" s="79">
        <v>3.3999061735968004E-3</v>
      </c>
      <c r="D17" s="348">
        <v>0.97177721859880051</v>
      </c>
      <c r="E17" s="13"/>
      <c r="F17" s="347"/>
      <c r="G17" s="13">
        <v>3.9682736396849019E-3</v>
      </c>
      <c r="H17" s="13">
        <v>0.9717834054625939</v>
      </c>
      <c r="I17" s="13"/>
      <c r="J17" s="347"/>
      <c r="K17" s="13">
        <v>7.4045394847795001E-4</v>
      </c>
      <c r="L17" s="13">
        <v>4.2972310829694068E-3</v>
      </c>
      <c r="M17" s="13">
        <v>0.97177982687712328</v>
      </c>
      <c r="N17" s="347"/>
      <c r="O17" s="13">
        <v>6.5937490078236852E-4</v>
      </c>
      <c r="P17" s="13">
        <v>4.6961811887522333E-3</v>
      </c>
      <c r="Q17" s="13">
        <v>0.971780847985107</v>
      </c>
      <c r="R17" s="347"/>
      <c r="S17" s="13">
        <v>5.8267156496654283E-4</v>
      </c>
      <c r="T17" s="13">
        <v>5.1225227944488323E-3</v>
      </c>
      <c r="U17" s="13">
        <v>0.97178606024849123</v>
      </c>
      <c r="V17" s="347"/>
      <c r="W17" s="13">
        <v>5.1702928729313678E-4</v>
      </c>
      <c r="X17" s="13">
        <v>5.5955511346463035E-3</v>
      </c>
      <c r="Y17" s="13">
        <v>0.97179086429170258</v>
      </c>
      <c r="Z17" s="347"/>
      <c r="AA17" s="13">
        <v>4.5718724950811676E-4</v>
      </c>
      <c r="AB17" s="13">
        <v>6.1319387287835717E-3</v>
      </c>
      <c r="AC17" s="13">
        <v>0.97178804813297137</v>
      </c>
      <c r="AD17" s="347"/>
      <c r="AE17" s="13">
        <v>3.9870345888678841E-4</v>
      </c>
      <c r="AF17" s="13">
        <v>6.7533006171571139E-3</v>
      </c>
      <c r="AG17" s="13">
        <v>0.97179100937545504</v>
      </c>
      <c r="AH17" s="347"/>
      <c r="AI17" s="13">
        <v>3.4100743318932734E-4</v>
      </c>
      <c r="AJ17" s="13">
        <v>7.4961279290486219E-3</v>
      </c>
      <c r="AK17" s="13">
        <v>0.97179174688445613</v>
      </c>
      <c r="AL17" s="347"/>
      <c r="AM17" s="13">
        <v>2.8327182638595509E-4</v>
      </c>
      <c r="AN17" s="13">
        <v>8.4170474321306719E-3</v>
      </c>
      <c r="AO17" s="13">
        <v>0.97179034778107265</v>
      </c>
      <c r="AP17" s="347"/>
      <c r="AQ17" s="13">
        <v>2.2593636565749575E-4</v>
      </c>
      <c r="AR17" s="13">
        <v>9.6201373764360828E-3</v>
      </c>
      <c r="AS17" s="13">
        <v>0.97179224139680764</v>
      </c>
      <c r="AT17" s="347"/>
      <c r="AU17">
        <v>1.2197245796716754E-4</v>
      </c>
      <c r="AV17">
        <v>1.4026851509302713E-2</v>
      </c>
      <c r="AW17">
        <v>0.9718038129420753</v>
      </c>
      <c r="AX17" s="347"/>
      <c r="AY17">
        <v>7.9868192394862779E-5</v>
      </c>
      <c r="AZ17">
        <v>1.9196011211552962E-2</v>
      </c>
      <c r="BA17">
        <v>0.9718086331446939</v>
      </c>
      <c r="BB17" s="347"/>
      <c r="BC17">
        <v>4.6208613971560464E-5</v>
      </c>
      <c r="BD17">
        <v>3.3383283381161713E-2</v>
      </c>
      <c r="BE17">
        <v>0.97181165788256707</v>
      </c>
      <c r="BF17" s="347"/>
      <c r="BG17">
        <v>2.0027735282186445E-5</v>
      </c>
      <c r="BH17">
        <v>0.24296309596190888</v>
      </c>
      <c r="BI17">
        <v>0.97160069716269404</v>
      </c>
      <c r="BJ17" s="347"/>
    </row>
    <row r="18" spans="1:62">
      <c r="A18" s="344" t="s">
        <v>159</v>
      </c>
      <c r="B18" t="s">
        <v>17</v>
      </c>
      <c r="C18" s="79"/>
      <c r="D18" s="348"/>
      <c r="E18" s="13"/>
      <c r="F18" s="347"/>
      <c r="G18" s="13"/>
      <c r="H18" s="13"/>
      <c r="I18" s="13"/>
      <c r="J18" s="347"/>
      <c r="K18" s="13"/>
      <c r="L18" s="13"/>
      <c r="M18" s="13"/>
      <c r="N18" s="347"/>
      <c r="O18" s="13"/>
      <c r="P18" s="13"/>
      <c r="Q18" s="13"/>
      <c r="R18" s="347"/>
      <c r="S18" s="13"/>
      <c r="T18" s="13"/>
      <c r="U18" s="13"/>
      <c r="V18" s="347"/>
      <c r="W18" s="13"/>
      <c r="X18" s="13"/>
      <c r="Y18" s="13"/>
      <c r="Z18" s="347"/>
      <c r="AA18" s="13"/>
      <c r="AB18" s="13"/>
      <c r="AC18" s="13"/>
      <c r="AD18" s="347"/>
      <c r="AE18" s="13"/>
      <c r="AF18" s="13"/>
      <c r="AG18" s="13"/>
      <c r="AH18" s="347"/>
      <c r="AI18" s="13"/>
      <c r="AJ18" s="13"/>
      <c r="AK18" s="13"/>
      <c r="AL18" s="347"/>
      <c r="AM18" s="13"/>
      <c r="AN18" s="13"/>
      <c r="AO18" s="13"/>
      <c r="AP18" s="347"/>
      <c r="AQ18" s="13"/>
      <c r="AR18" s="13"/>
      <c r="AS18" s="13"/>
      <c r="AT18" s="347"/>
      <c r="AX18" s="347"/>
      <c r="BB18" s="347"/>
      <c r="BF18" s="347"/>
      <c r="BJ18" s="347"/>
    </row>
    <row r="19" spans="1:62">
      <c r="A19" s="344" t="s">
        <v>193</v>
      </c>
      <c r="B19" t="s">
        <v>17</v>
      </c>
      <c r="C19" s="79"/>
      <c r="D19" s="348"/>
      <c r="E19" s="13"/>
      <c r="F19" s="347"/>
      <c r="G19" s="13"/>
      <c r="H19" s="13"/>
      <c r="I19" s="13"/>
      <c r="J19" s="347"/>
      <c r="K19" s="13"/>
      <c r="L19" s="13"/>
      <c r="M19" s="13"/>
      <c r="N19" s="347"/>
      <c r="O19" s="13"/>
      <c r="P19" s="13"/>
      <c r="Q19" s="13"/>
      <c r="R19" s="347"/>
      <c r="S19" s="13"/>
      <c r="T19" s="13"/>
      <c r="U19" s="13"/>
      <c r="V19" s="347"/>
      <c r="W19" s="13"/>
      <c r="X19" s="13"/>
      <c r="Y19" s="13"/>
      <c r="Z19" s="347"/>
      <c r="AA19" s="13"/>
      <c r="AB19" s="13"/>
      <c r="AC19" s="13"/>
      <c r="AD19" s="347"/>
      <c r="AE19" s="13"/>
      <c r="AF19" s="13"/>
      <c r="AG19" s="13"/>
      <c r="AH19" s="347"/>
      <c r="AI19" s="13"/>
      <c r="AJ19" s="13"/>
      <c r="AK19" s="13"/>
      <c r="AL19" s="347"/>
      <c r="AM19" s="13"/>
      <c r="AN19" s="13"/>
      <c r="AO19" s="13"/>
      <c r="AP19" s="347"/>
      <c r="AQ19" s="13"/>
      <c r="AR19" s="13"/>
      <c r="AS19" s="13"/>
      <c r="AT19" s="347"/>
      <c r="AX19" s="347"/>
      <c r="BB19" s="347"/>
      <c r="BF19" s="347"/>
      <c r="BJ19" s="347"/>
    </row>
    <row r="20" spans="1:62">
      <c r="A20" s="344" t="s">
        <v>24</v>
      </c>
      <c r="B20" t="s">
        <v>17</v>
      </c>
      <c r="C20" s="79">
        <v>0.78585664095230456</v>
      </c>
      <c r="D20" s="348">
        <v>2.023384514366896E-5</v>
      </c>
      <c r="E20" s="13"/>
      <c r="F20" s="347"/>
      <c r="G20" s="13">
        <v>0.78538648495128416</v>
      </c>
      <c r="H20" s="13">
        <v>1.8202452086383275E-5</v>
      </c>
      <c r="I20" s="13"/>
      <c r="J20" s="347"/>
      <c r="K20" s="13">
        <v>0.61184850879559449</v>
      </c>
      <c r="L20" s="13">
        <v>0.78895410061993887</v>
      </c>
      <c r="M20" s="13">
        <v>1.7598207420148548E-5</v>
      </c>
      <c r="N20" s="347"/>
      <c r="O20" s="13">
        <v>0.59134569762924283</v>
      </c>
      <c r="P20" s="13">
        <v>0.79336094172605698</v>
      </c>
      <c r="Q20" s="13">
        <v>1.6939939793534401E-5</v>
      </c>
      <c r="R20" s="347"/>
      <c r="S20" s="13">
        <v>0.56877682748313485</v>
      </c>
      <c r="T20" s="13">
        <v>0.79735243203905126</v>
      </c>
      <c r="U20" s="13">
        <v>1.622630123672699E-5</v>
      </c>
      <c r="V20" s="347"/>
      <c r="W20" s="13">
        <v>0.54471470704291236</v>
      </c>
      <c r="X20" s="13">
        <v>0.80122726485042794</v>
      </c>
      <c r="Y20" s="13">
        <v>1.5449755202568643E-5</v>
      </c>
      <c r="Z20" s="347"/>
      <c r="AA20" s="13">
        <v>0.51821558782773902</v>
      </c>
      <c r="AB20" s="13">
        <v>0.80510255282079679</v>
      </c>
      <c r="AC20" s="13">
        <v>1.4601489264637759E-5</v>
      </c>
      <c r="AD20" s="347"/>
      <c r="AE20" s="13">
        <v>0.48804639058410543</v>
      </c>
      <c r="AF20" s="13">
        <v>0.8089383098263786</v>
      </c>
      <c r="AG20" s="13">
        <v>1.3667415864688348E-5</v>
      </c>
      <c r="AH20" s="347"/>
      <c r="AI20" s="13">
        <v>0.45332648117871205</v>
      </c>
      <c r="AJ20" s="13">
        <v>0.81272391249185194</v>
      </c>
      <c r="AK20" s="13">
        <v>1.2632821426083378E-5</v>
      </c>
      <c r="AL20" s="347"/>
      <c r="AM20" s="13">
        <v>0.41290494952451012</v>
      </c>
      <c r="AN20" s="13">
        <v>0.81624078431118896</v>
      </c>
      <c r="AO20" s="13">
        <v>1.1478148081634453E-5</v>
      </c>
      <c r="AP20" s="347"/>
      <c r="AQ20" s="13">
        <v>0.36564412638861216</v>
      </c>
      <c r="AR20" s="13">
        <v>0.81901312376402424</v>
      </c>
      <c r="AS20" s="13">
        <v>1.0177964782300832E-5</v>
      </c>
      <c r="AT20" s="347"/>
      <c r="AU20">
        <v>0.24782710110001727</v>
      </c>
      <c r="AV20">
        <v>0.81904237622388298</v>
      </c>
      <c r="AW20">
        <v>7.0131319784010146E-6</v>
      </c>
      <c r="AX20" s="347"/>
      <c r="AY20">
        <v>0.17612240963495965</v>
      </c>
      <c r="AZ20">
        <v>0.8118415405280115</v>
      </c>
      <c r="BA20">
        <v>5.0660532089227934E-6</v>
      </c>
      <c r="BB20" s="347"/>
      <c r="BC20">
        <v>9.5799877852205936E-2</v>
      </c>
      <c r="BD20">
        <v>0.78852165360770143</v>
      </c>
      <c r="BE20">
        <v>2.8176582483844796E-6</v>
      </c>
      <c r="BF20" s="347"/>
      <c r="BG20">
        <v>8.9292712597463589E-3</v>
      </c>
      <c r="BH20">
        <v>0.56190904224250238</v>
      </c>
      <c r="BI20">
        <v>2.7299114089298355E-7</v>
      </c>
      <c r="BJ20" s="347"/>
    </row>
    <row r="21" spans="1:62">
      <c r="A21" s="344" t="s">
        <v>4</v>
      </c>
      <c r="B21" t="s">
        <v>17</v>
      </c>
      <c r="C21" s="79">
        <v>7.6223165250322272E-2</v>
      </c>
      <c r="D21" s="348">
        <v>1.2806285763036082E-4</v>
      </c>
      <c r="E21" s="13"/>
      <c r="F21" s="347"/>
      <c r="G21" s="13">
        <v>7.6197235869890856E-2</v>
      </c>
      <c r="H21" s="13">
        <v>1.2130379912858922E-4</v>
      </c>
      <c r="I21" s="13"/>
      <c r="J21" s="347"/>
      <c r="K21" s="13">
        <v>7.7015434921335765E-2</v>
      </c>
      <c r="L21" s="13">
        <v>7.6164887168562415E-2</v>
      </c>
      <c r="M21" s="13">
        <v>1.1986606774036092E-4</v>
      </c>
      <c r="N21" s="347"/>
      <c r="O21" s="13">
        <v>7.6819658257186507E-2</v>
      </c>
      <c r="P21" s="13">
        <v>7.6134958576016543E-2</v>
      </c>
      <c r="Q21" s="13">
        <v>1.1847424686986313E-4</v>
      </c>
      <c r="R21" s="347"/>
      <c r="S21" s="13">
        <v>7.6500325243468587E-2</v>
      </c>
      <c r="T21" s="13">
        <v>7.6120276736004203E-2</v>
      </c>
      <c r="U21" s="13">
        <v>1.1691857743166683E-4</v>
      </c>
      <c r="V21" s="347"/>
      <c r="W21" s="13">
        <v>7.6092260274733953E-2</v>
      </c>
      <c r="X21" s="13">
        <v>7.6119308326962107E-2</v>
      </c>
      <c r="Y21" s="13">
        <v>1.1518691115092777E-4</v>
      </c>
      <c r="Z21" s="347"/>
      <c r="AA21" s="13">
        <v>7.55440363736085E-2</v>
      </c>
      <c r="AB21" s="13">
        <v>7.6138059603713643E-2</v>
      </c>
      <c r="AC21" s="13">
        <v>1.1324070233086106E-4</v>
      </c>
      <c r="AD21" s="347"/>
      <c r="AE21" s="13">
        <v>7.4756827159527028E-2</v>
      </c>
      <c r="AF21" s="13">
        <v>7.6181684504322209E-2</v>
      </c>
      <c r="AG21" s="13">
        <v>1.1099620139788544E-4</v>
      </c>
      <c r="AH21" s="347"/>
      <c r="AI21" s="13">
        <v>7.3602872722372079E-2</v>
      </c>
      <c r="AJ21" s="13">
        <v>7.6266914843625397E-2</v>
      </c>
      <c r="AK21" s="13">
        <v>1.0831478777571686E-4</v>
      </c>
      <c r="AL21" s="347"/>
      <c r="AM21" s="13">
        <v>7.1844740396672879E-2</v>
      </c>
      <c r="AN21" s="13">
        <v>7.6420294718088616E-2</v>
      </c>
      <c r="AO21" s="13">
        <v>1.0492891686541536E-4</v>
      </c>
      <c r="AP21" s="347"/>
      <c r="AQ21" s="13">
        <v>6.9089920232392008E-2</v>
      </c>
      <c r="AR21" s="13">
        <v>7.6683171934892727E-2</v>
      </c>
      <c r="AS21" s="13">
        <v>1.0035655795729296E-4</v>
      </c>
      <c r="AT21" s="347"/>
      <c r="AU21">
        <v>5.7758367762591981E-2</v>
      </c>
      <c r="AV21">
        <v>7.7683393043294163E-2</v>
      </c>
      <c r="AW21">
        <v>8.3709287062964742E-5</v>
      </c>
      <c r="AX21" s="347"/>
      <c r="AY21">
        <v>4.7007578283546E-2</v>
      </c>
      <c r="AZ21">
        <v>7.8814387564464725E-2</v>
      </c>
      <c r="BA21">
        <v>6.8426846010718253E-5</v>
      </c>
      <c r="BB21" s="347"/>
      <c r="BC21">
        <v>3.020849229166539E-2</v>
      </c>
      <c r="BD21">
        <v>8.0230163665442389E-2</v>
      </c>
      <c r="BE21">
        <v>4.435396304805336E-5</v>
      </c>
      <c r="BF21" s="347"/>
      <c r="BG21">
        <v>3.6008056829258356E-3</v>
      </c>
      <c r="BH21">
        <v>6.3702344100762517E-2</v>
      </c>
      <c r="BI21">
        <v>5.3525899111088706E-6</v>
      </c>
      <c r="BJ21" s="347"/>
    </row>
    <row r="22" spans="1:62">
      <c r="A22" s="344" t="s">
        <v>5</v>
      </c>
      <c r="B22" t="s">
        <v>17</v>
      </c>
      <c r="C22" s="79">
        <v>4.0428223401320532E-2</v>
      </c>
      <c r="D22" s="348">
        <v>1.1256650939306409E-5</v>
      </c>
      <c r="E22" s="13"/>
      <c r="F22" s="347"/>
      <c r="G22" s="13">
        <v>4.0403861301403041E-2</v>
      </c>
      <c r="H22" s="13">
        <v>1.1212828795039412E-5</v>
      </c>
      <c r="I22" s="13"/>
      <c r="J22" s="347"/>
      <c r="K22" s="13">
        <v>4.7821038116463439E-2</v>
      </c>
      <c r="L22" s="13">
        <v>4.0232351674763495E-2</v>
      </c>
      <c r="M22" s="13">
        <v>1.1285438204803274E-5</v>
      </c>
      <c r="N22" s="347"/>
      <c r="O22" s="13">
        <v>4.8670443630562096E-2</v>
      </c>
      <c r="P22" s="13">
        <v>4.0019772043399647E-2</v>
      </c>
      <c r="Q22" s="13">
        <v>1.1396688159361825E-5</v>
      </c>
      <c r="R22" s="347"/>
      <c r="S22" s="13">
        <v>4.9573113120681661E-2</v>
      </c>
      <c r="T22" s="13">
        <v>3.9823125951593749E-2</v>
      </c>
      <c r="U22" s="13">
        <v>1.1519519349968871E-5</v>
      </c>
      <c r="V22" s="347"/>
      <c r="W22" s="13">
        <v>5.0562610351226091E-2</v>
      </c>
      <c r="X22" s="13">
        <v>3.9626673648269037E-2</v>
      </c>
      <c r="Y22" s="13">
        <v>1.1659848406129138E-5</v>
      </c>
      <c r="Z22" s="347"/>
      <c r="AA22" s="13">
        <v>5.1661378506802955E-2</v>
      </c>
      <c r="AB22" s="13">
        <v>3.9426935875282419E-2</v>
      </c>
      <c r="AC22" s="13">
        <v>1.1822105629959633E-5</v>
      </c>
      <c r="AD22" s="347"/>
      <c r="AE22" s="13">
        <v>5.2874528285849265E-2</v>
      </c>
      <c r="AF22" s="13">
        <v>3.9223968130544712E-2</v>
      </c>
      <c r="AG22" s="13">
        <v>1.2008447837839543E-5</v>
      </c>
      <c r="AH22" s="347"/>
      <c r="AI22" s="13">
        <v>5.4177440490865127E-2</v>
      </c>
      <c r="AJ22" s="13">
        <v>3.9025662306887879E-2</v>
      </c>
      <c r="AK22" s="13">
        <v>1.221596403681154E-5</v>
      </c>
      <c r="AL22" s="347"/>
      <c r="AM22" s="13">
        <v>5.5463636560557854E-2</v>
      </c>
      <c r="AN22" s="13">
        <v>3.8857065005351001E-2</v>
      </c>
      <c r="AO22" s="13">
        <v>1.242631344849793E-5</v>
      </c>
      <c r="AP22" s="347"/>
      <c r="AQ22" s="13">
        <v>5.6471605211778644E-2</v>
      </c>
      <c r="AR22" s="13">
        <v>3.8770617707877167E-2</v>
      </c>
      <c r="AS22" s="13">
        <v>1.258994449595537E-5</v>
      </c>
      <c r="AT22" s="347"/>
      <c r="AU22">
        <v>5.4882467537229349E-2</v>
      </c>
      <c r="AV22">
        <v>3.9212996658495813E-2</v>
      </c>
      <c r="AW22">
        <v>1.2199421476201733E-5</v>
      </c>
      <c r="AX22" s="347"/>
      <c r="AY22">
        <v>4.9517467972215824E-2</v>
      </c>
      <c r="AZ22">
        <v>4.0388825612531189E-2</v>
      </c>
      <c r="BA22">
        <v>1.1042853989702246E-5</v>
      </c>
      <c r="BB22" s="347"/>
      <c r="BC22">
        <v>3.6594030308207161E-2</v>
      </c>
      <c r="BD22">
        <v>4.3009867870331939E-2</v>
      </c>
      <c r="BE22">
        <v>8.219534668437666E-6</v>
      </c>
      <c r="BF22" s="347"/>
      <c r="BG22">
        <v>5.5655566431502823E-3</v>
      </c>
      <c r="BH22">
        <v>3.9231518290528171E-2</v>
      </c>
      <c r="BI22">
        <v>1.2663630211442811E-6</v>
      </c>
      <c r="BJ22" s="347"/>
    </row>
    <row r="23" spans="1:62">
      <c r="A23" s="344" t="s">
        <v>6</v>
      </c>
      <c r="B23" t="s">
        <v>17</v>
      </c>
      <c r="C23" s="79">
        <v>9.3948317287199049E-3</v>
      </c>
      <c r="D23" s="348">
        <v>2.2277162939184047E-7</v>
      </c>
      <c r="E23" s="13"/>
      <c r="F23" s="347"/>
      <c r="G23" s="13">
        <v>9.3891172674602074E-3</v>
      </c>
      <c r="H23" s="13">
        <v>2.2989135670863928E-7</v>
      </c>
      <c r="I23" s="13"/>
      <c r="J23" s="347"/>
      <c r="K23" s="13">
        <v>1.232303502408111E-2</v>
      </c>
      <c r="L23" s="13">
        <v>9.3230378763312187E-3</v>
      </c>
      <c r="M23" s="13">
        <v>2.342911438872315E-7</v>
      </c>
      <c r="N23" s="347"/>
      <c r="O23" s="13">
        <v>1.2694671059194662E-2</v>
      </c>
      <c r="P23" s="13">
        <v>9.2397512137479283E-3</v>
      </c>
      <c r="Q23" s="13">
        <v>2.4004103313266559E-7</v>
      </c>
      <c r="R23" s="347"/>
      <c r="S23" s="13">
        <v>1.31055366736063E-2</v>
      </c>
      <c r="T23" s="13">
        <v>9.1609641698126194E-3</v>
      </c>
      <c r="U23" s="13">
        <v>2.465267209398246E-7</v>
      </c>
      <c r="V23" s="347"/>
      <c r="W23" s="13">
        <v>1.3569389019344456E-2</v>
      </c>
      <c r="X23" s="13">
        <v>9.0800501380455187E-3</v>
      </c>
      <c r="Y23" s="13">
        <v>2.5402427807411025E-7</v>
      </c>
      <c r="Z23" s="347"/>
      <c r="AA23" s="13">
        <v>1.4104896484140353E-2</v>
      </c>
      <c r="AB23" s="13">
        <v>8.9944533228451928E-3</v>
      </c>
      <c r="AC23" s="13">
        <v>2.6282466460974085E-7</v>
      </c>
      <c r="AD23" s="347"/>
      <c r="AE23" s="13">
        <v>1.473085865571892E-2</v>
      </c>
      <c r="AF23" s="13">
        <v>8.9028092783905513E-3</v>
      </c>
      <c r="AG23" s="13">
        <v>2.7324495450817324E-7</v>
      </c>
      <c r="AH23" s="347"/>
      <c r="AI23" s="13">
        <v>1.5460452247961616E-2</v>
      </c>
      <c r="AJ23" s="13">
        <v>8.8053832867768314E-3</v>
      </c>
      <c r="AK23" s="13">
        <v>2.8557069265741234E-7</v>
      </c>
      <c r="AL23" s="347"/>
      <c r="AM23" s="13">
        <v>1.6289063926757108E-2</v>
      </c>
      <c r="AN23" s="13">
        <v>8.7079503320209341E-3</v>
      </c>
      <c r="AO23" s="13">
        <v>2.9982191755631436E-7</v>
      </c>
      <c r="AP23" s="347"/>
      <c r="AQ23" s="13">
        <v>1.7169983295815656E-2</v>
      </c>
      <c r="AR23" s="13">
        <v>8.6255369138556418E-3</v>
      </c>
      <c r="AS23" s="13">
        <v>3.1535013048142936E-7</v>
      </c>
      <c r="AT23" s="347"/>
      <c r="AU23">
        <v>1.8342520206479633E-2</v>
      </c>
      <c r="AV23">
        <v>8.6406514904539926E-3</v>
      </c>
      <c r="AW23">
        <v>3.3779371216626688E-7</v>
      </c>
      <c r="AX23" s="347"/>
      <c r="AY23">
        <v>1.7726267974451117E-2</v>
      </c>
      <c r="AZ23">
        <v>8.9630206881416031E-3</v>
      </c>
      <c r="BA23">
        <v>3.2857394231832805E-7</v>
      </c>
      <c r="BB23" s="347"/>
      <c r="BC23">
        <v>1.4534143328943424E-2</v>
      </c>
      <c r="BD23">
        <v>9.901982033322437E-3</v>
      </c>
      <c r="BE23">
        <v>2.7241966835528227E-7</v>
      </c>
      <c r="BF23" s="347"/>
      <c r="BG23">
        <v>2.7777663582551466E-3</v>
      </c>
      <c r="BH23">
        <v>1.0537878168533155E-2</v>
      </c>
      <c r="BI23">
        <v>5.3254057765425164E-8</v>
      </c>
      <c r="BJ23" s="347"/>
    </row>
    <row r="24" spans="1:62">
      <c r="A24" s="344" t="s">
        <v>7</v>
      </c>
      <c r="B24" t="s">
        <v>17</v>
      </c>
      <c r="C24" s="79">
        <v>1.3051217141634881E-2</v>
      </c>
      <c r="D24" s="348">
        <v>3.231306201100132E-7</v>
      </c>
      <c r="E24" s="13"/>
      <c r="F24" s="347"/>
      <c r="G24" s="13">
        <v>1.3043263796299314E-2</v>
      </c>
      <c r="H24" s="13">
        <v>3.380021674892852E-7</v>
      </c>
      <c r="I24" s="13"/>
      <c r="J24" s="347"/>
      <c r="K24" s="13">
        <v>1.7860579029493166E-2</v>
      </c>
      <c r="L24" s="13">
        <v>1.2935368095234514E-2</v>
      </c>
      <c r="M24" s="13">
        <v>3.4605883108350931E-7</v>
      </c>
      <c r="N24" s="347"/>
      <c r="O24" s="13">
        <v>1.8503581980585035E-2</v>
      </c>
      <c r="P24" s="13">
        <v>1.2797971010556091E-2</v>
      </c>
      <c r="Q24" s="13">
        <v>3.5641787578531244E-7</v>
      </c>
      <c r="R24" s="347"/>
      <c r="S24" s="13">
        <v>1.9223141141099184E-2</v>
      </c>
      <c r="T24" s="13">
        <v>1.2666321860392821E-2</v>
      </c>
      <c r="U24" s="13">
        <v>3.6818977375663663E-7</v>
      </c>
      <c r="V24" s="347"/>
      <c r="W24" s="13">
        <v>2.0040506093557939E-2</v>
      </c>
      <c r="X24" s="13">
        <v>1.2529492930142315E-2</v>
      </c>
      <c r="Y24" s="13">
        <v>3.8186294039836307E-7</v>
      </c>
      <c r="Z24" s="347"/>
      <c r="AA24" s="13">
        <v>2.0990518171688538E-2</v>
      </c>
      <c r="AB24" s="13">
        <v>1.2382851337337577E-2</v>
      </c>
      <c r="AC24" s="13">
        <v>3.9797060557771774E-7</v>
      </c>
      <c r="AD24" s="347"/>
      <c r="AE24" s="13">
        <v>2.2111470151624239E-2</v>
      </c>
      <c r="AF24" s="13">
        <v>1.2223601042398797E-2</v>
      </c>
      <c r="AG24" s="13">
        <v>4.1712321106085891E-7</v>
      </c>
      <c r="AH24" s="347"/>
      <c r="AI24" s="13">
        <v>2.3433671973466907E-2</v>
      </c>
      <c r="AJ24" s="13">
        <v>1.205119749032137E-2</v>
      </c>
      <c r="AK24" s="13">
        <v>4.3990829320301466E-7</v>
      </c>
      <c r="AL24" s="347"/>
      <c r="AM24" s="13">
        <v>2.4964188729969038E-2</v>
      </c>
      <c r="AN24" s="13">
        <v>1.1873767067203632E-2</v>
      </c>
      <c r="AO24" s="13">
        <v>4.6654682367863398E-7</v>
      </c>
      <c r="AP24" s="347"/>
      <c r="AQ24" s="13">
        <v>2.6648922951033008E-2</v>
      </c>
      <c r="AR24" s="13">
        <v>1.171414529037882E-2</v>
      </c>
      <c r="AS24" s="13">
        <v>4.9627671642157438E-7</v>
      </c>
      <c r="AT24" s="347"/>
      <c r="AU24">
        <v>2.9407214589111549E-2</v>
      </c>
      <c r="AV24">
        <v>1.1666944717730332E-2</v>
      </c>
      <c r="AW24">
        <v>5.4693927645420624E-7</v>
      </c>
      <c r="AX24" s="347"/>
      <c r="AY24">
        <v>2.9092044726249239E-2</v>
      </c>
      <c r="AZ24">
        <v>1.2133796334138835E-2</v>
      </c>
      <c r="BA24">
        <v>5.4317283093733625E-7</v>
      </c>
      <c r="BB24" s="347"/>
      <c r="BC24">
        <v>2.477470427106776E-2</v>
      </c>
      <c r="BD24">
        <v>1.3628300259440193E-2</v>
      </c>
      <c r="BE24">
        <v>4.6630044641211336E-7</v>
      </c>
      <c r="BF24" s="347"/>
      <c r="BG24">
        <v>5.2290465067794103E-3</v>
      </c>
      <c r="BH24">
        <v>1.5658679331034042E-2</v>
      </c>
      <c r="BI24">
        <v>1.0024744266667524E-7</v>
      </c>
      <c r="BJ24" s="347"/>
    </row>
    <row r="25" spans="1:62">
      <c r="A25" s="344" t="s">
        <v>8</v>
      </c>
      <c r="B25" t="s">
        <v>17</v>
      </c>
      <c r="C25" s="79">
        <v>4.5350398783499729E-3</v>
      </c>
      <c r="D25" s="348">
        <v>5.6003751037629247E-8</v>
      </c>
      <c r="E25" s="13"/>
      <c r="F25" s="347"/>
      <c r="G25" s="13">
        <v>4.5322779197645583E-3</v>
      </c>
      <c r="H25" s="13">
        <v>6.0600133331906597E-8</v>
      </c>
      <c r="I25" s="13"/>
      <c r="J25" s="347"/>
      <c r="K25" s="13">
        <v>7.2531223592773942E-3</v>
      </c>
      <c r="L25" s="13">
        <v>4.47206896778371E-3</v>
      </c>
      <c r="M25" s="13">
        <v>6.2785716141983295E-8</v>
      </c>
      <c r="N25" s="347"/>
      <c r="O25" s="13">
        <v>7.6273134451180632E-3</v>
      </c>
      <c r="P25" s="13">
        <v>4.3949536021479609E-3</v>
      </c>
      <c r="Q25" s="13">
        <v>6.5545171559158233E-8</v>
      </c>
      <c r="R25" s="347"/>
      <c r="S25" s="13">
        <v>8.0527968088047915E-3</v>
      </c>
      <c r="T25" s="13">
        <v>4.320424749779281E-3</v>
      </c>
      <c r="U25" s="13">
        <v>6.8719761647122216E-8</v>
      </c>
      <c r="V25" s="347"/>
      <c r="W25" s="13">
        <v>8.5401526541419408E-3</v>
      </c>
      <c r="X25" s="13">
        <v>4.2422022272033486E-3</v>
      </c>
      <c r="Y25" s="13">
        <v>7.2445613672546646E-8</v>
      </c>
      <c r="Z25" s="347"/>
      <c r="AA25" s="13">
        <v>9.113937392147848E-3</v>
      </c>
      <c r="AB25" s="13">
        <v>4.1571171455081568E-3</v>
      </c>
      <c r="AC25" s="13">
        <v>7.6884006847747986E-8</v>
      </c>
      <c r="AD25" s="347"/>
      <c r="AE25" s="13">
        <v>9.8047261852392004E-3</v>
      </c>
      <c r="AF25" s="13">
        <v>4.0627997992261113E-3</v>
      </c>
      <c r="AG25" s="13">
        <v>8.2237693781316462E-8</v>
      </c>
      <c r="AH25" s="347"/>
      <c r="AI25" s="13">
        <v>1.0641795445742418E-2</v>
      </c>
      <c r="AJ25" s="13">
        <v>3.9573945086276404E-3</v>
      </c>
      <c r="AK25" s="13">
        <v>8.8734256099562841E-8</v>
      </c>
      <c r="AL25" s="347"/>
      <c r="AM25" s="13">
        <v>1.1651090892410539E-2</v>
      </c>
      <c r="AN25" s="13">
        <v>3.8429101435859055E-3</v>
      </c>
      <c r="AO25" s="13">
        <v>9.6573606048485597E-8</v>
      </c>
      <c r="AP25" s="347"/>
      <c r="AQ25" s="13">
        <v>1.2839374251086269E-2</v>
      </c>
      <c r="AR25" s="13">
        <v>3.7279698282875725E-3</v>
      </c>
      <c r="AS25" s="13">
        <v>1.0582556458370792E-7</v>
      </c>
      <c r="AT25" s="347"/>
      <c r="AU25">
        <v>1.5457252068663111E-2</v>
      </c>
      <c r="AV25">
        <v>3.5972622761226022E-3</v>
      </c>
      <c r="AW25">
        <v>1.2647072922195026E-7</v>
      </c>
      <c r="AX25" s="347"/>
      <c r="AY25">
        <v>1.6357443308427852E-2</v>
      </c>
      <c r="AZ25">
        <v>3.7331574057423186E-3</v>
      </c>
      <c r="BA25">
        <v>1.338421214507546E-7</v>
      </c>
      <c r="BB25" s="347"/>
      <c r="BC25">
        <v>1.5681584044887155E-2</v>
      </c>
      <c r="BD25">
        <v>4.3767627868464814E-3</v>
      </c>
      <c r="BE25">
        <v>1.287322322822527E-7</v>
      </c>
      <c r="BF25" s="347"/>
      <c r="BG25">
        <v>4.785462011565364E-3</v>
      </c>
      <c r="BH25">
        <v>6.7294545858810149E-3</v>
      </c>
      <c r="BI25">
        <v>3.9283234921378257E-8</v>
      </c>
      <c r="BJ25" s="347"/>
    </row>
    <row r="26" spans="1:62">
      <c r="A26" s="344" t="s">
        <v>9</v>
      </c>
      <c r="B26" t="s">
        <v>17</v>
      </c>
      <c r="C26" s="79">
        <v>4.2897480520170802E-3</v>
      </c>
      <c r="D26" s="348">
        <v>5.0577384553659599E-8</v>
      </c>
      <c r="E26" s="13"/>
      <c r="F26" s="347"/>
      <c r="G26" s="13">
        <v>4.2871344945806002E-3</v>
      </c>
      <c r="H26" s="13">
        <v>5.5255520066938183E-8</v>
      </c>
      <c r="I26" s="13"/>
      <c r="J26" s="347"/>
      <c r="K26" s="13">
        <v>6.7696253101150209E-3</v>
      </c>
      <c r="L26" s="13">
        <v>4.2321606448262354E-3</v>
      </c>
      <c r="M26" s="13">
        <v>5.7433924812013646E-8</v>
      </c>
      <c r="N26" s="347"/>
      <c r="O26" s="13">
        <v>7.1291793378857327E-3</v>
      </c>
      <c r="P26" s="13">
        <v>4.1609473800359453E-3</v>
      </c>
      <c r="Q26" s="13">
        <v>6.018402309277566E-8</v>
      </c>
      <c r="R26" s="347"/>
      <c r="S26" s="13">
        <v>7.5416149002832614E-3</v>
      </c>
      <c r="T26" s="13">
        <v>4.0911314175909692E-3</v>
      </c>
      <c r="U26" s="13">
        <v>6.3367969504448058E-8</v>
      </c>
      <c r="V26" s="347"/>
      <c r="W26" s="13">
        <v>8.0190991781018042E-3</v>
      </c>
      <c r="X26" s="13">
        <v>4.0167430359532652E-3</v>
      </c>
      <c r="Y26" s="13">
        <v>6.7127774058630752E-8</v>
      </c>
      <c r="Z26" s="347"/>
      <c r="AA26" s="13">
        <v>8.5864269499440326E-3</v>
      </c>
      <c r="AB26" s="13">
        <v>3.9345752467570862E-3</v>
      </c>
      <c r="AC26" s="13">
        <v>7.1634243251923493E-8</v>
      </c>
      <c r="AD26" s="347"/>
      <c r="AE26" s="13">
        <v>9.2748336624147026E-3</v>
      </c>
      <c r="AF26" s="13">
        <v>3.8420575322716012E-3</v>
      </c>
      <c r="AG26" s="13">
        <v>7.710480496505262E-8</v>
      </c>
      <c r="AH26" s="347"/>
      <c r="AI26" s="13">
        <v>1.0115346140012377E-2</v>
      </c>
      <c r="AJ26" s="13">
        <v>3.7369923259630905E-3</v>
      </c>
      <c r="AK26" s="13">
        <v>8.3787645413696429E-8</v>
      </c>
      <c r="AL26" s="347"/>
      <c r="AM26" s="13">
        <v>1.1136385987514262E-2</v>
      </c>
      <c r="AN26" s="13">
        <v>3.6208075311630404E-3</v>
      </c>
      <c r="AO26" s="13">
        <v>9.1912494997978481E-8</v>
      </c>
      <c r="AP26" s="347"/>
      <c r="AQ26" s="13">
        <v>1.2348502424693625E-2</v>
      </c>
      <c r="AR26" s="13">
        <v>3.5013233986175727E-3</v>
      </c>
      <c r="AS26" s="13">
        <v>1.0159096185636036E-7</v>
      </c>
      <c r="AT26" s="347"/>
      <c r="AU26">
        <v>1.5088042403634252E-2</v>
      </c>
      <c r="AV26">
        <v>3.3498904562633712E-3</v>
      </c>
      <c r="AW26">
        <v>1.2385381414495844E-7</v>
      </c>
      <c r="AX26" s="347"/>
      <c r="AY26">
        <v>1.6112567094505887E-2</v>
      </c>
      <c r="AZ26">
        <v>3.4614753753874667E-3</v>
      </c>
      <c r="BA26">
        <v>1.3262465922740822E-7</v>
      </c>
      <c r="BB26" s="347"/>
      <c r="BC26">
        <v>1.5670900165094578E-2</v>
      </c>
      <c r="BD26">
        <v>4.0595953646307683E-3</v>
      </c>
      <c r="BE26">
        <v>1.2976780087548017E-7</v>
      </c>
      <c r="BF26" s="347"/>
      <c r="BG26">
        <v>5.0240958882194538E-3</v>
      </c>
      <c r="BH26">
        <v>6.4631509158474855E-3</v>
      </c>
      <c r="BI26">
        <v>4.1715535568173834E-8</v>
      </c>
      <c r="BJ26" s="347"/>
    </row>
    <row r="27" spans="1:62">
      <c r="A27" s="344" t="s">
        <v>10</v>
      </c>
      <c r="B27" t="s">
        <v>17</v>
      </c>
      <c r="C27" s="79">
        <v>5.2341630953915931E-3</v>
      </c>
      <c r="D27" s="348">
        <v>2.4214768526546081E-8</v>
      </c>
      <c r="E27" s="13"/>
      <c r="F27" s="347"/>
      <c r="G27" s="13">
        <v>5.2309810556056052E-3</v>
      </c>
      <c r="H27" s="13">
        <v>2.7601749885515312E-8</v>
      </c>
      <c r="I27" s="13"/>
      <c r="J27" s="347"/>
      <c r="K27" s="13">
        <v>9.2126131444811733E-3</v>
      </c>
      <c r="L27" s="13">
        <v>5.1432356446134003E-3</v>
      </c>
      <c r="M27" s="13">
        <v>2.9104345119376315E-8</v>
      </c>
      <c r="N27" s="347"/>
      <c r="O27" s="13">
        <v>9.8322647698140739E-3</v>
      </c>
      <c r="P27" s="13">
        <v>5.0276884122929556E-3</v>
      </c>
      <c r="Q27" s="13">
        <v>3.0997044644615661E-8</v>
      </c>
      <c r="R27" s="347"/>
      <c r="S27" s="13">
        <v>1.0556488059937407E-2</v>
      </c>
      <c r="T27" s="13">
        <v>4.9119074886321496E-3</v>
      </c>
      <c r="U27" s="13">
        <v>3.3223905926655189E-8</v>
      </c>
      <c r="V27" s="347"/>
      <c r="W27" s="13">
        <v>1.1409248997226612E-2</v>
      </c>
      <c r="X27" s="13">
        <v>4.7856436610549712E-3</v>
      </c>
      <c r="Y27" s="13">
        <v>3.5893522360804666E-8</v>
      </c>
      <c r="Z27" s="347"/>
      <c r="AA27" s="13">
        <v>1.2439948279719023E-2</v>
      </c>
      <c r="AB27" s="13">
        <v>4.642539276283544E-3</v>
      </c>
      <c r="AC27" s="13">
        <v>3.9142412172136252E-8</v>
      </c>
      <c r="AD27" s="347"/>
      <c r="AE27" s="13">
        <v>1.371371731743024E-2</v>
      </c>
      <c r="AF27" s="13">
        <v>4.4768103454435734E-3</v>
      </c>
      <c r="AG27" s="13">
        <v>4.315022498946497E-8</v>
      </c>
      <c r="AH27" s="347"/>
      <c r="AI27" s="13">
        <v>1.5299173957028046E-2</v>
      </c>
      <c r="AJ27" s="13">
        <v>4.2825638322753551E-3</v>
      </c>
      <c r="AK27" s="13">
        <v>4.8130382236737104E-8</v>
      </c>
      <c r="AL27" s="347"/>
      <c r="AM27" s="13">
        <v>1.7268736643035965E-2</v>
      </c>
      <c r="AN27" s="13">
        <v>4.0592013079400746E-3</v>
      </c>
      <c r="AO27" s="13">
        <v>5.4308267420616393E-8</v>
      </c>
      <c r="AP27" s="347"/>
      <c r="AQ27" s="13">
        <v>1.9677904557423489E-2</v>
      </c>
      <c r="AR27" s="13">
        <v>3.8157719370026382E-3</v>
      </c>
      <c r="AS27" s="13">
        <v>6.1874265324118465E-8</v>
      </c>
      <c r="AT27" s="347"/>
      <c r="AU27">
        <v>2.5768344144831208E-2</v>
      </c>
      <c r="AV27">
        <v>3.406830264929773E-3</v>
      </c>
      <c r="AW27">
        <v>8.1290197946823416E-8</v>
      </c>
      <c r="AX27" s="347"/>
      <c r="AY27">
        <v>2.8958528288404683E-2</v>
      </c>
      <c r="AZ27">
        <v>3.4131762932468027E-3</v>
      </c>
      <c r="BA27">
        <v>9.1840786470421611E-8</v>
      </c>
      <c r="BB27" s="347"/>
      <c r="BC27">
        <v>3.1027847412885987E-2</v>
      </c>
      <c r="BD27">
        <v>4.033366162996219E-3</v>
      </c>
      <c r="BE27">
        <v>9.925070871774109E-8</v>
      </c>
      <c r="BF27" s="347"/>
      <c r="BG27">
        <v>1.5350875205739261E-2</v>
      </c>
      <c r="BH27">
        <v>8.992385729777317E-3</v>
      </c>
      <c r="BI27">
        <v>4.9378783331404554E-8</v>
      </c>
      <c r="BJ27" s="347"/>
    </row>
    <row r="28" spans="1:62">
      <c r="A28" s="344" t="s">
        <v>35</v>
      </c>
      <c r="B28" t="s">
        <v>17</v>
      </c>
      <c r="C28" s="79">
        <v>7.4229814003118656E-3</v>
      </c>
      <c r="D28" s="348">
        <v>2.673696589289303E-8</v>
      </c>
      <c r="E28" s="13"/>
      <c r="F28" s="347"/>
      <c r="G28" s="13">
        <v>7.4184683938587747E-3</v>
      </c>
      <c r="H28" s="13">
        <v>3.1640470269186973E-8</v>
      </c>
      <c r="I28" s="13"/>
      <c r="J28" s="347"/>
      <c r="K28" s="13">
        <v>1.491563091053039E-2</v>
      </c>
      <c r="L28" s="13">
        <v>7.2538719575756961E-3</v>
      </c>
      <c r="M28" s="13">
        <v>3.3756607792550888E-8</v>
      </c>
      <c r="N28" s="347"/>
      <c r="O28" s="13">
        <v>1.6129289416713034E-2</v>
      </c>
      <c r="P28" s="13">
        <v>7.0350623916604817E-3</v>
      </c>
      <c r="Q28" s="13">
        <v>3.6412348687356795E-8</v>
      </c>
      <c r="R28" s="347"/>
      <c r="S28" s="13">
        <v>1.7562125003180242E-2</v>
      </c>
      <c r="T28" s="13">
        <v>6.81310783305813E-3</v>
      </c>
      <c r="U28" s="13">
        <v>3.9564402687443812E-8</v>
      </c>
      <c r="V28" s="347"/>
      <c r="W28" s="13">
        <v>1.9256908896314196E-2</v>
      </c>
      <c r="X28" s="13">
        <v>6.5684852214002599E-3</v>
      </c>
      <c r="Y28" s="13">
        <v>4.3366115823981011E-8</v>
      </c>
      <c r="Z28" s="347"/>
      <c r="AA28" s="13">
        <v>2.1312175860706724E-2</v>
      </c>
      <c r="AB28" s="13">
        <v>6.2885480850468E-3</v>
      </c>
      <c r="AC28" s="13">
        <v>4.800971150479413E-8</v>
      </c>
      <c r="AD28" s="347"/>
      <c r="AE28" s="13">
        <v>2.385844755182116E-2</v>
      </c>
      <c r="AF28" s="13">
        <v>5.9617646280335172E-3</v>
      </c>
      <c r="AG28" s="13">
        <v>5.3743532663781595E-8</v>
      </c>
      <c r="AH28" s="347"/>
      <c r="AI28" s="13">
        <v>2.7026388460794692E-2</v>
      </c>
      <c r="AJ28" s="13">
        <v>5.5769040103001268E-3</v>
      </c>
      <c r="AK28" s="13">
        <v>6.0847962381240011E-8</v>
      </c>
      <c r="AL28" s="347"/>
      <c r="AM28" s="13">
        <v>3.0953213574171433E-2</v>
      </c>
      <c r="AN28" s="13">
        <v>5.1335794054299562E-3</v>
      </c>
      <c r="AO28" s="13">
        <v>6.9607467494955255E-8</v>
      </c>
      <c r="AP28" s="347"/>
      <c r="AQ28" s="13">
        <v>3.5751191757428261E-2</v>
      </c>
      <c r="AR28" s="13">
        <v>4.6497960964867972E-3</v>
      </c>
      <c r="AS28" s="13">
        <v>8.0266617976527834E-8</v>
      </c>
      <c r="AT28" s="347"/>
      <c r="AU28">
        <v>4.8259816822625555E-2</v>
      </c>
      <c r="AV28">
        <v>3.7899277307396296E-3</v>
      </c>
      <c r="AW28">
        <v>1.0822178369169909E-7</v>
      </c>
      <c r="AX28" s="347"/>
      <c r="AY28">
        <v>5.5635117870843888E-2</v>
      </c>
      <c r="AZ28">
        <v>3.6338143330079437E-3</v>
      </c>
      <c r="BA28">
        <v>1.2508431686883432E-7</v>
      </c>
      <c r="BB28" s="347"/>
      <c r="BC28">
        <v>6.3170527441866228E-2</v>
      </c>
      <c r="BD28">
        <v>4.2260995806547644E-3</v>
      </c>
      <c r="BE28">
        <v>1.4284769951902574E-7</v>
      </c>
      <c r="BF28" s="347"/>
      <c r="BG28">
        <v>4.5654269552251783E-2</v>
      </c>
      <c r="BH28">
        <v>1.2710195370496695E-2</v>
      </c>
      <c r="BI28">
        <v>1.0347395798172272E-7</v>
      </c>
      <c r="BJ28" s="347"/>
    </row>
    <row r="29" spans="1:62">
      <c r="A29" s="344" t="s">
        <v>163</v>
      </c>
      <c r="B29" t="s">
        <v>17</v>
      </c>
      <c r="C29" s="79">
        <v>1.4353406107591758E-2</v>
      </c>
      <c r="D29" s="348">
        <v>3.5483101714341772E-8</v>
      </c>
      <c r="E29" s="13"/>
      <c r="F29" s="347"/>
      <c r="G29" s="13">
        <v>1.4344683298046482E-2</v>
      </c>
      <c r="H29" s="13">
        <v>4.3709097781035315E-8</v>
      </c>
      <c r="I29" s="13"/>
      <c r="J29" s="347"/>
      <c r="K29" s="13">
        <v>3.296547016501495E-2</v>
      </c>
      <c r="L29" s="13">
        <v>1.3936920314910062E-2</v>
      </c>
      <c r="M29" s="13">
        <v>4.7192571697468928E-8</v>
      </c>
      <c r="N29" s="347"/>
      <c r="O29" s="13">
        <v>3.6085184059596424E-2</v>
      </c>
      <c r="P29" s="13">
        <v>1.339020389548322E-2</v>
      </c>
      <c r="Q29" s="13">
        <v>5.1549670412784357E-8</v>
      </c>
      <c r="R29" s="347"/>
      <c r="S29" s="13">
        <v>3.9796193901922884E-2</v>
      </c>
      <c r="T29" s="13">
        <v>1.2829701612945266E-2</v>
      </c>
      <c r="U29" s="13">
        <v>5.675728188426662E-8</v>
      </c>
      <c r="V29" s="347"/>
      <c r="W29" s="13">
        <v>4.4194431346817019E-2</v>
      </c>
      <c r="X29" s="13">
        <v>1.2206926391601444E-2</v>
      </c>
      <c r="Y29" s="13">
        <v>6.306088206266312E-8</v>
      </c>
      <c r="Z29" s="347"/>
      <c r="AA29" s="13">
        <v>4.9523347441629041E-2</v>
      </c>
      <c r="AB29" s="13">
        <v>1.1490420263015048E-2</v>
      </c>
      <c r="AC29" s="13">
        <v>7.0760121196370476E-8</v>
      </c>
      <c r="AD29" s="347"/>
      <c r="AE29" s="13">
        <v>5.6097797190003879E-2</v>
      </c>
      <c r="AF29" s="13">
        <v>1.065319546956737E-2</v>
      </c>
      <c r="AG29" s="13">
        <v>8.0222178844124579E-8</v>
      </c>
      <c r="AH29" s="347"/>
      <c r="AI29" s="13">
        <v>6.4196376519509671E-2</v>
      </c>
      <c r="AJ29" s="13">
        <v>9.6733765425140155E-3</v>
      </c>
      <c r="AK29" s="13">
        <v>9.1815270202750325E-8</v>
      </c>
      <c r="AL29" s="347"/>
      <c r="AM29" s="13">
        <v>7.4086578348937088E-2</v>
      </c>
      <c r="AN29" s="13">
        <v>8.5618223781553319E-3</v>
      </c>
      <c r="AO29" s="13">
        <v>1.0586229025130241E-7</v>
      </c>
      <c r="AP29" s="347"/>
      <c r="AQ29" s="13">
        <v>8.5975139555035648E-2</v>
      </c>
      <c r="AR29" s="13">
        <v>7.3776204674083747E-3</v>
      </c>
      <c r="AS29" s="13">
        <v>1.2261652166081191E-7</v>
      </c>
      <c r="AT29" s="347"/>
      <c r="AU29">
        <v>0.11695436745812558</v>
      </c>
      <c r="AV29">
        <v>5.3063801617542301E-3</v>
      </c>
      <c r="AW29">
        <v>1.6630412305588329E-7</v>
      </c>
      <c r="AX29" s="347"/>
      <c r="AY29">
        <v>0.13642465232871462</v>
      </c>
      <c r="AZ29">
        <v>4.76696473150092E-3</v>
      </c>
      <c r="BA29">
        <v>1.9425292060856666E-7</v>
      </c>
      <c r="BB29" s="347"/>
      <c r="BC29">
        <v>0.16034743886330727</v>
      </c>
      <c r="BD29">
        <v>5.2833801932423438E-3</v>
      </c>
      <c r="BE29">
        <v>2.2935176297043457E-7</v>
      </c>
      <c r="BF29" s="347"/>
      <c r="BG29">
        <v>0.15890888887799925</v>
      </c>
      <c r="BH29">
        <v>1.9924977736697446E-2</v>
      </c>
      <c r="BI29">
        <v>2.2748158623025977E-7</v>
      </c>
      <c r="BJ29" s="347"/>
    </row>
    <row r="30" spans="1:62">
      <c r="A30" s="344" t="s">
        <v>37</v>
      </c>
      <c r="B30" t="s">
        <v>17</v>
      </c>
      <c r="C30" s="79">
        <v>1.1899418228643372E-2</v>
      </c>
      <c r="D30" s="348">
        <v>5.4531395730780056E-9</v>
      </c>
      <c r="E30" s="13"/>
      <c r="F30" s="347"/>
      <c r="G30" s="13">
        <v>1.1892201205398571E-2</v>
      </c>
      <c r="H30" s="13">
        <v>7.4271476256284319E-9</v>
      </c>
      <c r="I30" s="13"/>
      <c r="J30" s="347"/>
      <c r="K30" s="13">
        <v>3.4263076533055319E-2</v>
      </c>
      <c r="L30" s="13">
        <v>1.1403691753773813E-2</v>
      </c>
      <c r="M30" s="13">
        <v>8.2630558637196885E-9</v>
      </c>
      <c r="N30" s="347"/>
      <c r="O30" s="13">
        <v>3.8339259655952258E-2</v>
      </c>
      <c r="P30" s="13">
        <v>1.0734210805022047E-2</v>
      </c>
      <c r="Q30" s="13">
        <v>9.3132585168518662E-9</v>
      </c>
      <c r="R30" s="347"/>
      <c r="S30" s="13">
        <v>4.3250706925049211E-2</v>
      </c>
      <c r="T30" s="13">
        <v>1.0030377497782249E-2</v>
      </c>
      <c r="U30" s="13">
        <v>1.0591517352137415E-8</v>
      </c>
      <c r="V30" s="347"/>
      <c r="W30" s="13">
        <v>4.9092804121542211E-2</v>
      </c>
      <c r="X30" s="13">
        <v>9.2339030946971459E-3</v>
      </c>
      <c r="Y30" s="13">
        <v>1.2154738642578347E-8</v>
      </c>
      <c r="Z30" s="347"/>
      <c r="AA30" s="13">
        <v>5.6109263417954559E-2</v>
      </c>
      <c r="AB30" s="13">
        <v>8.3110325121023253E-3</v>
      </c>
      <c r="AC30" s="13">
        <v>1.406394796251613E-8</v>
      </c>
      <c r="AD30" s="347"/>
      <c r="AE30" s="13">
        <v>6.4557489481576039E-2</v>
      </c>
      <c r="AF30" s="13">
        <v>7.2442828785908055E-3</v>
      </c>
      <c r="AG30" s="13">
        <v>1.6376558839328746E-8</v>
      </c>
      <c r="AH30" s="347"/>
      <c r="AI30" s="13">
        <v>7.4505505826153437E-2</v>
      </c>
      <c r="AJ30" s="13">
        <v>6.0425093738518156E-3</v>
      </c>
      <c r="AK30" s="13">
        <v>1.9116462236980511E-8</v>
      </c>
      <c r="AL30" s="347"/>
      <c r="AM30" s="13">
        <v>8.5914614182636975E-2</v>
      </c>
      <c r="AN30" s="13">
        <v>4.7741912376381033E-3</v>
      </c>
      <c r="AO30" s="13">
        <v>2.2273572990491828E-8</v>
      </c>
      <c r="AP30" s="347"/>
      <c r="AQ30" s="13">
        <v>9.8760048282858295E-2</v>
      </c>
      <c r="AR30" s="13">
        <v>3.5610712056190503E-3</v>
      </c>
      <c r="AS30" s="13">
        <v>2.584692136872411E-8</v>
      </c>
      <c r="AT30" s="347"/>
      <c r="AU30">
        <v>0.13080458962112168</v>
      </c>
      <c r="AV30">
        <v>1.7742891851088777E-3</v>
      </c>
      <c r="AW30">
        <v>3.4954789205919222E-8</v>
      </c>
      <c r="AX30" s="347"/>
      <c r="AY30">
        <v>0.15261983766363868</v>
      </c>
      <c r="AZ30">
        <v>1.3006014806276416E-3</v>
      </c>
      <c r="BA30">
        <v>4.1376856771171612E-8</v>
      </c>
      <c r="BB30" s="347"/>
      <c r="BC30">
        <v>0.18370071762224727</v>
      </c>
      <c r="BD30">
        <v>1.1810960602871633E-3</v>
      </c>
      <c r="BE30">
        <v>5.0749716335013783E-8</v>
      </c>
      <c r="BF30" s="347"/>
      <c r="BG30">
        <v>0.25487128253857499</v>
      </c>
      <c r="BH30">
        <v>4.8933218126662398E-3</v>
      </c>
      <c r="BI30">
        <v>7.1691488701580357E-8</v>
      </c>
      <c r="BJ30" s="347"/>
    </row>
    <row r="31" spans="1:62">
      <c r="A31" s="344" t="s">
        <v>38</v>
      </c>
      <c r="B31" t="s">
        <v>17</v>
      </c>
      <c r="C31" s="79">
        <v>8.6835041791191031E-3</v>
      </c>
      <c r="D31" s="348">
        <v>5.7449285951053218E-10</v>
      </c>
      <c r="E31" s="13"/>
      <c r="F31" s="347"/>
      <c r="G31" s="13">
        <v>8.6782409338612091E-3</v>
      </c>
      <c r="H31" s="13">
        <v>9.0289947940927973E-10</v>
      </c>
      <c r="I31" s="13"/>
      <c r="J31" s="347"/>
      <c r="K31" s="13">
        <v>4.327409924598271E-2</v>
      </c>
      <c r="L31" s="13">
        <v>7.9252583009826547E-3</v>
      </c>
      <c r="M31" s="13">
        <v>1.0256588608376133E-9</v>
      </c>
      <c r="N31" s="347"/>
      <c r="O31" s="13">
        <v>4.8889928667618057E-2</v>
      </c>
      <c r="P31" s="13">
        <v>6.9235991979469478E-3</v>
      </c>
      <c r="Q31" s="13">
        <v>1.1663895027901596E-9</v>
      </c>
      <c r="R31" s="347"/>
      <c r="S31" s="13">
        <v>5.5269180181809027E-2</v>
      </c>
      <c r="T31" s="13">
        <v>5.9237395301307959E-3</v>
      </c>
      <c r="U31" s="13">
        <v>1.3290387741137808E-9</v>
      </c>
      <c r="V31" s="347"/>
      <c r="W31" s="13">
        <v>6.2046101268664007E-2</v>
      </c>
      <c r="X31" s="13">
        <v>4.8878846540991311E-3</v>
      </c>
      <c r="Y31" s="13">
        <v>1.5112001893878389E-9</v>
      </c>
      <c r="Z31" s="347"/>
      <c r="AA31" s="13">
        <v>6.907457406630281E-2</v>
      </c>
      <c r="AB31" s="13">
        <v>3.835148332931609E-3</v>
      </c>
      <c r="AC31" s="13">
        <v>1.7078373343558871E-9</v>
      </c>
      <c r="AD31" s="347"/>
      <c r="AE31" s="13">
        <v>7.6217052838407129E-2</v>
      </c>
      <c r="AF31" s="13">
        <v>2.8192595470196199E-3</v>
      </c>
      <c r="AG31" s="13">
        <v>1.9116752495546057E-9</v>
      </c>
      <c r="AH31" s="347"/>
      <c r="AI31" s="13">
        <v>8.323868973497095E-2</v>
      </c>
      <c r="AJ31" s="13">
        <v>1.9138305828145438E-3</v>
      </c>
      <c r="AK31" s="13">
        <v>2.1152764922920009E-9</v>
      </c>
      <c r="AL31" s="347"/>
      <c r="AM31" s="13">
        <v>9.0320554240193113E-2</v>
      </c>
      <c r="AN31" s="13">
        <v>1.1911203295970148E-3</v>
      </c>
      <c r="AO31" s="13">
        <v>2.3203220132199703E-9</v>
      </c>
      <c r="AP31" s="347"/>
      <c r="AQ31" s="13">
        <v>9.818038584425974E-2</v>
      </c>
      <c r="AR31" s="13">
        <v>6.8196940675232175E-4</v>
      </c>
      <c r="AS31" s="13">
        <v>2.5437676014056109E-9</v>
      </c>
      <c r="AT31" s="347"/>
      <c r="AU31">
        <v>0.12058622969667593</v>
      </c>
      <c r="AV31">
        <v>1.8830450307307989E-4</v>
      </c>
      <c r="AW31">
        <v>3.1772466560951905E-9</v>
      </c>
      <c r="AX31" s="347"/>
      <c r="AY31">
        <v>0.13902742088170039</v>
      </c>
      <c r="AZ31">
        <v>1.0072271470581561E-4</v>
      </c>
      <c r="BA31">
        <v>3.7109189108964241E-9</v>
      </c>
      <c r="BB31" s="347"/>
      <c r="BC31">
        <v>0.1672992943338322</v>
      </c>
      <c r="BD31">
        <v>6.5752702289125308E-5</v>
      </c>
      <c r="BE31">
        <v>4.552188787835078E-9</v>
      </c>
      <c r="BF31" s="347"/>
      <c r="BG31">
        <v>0.2498717166546659</v>
      </c>
      <c r="BH31">
        <v>2.0476161574529855E-4</v>
      </c>
      <c r="BI31">
        <v>6.9526632496055751E-9</v>
      </c>
      <c r="BJ31" s="347"/>
    </row>
    <row r="32" spans="1:62">
      <c r="A32" s="344" t="s">
        <v>39</v>
      </c>
      <c r="B32" t="s">
        <v>17</v>
      </c>
      <c r="C32" s="79">
        <v>7.3722045953882797E-3</v>
      </c>
      <c r="D32" s="348">
        <v>5.6615512101817004E-11</v>
      </c>
      <c r="E32" s="13"/>
      <c r="F32" s="347"/>
      <c r="G32" s="13">
        <v>7.3677368283372466E-3</v>
      </c>
      <c r="H32" s="13">
        <v>1.0986526756413541E-10</v>
      </c>
      <c r="I32" s="13"/>
      <c r="J32" s="347"/>
      <c r="K32" s="13">
        <v>7.7044813793378714E-2</v>
      </c>
      <c r="L32" s="13">
        <v>5.8537879551463943E-3</v>
      </c>
      <c r="M32" s="13">
        <v>1.2018875287670728E-10</v>
      </c>
      <c r="N32" s="347"/>
      <c r="O32" s="13">
        <v>8.066640642233687E-2</v>
      </c>
      <c r="P32" s="13">
        <v>4.1793070146970814E-3</v>
      </c>
      <c r="Q32" s="13">
        <v>1.2615242828511908E-10</v>
      </c>
      <c r="R32" s="347"/>
      <c r="S32" s="13">
        <v>8.3879194616973823E-2</v>
      </c>
      <c r="T32" s="13">
        <v>2.8742293555560649E-3</v>
      </c>
      <c r="U32" s="13">
        <v>1.3173712197262134E-10</v>
      </c>
      <c r="V32" s="347"/>
      <c r="W32" s="13">
        <v>8.5836778175104947E-2</v>
      </c>
      <c r="X32" s="13">
        <v>1.8672102990499224E-3</v>
      </c>
      <c r="Y32" s="13">
        <v>1.3643754293053232E-10</v>
      </c>
      <c r="Z32" s="347"/>
      <c r="AA32" s="13">
        <v>8.6967435139963814E-2</v>
      </c>
      <c r="AB32" s="13">
        <v>1.1311716988259815E-3</v>
      </c>
      <c r="AC32" s="13">
        <v>1.403696288720543E-10</v>
      </c>
      <c r="AD32" s="347"/>
      <c r="AE32" s="13">
        <v>8.7961496208546347E-2</v>
      </c>
      <c r="AF32" s="13">
        <v>6.3076415810265133E-4</v>
      </c>
      <c r="AG32" s="13">
        <v>1.4394781099606915E-10</v>
      </c>
      <c r="AH32" s="347"/>
      <c r="AI32" s="13">
        <v>8.936765246635224E-2</v>
      </c>
      <c r="AJ32" s="13">
        <v>3.194951023969498E-4</v>
      </c>
      <c r="AK32" s="13">
        <v>1.4787425261708317E-10</v>
      </c>
      <c r="AL32" s="347"/>
      <c r="AM32" s="13">
        <v>9.2005075658012109E-2</v>
      </c>
      <c r="AN32" s="13">
        <v>1.4576078520063006E-4</v>
      </c>
      <c r="AO32" s="13">
        <v>1.5321425721247931E-10</v>
      </c>
      <c r="AP32" s="347"/>
      <c r="AQ32" s="13">
        <v>9.6764034827988218E-2</v>
      </c>
      <c r="AR32" s="13">
        <v>5.9809039115400334E-5</v>
      </c>
      <c r="AS32" s="13">
        <v>1.6129483727583024E-10</v>
      </c>
      <c r="AT32" s="347"/>
      <c r="AU32">
        <v>0.11556388978040491</v>
      </c>
      <c r="AV32">
        <v>7.7370890419347842E-6</v>
      </c>
      <c r="AW32">
        <v>1.9170143816181241E-10</v>
      </c>
      <c r="AX32" s="347"/>
      <c r="AY32">
        <v>0.13283155710205777</v>
      </c>
      <c r="AZ32">
        <v>2.6997706308462066E-6</v>
      </c>
      <c r="BA32">
        <v>2.2054279785817137E-10</v>
      </c>
      <c r="BB32" s="347"/>
      <c r="BC32">
        <v>0.15972290764795471</v>
      </c>
      <c r="BD32">
        <v>1.1146808188544769E-6</v>
      </c>
      <c r="BE32">
        <v>2.6736339054434652E-10</v>
      </c>
      <c r="BF32" s="347"/>
      <c r="BG32">
        <v>0.23931053817044975</v>
      </c>
      <c r="BH32">
        <v>2.1199496694283029E-6</v>
      </c>
      <c r="BI32">
        <v>4.0568318799244939E-10</v>
      </c>
      <c r="BJ32" s="347"/>
    </row>
    <row r="33" spans="1:62">
      <c r="A33" s="344" t="s">
        <v>40</v>
      </c>
      <c r="B33" t="s">
        <v>17</v>
      </c>
      <c r="C33" s="13">
        <v>3.1377782218420084E-10</v>
      </c>
      <c r="D33" s="13">
        <v>2.802635178492198E-2</v>
      </c>
      <c r="E33" s="13"/>
      <c r="F33" s="347"/>
      <c r="G33" s="13">
        <v>5.6809661150352921E-10</v>
      </c>
      <c r="H33" s="13">
        <v>2.8032039001085435E-2</v>
      </c>
      <c r="I33" s="13"/>
      <c r="J33" s="347"/>
      <c r="K33" s="13">
        <v>2.0579873312730998E-8</v>
      </c>
      <c r="L33" s="13">
        <v>6.0094845866186893E-10</v>
      </c>
      <c r="M33" s="13">
        <v>2.803417367178053E-2</v>
      </c>
      <c r="N33" s="347"/>
      <c r="O33" s="13">
        <v>2.5154680617077236E-8</v>
      </c>
      <c r="P33" s="13">
        <v>6.4181056162191971E-10</v>
      </c>
      <c r="Q33" s="13">
        <v>2.8036824375296358E-2</v>
      </c>
      <c r="R33" s="347"/>
      <c r="S33" s="13">
        <v>3.0303305245832954E-8</v>
      </c>
      <c r="T33" s="13">
        <v>7.2655910179064589E-10</v>
      </c>
      <c r="U33" s="13">
        <v>2.8039797487782292E-2</v>
      </c>
      <c r="V33" s="347"/>
      <c r="W33" s="13">
        <v>3.5228711767261774E-8</v>
      </c>
      <c r="X33" s="13">
        <v>8.7154944615884743E-10</v>
      </c>
      <c r="Y33" s="13">
        <v>2.8043018926193288E-2</v>
      </c>
      <c r="Z33" s="347"/>
      <c r="AA33" s="13">
        <v>3.9941472380970093E-8</v>
      </c>
      <c r="AB33" s="13">
        <v>1.1141178203644604E-9</v>
      </c>
      <c r="AC33" s="13">
        <v>2.8046330566760546E-2</v>
      </c>
      <c r="AD33" s="347"/>
      <c r="AE33" s="13">
        <v>4.4729814402529331E-8</v>
      </c>
      <c r="AF33" s="13">
        <v>1.5295032247885873E-9</v>
      </c>
      <c r="AG33" s="13">
        <v>2.8050189956922357E-2</v>
      </c>
      <c r="AH33" s="347"/>
      <c r="AI33" s="13">
        <v>4.9810134314830365E-8</v>
      </c>
      <c r="AJ33" s="13">
        <v>2.2713716497128495E-9</v>
      </c>
      <c r="AK33" s="13">
        <v>2.8054476315404493E-2</v>
      </c>
      <c r="AL33" s="347"/>
      <c r="AM33" s="13">
        <v>5.5926255120816623E-8</v>
      </c>
      <c r="AN33" s="13">
        <v>3.6712785132824094E-9</v>
      </c>
      <c r="AO33" s="13">
        <v>2.8059347639581192E-2</v>
      </c>
      <c r="AP33" s="347"/>
      <c r="AQ33" s="13">
        <v>6.4465059525760395E-8</v>
      </c>
      <c r="AR33" s="13">
        <v>6.4762806420071495E-9</v>
      </c>
      <c r="AS33" s="13">
        <v>2.8065218189830963E-2</v>
      </c>
      <c r="AT33" s="347"/>
      <c r="AU33">
        <v>9.9791633172641862E-8</v>
      </c>
      <c r="AV33">
        <v>2.6173752777142936E-8</v>
      </c>
      <c r="AW33">
        <v>2.8084320409637372E-2</v>
      </c>
      <c r="AX33" s="347"/>
      <c r="AY33">
        <v>1.4298735345957596E-7</v>
      </c>
      <c r="AZ33">
        <v>6.1258260093196542E-8</v>
      </c>
      <c r="BA33">
        <v>2.8098291012755131E-2</v>
      </c>
      <c r="BB33" s="347"/>
      <c r="BC33">
        <v>2.4254330363962927E-7</v>
      </c>
      <c r="BD33">
        <v>1.8010695407664436E-7</v>
      </c>
      <c r="BE33">
        <v>2.8124475193045551E-2</v>
      </c>
      <c r="BF33" s="347"/>
      <c r="BG33">
        <v>8.827372895919659E-7</v>
      </c>
      <c r="BH33">
        <v>2.1589276861831972E-6</v>
      </c>
      <c r="BI33">
        <v>2.8392225883027113E-2</v>
      </c>
      <c r="BJ33" s="347"/>
    </row>
    <row r="34" spans="1:62">
      <c r="A34" s="344" t="s">
        <v>41</v>
      </c>
      <c r="B34" t="s">
        <v>17</v>
      </c>
      <c r="C34" s="13"/>
      <c r="D34" s="13"/>
      <c r="E34" s="13"/>
      <c r="F34" s="347"/>
      <c r="G34" s="13"/>
      <c r="H34" s="13"/>
      <c r="I34" s="13"/>
      <c r="J34" s="347"/>
      <c r="K34" s="13"/>
      <c r="L34" s="13"/>
      <c r="M34" s="13"/>
      <c r="N34" s="347"/>
      <c r="O34" s="13"/>
      <c r="P34" s="13"/>
      <c r="Q34" s="13"/>
      <c r="R34" s="347"/>
      <c r="S34" s="13"/>
      <c r="T34" s="13"/>
      <c r="U34" s="13"/>
      <c r="V34" s="347"/>
      <c r="W34" s="13"/>
      <c r="X34" s="13"/>
      <c r="Y34" s="13"/>
      <c r="Z34" s="347"/>
      <c r="AA34" s="13"/>
      <c r="AB34" s="13"/>
      <c r="AC34" s="13"/>
      <c r="AD34" s="347"/>
      <c r="AE34" s="13"/>
      <c r="AF34" s="13"/>
      <c r="AG34" s="13"/>
      <c r="AH34" s="347"/>
      <c r="AI34" s="13"/>
      <c r="AJ34" s="13"/>
      <c r="AK34" s="13"/>
      <c r="AL34" s="347"/>
      <c r="AM34" s="13"/>
      <c r="AN34" s="13"/>
      <c r="AO34" s="13"/>
      <c r="AP34" s="347"/>
      <c r="AQ34" s="13"/>
      <c r="AR34" s="13"/>
      <c r="AS34" s="13"/>
      <c r="AT34" s="347"/>
      <c r="AX34" s="347"/>
      <c r="BB34" s="347"/>
      <c r="BF34" s="347"/>
      <c r="BJ34" s="347"/>
    </row>
    <row r="35" spans="1:62">
      <c r="A35" s="344" t="s">
        <v>42</v>
      </c>
      <c r="B35" t="s">
        <v>17</v>
      </c>
      <c r="C35" s="13"/>
      <c r="D35" s="13"/>
      <c r="E35" s="13"/>
      <c r="F35" s="347"/>
      <c r="G35" s="13"/>
      <c r="H35" s="13"/>
      <c r="I35" s="13"/>
      <c r="J35" s="347"/>
      <c r="K35" s="13"/>
      <c r="L35" s="13"/>
      <c r="M35" s="13"/>
      <c r="N35" s="347"/>
      <c r="O35" s="13"/>
      <c r="P35" s="13"/>
      <c r="Q35" s="13"/>
      <c r="R35" s="347"/>
      <c r="S35" s="13"/>
      <c r="T35" s="13"/>
      <c r="U35" s="13"/>
      <c r="V35" s="347"/>
      <c r="W35" s="13"/>
      <c r="X35" s="13"/>
      <c r="Y35" s="13"/>
      <c r="Z35" s="347"/>
      <c r="AA35" s="13"/>
      <c r="AB35" s="13"/>
      <c r="AC35" s="13"/>
      <c r="AD35" s="347"/>
      <c r="AE35" s="13"/>
      <c r="AF35" s="13"/>
      <c r="AG35" s="13"/>
      <c r="AH35" s="347"/>
      <c r="AI35" s="13"/>
      <c r="AJ35" s="13"/>
      <c r="AK35" s="13"/>
      <c r="AL35" s="347"/>
      <c r="AM35" s="13"/>
      <c r="AN35" s="13"/>
      <c r="AO35" s="13"/>
      <c r="AP35" s="347"/>
      <c r="AQ35" s="13"/>
      <c r="AR35" s="13"/>
      <c r="AS35" s="13"/>
      <c r="AT35" s="347"/>
      <c r="AX35" s="347"/>
      <c r="BB35" s="347"/>
      <c r="BF35" s="347"/>
      <c r="BJ35" s="347"/>
    </row>
    <row r="36" spans="1:62">
      <c r="A36" s="344" t="s">
        <v>43</v>
      </c>
      <c r="B36" t="s">
        <v>17</v>
      </c>
      <c r="C36" s="13"/>
      <c r="D36" s="13"/>
      <c r="E36" s="13"/>
      <c r="F36" s="347"/>
      <c r="G36" s="13"/>
      <c r="H36" s="13"/>
      <c r="I36" s="13"/>
      <c r="J36" s="347"/>
      <c r="K36" s="13"/>
      <c r="L36" s="13"/>
      <c r="M36" s="13"/>
      <c r="N36" s="347"/>
      <c r="O36" s="13"/>
      <c r="P36" s="13"/>
      <c r="Q36" s="13"/>
      <c r="R36" s="347"/>
      <c r="S36" s="13"/>
      <c r="T36" s="13"/>
      <c r="U36" s="13"/>
      <c r="V36" s="347"/>
      <c r="W36" s="13"/>
      <c r="X36" s="13"/>
      <c r="Y36" s="13"/>
      <c r="Z36" s="347"/>
      <c r="AA36" s="13"/>
      <c r="AB36" s="13"/>
      <c r="AC36" s="13"/>
      <c r="AD36" s="347"/>
      <c r="AE36" s="13"/>
      <c r="AF36" s="13"/>
      <c r="AG36" s="13"/>
      <c r="AH36" s="347"/>
      <c r="AI36" s="13"/>
      <c r="AJ36" s="13"/>
      <c r="AK36" s="13"/>
      <c r="AL36" s="347"/>
      <c r="AM36" s="13"/>
      <c r="AN36" s="13"/>
      <c r="AO36" s="13"/>
      <c r="AP36" s="347"/>
      <c r="AQ36" s="13"/>
      <c r="AR36" s="13"/>
      <c r="AS36" s="13"/>
      <c r="AT36" s="347"/>
      <c r="AX36" s="347"/>
      <c r="BB36" s="347"/>
      <c r="BF36" s="347"/>
      <c r="BJ36" s="347"/>
    </row>
    <row r="37" spans="1:62">
      <c r="A37" s="344" t="s">
        <v>44</v>
      </c>
      <c r="B37" t="s">
        <v>17</v>
      </c>
      <c r="C37" s="13"/>
      <c r="D37" s="13"/>
      <c r="E37" s="13"/>
      <c r="F37" s="347"/>
      <c r="G37" s="13"/>
      <c r="H37" s="13"/>
      <c r="I37" s="13"/>
      <c r="J37" s="347"/>
      <c r="K37" s="13"/>
      <c r="L37" s="13"/>
      <c r="M37" s="13"/>
      <c r="N37" s="347"/>
      <c r="O37" s="13"/>
      <c r="P37" s="13"/>
      <c r="Q37" s="13"/>
      <c r="R37" s="347"/>
      <c r="S37" s="13"/>
      <c r="T37" s="13"/>
      <c r="U37" s="13"/>
      <c r="V37" s="347"/>
      <c r="W37" s="13"/>
      <c r="X37" s="13"/>
      <c r="Y37" s="13"/>
      <c r="Z37" s="347"/>
      <c r="AA37" s="13"/>
      <c r="AB37" s="13"/>
      <c r="AC37" s="13"/>
      <c r="AD37" s="347"/>
      <c r="AE37" s="13"/>
      <c r="AF37" s="13"/>
      <c r="AG37" s="13"/>
      <c r="AH37" s="347"/>
      <c r="AI37" s="13"/>
      <c r="AJ37" s="13"/>
      <c r="AK37" s="13"/>
      <c r="AL37" s="347"/>
      <c r="AM37" s="13"/>
      <c r="AN37" s="13"/>
      <c r="AO37" s="13"/>
      <c r="AP37" s="347"/>
      <c r="AQ37" s="13"/>
      <c r="AR37" s="13"/>
      <c r="AS37" s="13"/>
      <c r="AT37" s="347"/>
      <c r="AX37" s="347"/>
      <c r="BB37" s="347"/>
      <c r="BF37" s="347"/>
      <c r="BJ37" s="347"/>
    </row>
    <row r="38" spans="1:62">
      <c r="A38" s="344" t="s">
        <v>45</v>
      </c>
      <c r="B38" t="s">
        <v>17</v>
      </c>
    </row>
    <row r="39" spans="1:62">
      <c r="A39" s="344" t="s">
        <v>225</v>
      </c>
      <c r="C39" s="13">
        <f>SUM(C25:C32)</f>
        <v>6.3790465536813015E-2</v>
      </c>
      <c r="D39" s="13">
        <f>SUM(D25:D32)</f>
        <v>1.9910021966976007E-7</v>
      </c>
      <c r="G39" s="13">
        <f>SUM(G25:G32)</f>
        <v>6.3751724129453041E-2</v>
      </c>
      <c r="H39" s="13">
        <f>SUM(H25:H32)</f>
        <v>2.2724688370718426E-7</v>
      </c>
      <c r="I39" s="13">
        <f>SUM(I25:I32)*I9/$D$9</f>
        <v>0</v>
      </c>
      <c r="K39" s="13">
        <f>SUM(K25:K32)*K9/$D$9</f>
        <v>1.4615955468420109E-3</v>
      </c>
      <c r="L39" s="13">
        <f>SUM(L25:L32)</f>
        <v>6.0220995539611966E-2</v>
      </c>
      <c r="M39" s="13">
        <f>SUM(M25:M32)*M9/$D$9</f>
        <v>2.3961519280997907E-7</v>
      </c>
      <c r="O39" s="13">
        <f>SUM(O25:O32)*O9/$D$9</f>
        <v>3.0548373793347402E-3</v>
      </c>
      <c r="P39" s="13">
        <f>SUM(P25:P32)</f>
        <v>5.5845972699286643E-2</v>
      </c>
      <c r="Q39" s="13">
        <f>SUM(Q25:Q32)*Q9/$D$9</f>
        <v>2.5519869513265535E-7</v>
      </c>
      <c r="S39" s="13">
        <f>SUM(S25:S32)*S9/$D$9</f>
        <v>4.3507418709218537E-3</v>
      </c>
      <c r="T39" s="13">
        <f>SUM(T25:T32)</f>
        <v>5.179461948547491E-2</v>
      </c>
      <c r="U39" s="13">
        <f>SUM(U25:U32)*U9/$D$9</f>
        <v>2.7355437058716724E-7</v>
      </c>
      <c r="W39" s="13">
        <f>SUM(W25:W32)*W9/$C$9</f>
        <v>1.6412298337354175E-2</v>
      </c>
      <c r="X39" s="13">
        <f>SUM(X25:X32)</f>
        <v>4.7808998585059492E-2</v>
      </c>
      <c r="Y39" s="13">
        <f>SUM(Y25:Y32)*Y9/$D$9</f>
        <v>2.9552053095903257E-7</v>
      </c>
      <c r="AA39" s="13">
        <f>SUM(AA25:AA32)*AA9/$C$9</f>
        <v>1.9500152708012322E-2</v>
      </c>
      <c r="AB39" s="13">
        <f>SUM(AB25:AB32)</f>
        <v>4.3790552560470555E-2</v>
      </c>
      <c r="AC39" s="13">
        <f>SUM(AC25:AC32)*AC9/$D$9</f>
        <v>3.2211301737717594E-7</v>
      </c>
      <c r="AE39" s="13">
        <f>SUM(AE25:AE32)*AE9/$C$9</f>
        <v>2.2317189367314597E-2</v>
      </c>
      <c r="AF39" s="13">
        <f>SUM(AF25:AF32)</f>
        <v>3.9690934358255249E-2</v>
      </c>
      <c r="AG39" s="13">
        <f>SUM(AG25:AG32)*AG9/$D$9</f>
        <v>3.5458900073583586E-7</v>
      </c>
      <c r="AI39" s="13">
        <f>SUM(AI25:AI32)*AI9/$C$9</f>
        <v>2.4872229245759086E-2</v>
      </c>
      <c r="AJ39" s="13">
        <f>SUM(AJ25:AJ32)</f>
        <v>3.5503066278743542E-2</v>
      </c>
      <c r="AK39" s="13">
        <f>SUM(AK25:AK32)*AK9/$D$9</f>
        <v>3.9429942668465584E-7</v>
      </c>
      <c r="AM39" s="13">
        <f>SUM(AM25:AM32)*AM9/$C$9</f>
        <v>2.7095422812326218E-2</v>
      </c>
      <c r="AN39" s="13">
        <f>SUM(AN25:AN32)</f>
        <v>3.132939311871006E-2</v>
      </c>
      <c r="AO39" s="13">
        <f>SUM(AO25:AO32)*AO9/$D$9</f>
        <v>4.4249025433451804E-7</v>
      </c>
      <c r="AQ39" s="13">
        <f>SUM(AQ25:AQ32)*AQ9/$C$9</f>
        <v>2.8883467488496552E-2</v>
      </c>
      <c r="AR39" s="13">
        <f>SUM(AR25:AR32)</f>
        <v>2.7375331379289724E-2</v>
      </c>
      <c r="AS39" s="13">
        <f>SUM(AS25:AS32)*AS9/$D$9</f>
        <v>5.0003243493347425E-7</v>
      </c>
      <c r="AU39" s="13">
        <f>SUM(AU25:AU32)*AU9/$C$9</f>
        <v>3.10262861472103E-2</v>
      </c>
      <c r="AV39" s="13">
        <f>SUM(AV25:AV32)</f>
        <v>2.1420621667033499E-2</v>
      </c>
      <c r="AW39" s="13">
        <f>SUM(AW25:AW32)*AW9/$D$9</f>
        <v>6.43134021041029E-7</v>
      </c>
      <c r="AY39" s="13">
        <f>SUM(AY25:AY32)*AY9/$C$9</f>
        <v>3.110372055117654E-2</v>
      </c>
      <c r="AZ39" s="13">
        <f>SUM(AZ25:AZ32)</f>
        <v>2.0412612104849754E-2</v>
      </c>
      <c r="BA39" s="13">
        <f>SUM(BA25:BA32)*BA9/$D$9</f>
        <v>7.2110193144366705E-7</v>
      </c>
      <c r="BC39" s="13">
        <f>SUM(BC25:BC32)*BC9/$C$9</f>
        <v>3.0395369178827552E-2</v>
      </c>
      <c r="BD39" s="13">
        <f>SUM(BD25:BD32)</f>
        <v>2.3227167531765722E-2</v>
      </c>
      <c r="BE39" s="13">
        <f>SUM(BE25:BE32)*BE9/$D$9</f>
        <v>7.8277839372842252E-7</v>
      </c>
      <c r="BG39" s="13">
        <f>SUM(BG25:BG32)*BG9/$C$9</f>
        <v>2.4797514794479985E-2</v>
      </c>
      <c r="BH39" s="13">
        <f>SUM(BH25:BH32)</f>
        <v>5.9920367716780928E-2</v>
      </c>
      <c r="BI39" s="13">
        <f>SUM(BI25:BI32)*BI9/$D$9</f>
        <v>5.3341727564861192E-7</v>
      </c>
    </row>
    <row r="40" spans="1:62">
      <c r="A40" s="344" t="s">
        <v>226</v>
      </c>
      <c r="C40">
        <f>(C25*PVT_Mod!$D$12+C26*PVT_Mod!$D$13+PVT_Mod!$D$14*C27+C28*PVT_Mod!$D$15+PVT_Mod!$D$16*C29+C30*PVT_Mod!$D$17+PVT_Mod!$D$18*C31+C32*PVT_Mod!$D$19)/0.02404/(1-C39)</f>
        <v>429.05385402941721</v>
      </c>
      <c r="D40">
        <f>(D25*PVT_Mod!$D$12+D26*PVT_Mod!$D$13+PVT_Mod!$D$14*D27+D28*PVT_Mod!$D$15+PVT_Mod!$D$16*D29+D30*PVT_Mod!$D$17+PVT_Mod!$D$18*D31+D32*PVT_Mod!$D$19)/0.02404/(1-D39)</f>
        <v>7.170894146621814E-4</v>
      </c>
      <c r="E40">
        <f>C40+D40</f>
        <v>429.05457111883186</v>
      </c>
      <c r="G40">
        <f>(G25*PVT_Mod!$D$12+G26*PVT_Mod!$D$13+PVT_Mod!$D$14*G27+G28*PVT_Mod!$D$15+PVT_Mod!$D$16*G29+G30*PVT_Mod!$D$17+PVT_Mod!$D$18*G31+G32*PVT_Mod!$D$19)/0.02404/(1-G39)</f>
        <v>428.77573876980813</v>
      </c>
      <c r="H40">
        <f>(H25*PVT_Mod!$D$12+H26*PVT_Mod!$D$13+PVT_Mod!$D$14*H27+H28*PVT_Mod!$D$15+PVT_Mod!$D$16*H29+H30*PVT_Mod!$D$17+PVT_Mod!$D$18*H31+H32*PVT_Mod!$D$19)/0.02404/(1-H39)</f>
        <v>8.3083701690313467E-4</v>
      </c>
      <c r="I40">
        <f>(I25*PVT_Mod!$D$12+PVT_Mod!$D$14*I27+I28*PVT_Mod!$D$15+PVT_Mod!$D$16*I29+I30*PVT_Mod!$D$17+PVT_Mod!$D$18*I31+I32*PVT_Mod!$D$19)/0.02404/(1-I39)*I9/$D$9</f>
        <v>0</v>
      </c>
      <c r="K40">
        <f>(K25*PVT_Mod!$D$12+PVT_Mod!$D$14*K27+K28*PVT_Mod!$D$15+PVT_Mod!$D$16*K29+K30*PVT_Mod!$D$17+PVT_Mod!$D$18*K31+K32*PVT_Mod!$D$19)/0.02404/(1-K39)*K9/$D$9</f>
        <v>12.875150938500679</v>
      </c>
      <c r="L40">
        <f>(L25*PVT_Mod!$D$12+PVT_Mod!$D$14*L27+L28*PVT_Mod!$D$15+PVT_Mod!$D$16*L29+L30*PVT_Mod!$D$17+PVT_Mod!$D$18*L31+L32*PVT_Mod!$D$19)/0.02404/(1-L39)</f>
        <v>376.48792982150979</v>
      </c>
      <c r="M40">
        <f>(M25*PVT_Mod!$D$12+PVT_Mod!$D$14*M27+M28*PVT_Mod!$D$15+PVT_Mod!$D$16*M29+M30*PVT_Mod!$D$17+PVT_Mod!$D$18*M31+M32*PVT_Mod!$D$19)/0.02404/(1-M39)*M9/$D$9</f>
        <v>7.0769667397479433E-4</v>
      </c>
      <c r="O40">
        <f>(O25*PVT_Mod!$D$12+PVT_Mod!$D$14*O27+O28*PVT_Mod!$D$15+PVT_Mod!$D$16*O29+O30*PVT_Mod!$D$17+PVT_Mod!$D$18*O31+O32*PVT_Mod!$D$19)/0.02404/(1-O39)*O9/$D$9</f>
        <v>26.764506729276366</v>
      </c>
      <c r="P40">
        <f>(P25*PVT_Mod!$D$12+PVT_Mod!$D$14*P27+P28*PVT_Mod!$D$15+PVT_Mod!$D$16*P29+P30*PVT_Mod!$D$17+PVT_Mod!$D$18*P31+P32*PVT_Mod!$D$19)/0.02404/(1-P39)</f>
        <v>330.79198180361021</v>
      </c>
      <c r="Q40">
        <f>(Q25*PVT_Mod!$D$12+PVT_Mod!$D$14*Q27+Q28*PVT_Mod!$D$15+PVT_Mod!$D$16*Q29+Q30*PVT_Mod!$D$17+PVT_Mod!$D$18*Q31+Q32*PVT_Mod!$D$19)/0.02404/(1-Q39)*Q9/$D$9</f>
        <v>7.6137299343227163E-4</v>
      </c>
      <c r="S40">
        <f>(S25*PVT_Mod!$D$12+PVT_Mod!$D$14*S27+S28*PVT_Mod!$D$15+PVT_Mod!$D$16*S29+S30*PVT_Mod!$D$17+PVT_Mod!$D$18*S31+S32*PVT_Mod!$D$19)/0.02404/(1-S39)*S9/$D$9</f>
        <v>37.796961664967185</v>
      </c>
      <c r="T40">
        <f>(T25*PVT_Mod!$D$12+PVT_Mod!$D$14*T27+T28*PVT_Mod!$D$15+PVT_Mod!$D$16*T29+T30*PVT_Mod!$D$17+PVT_Mod!$D$18*T31+T32*PVT_Mod!$D$19)/0.02404/(1-T39)</f>
        <v>290.90791347269089</v>
      </c>
      <c r="U40">
        <f>(U25*PVT_Mod!$D$12+PVT_Mod!$D$14*U27+U28*PVT_Mod!$D$15+PVT_Mod!$D$16*U29+U30*PVT_Mod!$D$17+PVT_Mod!$D$18*U31+U32*PVT_Mod!$D$19)/0.02404/(1-U39)*U9/$D$9</f>
        <v>8.250071770246006E-4</v>
      </c>
      <c r="W40">
        <f>(W25*PVT_Mod!$D$12+PVT_Mod!$D$14*W27+W28*PVT_Mod!$D$15+PVT_Mod!$D$16*W29+W30*PVT_Mod!$D$17+PVT_Mod!$D$18*W31+W32*PVT_Mod!$D$19)/0.02404/(1-W39)*W9/$C$9</f>
        <v>142.28102728794039</v>
      </c>
      <c r="X40">
        <f>(X25*PVT_Mod!$D$12+PVT_Mod!$D$14*X27+X28*PVT_Mod!$D$15+PVT_Mod!$D$16*X29+X30*PVT_Mod!$D$17+PVT_Mod!$D$18*X31+X32*PVT_Mod!$D$19)/0.02404/(1-X39)</f>
        <v>254.45217036484163</v>
      </c>
      <c r="Y40">
        <f>(Y25*PVT_Mod!$D$12+PVT_Mod!$D$14*Y27+Y28*PVT_Mod!$D$15+PVT_Mod!$D$16*Y29+Y30*PVT_Mod!$D$17+PVT_Mod!$D$18*Y31+Y32*PVT_Mod!$D$19)/0.02404/(1-Y39)*Y9/$D$9</f>
        <v>9.0146501371907389E-4</v>
      </c>
      <c r="AA40">
        <f>(AA25*PVT_Mod!$D$12+PVT_Mod!$D$14*AA27+AA28*PVT_Mod!$D$15+PVT_Mod!$D$16*AA29+AA30*PVT_Mod!$D$17+PVT_Mod!$D$18*AA31+AA32*PVT_Mod!$D$19)/0.02404/(1-AA39)*AA9/$C$9</f>
        <v>166.57802402471543</v>
      </c>
      <c r="AB40">
        <f>(AB25*PVT_Mod!$D$12+PVT_Mod!$D$14*AB27+AB28*PVT_Mod!$D$15+PVT_Mod!$D$16*AB29+AB30*PVT_Mod!$D$17+PVT_Mod!$D$18*AB31+AB32*PVT_Mod!$D$19)/0.02404/(1-AB39)</f>
        <v>220.67263349566042</v>
      </c>
      <c r="AC40">
        <f>(AC25*PVT_Mod!$D$12+PVT_Mod!$D$14*AC27+AC28*PVT_Mod!$D$15+PVT_Mod!$D$16*AC29+AC30*PVT_Mod!$D$17+PVT_Mod!$D$18*AC31+AC32*PVT_Mod!$D$19)/0.02404/(1-AC39)*AC9/$D$9</f>
        <v>9.9420480306113045E-4</v>
      </c>
      <c r="AE40">
        <f>(AE25*PVT_Mod!$D$12+PVT_Mod!$D$14*AE27+AE28*PVT_Mod!$D$15+PVT_Mod!$D$16*AE29+AE30*PVT_Mod!$D$17+PVT_Mod!$D$18*AE31+AE32*PVT_Mod!$D$19)/0.02404/(1-AE39)*AE9/$C$9</f>
        <v>187.38471681376842</v>
      </c>
      <c r="AF40">
        <f>(AF25*PVT_Mod!$D$12+PVT_Mod!$D$14*AF27+AF28*PVT_Mod!$D$15+PVT_Mod!$D$16*AF29+AF30*PVT_Mod!$D$17+PVT_Mod!$D$18*AF31+AF32*PVT_Mod!$D$19)/0.02404/(1-AF39)</f>
        <v>189.20175090766747</v>
      </c>
      <c r="AG40">
        <f>(AG25*PVT_Mod!$D$12+PVT_Mod!$D$14*AG27+AG28*PVT_Mod!$D$15+PVT_Mod!$D$16*AG29+AG30*PVT_Mod!$D$17+PVT_Mod!$D$18*AG31+AG32*PVT_Mod!$D$19)/0.02404/(1-AG39)*AG9/$D$9</f>
        <v>1.1074351988161002E-3</v>
      </c>
      <c r="AI40">
        <f>(AI25*PVT_Mod!$D$12+PVT_Mod!$D$14*AI27+AI28*PVT_Mod!$D$15+PVT_Mod!$D$16*AI29+AI30*PVT_Mod!$D$17+PVT_Mod!$D$18*AI31+AI32*PVT_Mod!$D$19)/0.02404/(1-AI39)*AI9/$C$9</f>
        <v>205.00390905885649</v>
      </c>
      <c r="AJ40">
        <f>(AJ25*PVT_Mod!$D$12+PVT_Mod!$D$14*AJ27+AJ28*PVT_Mod!$D$15+PVT_Mod!$D$16*AJ29+AJ30*PVT_Mod!$D$17+PVT_Mod!$D$18*AJ31+AJ32*PVT_Mod!$D$19)/0.02404/(1-AJ39)</f>
        <v>159.91392183559034</v>
      </c>
      <c r="AK40">
        <f>(AK25*PVT_Mod!$D$12+PVT_Mod!$D$14*AK27+AK28*PVT_Mod!$D$15+PVT_Mod!$D$16*AK29+AK30*PVT_Mod!$D$17+PVT_Mod!$D$18*AK31+AK32*PVT_Mod!$D$19)/0.02404/(1-AK39)*AK9/$D$9</f>
        <v>1.2454980822974306E-3</v>
      </c>
      <c r="AM40">
        <f>(AM25*PVT_Mod!$D$12+PVT_Mod!$D$14*AM27+AM28*PVT_Mod!$D$15+PVT_Mod!$D$16*AM29+AM30*PVT_Mod!$D$17+PVT_Mod!$D$18*AM31+AM32*PVT_Mod!$D$19)/0.02404/(1-AM39)*AM9/$C$9</f>
        <v>219.34608328610176</v>
      </c>
      <c r="AN40">
        <f>(AN25*PVT_Mod!$D$12+PVT_Mod!$D$14*AN27+AN28*PVT_Mod!$D$15+PVT_Mod!$D$16*AN29+AN30*PVT_Mod!$D$17+PVT_Mod!$D$18*AN31+AN32*PVT_Mod!$D$19)/0.02404/(1-AN39)</f>
        <v>133.22882945871928</v>
      </c>
      <c r="AO40">
        <f>(AO25*PVT_Mod!$D$12+PVT_Mod!$D$14*AO27+AO28*PVT_Mod!$D$15+PVT_Mod!$D$16*AO29+AO30*PVT_Mod!$D$17+PVT_Mod!$D$18*AO31+AO32*PVT_Mod!$D$19)/0.02404/(1-AO39)*AO9/$D$9</f>
        <v>1.4123609771774849E-3</v>
      </c>
      <c r="AQ40">
        <f>(AQ25*PVT_Mod!$D$12+PVT_Mod!$D$14*AQ27+AQ28*PVT_Mod!$D$15+PVT_Mod!$D$16*AQ29+AQ30*PVT_Mod!$D$17+PVT_Mod!$D$18*AQ31+AQ32*PVT_Mod!$D$19)/0.02404/(1-AQ39)*AQ9/$C$9</f>
        <v>230.23812087019363</v>
      </c>
      <c r="AR40">
        <f>(AR25*PVT_Mod!$D$12+PVT_Mod!$D$14*AR27+AR28*PVT_Mod!$D$15+PVT_Mod!$D$16*AR29+AR30*PVT_Mod!$D$17+PVT_Mod!$D$18*AR31+AR32*PVT_Mod!$D$19)/0.02404/(1-AR39)</f>
        <v>109.89377633269369</v>
      </c>
      <c r="AS40">
        <f>(AS25*PVT_Mod!$D$12+PVT_Mod!$D$14*AS27+AS28*PVT_Mod!$D$15+PVT_Mod!$D$16*AS29+AS30*PVT_Mod!$D$17+PVT_Mod!$D$18*AS31+AS32*PVT_Mod!$D$19)/0.02404/(1-AS39)*AS9/$D$9</f>
        <v>1.6111735879757378E-3</v>
      </c>
      <c r="AU40">
        <f>(AU25*PVT_Mod!$D$12+PVT_Mod!$D$14*AU27+AU28*PVT_Mod!$D$15+PVT_Mod!$D$16*AU29+AU30*PVT_Mod!$D$17+PVT_Mod!$D$18*AU31+AU32*PVT_Mod!$D$19)/0.02404/(1-AU39)*AU9/$C$9</f>
        <v>242.86677386975285</v>
      </c>
      <c r="AV40">
        <f>(AV25*PVT_Mod!$D$12+PVT_Mod!$D$14*AV27+AV28*PVT_Mod!$D$15+PVT_Mod!$D$16*AV29+AV30*PVT_Mod!$D$17+PVT_Mod!$D$18*AV31+AV32*PVT_Mod!$D$19)/0.02404/(1-AV39)</f>
        <v>77.15845817312038</v>
      </c>
      <c r="AW40">
        <f>(AW25*PVT_Mod!$D$12+PVT_Mod!$D$14*AW27+AW28*PVT_Mod!$D$15+PVT_Mod!$D$16*AW29+AW30*PVT_Mod!$D$17+PVT_Mod!$D$18*AW31+AW32*PVT_Mod!$D$19)/0.02404/(1-AW39)*AW9/$D$9</f>
        <v>2.1173302651110032E-3</v>
      </c>
      <c r="AY40">
        <f>(AY25*PVT_Mod!$D$12+PVT_Mod!$D$14*AY27+AY28*PVT_Mod!$D$15+PVT_Mod!$D$16*AY29+AY30*PVT_Mod!$D$17+PVT_Mod!$D$18*AY31+AY32*PVT_Mod!$D$19)/0.02404/(1-AY39)*AY9/$C$9</f>
        <v>243.95249520051738</v>
      </c>
      <c r="AZ40">
        <f>(AZ25*PVT_Mod!$D$12+PVT_Mod!$D$14*AZ27+AZ28*PVT_Mod!$D$15+PVT_Mod!$D$16*AZ29+AZ30*PVT_Mod!$D$17+PVT_Mod!$D$18*AZ31+AZ32*PVT_Mod!$D$19)/0.02404/(1-AZ39)</f>
        <v>70.396580810723762</v>
      </c>
      <c r="BA40">
        <f>(BA25*PVT_Mod!$D$12+PVT_Mod!$D$14*BA27+BA28*PVT_Mod!$D$15+PVT_Mod!$D$16*BA29+BA30*PVT_Mod!$D$17+PVT_Mod!$D$18*BA31+BA32*PVT_Mod!$D$19)/0.02404/(1-BA39)*BA9/$D$9</f>
        <v>2.4175794268723252E-3</v>
      </c>
      <c r="BC40">
        <f>(BC25*PVT_Mod!$D$12+PVT_Mod!$D$14*BC27+BC28*PVT_Mod!$D$15+PVT_Mod!$D$16*BC29+BC30*PVT_Mod!$D$17+PVT_Mod!$D$18*BC31+BC32*PVT_Mod!$D$19)/0.02404/(1-BC39)*BC9/$C$9</f>
        <v>241.61844795035267</v>
      </c>
      <c r="BD40">
        <f>(BD25*PVT_Mod!$D$12+PVT_Mod!$D$14*BD27+BD28*PVT_Mod!$D$15+PVT_Mod!$D$16*BD29+BD30*PVT_Mod!$D$17+PVT_Mod!$D$18*BD31+BD32*PVT_Mod!$D$19)/0.02404/(1-BD39)</f>
        <v>78.565926612962713</v>
      </c>
      <c r="BE40">
        <f>(BE25*PVT_Mod!$D$12+PVT_Mod!$D$14*BE27+BE28*PVT_Mod!$D$15+PVT_Mod!$D$16*BE29+BE30*PVT_Mod!$D$17+PVT_Mod!$D$18*BE31+BE32*PVT_Mod!$D$19)/0.02404/(1-BE39)*BE9/$D$9</f>
        <v>2.7263000122591499E-3</v>
      </c>
      <c r="BG40">
        <f>(BG25*PVT_Mod!$D$12+PVT_Mod!$D$14*BG27+BG28*PVT_Mod!$D$15+PVT_Mod!$D$16*BG29+BG30*PVT_Mod!$D$17+PVT_Mod!$D$18*BG31+BG32*PVT_Mod!$D$19)/0.02404/(1-BG39)*BG9/$C$9</f>
        <v>217.39647222765035</v>
      </c>
      <c r="BH40">
        <f>(BH25*PVT_Mod!$D$12+PVT_Mod!$D$14*BH27+BH28*PVT_Mod!$D$15+PVT_Mod!$D$16*BH29+BH30*PVT_Mod!$D$17+PVT_Mod!$D$18*BH31+BH32*PVT_Mod!$D$19)/0.02404/(1-BH39)</f>
        <v>242.25201295725654</v>
      </c>
      <c r="BI40">
        <f>(BI25*PVT_Mod!$D$12+PVT_Mod!$D$14*BI27+BI28*PVT_Mod!$D$15+PVT_Mod!$D$16*BI29+BI30*PVT_Mod!$D$17+PVT_Mod!$D$18*BI31+BI32*PVT_Mod!$D$19)/0.02404/(1-BI39)*BI9/$D$9</f>
        <v>2.2523402329232868E-3</v>
      </c>
    </row>
    <row r="41" spans="1:62">
      <c r="I41">
        <f>H40+G40+I40</f>
        <v>428.77656960682503</v>
      </c>
      <c r="M41">
        <f>L40+K40+M40</f>
        <v>389.36378845668446</v>
      </c>
    </row>
    <row r="43" spans="1:62" ht="15">
      <c r="A43" s="344" t="s">
        <v>204</v>
      </c>
      <c r="B43" s="344"/>
      <c r="C43" s="476" t="s">
        <v>209</v>
      </c>
      <c r="D43" s="476"/>
      <c r="E43" s="476"/>
      <c r="G43" s="476" t="s">
        <v>215</v>
      </c>
      <c r="H43" s="476"/>
      <c r="I43" s="476"/>
      <c r="K43" s="476" t="s">
        <v>216</v>
      </c>
      <c r="L43" s="476"/>
      <c r="M43" s="476"/>
      <c r="O43" s="476" t="s">
        <v>217</v>
      </c>
      <c r="P43" s="476"/>
      <c r="Q43" s="476"/>
      <c r="S43" s="476" t="s">
        <v>218</v>
      </c>
      <c r="T43" s="476"/>
      <c r="U43" s="476"/>
      <c r="W43" s="476" t="s">
        <v>219</v>
      </c>
      <c r="X43" s="476"/>
      <c r="Y43" s="476"/>
      <c r="AA43" s="476" t="s">
        <v>220</v>
      </c>
      <c r="AB43" s="476"/>
      <c r="AC43" s="476"/>
      <c r="AE43" s="476" t="s">
        <v>221</v>
      </c>
      <c r="AF43" s="476"/>
      <c r="AG43" s="476"/>
      <c r="AI43" s="476" t="s">
        <v>222</v>
      </c>
      <c r="AJ43" s="476"/>
      <c r="AK43" s="476"/>
      <c r="AM43" s="476" t="s">
        <v>223</v>
      </c>
      <c r="AN43" s="476"/>
      <c r="AO43" s="476"/>
      <c r="AQ43" s="476" t="s">
        <v>224</v>
      </c>
      <c r="AR43" s="476"/>
      <c r="AS43" s="476"/>
    </row>
    <row r="44" spans="1:62" ht="15">
      <c r="A44" s="346" t="s">
        <v>211</v>
      </c>
      <c r="B44" s="344" t="s">
        <v>213</v>
      </c>
      <c r="C44" s="476">
        <v>23.271999999999998</v>
      </c>
      <c r="D44" s="476"/>
      <c r="E44" s="476"/>
      <c r="G44" s="476">
        <v>22.9588</v>
      </c>
      <c r="H44" s="476"/>
      <c r="I44" s="476"/>
      <c r="K44" s="476">
        <v>20.741</v>
      </c>
      <c r="L44" s="476"/>
      <c r="M44" s="476"/>
      <c r="O44" s="476">
        <v>18.21</v>
      </c>
      <c r="P44" s="476"/>
      <c r="Q44" s="476"/>
      <c r="S44" s="476">
        <v>15.678000000000001</v>
      </c>
      <c r="T44" s="476"/>
      <c r="U44" s="476"/>
      <c r="W44" s="476">
        <v>13.147</v>
      </c>
      <c r="X44" s="476"/>
      <c r="Y44" s="476"/>
      <c r="AA44" s="476">
        <v>10.616</v>
      </c>
      <c r="AB44" s="476"/>
      <c r="AC44" s="476"/>
      <c r="AE44" s="476">
        <v>8.0849999999999991</v>
      </c>
      <c r="AF44" s="476"/>
      <c r="AG44" s="476"/>
      <c r="AI44" s="476">
        <v>5.5540000000000003</v>
      </c>
      <c r="AJ44" s="476"/>
      <c r="AK44" s="476"/>
      <c r="AM44" s="477">
        <v>2.883</v>
      </c>
      <c r="AN44" s="477"/>
      <c r="AO44" s="477"/>
      <c r="AQ44" s="477">
        <v>0.49199999999999999</v>
      </c>
      <c r="AR44" s="477"/>
      <c r="AS44" s="477"/>
    </row>
    <row r="45" spans="1:62" ht="15">
      <c r="A45" s="346" t="s">
        <v>212</v>
      </c>
      <c r="B45" s="344" t="s">
        <v>29</v>
      </c>
      <c r="C45" s="478">
        <v>328.6</v>
      </c>
      <c r="D45" s="476"/>
      <c r="E45" s="476"/>
      <c r="G45" s="476">
        <v>328.6</v>
      </c>
      <c r="H45" s="476"/>
      <c r="I45" s="476"/>
      <c r="K45" s="476">
        <v>328.6</v>
      </c>
      <c r="L45" s="476"/>
      <c r="M45" s="476"/>
      <c r="O45" s="476">
        <v>328.6</v>
      </c>
      <c r="P45" s="476"/>
      <c r="Q45" s="476"/>
      <c r="S45" s="476">
        <v>328.6</v>
      </c>
      <c r="T45" s="476"/>
      <c r="U45" s="476"/>
      <c r="W45" s="476">
        <v>328.6</v>
      </c>
      <c r="X45" s="476"/>
      <c r="Y45" s="476"/>
      <c r="AA45" s="476">
        <v>328.6</v>
      </c>
      <c r="AB45" s="476"/>
      <c r="AC45" s="476"/>
      <c r="AE45" s="476">
        <v>328.6</v>
      </c>
      <c r="AF45" s="476"/>
      <c r="AG45" s="476"/>
      <c r="AI45" s="476">
        <v>328.6</v>
      </c>
      <c r="AJ45" s="476"/>
      <c r="AK45" s="476"/>
      <c r="AM45" s="475">
        <v>328.6</v>
      </c>
      <c r="AN45" s="475"/>
      <c r="AO45" s="475"/>
      <c r="AQ45" s="475">
        <v>293</v>
      </c>
      <c r="AR45" s="475"/>
      <c r="AS45" s="475"/>
    </row>
    <row r="46" spans="1:62">
      <c r="A46" s="344"/>
      <c r="B46" s="344"/>
      <c r="C46" s="344" t="s">
        <v>160</v>
      </c>
      <c r="D46" s="344" t="s">
        <v>161</v>
      </c>
      <c r="E46" s="344" t="s">
        <v>162</v>
      </c>
      <c r="G46" s="344" t="s">
        <v>160</v>
      </c>
      <c r="H46" s="344" t="s">
        <v>161</v>
      </c>
      <c r="I46" s="344" t="s">
        <v>162</v>
      </c>
      <c r="K46" s="344" t="s">
        <v>160</v>
      </c>
      <c r="L46" s="344" t="s">
        <v>161</v>
      </c>
      <c r="M46" s="344" t="s">
        <v>162</v>
      </c>
      <c r="O46" s="344" t="s">
        <v>160</v>
      </c>
      <c r="P46" s="344" t="s">
        <v>161</v>
      </c>
      <c r="Q46" s="344" t="s">
        <v>162</v>
      </c>
      <c r="S46" s="344" t="s">
        <v>160</v>
      </c>
      <c r="T46" s="344" t="s">
        <v>161</v>
      </c>
      <c r="U46" s="344" t="s">
        <v>162</v>
      </c>
      <c r="W46" s="344" t="s">
        <v>160</v>
      </c>
      <c r="X46" s="344" t="s">
        <v>161</v>
      </c>
      <c r="Y46" s="344" t="s">
        <v>162</v>
      </c>
      <c r="AA46" s="344" t="s">
        <v>160</v>
      </c>
      <c r="AB46" s="344" t="s">
        <v>161</v>
      </c>
      <c r="AC46" s="344" t="s">
        <v>162</v>
      </c>
      <c r="AE46" s="344" t="s">
        <v>160</v>
      </c>
      <c r="AF46" s="344" t="s">
        <v>161</v>
      </c>
      <c r="AG46" s="344" t="s">
        <v>162</v>
      </c>
      <c r="AI46" s="344" t="s">
        <v>160</v>
      </c>
      <c r="AJ46" s="344" t="s">
        <v>161</v>
      </c>
      <c r="AK46" s="344" t="s">
        <v>162</v>
      </c>
      <c r="AM46" s="344" t="s">
        <v>160</v>
      </c>
      <c r="AN46" s="344" t="s">
        <v>161</v>
      </c>
      <c r="AO46" s="344" t="s">
        <v>162</v>
      </c>
      <c r="AQ46" s="344" t="s">
        <v>160</v>
      </c>
      <c r="AR46" s="344" t="s">
        <v>161</v>
      </c>
      <c r="AS46" s="344" t="s">
        <v>162</v>
      </c>
    </row>
    <row r="47" spans="1:62">
      <c r="A47" s="344" t="s">
        <v>205</v>
      </c>
      <c r="B47" s="344"/>
      <c r="C47" s="13">
        <v>0.39931131774898065</v>
      </c>
      <c r="D47" s="13">
        <v>0.60068868225101935</v>
      </c>
      <c r="E47" s="13"/>
      <c r="F47" s="347"/>
      <c r="G47" s="13">
        <v>0.39930663136144762</v>
      </c>
      <c r="H47" s="13">
        <v>0.60041638664807795</v>
      </c>
      <c r="I47" s="13"/>
      <c r="J47" s="347"/>
      <c r="K47" s="13">
        <v>1.2852780192093701E-3</v>
      </c>
      <c r="L47" s="13">
        <v>0.59282196621140959</v>
      </c>
      <c r="M47" s="13">
        <v>0.39927198364969269</v>
      </c>
      <c r="N47" s="347"/>
      <c r="O47" s="13">
        <v>2.6333597213693515E-3</v>
      </c>
      <c r="P47" s="13">
        <v>0.54299331944396545</v>
      </c>
      <c r="Q47" s="13">
        <v>0.39922571575117027</v>
      </c>
      <c r="R47" s="347"/>
      <c r="S47" s="13">
        <v>3.7819647559053158E-3</v>
      </c>
      <c r="T47" s="13">
        <v>0.48146650769621274</v>
      </c>
      <c r="U47" s="13">
        <v>0.39917038727869947</v>
      </c>
      <c r="V47" s="347"/>
      <c r="W47" s="13">
        <v>4.6401108607515788E-3</v>
      </c>
      <c r="X47" s="13">
        <v>0.41526002354831837</v>
      </c>
      <c r="Y47" s="13">
        <v>0.39910170935604361</v>
      </c>
      <c r="Z47" s="347"/>
      <c r="AA47" s="13">
        <v>5.0764018619063721E-3</v>
      </c>
      <c r="AB47" s="13">
        <v>0.34568991115070552</v>
      </c>
      <c r="AC47" s="13">
        <v>0.39901361472064245</v>
      </c>
      <c r="AD47" s="347"/>
      <c r="AE47" s="13">
        <v>5.0637309497486406E-3</v>
      </c>
      <c r="AF47" s="13">
        <v>0.27463997467145196</v>
      </c>
      <c r="AG47" s="13">
        <v>0.39889462463747094</v>
      </c>
      <c r="AH47" s="347"/>
      <c r="AI47" s="13">
        <v>4.6836103036091391E-3</v>
      </c>
      <c r="AJ47" s="13">
        <v>0.20420727704288191</v>
      </c>
      <c r="AK47" s="13">
        <v>0.39871969042976729</v>
      </c>
      <c r="AL47" s="347"/>
      <c r="AM47" s="13">
        <v>3.9684024240016188E-3</v>
      </c>
      <c r="AN47" s="13">
        <v>0.13640073599465663</v>
      </c>
      <c r="AO47" s="13">
        <v>0.39837161605870808</v>
      </c>
      <c r="AP47" s="347"/>
      <c r="AQ47" s="13">
        <v>3.5943526955722238E-3</v>
      </c>
      <c r="AR47" s="13">
        <v>6.7748018945622795E-2</v>
      </c>
      <c r="AS47" s="13">
        <v>0.39845637518103827</v>
      </c>
      <c r="AT47" s="347"/>
      <c r="AX47" s="347"/>
      <c r="BB47" s="347"/>
      <c r="BF47" s="347"/>
      <c r="BJ47" s="347"/>
    </row>
    <row r="48" spans="1:62">
      <c r="A48" s="344" t="s">
        <v>206</v>
      </c>
      <c r="B48" s="344" t="s">
        <v>210</v>
      </c>
      <c r="C48" s="13">
        <v>7.1054946349999462</v>
      </c>
      <c r="D48" s="13">
        <v>61.370201327324651</v>
      </c>
      <c r="E48" s="13"/>
      <c r="F48" s="347"/>
      <c r="G48" s="13">
        <v>7.1016695398192837</v>
      </c>
      <c r="H48" s="13">
        <v>61.968016426058433</v>
      </c>
      <c r="I48" s="13"/>
      <c r="J48" s="347"/>
      <c r="K48" s="13">
        <v>0.16458932022101591</v>
      </c>
      <c r="L48" s="13">
        <v>66.597938763431699</v>
      </c>
      <c r="M48" s="13">
        <v>7.1039322648128538</v>
      </c>
      <c r="N48" s="347"/>
      <c r="O48" s="13">
        <v>0.33881410135886642</v>
      </c>
      <c r="P48" s="13">
        <v>68.605215930369496</v>
      </c>
      <c r="Q48" s="13">
        <v>7.106413121064123</v>
      </c>
      <c r="R48" s="347"/>
      <c r="S48" s="13">
        <v>0.48984052445793319</v>
      </c>
      <c r="T48" s="13">
        <v>70.378612538240674</v>
      </c>
      <c r="U48" s="13">
        <v>7.108738158048463</v>
      </c>
      <c r="V48" s="347"/>
      <c r="W48" s="13">
        <v>0.61023191284112555</v>
      </c>
      <c r="X48" s="13">
        <v>72.834938243305885</v>
      </c>
      <c r="Y48" s="13">
        <v>7.1108179151555246</v>
      </c>
      <c r="Z48" s="347"/>
      <c r="AA48" s="13">
        <v>0.68712095278547924</v>
      </c>
      <c r="AB48" s="13">
        <v>76.332820536787708</v>
      </c>
      <c r="AC48" s="13">
        <v>7.1125143884757627</v>
      </c>
      <c r="AD48" s="347"/>
      <c r="AE48" s="13">
        <v>0.71608436128171205</v>
      </c>
      <c r="AF48" s="13">
        <v>81.703098391954711</v>
      </c>
      <c r="AG48" s="13">
        <v>7.1135857997594147</v>
      </c>
      <c r="AH48" s="347"/>
      <c r="AI48" s="13">
        <v>0.70285287627542947</v>
      </c>
      <c r="AJ48" s="13">
        <v>91.434758571401076</v>
      </c>
      <c r="AK48" s="13">
        <v>7.1135315198832307</v>
      </c>
      <c r="AL48" s="347"/>
      <c r="AM48" s="13">
        <v>0.64764596518425355</v>
      </c>
      <c r="AN48" s="13">
        <v>122.6461455312532</v>
      </c>
      <c r="AO48" s="13">
        <v>7.1103260860136368</v>
      </c>
      <c r="AP48" s="347"/>
      <c r="AQ48" s="13">
        <v>0.61097568456630902</v>
      </c>
      <c r="AR48" s="13">
        <v>330.73635276903724</v>
      </c>
      <c r="AS48" s="13">
        <v>6.9049052848041388</v>
      </c>
      <c r="AT48" s="347"/>
      <c r="AX48" s="347"/>
      <c r="BB48" s="347"/>
      <c r="BF48" s="347"/>
      <c r="BJ48" s="347"/>
    </row>
    <row r="49" spans="1:62">
      <c r="A49" s="344" t="s">
        <v>207</v>
      </c>
      <c r="B49" s="344"/>
      <c r="C49" s="13">
        <v>18.002156344688725</v>
      </c>
      <c r="D49" s="13">
        <v>18.855017279893083</v>
      </c>
      <c r="E49" s="13"/>
      <c r="F49" s="347"/>
      <c r="G49" s="13">
        <v>18.002154933514941</v>
      </c>
      <c r="H49" s="13">
        <v>18.855011561618433</v>
      </c>
      <c r="I49" s="13"/>
      <c r="J49" s="347"/>
      <c r="K49" s="13">
        <v>84.513665975993973</v>
      </c>
      <c r="L49" s="13">
        <v>18.712617266389014</v>
      </c>
      <c r="M49" s="13">
        <v>18.002143140187872</v>
      </c>
      <c r="N49" s="347"/>
      <c r="O49" s="13">
        <v>84.798351922905738</v>
      </c>
      <c r="P49" s="13">
        <v>18.547817366847923</v>
      </c>
      <c r="Q49" s="13">
        <v>18.002136883318602</v>
      </c>
      <c r="R49" s="347"/>
      <c r="S49" s="13">
        <v>85.37743129413434</v>
      </c>
      <c r="T49" s="13">
        <v>18.385177561869135</v>
      </c>
      <c r="U49" s="13">
        <v>18.002111009513708</v>
      </c>
      <c r="V49" s="347"/>
      <c r="W49" s="13">
        <v>87.119247964604384</v>
      </c>
      <c r="X49" s="13">
        <v>18.227249464608477</v>
      </c>
      <c r="Y49" s="13">
        <v>18.002069799785517</v>
      </c>
      <c r="Z49" s="347"/>
      <c r="AA49" s="13">
        <v>90.712273178225757</v>
      </c>
      <c r="AB49" s="13">
        <v>18.087588778567444</v>
      </c>
      <c r="AC49" s="13">
        <v>18.001976705585836</v>
      </c>
      <c r="AD49" s="347"/>
      <c r="AE49" s="13">
        <v>96.477901430363261</v>
      </c>
      <c r="AF49" s="13">
        <v>17.984844998677399</v>
      </c>
      <c r="AG49" s="13">
        <v>18.001806216676201</v>
      </c>
      <c r="AH49" s="347"/>
      <c r="AI49" s="13">
        <v>104.7399544216544</v>
      </c>
      <c r="AJ49" s="13">
        <v>17.942040913387395</v>
      </c>
      <c r="AK49" s="13">
        <v>18.001516458249764</v>
      </c>
      <c r="AL49" s="347"/>
      <c r="AM49" s="13">
        <v>117.23947198175097</v>
      </c>
      <c r="AN49" s="13">
        <v>18.035202613088533</v>
      </c>
      <c r="AO49" s="13">
        <v>18.000986333627196</v>
      </c>
      <c r="AP49" s="347"/>
      <c r="AQ49" s="13">
        <v>128.36972712409724</v>
      </c>
      <c r="AR49" s="13">
        <v>17.995681562233781</v>
      </c>
      <c r="AS49" s="13">
        <v>18.00043832002612</v>
      </c>
      <c r="AT49" s="347"/>
      <c r="AX49" s="347"/>
      <c r="BB49" s="347"/>
      <c r="BF49" s="347"/>
      <c r="BJ49" s="347"/>
    </row>
    <row r="50" spans="1:62">
      <c r="A50" s="344" t="s">
        <v>16</v>
      </c>
      <c r="B50" s="344"/>
      <c r="C50" s="13">
        <v>0.18384049158179666</v>
      </c>
      <c r="D50" s="13">
        <v>0.83409657717554941</v>
      </c>
      <c r="E50" s="13"/>
      <c r="F50" s="347"/>
      <c r="G50" s="13">
        <v>0.18137487398487123</v>
      </c>
      <c r="H50" s="13">
        <v>0.83202860359985609</v>
      </c>
      <c r="I50" s="13"/>
      <c r="J50" s="347"/>
      <c r="K50" s="13">
        <v>0.91224143527622981</v>
      </c>
      <c r="L50" s="13">
        <v>0.8210837454818759</v>
      </c>
      <c r="M50" s="13">
        <v>0.163909172988146</v>
      </c>
      <c r="N50" s="347"/>
      <c r="O50" s="13">
        <v>0.81012046491476364</v>
      </c>
      <c r="P50" s="13">
        <v>0.81432920006264109</v>
      </c>
      <c r="Q50" s="13">
        <v>0.14396296454749336</v>
      </c>
      <c r="R50" s="347"/>
      <c r="S50" s="13">
        <v>0.70734679214651819</v>
      </c>
      <c r="T50" s="13">
        <v>0.81495616516905156</v>
      </c>
      <c r="U50" s="13">
        <v>0.12399358776584085</v>
      </c>
      <c r="V50" s="347"/>
      <c r="W50" s="13">
        <v>0.60645927513667119</v>
      </c>
      <c r="X50" s="13">
        <v>0.8240620924562001</v>
      </c>
      <c r="Y50" s="13">
        <v>0.10401668991753638</v>
      </c>
      <c r="Z50" s="347"/>
      <c r="AA50" s="13">
        <v>0.50680966195477695</v>
      </c>
      <c r="AB50" s="13">
        <v>0.84196715965970959</v>
      </c>
      <c r="AC50" s="13">
        <v>8.4024103828735819E-2</v>
      </c>
      <c r="AD50" s="347"/>
      <c r="AE50" s="13">
        <v>0.40488409342809528</v>
      </c>
      <c r="AF50" s="13">
        <v>0.86825374163049462</v>
      </c>
      <c r="AG50" s="13">
        <v>6.4015780727205929E-2</v>
      </c>
      <c r="AH50" s="347"/>
      <c r="AI50" s="13">
        <v>0.29597854505067822</v>
      </c>
      <c r="AJ50" s="13">
        <v>0.90207902239725679</v>
      </c>
      <c r="AK50" s="13">
        <v>4.3991858638825709E-2</v>
      </c>
      <c r="AL50" s="347"/>
      <c r="AM50" s="13">
        <v>0.16733222777500778</v>
      </c>
      <c r="AN50" s="13">
        <v>0.94486782044692141</v>
      </c>
      <c r="AO50" s="13">
        <v>2.2843912857736792E-2</v>
      </c>
      <c r="AP50" s="347"/>
      <c r="AQ50" s="13">
        <v>3.3419971065611287E-2</v>
      </c>
      <c r="AR50" s="13">
        <v>0.98560857054629603</v>
      </c>
      <c r="AS50" s="13">
        <v>4.2672478462557617E-3</v>
      </c>
      <c r="AT50" s="347"/>
      <c r="AX50" s="347"/>
      <c r="BB50" s="347"/>
      <c r="BF50" s="347"/>
      <c r="BJ50" s="347"/>
    </row>
    <row r="51" spans="1:62">
      <c r="A51" s="344" t="s">
        <v>208</v>
      </c>
      <c r="B51" s="344" t="s">
        <v>27</v>
      </c>
      <c r="C51" s="13">
        <v>1011.6768981728859</v>
      </c>
      <c r="D51" s="13">
        <v>184.55203402822073</v>
      </c>
      <c r="E51" s="13"/>
      <c r="F51" s="347"/>
      <c r="G51" s="13">
        <v>1012.2098477609024</v>
      </c>
      <c r="H51" s="13">
        <v>182.68872500611607</v>
      </c>
      <c r="I51" s="13"/>
      <c r="J51" s="347"/>
      <c r="K51" s="13">
        <v>659.96722664559661</v>
      </c>
      <c r="L51" s="13">
        <v>166.57047900878135</v>
      </c>
      <c r="M51" s="13">
        <v>1011.7989774664431</v>
      </c>
      <c r="N51" s="347"/>
      <c r="O51" s="13">
        <v>659.07694956226942</v>
      </c>
      <c r="P51" s="13">
        <v>146.8013879686209</v>
      </c>
      <c r="Q51" s="13">
        <v>1011.3281988899109</v>
      </c>
      <c r="R51" s="347"/>
      <c r="S51" s="13">
        <v>659.18277476422509</v>
      </c>
      <c r="T51" s="13">
        <v>125.77467663600494</v>
      </c>
      <c r="U51" s="13">
        <v>1010.855859892081</v>
      </c>
      <c r="V51" s="347"/>
      <c r="W51" s="13">
        <v>662.44154092005954</v>
      </c>
      <c r="X51" s="13">
        <v>103.92056648156829</v>
      </c>
      <c r="Y51" s="13">
        <v>1010.3840254056161</v>
      </c>
      <c r="Z51" s="347"/>
      <c r="AA51" s="13">
        <v>670.17597206567996</v>
      </c>
      <c r="AB51" s="13">
        <v>81.913610866508776</v>
      </c>
      <c r="AC51" s="13">
        <v>1009.9148353289949</v>
      </c>
      <c r="AD51" s="347"/>
      <c r="AE51" s="13">
        <v>682.23544857940999</v>
      </c>
      <c r="AF51" s="13">
        <v>60.454957916175275</v>
      </c>
      <c r="AG51" s="13">
        <v>1009.4520451050726</v>
      </c>
      <c r="AH51" s="347"/>
      <c r="AI51" s="13">
        <v>697.9570636865036</v>
      </c>
      <c r="AJ51" s="13">
        <v>40.071143367800325</v>
      </c>
      <c r="AK51" s="13">
        <v>1009.0008105590749</v>
      </c>
      <c r="AL51" s="347"/>
      <c r="AM51" s="13">
        <v>718.37613420271532</v>
      </c>
      <c r="AN51" s="13">
        <v>20.057824887869465</v>
      </c>
      <c r="AO51" s="13">
        <v>1008.5447459974665</v>
      </c>
      <c r="AP51" s="347"/>
      <c r="AQ51" s="13">
        <v>755.19547892628691</v>
      </c>
      <c r="AR51" s="13">
        <v>3.6862345648135992</v>
      </c>
      <c r="AS51" s="13">
        <v>1038.7382750132704</v>
      </c>
      <c r="AT51" s="347"/>
      <c r="AX51" s="347"/>
      <c r="BB51" s="347"/>
      <c r="BF51" s="347"/>
      <c r="BJ51" s="347"/>
    </row>
    <row r="53" spans="1:62">
      <c r="A53" s="344" t="s">
        <v>22</v>
      </c>
      <c r="B53" t="s">
        <v>17</v>
      </c>
      <c r="C53" s="13">
        <v>7.1018671585315316E-7</v>
      </c>
      <c r="D53" s="13">
        <v>1.3579686758036311E-3</v>
      </c>
      <c r="E53" s="13"/>
      <c r="F53" s="347"/>
      <c r="G53" s="13">
        <v>7.0655630439221716E-7</v>
      </c>
      <c r="H53" s="13">
        <v>1.3579604964934046E-3</v>
      </c>
      <c r="I53" s="13"/>
      <c r="J53" s="347"/>
      <c r="K53" s="13">
        <v>1.2035792341714567E-3</v>
      </c>
      <c r="L53" s="13">
        <v>1.358233394490926E-3</v>
      </c>
      <c r="M53" s="13">
        <v>6.8055190601594986E-7</v>
      </c>
      <c r="N53" s="347"/>
      <c r="O53" s="13">
        <v>1.1544703756478916E-3</v>
      </c>
      <c r="P53" s="13">
        <v>1.3587650215110888E-3</v>
      </c>
      <c r="Q53" s="13">
        <v>6.4630234914525758E-7</v>
      </c>
      <c r="R53" s="347"/>
      <c r="S53" s="13">
        <v>1.0914223686847866E-3</v>
      </c>
      <c r="T53" s="13">
        <v>1.3596254532666945E-3</v>
      </c>
      <c r="U53" s="13">
        <v>6.0543632266715862E-7</v>
      </c>
      <c r="V53" s="347"/>
      <c r="W53" s="13">
        <v>1.0083578380315312E-3</v>
      </c>
      <c r="X53" s="13">
        <v>1.3609310247383434E-3</v>
      </c>
      <c r="Y53" s="13">
        <v>5.5557372364365673E-7</v>
      </c>
      <c r="Z53" s="347"/>
      <c r="AA53" s="13">
        <v>8.9858167991887052E-4</v>
      </c>
      <c r="AB53" s="13">
        <v>1.3627130702773698E-3</v>
      </c>
      <c r="AC53" s="13">
        <v>4.934591980753038E-7</v>
      </c>
      <c r="AD53" s="347"/>
      <c r="AE53" s="13">
        <v>7.5555849519661703E-4</v>
      </c>
      <c r="AF53" s="13">
        <v>1.3648523032991499E-3</v>
      </c>
      <c r="AG53" s="13">
        <v>4.1509371788454653E-7</v>
      </c>
      <c r="AH53" s="347"/>
      <c r="AI53" s="13">
        <v>5.7266544863793613E-4</v>
      </c>
      <c r="AJ53" s="13">
        <v>1.366937835158245E-3</v>
      </c>
      <c r="AK53" s="13">
        <v>3.1584373348376809E-7</v>
      </c>
      <c r="AL53" s="347"/>
      <c r="AM53" s="13">
        <v>3.286826842758774E-4</v>
      </c>
      <c r="AN53" s="13">
        <v>1.3667729626176573E-3</v>
      </c>
      <c r="AO53" s="13">
        <v>1.8268808683115507E-7</v>
      </c>
      <c r="AP53" s="347"/>
      <c r="AQ53" s="13">
        <v>9.3333528074062027E-5</v>
      </c>
      <c r="AR53" s="13">
        <v>1.3762577263517722E-3</v>
      </c>
      <c r="AS53" s="13">
        <v>9.2375464244476893E-9</v>
      </c>
      <c r="AT53" s="347"/>
      <c r="AX53" s="347"/>
      <c r="BB53" s="347"/>
      <c r="BF53" s="347"/>
      <c r="BJ53" s="347"/>
    </row>
    <row r="54" spans="1:62">
      <c r="A54" s="344" t="s">
        <v>23</v>
      </c>
      <c r="B54" t="s">
        <v>17</v>
      </c>
      <c r="C54" s="13">
        <v>3.9019122312927382E-10</v>
      </c>
      <c r="D54" s="13">
        <v>4.9942416227665836E-5</v>
      </c>
      <c r="E54" s="13"/>
      <c r="F54" s="347"/>
      <c r="G54" s="13">
        <v>3.8547889254120184E-10</v>
      </c>
      <c r="H54" s="13">
        <v>4.9942029552637475E-5</v>
      </c>
      <c r="I54" s="13"/>
      <c r="J54" s="347"/>
      <c r="K54" s="13">
        <v>1.4896473809195858E-5</v>
      </c>
      <c r="L54" s="13">
        <v>5.0015115116621708E-5</v>
      </c>
      <c r="M54" s="13">
        <v>3.5089353774481538E-10</v>
      </c>
      <c r="N54" s="347"/>
      <c r="O54" s="13">
        <v>1.3293410860312468E-5</v>
      </c>
      <c r="P54" s="13">
        <v>5.0105846316834236E-5</v>
      </c>
      <c r="Q54" s="13">
        <v>3.1012846696211463E-10</v>
      </c>
      <c r="R54" s="347"/>
      <c r="S54" s="13">
        <v>1.1575735689370936E-5</v>
      </c>
      <c r="T54" s="13">
        <v>5.0201436784346989E-5</v>
      </c>
      <c r="U54" s="13">
        <v>2.6820229936146798E-10</v>
      </c>
      <c r="V54" s="347"/>
      <c r="W54" s="13">
        <v>9.7292179897516137E-6</v>
      </c>
      <c r="X54" s="13">
        <v>5.0293629303294528E-5</v>
      </c>
      <c r="Y54" s="13">
        <v>2.2551195838520611E-10</v>
      </c>
      <c r="Z54" s="347"/>
      <c r="AA54" s="13">
        <v>7.7902647106285407E-6</v>
      </c>
      <c r="AB54" s="13">
        <v>5.0360531451418313E-5</v>
      </c>
      <c r="AC54" s="13">
        <v>1.8244813645138898E-10</v>
      </c>
      <c r="AD54" s="347"/>
      <c r="AE54" s="13">
        <v>5.8293889833075153E-6</v>
      </c>
      <c r="AF54" s="13">
        <v>5.0372965146247202E-5</v>
      </c>
      <c r="AG54" s="13">
        <v>1.3925690343179562E-10</v>
      </c>
      <c r="AH54" s="347"/>
      <c r="AI54" s="13">
        <v>3.9072781403292457E-6</v>
      </c>
      <c r="AJ54" s="13">
        <v>5.0291067116252189E-5</v>
      </c>
      <c r="AK54" s="13">
        <v>9.5939529680117813E-11</v>
      </c>
      <c r="AL54" s="347"/>
      <c r="AM54" s="13">
        <v>1.9606592868634476E-6</v>
      </c>
      <c r="AN54" s="13">
        <v>4.9976290640204141E-5</v>
      </c>
      <c r="AO54" s="13">
        <v>4.9903266732197507E-11</v>
      </c>
      <c r="AP54" s="347"/>
      <c r="AQ54" s="13">
        <v>3.2414747363665113E-7</v>
      </c>
      <c r="AR54" s="13">
        <v>4.9860820124708935E-5</v>
      </c>
      <c r="AS54" s="13">
        <v>1.7367711880497374E-12</v>
      </c>
      <c r="AT54" s="347"/>
      <c r="AX54" s="347"/>
      <c r="BB54" s="347"/>
      <c r="BF54" s="347"/>
      <c r="BJ54" s="347"/>
    </row>
    <row r="55" spans="1:62">
      <c r="A55" s="344" t="s">
        <v>157</v>
      </c>
      <c r="B55" t="s">
        <v>17</v>
      </c>
      <c r="C55" s="13">
        <v>0.99978719797989235</v>
      </c>
      <c r="D55" s="13">
        <v>1.2879491972264984E-3</v>
      </c>
      <c r="E55" s="13"/>
      <c r="F55" s="347"/>
      <c r="G55" s="13">
        <v>0.99978770909987169</v>
      </c>
      <c r="H55" s="13">
        <v>1.2954027926538733E-3</v>
      </c>
      <c r="I55" s="13"/>
      <c r="J55" s="347"/>
      <c r="K55" s="13">
        <v>1.0437321894198274E-3</v>
      </c>
      <c r="L55" s="13">
        <v>1.3524725495772754E-3</v>
      </c>
      <c r="M55" s="13">
        <v>0.99979043089064767</v>
      </c>
      <c r="N55" s="347"/>
      <c r="O55" s="13">
        <v>1.050065075998773E-3</v>
      </c>
      <c r="P55" s="13">
        <v>1.4349503671658348E-3</v>
      </c>
      <c r="Q55" s="13">
        <v>0.99979496529956713</v>
      </c>
      <c r="R55" s="347"/>
      <c r="S55" s="13">
        <v>1.0539910381134232E-3</v>
      </c>
      <c r="T55" s="13">
        <v>1.5459561513390628E-3</v>
      </c>
      <c r="U55" s="13">
        <v>0.99980052533299046</v>
      </c>
      <c r="V55" s="347"/>
      <c r="W55" s="13">
        <v>1.0544533543716905E-3</v>
      </c>
      <c r="X55" s="13">
        <v>1.7037903894893745E-3</v>
      </c>
      <c r="Y55" s="13">
        <v>0.99980913424973639</v>
      </c>
      <c r="Z55" s="347"/>
      <c r="AA55" s="13">
        <v>1.0517928262390899E-3</v>
      </c>
      <c r="AB55" s="13">
        <v>1.9444789493347678E-3</v>
      </c>
      <c r="AC55" s="13">
        <v>0.99982171759306426</v>
      </c>
      <c r="AD55" s="347"/>
      <c r="AE55" s="13">
        <v>1.0480795283236029E-3</v>
      </c>
      <c r="AF55" s="13">
        <v>2.3485225888820512E-3</v>
      </c>
      <c r="AG55" s="13">
        <v>0.99984121761187494</v>
      </c>
      <c r="AH55" s="347"/>
      <c r="AI55" s="13">
        <v>1.0466591294507883E-3</v>
      </c>
      <c r="AJ55" s="13">
        <v>3.1417667248580185E-3</v>
      </c>
      <c r="AK55" s="13">
        <v>0.99987136835908663</v>
      </c>
      <c r="AL55" s="347"/>
      <c r="AM55" s="13">
        <v>1.053388040212673E-3</v>
      </c>
      <c r="AN55" s="13">
        <v>5.5354908976880564E-3</v>
      </c>
      <c r="AO55" s="13">
        <v>0.99991882442526692</v>
      </c>
      <c r="AP55" s="347"/>
      <c r="AQ55" s="13">
        <v>3.2786345547273225E-4</v>
      </c>
      <c r="AR55" s="13">
        <v>4.0222780306721486E-3</v>
      </c>
      <c r="AS55" s="13">
        <v>0.9999669234856855</v>
      </c>
      <c r="AT55" s="347"/>
      <c r="AX55" s="347"/>
      <c r="BB55" s="347"/>
      <c r="BF55" s="347"/>
      <c r="BJ55" s="347"/>
    </row>
    <row r="56" spans="1:62">
      <c r="A56" s="344" t="s">
        <v>159</v>
      </c>
      <c r="B56" t="s">
        <v>17</v>
      </c>
      <c r="C56" s="13"/>
      <c r="D56" s="13"/>
      <c r="E56" s="13"/>
      <c r="F56" s="347"/>
      <c r="G56" s="13"/>
      <c r="H56" s="13"/>
      <c r="I56" s="13"/>
      <c r="J56" s="347"/>
      <c r="K56" s="13"/>
      <c r="L56" s="13"/>
      <c r="M56" s="13"/>
      <c r="N56" s="347"/>
      <c r="O56" s="13"/>
      <c r="P56" s="13"/>
      <c r="Q56" s="13"/>
      <c r="R56" s="347"/>
      <c r="S56" s="13"/>
      <c r="T56" s="13"/>
      <c r="U56" s="13"/>
      <c r="V56" s="347"/>
      <c r="W56" s="13"/>
      <c r="X56" s="13"/>
      <c r="Y56" s="13"/>
      <c r="Z56" s="347"/>
      <c r="AA56" s="13"/>
      <c r="AB56" s="13"/>
      <c r="AC56" s="13"/>
      <c r="AD56" s="347"/>
      <c r="AE56" s="13"/>
      <c r="AF56" s="13"/>
      <c r="AG56" s="13"/>
      <c r="AH56" s="347"/>
      <c r="AI56" s="13"/>
      <c r="AJ56" s="13"/>
      <c r="AK56" s="13"/>
      <c r="AL56" s="347"/>
      <c r="AM56" s="13"/>
      <c r="AN56" s="13"/>
      <c r="AO56" s="13"/>
      <c r="AP56" s="347"/>
      <c r="AQ56" s="13"/>
      <c r="AR56" s="13"/>
      <c r="AS56" s="13"/>
      <c r="AT56" s="347"/>
      <c r="AX56" s="347"/>
      <c r="BB56" s="347"/>
      <c r="BF56" s="347"/>
      <c r="BJ56" s="347"/>
    </row>
    <row r="57" spans="1:62">
      <c r="A57" s="344" t="s">
        <v>193</v>
      </c>
      <c r="B57" t="s">
        <v>17</v>
      </c>
      <c r="C57" s="13"/>
      <c r="D57" s="13"/>
      <c r="E57" s="13"/>
      <c r="F57" s="347"/>
      <c r="G57" s="13"/>
      <c r="H57" s="13"/>
      <c r="I57" s="13"/>
      <c r="J57" s="347"/>
      <c r="K57" s="13"/>
      <c r="L57" s="13"/>
      <c r="M57" s="13"/>
      <c r="N57" s="347"/>
      <c r="O57" s="13"/>
      <c r="P57" s="13"/>
      <c r="Q57" s="13"/>
      <c r="R57" s="347"/>
      <c r="S57" s="13"/>
      <c r="T57" s="13"/>
      <c r="U57" s="13"/>
      <c r="V57" s="347"/>
      <c r="W57" s="13"/>
      <c r="X57" s="13"/>
      <c r="Y57" s="13"/>
      <c r="Z57" s="347"/>
      <c r="AA57" s="13"/>
      <c r="AB57" s="13"/>
      <c r="AC57" s="13"/>
      <c r="AD57" s="347"/>
      <c r="AE57" s="13"/>
      <c r="AF57" s="13"/>
      <c r="AG57" s="13"/>
      <c r="AH57" s="347"/>
      <c r="AI57" s="13"/>
      <c r="AJ57" s="13"/>
      <c r="AK57" s="13"/>
      <c r="AL57" s="347"/>
      <c r="AM57" s="13"/>
      <c r="AN57" s="13"/>
      <c r="AO57" s="13"/>
      <c r="AP57" s="347"/>
      <c r="AQ57" s="13"/>
      <c r="AR57" s="13"/>
      <c r="AS57" s="13"/>
      <c r="AT57" s="347"/>
      <c r="AX57" s="347"/>
      <c r="BB57" s="347"/>
      <c r="BF57" s="347"/>
      <c r="BJ57" s="347"/>
    </row>
    <row r="58" spans="1:62">
      <c r="A58" s="344" t="s">
        <v>24</v>
      </c>
      <c r="B58" t="s">
        <v>17</v>
      </c>
      <c r="C58" s="13">
        <v>3.7400328348283853E-5</v>
      </c>
      <c r="D58" s="13">
        <v>0.9196894863331937</v>
      </c>
      <c r="E58" s="13"/>
      <c r="F58" s="347"/>
      <c r="G58" s="13">
        <v>3.7108724345243655E-5</v>
      </c>
      <c r="H58" s="13">
        <v>0.91968250216895076</v>
      </c>
      <c r="I58" s="13"/>
      <c r="J58" s="347"/>
      <c r="K58" s="13">
        <v>0.41540584040232198</v>
      </c>
      <c r="L58" s="13">
        <v>0.92072350190037533</v>
      </c>
      <c r="M58" s="13">
        <v>3.4966307187190707E-5</v>
      </c>
      <c r="N58" s="347"/>
      <c r="O58" s="13">
        <v>0.39294718151535379</v>
      </c>
      <c r="P58" s="13">
        <v>0.9220104726947137</v>
      </c>
      <c r="Q58" s="13">
        <v>3.2302033854573757E-5</v>
      </c>
      <c r="R58" s="347"/>
      <c r="S58" s="13">
        <v>0.3654063903740884</v>
      </c>
      <c r="T58" s="13">
        <v>0.92338545611166001</v>
      </c>
      <c r="U58" s="13">
        <v>2.9353301969377263E-5</v>
      </c>
      <c r="V58" s="347"/>
      <c r="W58" s="13">
        <v>0.32956461734217157</v>
      </c>
      <c r="X58" s="13">
        <v>0.92478948564759245</v>
      </c>
      <c r="Y58" s="13">
        <v>2.6060519770869609E-5</v>
      </c>
      <c r="Z58" s="347"/>
      <c r="AA58" s="13">
        <v>0.2836777542881162</v>
      </c>
      <c r="AB58" s="13">
        <v>0.92598317584806833</v>
      </c>
      <c r="AC58" s="13">
        <v>2.2346497721410215E-5</v>
      </c>
      <c r="AD58" s="347"/>
      <c r="AE58" s="13">
        <v>0.22807801075069162</v>
      </c>
      <c r="AF58" s="13">
        <v>0.92658363368531349</v>
      </c>
      <c r="AG58" s="13">
        <v>1.8118978390379525E-5</v>
      </c>
      <c r="AH58" s="347"/>
      <c r="AI58" s="13">
        <v>0.16387868066237662</v>
      </c>
      <c r="AJ58" s="13">
        <v>0.92597157369354044</v>
      </c>
      <c r="AK58" s="13">
        <v>1.3271801850626208E-5</v>
      </c>
      <c r="AL58" s="347"/>
      <c r="AM58" s="13">
        <v>8.8019801148834939E-2</v>
      </c>
      <c r="AN58" s="13">
        <v>0.9218369582000524</v>
      </c>
      <c r="AO58" s="13">
        <v>7.3626510938733572E-6</v>
      </c>
      <c r="AP58" s="347"/>
      <c r="AQ58" s="13">
        <v>1.8285307922621938E-2</v>
      </c>
      <c r="AR58" s="13">
        <v>0.92211379263179105</v>
      </c>
      <c r="AS58" s="13">
        <v>2.6940488625573282E-6</v>
      </c>
      <c r="AT58" s="347"/>
      <c r="AX58" s="347"/>
      <c r="BB58" s="347"/>
      <c r="BF58" s="347"/>
      <c r="BJ58" s="347"/>
    </row>
    <row r="59" spans="1:62">
      <c r="A59" s="344" t="s">
        <v>4</v>
      </c>
      <c r="B59" t="s">
        <v>17</v>
      </c>
      <c r="C59" s="13">
        <v>1.6858265150874861E-4</v>
      </c>
      <c r="D59" s="13">
        <v>4.0641156992990771E-2</v>
      </c>
      <c r="E59" s="13"/>
      <c r="F59" s="347"/>
      <c r="G59" s="13">
        <v>1.6833910515676683E-4</v>
      </c>
      <c r="H59" s="13">
        <v>4.0641003065655525E-2</v>
      </c>
      <c r="I59" s="13"/>
      <c r="J59" s="347"/>
      <c r="K59" s="13">
        <v>4.8594283194379917E-2</v>
      </c>
      <c r="L59" s="13">
        <v>4.0622256880333503E-2</v>
      </c>
      <c r="M59" s="13">
        <v>1.6705849718952855E-4</v>
      </c>
      <c r="N59" s="347"/>
      <c r="O59" s="13">
        <v>4.8332224132385998E-2</v>
      </c>
      <c r="P59" s="13">
        <v>4.0601786489635229E-2</v>
      </c>
      <c r="Q59" s="13">
        <v>1.650212069788465E-4</v>
      </c>
      <c r="R59" s="347"/>
      <c r="S59" s="13">
        <v>4.7675658088333545E-2</v>
      </c>
      <c r="T59" s="13">
        <v>4.0586517937226833E-2</v>
      </c>
      <c r="U59" s="13">
        <v>1.618092507640159E-4</v>
      </c>
      <c r="V59" s="347"/>
      <c r="W59" s="13">
        <v>4.6272626600755283E-2</v>
      </c>
      <c r="X59" s="13">
        <v>4.0586001977278428E-2</v>
      </c>
      <c r="Y59" s="13">
        <v>1.5645892579655747E-4</v>
      </c>
      <c r="Z59" s="347"/>
      <c r="AA59" s="13">
        <v>4.3613920962285987E-2</v>
      </c>
      <c r="AB59" s="13">
        <v>4.0618027512876666E-2</v>
      </c>
      <c r="AC59" s="13">
        <v>1.4739433458109036E-4</v>
      </c>
      <c r="AD59" s="347"/>
      <c r="AE59" s="13">
        <v>3.9031770265525345E-2</v>
      </c>
      <c r="AF59" s="13">
        <v>4.0707014605447671E-2</v>
      </c>
      <c r="AG59" s="13">
        <v>1.3231697458705797E-4</v>
      </c>
      <c r="AH59" s="347"/>
      <c r="AI59" s="13">
        <v>3.1673202529964833E-2</v>
      </c>
      <c r="AJ59" s="13">
        <v>4.0885221821935332E-2</v>
      </c>
      <c r="AK59" s="13">
        <v>1.0808630693267748E-4</v>
      </c>
      <c r="AL59" s="347"/>
      <c r="AM59" s="13">
        <v>1.9679471549619392E-2</v>
      </c>
      <c r="AN59" s="13">
        <v>4.1199198145119853E-2</v>
      </c>
      <c r="AO59" s="13">
        <v>6.7891086165818517E-5</v>
      </c>
      <c r="AP59" s="347"/>
      <c r="AQ59" s="13">
        <v>6.6428284327883442E-3</v>
      </c>
      <c r="AR59" s="13">
        <v>4.206444835706831E-2</v>
      </c>
      <c r="AS59" s="13">
        <v>2.6923266743963932E-5</v>
      </c>
      <c r="AT59" s="347"/>
      <c r="AX59" s="347"/>
      <c r="BB59" s="347"/>
      <c r="BF59" s="347"/>
      <c r="BJ59" s="347"/>
    </row>
    <row r="60" spans="1:62">
      <c r="A60" s="344" t="s">
        <v>5</v>
      </c>
      <c r="B60" t="s">
        <v>17</v>
      </c>
      <c r="C60" s="13">
        <v>5.7126180276999046E-6</v>
      </c>
      <c r="D60" s="13">
        <v>1.4179922376842999E-2</v>
      </c>
      <c r="E60" s="13"/>
      <c r="F60" s="347"/>
      <c r="G60" s="13">
        <v>5.7334626898956432E-6</v>
      </c>
      <c r="H60" s="13">
        <v>1.4179797881153991E-2</v>
      </c>
      <c r="I60" s="13"/>
      <c r="J60" s="347"/>
      <c r="K60" s="13">
        <v>2.7562250608599719E-2</v>
      </c>
      <c r="L60" s="13">
        <v>1.4149826590054806E-2</v>
      </c>
      <c r="M60" s="13">
        <v>5.9247320260358186E-6</v>
      </c>
      <c r="N60" s="347"/>
      <c r="O60" s="13">
        <v>2.8758554317973181E-2</v>
      </c>
      <c r="P60" s="13">
        <v>1.4109341566389306E-2</v>
      </c>
      <c r="Q60" s="13">
        <v>6.1685724510843101E-6</v>
      </c>
      <c r="R60" s="347"/>
      <c r="S60" s="13">
        <v>2.999122888964862E-2</v>
      </c>
      <c r="T60" s="13">
        <v>1.4062879228034373E-2</v>
      </c>
      <c r="U60" s="13">
        <v>6.4232543303292723E-6</v>
      </c>
      <c r="V60" s="347"/>
      <c r="W60" s="13">
        <v>3.1043261519741031E-2</v>
      </c>
      <c r="X60" s="13">
        <v>1.4015667480386443E-2</v>
      </c>
      <c r="Y60" s="13">
        <v>6.647217270759907E-6</v>
      </c>
      <c r="Z60" s="347"/>
      <c r="AA60" s="13">
        <v>3.1483924690194121E-2</v>
      </c>
      <c r="AB60" s="13">
        <v>1.3984013127245102E-2</v>
      </c>
      <c r="AC60" s="13">
        <v>6.75373394422286E-6</v>
      </c>
      <c r="AD60" s="347"/>
      <c r="AE60" s="13">
        <v>3.0578171392035718E-2</v>
      </c>
      <c r="AF60" s="13">
        <v>1.3995705016433374E-2</v>
      </c>
      <c r="AG60" s="13">
        <v>6.5883154269840379E-6</v>
      </c>
      <c r="AH60" s="347"/>
      <c r="AI60" s="13">
        <v>2.7163947698030457E-2</v>
      </c>
      <c r="AJ60" s="13">
        <v>1.4094247383900577E-2</v>
      </c>
      <c r="AK60" s="13">
        <v>5.8960685134833795E-6</v>
      </c>
      <c r="AL60" s="347"/>
      <c r="AM60" s="13">
        <v>1.8799803533466723E-2</v>
      </c>
      <c r="AN60" s="13">
        <v>1.4375335341778046E-2</v>
      </c>
      <c r="AO60" s="13">
        <v>4.1274793305311329E-6</v>
      </c>
      <c r="AP60" s="347"/>
      <c r="AQ60" s="13">
        <v>8.726993927153915E-3</v>
      </c>
      <c r="AR60" s="13">
        <v>1.496443163310043E-2</v>
      </c>
      <c r="AS60" s="13">
        <v>2.0398875491251781E-6</v>
      </c>
      <c r="AT60" s="347"/>
      <c r="AX60" s="347"/>
      <c r="BB60" s="347"/>
      <c r="BF60" s="347"/>
      <c r="BJ60" s="347"/>
    </row>
    <row r="61" spans="1:62">
      <c r="A61" s="344" t="s">
        <v>6</v>
      </c>
      <c r="B61" t="s">
        <v>17</v>
      </c>
      <c r="C61" s="13">
        <v>6.233934210491965E-9</v>
      </c>
      <c r="D61" s="13">
        <v>2.8467283657009727E-3</v>
      </c>
      <c r="E61" s="13"/>
      <c r="F61" s="347"/>
      <c r="G61" s="13">
        <v>6.2791254842238399E-9</v>
      </c>
      <c r="H61" s="13">
        <v>2.8467061163277361E-3</v>
      </c>
      <c r="I61" s="13"/>
      <c r="J61" s="347"/>
      <c r="K61" s="13">
        <v>7.9936378982890972E-3</v>
      </c>
      <c r="L61" s="13">
        <v>2.835380578524819E-3</v>
      </c>
      <c r="M61" s="13">
        <v>6.6740131708712839E-9</v>
      </c>
      <c r="N61" s="347"/>
      <c r="O61" s="13">
        <v>8.6151264517129785E-3</v>
      </c>
      <c r="P61" s="13">
        <v>2.8193182160913665E-3</v>
      </c>
      <c r="Q61" s="13">
        <v>7.208728426191203E-9</v>
      </c>
      <c r="R61" s="347"/>
      <c r="S61" s="13">
        <v>9.3321819016478052E-3</v>
      </c>
      <c r="T61" s="13">
        <v>2.799534474750709E-3</v>
      </c>
      <c r="U61" s="13">
        <v>7.8293222357635346E-9</v>
      </c>
      <c r="V61" s="347"/>
      <c r="W61" s="13">
        <v>1.0097510651159264E-2</v>
      </c>
      <c r="X61" s="13">
        <v>2.7770191623417537E-3</v>
      </c>
      <c r="Y61" s="13">
        <v>8.4990771543567548E-9</v>
      </c>
      <c r="Z61" s="347"/>
      <c r="AA61" s="13">
        <v>1.0779241023094275E-2</v>
      </c>
      <c r="AB61" s="13">
        <v>2.7570605628052637E-3</v>
      </c>
      <c r="AC61" s="13">
        <v>9.1127618930991486E-9</v>
      </c>
      <c r="AD61" s="347"/>
      <c r="AE61" s="13">
        <v>1.1103526254144106E-2</v>
      </c>
      <c r="AF61" s="13">
        <v>2.7502566020560382E-3</v>
      </c>
      <c r="AG61" s="13">
        <v>9.4462068395710669E-9</v>
      </c>
      <c r="AH61" s="347"/>
      <c r="AI61" s="13">
        <v>1.0566129381274178E-2</v>
      </c>
      <c r="AJ61" s="13">
        <v>2.7757759938727171E-3</v>
      </c>
      <c r="AK61" s="13">
        <v>9.0699188198744983E-9</v>
      </c>
      <c r="AL61" s="347"/>
      <c r="AM61" s="13">
        <v>8.0165929374394033E-3</v>
      </c>
      <c r="AN61" s="13">
        <v>2.8837224148957892E-3</v>
      </c>
      <c r="AO61" s="13">
        <v>6.9717010424597261E-9</v>
      </c>
      <c r="AP61" s="347"/>
      <c r="AQ61" s="13">
        <v>4.7747277214294529E-3</v>
      </c>
      <c r="AR61" s="13">
        <v>3.0877046960875254E-3</v>
      </c>
      <c r="AS61" s="13">
        <v>4.0019653428178001E-10</v>
      </c>
      <c r="AT61" s="347"/>
      <c r="AX61" s="347"/>
      <c r="BB61" s="347"/>
      <c r="BF61" s="347"/>
      <c r="BJ61" s="347"/>
    </row>
    <row r="62" spans="1:62">
      <c r="A62" s="344" t="s">
        <v>7</v>
      </c>
      <c r="B62" t="s">
        <v>17</v>
      </c>
      <c r="C62" s="13">
        <v>9.6276368124036116E-9</v>
      </c>
      <c r="D62" s="13">
        <v>3.8156140165428727E-3</v>
      </c>
      <c r="E62" s="13"/>
      <c r="F62" s="347"/>
      <c r="G62" s="13">
        <v>9.7125413449451829E-9</v>
      </c>
      <c r="H62" s="13">
        <v>3.8155841784102357E-3</v>
      </c>
      <c r="I62" s="13"/>
      <c r="J62" s="347"/>
      <c r="K62" s="13">
        <v>1.2474476294348792E-2</v>
      </c>
      <c r="L62" s="13">
        <v>3.7965876217909166E-3</v>
      </c>
      <c r="M62" s="13">
        <v>1.0442406521922902E-8</v>
      </c>
      <c r="N62" s="347"/>
      <c r="O62" s="13">
        <v>1.3625385790424134E-2</v>
      </c>
      <c r="P62" s="13">
        <v>3.7691373394980452E-3</v>
      </c>
      <c r="Q62" s="13">
        <v>1.1440867878835089E-8</v>
      </c>
      <c r="R62" s="347"/>
      <c r="S62" s="13">
        <v>1.4977130519391818E-2</v>
      </c>
      <c r="T62" s="13">
        <v>3.7345717007459286E-3</v>
      </c>
      <c r="U62" s="13">
        <v>1.2618012922475611E-8</v>
      </c>
      <c r="V62" s="347"/>
      <c r="W62" s="13">
        <v>1.6467009985638228E-2</v>
      </c>
      <c r="X62" s="13">
        <v>3.6940718576615478E-3</v>
      </c>
      <c r="Y62" s="13">
        <v>1.3921143943210569E-8</v>
      </c>
      <c r="Z62" s="347"/>
      <c r="AA62" s="13">
        <v>1.788994885838098E-2</v>
      </c>
      <c r="AB62" s="13">
        <v>3.6561128171283949E-3</v>
      </c>
      <c r="AC62" s="13">
        <v>1.5182142744309075E-8</v>
      </c>
      <c r="AD62" s="347"/>
      <c r="AE62" s="13">
        <v>1.8791978268705618E-2</v>
      </c>
      <c r="AF62" s="13">
        <v>3.6385528993268792E-3</v>
      </c>
      <c r="AG62" s="13">
        <v>1.6028135778411737E-8</v>
      </c>
      <c r="AH62" s="347"/>
      <c r="AI62" s="13">
        <v>1.8301904173342737E-2</v>
      </c>
      <c r="AJ62" s="13">
        <v>3.6748839432495946E-3</v>
      </c>
      <c r="AK62" s="13">
        <v>1.5721677027947604E-8</v>
      </c>
      <c r="AL62" s="347"/>
      <c r="AM62" s="13">
        <v>1.4366086647614539E-2</v>
      </c>
      <c r="AN62" s="13">
        <v>3.8567189980112707E-3</v>
      </c>
      <c r="AO62" s="13">
        <v>1.2471418353793478E-8</v>
      </c>
      <c r="AP62" s="347"/>
      <c r="AQ62" s="13">
        <v>9.4665396472420806E-3</v>
      </c>
      <c r="AR62" s="13">
        <v>4.1795811531952576E-3</v>
      </c>
      <c r="AS62" s="13">
        <v>7.9068472901285205E-10</v>
      </c>
      <c r="AT62" s="347"/>
      <c r="AX62" s="347"/>
      <c r="BB62" s="347"/>
      <c r="BF62" s="347"/>
      <c r="BJ62" s="347"/>
    </row>
    <row r="63" spans="1:62">
      <c r="A63" s="344" t="s">
        <v>8</v>
      </c>
      <c r="B63" t="s">
        <v>17</v>
      </c>
      <c r="C63" s="13">
        <v>1.672364568602101E-7</v>
      </c>
      <c r="D63" s="13">
        <v>2.5769308900399357E-3</v>
      </c>
      <c r="E63" s="13"/>
      <c r="F63" s="347"/>
      <c r="G63" s="13">
        <v>1.6937596201819987E-7</v>
      </c>
      <c r="H63" s="13">
        <v>2.576909354932056E-3</v>
      </c>
      <c r="I63" s="13"/>
      <c r="J63" s="347"/>
      <c r="K63" s="13">
        <v>1.2416307336535605E-2</v>
      </c>
      <c r="L63" s="13">
        <v>2.5554140017861283E-3</v>
      </c>
      <c r="M63" s="13">
        <v>1.8760269619598061E-7</v>
      </c>
      <c r="N63" s="347"/>
      <c r="O63" s="13">
        <v>1.4054579053587746E-2</v>
      </c>
      <c r="P63" s="13">
        <v>2.5227505434065895E-3</v>
      </c>
      <c r="Q63" s="13">
        <v>2.1356823401477948E-7</v>
      </c>
      <c r="R63" s="347"/>
      <c r="S63" s="13">
        <v>1.6085644796127559E-2</v>
      </c>
      <c r="T63" s="13">
        <v>2.4789688961541594E-3</v>
      </c>
      <c r="U63" s="13">
        <v>2.4586859302939675E-7</v>
      </c>
      <c r="V63" s="347"/>
      <c r="W63" s="13">
        <v>1.8500606393124192E-2</v>
      </c>
      <c r="X63" s="13">
        <v>2.4234186675459609E-3</v>
      </c>
      <c r="Y63" s="13">
        <v>2.8433055205396282E-7</v>
      </c>
      <c r="Z63" s="347"/>
      <c r="AA63" s="13">
        <v>2.1129990040230369E-2</v>
      </c>
      <c r="AB63" s="13">
        <v>2.3638496637630518E-3</v>
      </c>
      <c r="AC63" s="13">
        <v>3.2642966371891486E-7</v>
      </c>
      <c r="AD63" s="347"/>
      <c r="AE63" s="13">
        <v>2.3497907161718311E-2</v>
      </c>
      <c r="AF63" s="13">
        <v>2.3199762110716242E-3</v>
      </c>
      <c r="AG63" s="13">
        <v>3.6517927451213889E-7</v>
      </c>
      <c r="AH63" s="347"/>
      <c r="AI63" s="13">
        <v>2.4572382776330632E-2</v>
      </c>
      <c r="AJ63" s="13">
        <v>2.3327283866925955E-3</v>
      </c>
      <c r="AK63" s="13">
        <v>3.8493590933748835E-7</v>
      </c>
      <c r="AL63" s="347"/>
      <c r="AM63" s="13">
        <v>2.1647110896061153E-2</v>
      </c>
      <c r="AN63" s="13">
        <v>2.5286178523629766E-3</v>
      </c>
      <c r="AO63" s="13">
        <v>3.4310514040148865E-7</v>
      </c>
      <c r="AP63" s="347"/>
      <c r="AQ63" s="13">
        <v>1.8536503259573251E-2</v>
      </c>
      <c r="AR63" s="13">
        <v>2.8029131008004246E-3</v>
      </c>
      <c r="AS63" s="13">
        <v>2.508057884817426E-7</v>
      </c>
      <c r="AT63" s="347"/>
      <c r="AX63" s="347"/>
      <c r="BB63" s="347"/>
      <c r="BF63" s="347"/>
      <c r="BJ63" s="347"/>
    </row>
    <row r="64" spans="1:62">
      <c r="A64" s="344" t="s">
        <v>9</v>
      </c>
      <c r="B64" t="s">
        <v>17</v>
      </c>
      <c r="C64" s="13"/>
      <c r="D64" s="13"/>
      <c r="E64" s="13"/>
      <c r="F64" s="347"/>
      <c r="G64" s="13"/>
      <c r="H64" s="13"/>
      <c r="I64" s="13"/>
      <c r="J64" s="347"/>
      <c r="K64" s="13"/>
      <c r="L64" s="13"/>
      <c r="M64" s="13"/>
      <c r="N64" s="347"/>
      <c r="O64" s="13"/>
      <c r="P64" s="13"/>
      <c r="Q64" s="13"/>
      <c r="R64" s="347"/>
      <c r="S64" s="13"/>
      <c r="T64" s="13"/>
      <c r="U64" s="13"/>
      <c r="V64" s="347"/>
      <c r="W64" s="13"/>
      <c r="X64" s="13"/>
      <c r="Y64" s="13"/>
      <c r="Z64" s="347"/>
      <c r="AA64" s="13"/>
      <c r="AB64" s="13"/>
      <c r="AC64" s="13"/>
      <c r="AD64" s="347"/>
      <c r="AE64" s="13"/>
      <c r="AF64" s="13"/>
      <c r="AG64" s="13"/>
      <c r="AH64" s="347"/>
      <c r="AI64" s="13"/>
      <c r="AJ64" s="13"/>
      <c r="AK64" s="13"/>
      <c r="AL64" s="347"/>
      <c r="AM64" s="13"/>
      <c r="AN64" s="13"/>
      <c r="AO64" s="13"/>
      <c r="AP64" s="347"/>
      <c r="AQ64" s="13"/>
      <c r="AR64" s="13"/>
      <c r="AS64" s="13"/>
      <c r="AT64" s="347"/>
      <c r="AX64" s="347"/>
      <c r="BB64" s="347"/>
      <c r="BF64" s="347"/>
      <c r="BJ64" s="347"/>
    </row>
    <row r="65" spans="1:62">
      <c r="A65" s="344" t="s">
        <v>10</v>
      </c>
      <c r="B65" t="s">
        <v>17</v>
      </c>
      <c r="C65" s="13">
        <v>5.5557930060489089E-8</v>
      </c>
      <c r="D65" s="13">
        <v>1.9377388811919157E-3</v>
      </c>
      <c r="E65" s="13"/>
      <c r="F65" s="347"/>
      <c r="G65" s="13">
        <v>5.6479744536154337E-8</v>
      </c>
      <c r="H65" s="13">
        <v>1.9377231440771195E-3</v>
      </c>
      <c r="I65" s="13"/>
      <c r="J65" s="347"/>
      <c r="K65" s="13">
        <v>1.4823737002020887E-2</v>
      </c>
      <c r="L65" s="13">
        <v>1.9096669674671879E-3</v>
      </c>
      <c r="M65" s="13">
        <v>6.4172994989291118E-8</v>
      </c>
      <c r="N65" s="347"/>
      <c r="O65" s="13">
        <v>1.726798686635166E-2</v>
      </c>
      <c r="P65" s="13">
        <v>1.8655805398447769E-3</v>
      </c>
      <c r="Q65" s="13">
        <v>7.5373959619751873E-8</v>
      </c>
      <c r="R65" s="347"/>
      <c r="S65" s="13">
        <v>2.0371795816457712E-2</v>
      </c>
      <c r="T65" s="13">
        <v>1.8042290546950257E-3</v>
      </c>
      <c r="U65" s="13">
        <v>8.9634127798039825E-8</v>
      </c>
      <c r="V65" s="347"/>
      <c r="W65" s="13">
        <v>2.41687559263607E-2</v>
      </c>
      <c r="X65" s="13">
        <v>1.7231163959303534E-3</v>
      </c>
      <c r="Y65" s="13">
        <v>1.0702093435205147E-7</v>
      </c>
      <c r="Z65" s="347"/>
      <c r="AA65" s="13">
        <v>2.8502423484379168E-2</v>
      </c>
      <c r="AB65" s="13">
        <v>1.6306868949984756E-3</v>
      </c>
      <c r="AC65" s="13">
        <v>1.2679339115884616E-7</v>
      </c>
      <c r="AD65" s="347"/>
      <c r="AE65" s="13">
        <v>3.288915776475991E-2</v>
      </c>
      <c r="AF65" s="13">
        <v>1.5503096460870024E-3</v>
      </c>
      <c r="AG65" s="13">
        <v>1.469300201569516E-7</v>
      </c>
      <c r="AH65" s="347"/>
      <c r="AI65" s="13">
        <v>3.6302769082043142E-2</v>
      </c>
      <c r="AJ65" s="13">
        <v>1.5289925220674911E-3</v>
      </c>
      <c r="AK65" s="13">
        <v>1.6311538046961067E-7</v>
      </c>
      <c r="AL65" s="347"/>
      <c r="AM65" s="13">
        <v>3.593537045368328E-2</v>
      </c>
      <c r="AN65" s="13">
        <v>1.7181144452479351E-3</v>
      </c>
      <c r="AO65" s="13">
        <v>1.6298675192527928E-7</v>
      </c>
      <c r="AP65" s="347"/>
      <c r="AQ65" s="13">
        <v>3.7654154795552272E-2</v>
      </c>
      <c r="AR65" s="13">
        <v>1.8180907389965134E-3</v>
      </c>
      <c r="AS65" s="13">
        <v>1.4655935780972192E-7</v>
      </c>
      <c r="AT65" s="347"/>
      <c r="AX65" s="347"/>
      <c r="BB65" s="347"/>
      <c r="BF65" s="347"/>
      <c r="BJ65" s="347"/>
    </row>
    <row r="66" spans="1:62">
      <c r="A66" s="344" t="s">
        <v>35</v>
      </c>
      <c r="B66" t="s">
        <v>17</v>
      </c>
      <c r="C66" s="13">
        <v>6.4808187207631357E-8</v>
      </c>
      <c r="D66" s="13">
        <v>2.5969760500755929E-3</v>
      </c>
      <c r="E66" s="13"/>
      <c r="F66" s="347"/>
      <c r="G66" s="13">
        <v>6.6136392159453473E-8</v>
      </c>
      <c r="H66" s="13">
        <v>2.5969548972659827E-3</v>
      </c>
      <c r="I66" s="13"/>
      <c r="J66" s="347"/>
      <c r="K66" s="13">
        <v>3.2283611921703106E-2</v>
      </c>
      <c r="L66" s="13">
        <v>2.5324332874642344E-3</v>
      </c>
      <c r="M66" s="13">
        <v>7.6764724246742647E-8</v>
      </c>
      <c r="N66" s="347"/>
      <c r="O66" s="13">
        <v>3.8405258268716998E-2</v>
      </c>
      <c r="P66" s="13">
        <v>2.4286550969355729E-3</v>
      </c>
      <c r="Q66" s="13">
        <v>9.2246926377164053E-8</v>
      </c>
      <c r="R66" s="347"/>
      <c r="S66" s="13">
        <v>4.6086155136003372E-2</v>
      </c>
      <c r="T66" s="13">
        <v>2.2821985341053052E-3</v>
      </c>
      <c r="U66" s="13">
        <v>1.1171828023925421E-7</v>
      </c>
      <c r="V66" s="347"/>
      <c r="W66" s="13">
        <v>5.5254642331947657E-2</v>
      </c>
      <c r="X66" s="13">
        <v>2.0888283439104358E-3</v>
      </c>
      <c r="Y66" s="13">
        <v>1.3474249305920683E-7</v>
      </c>
      <c r="Z66" s="347"/>
      <c r="AA66" s="13">
        <v>6.5489554468622924E-2</v>
      </c>
      <c r="AB66" s="13">
        <v>1.8708688880062112E-3</v>
      </c>
      <c r="AC66" s="13">
        <v>1.6002735857810743E-7</v>
      </c>
      <c r="AD66" s="347"/>
      <c r="AE66" s="13">
        <v>7.6094148015758326E-2</v>
      </c>
      <c r="AF66" s="13">
        <v>1.6774315487441199E-3</v>
      </c>
      <c r="AG66" s="13">
        <v>1.8591984834716116E-7</v>
      </c>
      <c r="AH66" s="347"/>
      <c r="AI66" s="13">
        <v>8.6154832094535172E-2</v>
      </c>
      <c r="AJ66" s="13">
        <v>1.583721741935158E-3</v>
      </c>
      <c r="AK66" s="13">
        <v>2.1055765779708452E-7</v>
      </c>
      <c r="AL66" s="347"/>
      <c r="AM66" s="13">
        <v>9.3484587999691504E-2</v>
      </c>
      <c r="AN66" s="13">
        <v>1.8098196367637405E-3</v>
      </c>
      <c r="AO66" s="13">
        <v>2.2914454673717328E-7</v>
      </c>
      <c r="AP66" s="347"/>
      <c r="AQ66" s="13">
        <v>0.10670066065573018</v>
      </c>
      <c r="AR66" s="13">
        <v>1.6170618691805827E-3</v>
      </c>
      <c r="AS66" s="13">
        <v>2.2922492168083235E-7</v>
      </c>
      <c r="AT66" s="347"/>
      <c r="AX66" s="347"/>
      <c r="BB66" s="347"/>
      <c r="BF66" s="347"/>
      <c r="BJ66" s="347"/>
    </row>
    <row r="67" spans="1:62">
      <c r="A67" s="344" t="s">
        <v>163</v>
      </c>
      <c r="B67" t="s">
        <v>17</v>
      </c>
      <c r="C67" s="13">
        <v>7.6652450894157964E-8</v>
      </c>
      <c r="D67" s="13">
        <v>4.2151108662818963E-3</v>
      </c>
      <c r="E67" s="13"/>
      <c r="F67" s="347"/>
      <c r="G67" s="13">
        <v>7.8471342827699008E-8</v>
      </c>
      <c r="H67" s="13">
        <v>4.2150767573204198E-3</v>
      </c>
      <c r="I67" s="13"/>
      <c r="J67" s="347"/>
      <c r="K67" s="13">
        <v>7.5058924071042116E-2</v>
      </c>
      <c r="L67" s="13">
        <v>4.0612267858380919E-3</v>
      </c>
      <c r="M67" s="13">
        <v>9.2403704074522432E-8</v>
      </c>
      <c r="N67" s="347"/>
      <c r="O67" s="13">
        <v>9.0249429286682573E-2</v>
      </c>
      <c r="P67" s="13">
        <v>3.8109314969839228E-3</v>
      </c>
      <c r="Q67" s="13">
        <v>1.1246352118283711E-7</v>
      </c>
      <c r="R67" s="347"/>
      <c r="S67" s="13">
        <v>0.1086623798621818</v>
      </c>
      <c r="T67" s="13">
        <v>3.4596268476501314E-3</v>
      </c>
      <c r="U67" s="13">
        <v>1.3689416228044926E-7</v>
      </c>
      <c r="V67" s="347"/>
      <c r="W67" s="13">
        <v>0.12940797520023542</v>
      </c>
      <c r="X67" s="13">
        <v>3.009813138823255E-3</v>
      </c>
      <c r="Y67" s="13">
        <v>1.6411974589304845E-7</v>
      </c>
      <c r="Z67" s="347"/>
      <c r="AA67" s="13">
        <v>0.15124802756407657</v>
      </c>
      <c r="AB67" s="13">
        <v>2.5287705737875314E-3</v>
      </c>
      <c r="AC67" s="13">
        <v>1.9209994415469422E-7</v>
      </c>
      <c r="AD67" s="347"/>
      <c r="AE67" s="13">
        <v>0.17365945739696745</v>
      </c>
      <c r="AF67" s="13">
        <v>2.1212802926787269E-3</v>
      </c>
      <c r="AG67" s="13">
        <v>2.2018377269117539E-7</v>
      </c>
      <c r="AH67" s="347"/>
      <c r="AI67" s="13">
        <v>0.19729512254822321</v>
      </c>
      <c r="AJ67" s="13">
        <v>1.8966171768237056E-3</v>
      </c>
      <c r="AK67" s="13">
        <v>2.4966577406862217E-7</v>
      </c>
      <c r="AL67" s="347"/>
      <c r="AM67" s="13">
        <v>0.2242670573985221</v>
      </c>
      <c r="AN67" s="13">
        <v>2.1315231278217907E-3</v>
      </c>
      <c r="AO67" s="13">
        <v>2.8389896315056608E-7</v>
      </c>
      <c r="AP67" s="347"/>
      <c r="AQ67" s="13">
        <v>0.25829311220071732</v>
      </c>
      <c r="AR67" s="13">
        <v>1.5553381441128387E-3</v>
      </c>
      <c r="AS67" s="13">
        <v>2.9425801319421595E-7</v>
      </c>
      <c r="AT67" s="347"/>
      <c r="AX67" s="347"/>
      <c r="BB67" s="347"/>
      <c r="BF67" s="347"/>
      <c r="BJ67" s="347"/>
    </row>
    <row r="68" spans="1:62">
      <c r="A68" s="344" t="s">
        <v>37</v>
      </c>
      <c r="B68" t="s">
        <v>17</v>
      </c>
      <c r="C68" s="13">
        <v>8.9408011592172644E-9</v>
      </c>
      <c r="D68" s="13">
        <v>1.608148211178101E-3</v>
      </c>
      <c r="E68" s="13"/>
      <c r="F68" s="347"/>
      <c r="G68" s="13">
        <v>9.1938184115993696E-9</v>
      </c>
      <c r="H68" s="13">
        <v>1.608135491013454E-3</v>
      </c>
      <c r="I68" s="13"/>
      <c r="J68" s="347"/>
      <c r="K68" s="13">
        <v>4.1303822329788929E-2</v>
      </c>
      <c r="L68" s="13">
        <v>1.5219773322416271E-3</v>
      </c>
      <c r="M68" s="13">
        <v>1.1040781363938523E-8</v>
      </c>
      <c r="N68" s="347"/>
      <c r="O68" s="13">
        <v>5.0195092515139997E-2</v>
      </c>
      <c r="P68" s="13">
        <v>1.3799598402089168E-3</v>
      </c>
      <c r="Q68" s="13">
        <v>1.3648676367407307E-8</v>
      </c>
      <c r="R68" s="347"/>
      <c r="S68" s="13">
        <v>6.0269925285924515E-2</v>
      </c>
      <c r="T68" s="13">
        <v>1.1842047525275831E-3</v>
      </c>
      <c r="U68" s="13">
        <v>1.6651158909323451E-8</v>
      </c>
      <c r="V68" s="347"/>
      <c r="W68" s="13">
        <v>7.0387676954389564E-2</v>
      </c>
      <c r="X68" s="13">
        <v>9.4884811226480278E-4</v>
      </c>
      <c r="Y68" s="13">
        <v>1.9673115228838723E-8</v>
      </c>
      <c r="Z68" s="347"/>
      <c r="AA68" s="13">
        <v>7.9922150636128828E-2</v>
      </c>
      <c r="AB68" s="13">
        <v>7.2095293874885845E-4</v>
      </c>
      <c r="AC68" s="13">
        <v>2.2478744232489507E-8</v>
      </c>
      <c r="AD68" s="347"/>
      <c r="AE68" s="13">
        <v>8.9609282690241973E-2</v>
      </c>
      <c r="AF68" s="13">
        <v>5.4568209015014085E-4</v>
      </c>
      <c r="AG68" s="13">
        <v>2.5283661696782492E-8</v>
      </c>
      <c r="AH68" s="347"/>
      <c r="AI68" s="13">
        <v>0.10118341565832249</v>
      </c>
      <c r="AJ68" s="13">
        <v>4.4553575962655436E-4</v>
      </c>
      <c r="AK68" s="13">
        <v>2.8645431718868046E-8</v>
      </c>
      <c r="AL68" s="347"/>
      <c r="AM68" s="13">
        <v>0.11846891019939446</v>
      </c>
      <c r="AN68" s="13">
        <v>4.6969705510448568E-4</v>
      </c>
      <c r="AO68" s="13">
        <v>3.3763635976751785E-8</v>
      </c>
      <c r="AP68" s="347"/>
      <c r="AQ68" s="13">
        <v>0.1347327049241942</v>
      </c>
      <c r="AR68" s="13">
        <v>2.5889038712183026E-4</v>
      </c>
      <c r="AS68" s="13">
        <v>3.7030259371925207E-8</v>
      </c>
      <c r="AT68" s="347"/>
      <c r="AX68" s="347"/>
      <c r="BB68" s="347"/>
      <c r="BF68" s="347"/>
      <c r="BJ68" s="347"/>
    </row>
    <row r="69" spans="1:62">
      <c r="A69" s="344" t="s">
        <v>38</v>
      </c>
      <c r="B69" t="s">
        <v>17</v>
      </c>
      <c r="C69" s="13">
        <v>2.2882768326126521E-9</v>
      </c>
      <c r="D69" s="13">
        <v>1.0887488071431076E-3</v>
      </c>
      <c r="E69" s="13"/>
      <c r="F69" s="347"/>
      <c r="G69" s="13">
        <v>2.3619810704862508E-9</v>
      </c>
      <c r="H69" s="13">
        <v>1.0887402602099831E-3</v>
      </c>
      <c r="I69" s="13"/>
      <c r="J69" s="347"/>
      <c r="K69" s="13">
        <v>3.8152546122539988E-2</v>
      </c>
      <c r="L69" s="13">
        <v>1.0083194574326683E-3</v>
      </c>
      <c r="M69" s="13">
        <v>2.865815011585574E-9</v>
      </c>
      <c r="N69" s="347"/>
      <c r="O69" s="13">
        <v>4.6213424654214026E-2</v>
      </c>
      <c r="P69" s="13">
        <v>8.7692268564589957E-4</v>
      </c>
      <c r="Q69" s="13">
        <v>3.5457178730139714E-9</v>
      </c>
      <c r="R69" s="347"/>
      <c r="S69" s="13">
        <v>5.4375800684064564E-2</v>
      </c>
      <c r="T69" s="13">
        <v>7.0454858705193977E-4</v>
      </c>
      <c r="U69" s="13">
        <v>4.2566727658437864E-9</v>
      </c>
      <c r="V69" s="347"/>
      <c r="W69" s="13">
        <v>6.1279137607959035E-2</v>
      </c>
      <c r="X69" s="13">
        <v>5.1638056546430113E-4</v>
      </c>
      <c r="Y69" s="13">
        <v>4.8727293254128369E-9</v>
      </c>
      <c r="Z69" s="347"/>
      <c r="AA69" s="13">
        <v>6.7005108564689136E-2</v>
      </c>
      <c r="AB69" s="13">
        <v>3.5547547304492708E-4</v>
      </c>
      <c r="AC69" s="13">
        <v>5.382598658097838E-9</v>
      </c>
      <c r="AD69" s="347"/>
      <c r="AE69" s="13">
        <v>7.3158186206866482E-2</v>
      </c>
      <c r="AF69" s="13">
        <v>2.4494702790628988E-4</v>
      </c>
      <c r="AG69" s="13">
        <v>5.9188582694415877E-9</v>
      </c>
      <c r="AH69" s="347"/>
      <c r="AI69" s="13">
        <v>8.1720227888811725E-2</v>
      </c>
      <c r="AJ69" s="13">
        <v>1.8408443726094899E-4</v>
      </c>
      <c r="AK69" s="13">
        <v>6.6619315531794664E-9</v>
      </c>
      <c r="AL69" s="347"/>
      <c r="AM69" s="13">
        <v>9.6512500478789037E-2</v>
      </c>
      <c r="AN69" s="13">
        <v>1.8077808986600039E-4</v>
      </c>
      <c r="AO69" s="13">
        <v>7.9605407758112505E-9</v>
      </c>
      <c r="AP69" s="347"/>
      <c r="AQ69" s="13">
        <v>0.10847344203195064</v>
      </c>
      <c r="AR69" s="13">
        <v>7.8278480920330955E-5</v>
      </c>
      <c r="AS69" s="13">
        <v>9.1638137845108449E-9</v>
      </c>
      <c r="AT69" s="347"/>
      <c r="AX69" s="347"/>
      <c r="BB69" s="347"/>
      <c r="BF69" s="347"/>
      <c r="BJ69" s="347"/>
    </row>
    <row r="70" spans="1:62">
      <c r="A70" s="344" t="s">
        <v>39</v>
      </c>
      <c r="B70" t="s">
        <v>17</v>
      </c>
      <c r="C70" s="13">
        <v>4.4996091061600918E-9</v>
      </c>
      <c r="D70" s="13">
        <v>2.1075779195821702E-3</v>
      </c>
      <c r="E70" s="13"/>
      <c r="F70" s="347"/>
      <c r="G70" s="13">
        <v>4.6552217179917868E-9</v>
      </c>
      <c r="H70" s="13">
        <v>2.1075613659984086E-3</v>
      </c>
      <c r="I70" s="13"/>
      <c r="J70" s="347"/>
      <c r="K70" s="13">
        <v>0.27166080315258667</v>
      </c>
      <c r="L70" s="13">
        <v>1.5230286669425455E-3</v>
      </c>
      <c r="M70" s="13">
        <v>4.5181642834647503E-9</v>
      </c>
      <c r="N70" s="347"/>
      <c r="O70" s="13">
        <v>0.24911547552869096</v>
      </c>
      <c r="P70" s="13">
        <v>9.6157024702194275E-4</v>
      </c>
      <c r="Q70" s="13">
        <v>4.1946862085275163E-9</v>
      </c>
      <c r="R70" s="347"/>
      <c r="S70" s="13">
        <v>0.22460541646229862</v>
      </c>
      <c r="T70" s="13">
        <v>5.6198337968376832E-4</v>
      </c>
      <c r="U70" s="13">
        <v>3.8093011948263886E-9</v>
      </c>
      <c r="V70" s="347"/>
      <c r="W70" s="13">
        <v>0.20548037312050307</v>
      </c>
      <c r="X70" s="13">
        <v>3.1260195502505391E-4</v>
      </c>
      <c r="Y70" s="13">
        <v>3.4650109692361117E-9</v>
      </c>
      <c r="Z70" s="347"/>
      <c r="AA70" s="13">
        <v>0.19729810170860795</v>
      </c>
      <c r="AB70" s="13">
        <v>1.7373816922510639E-4</v>
      </c>
      <c r="AC70" s="13">
        <v>3.2571702202485723E-9</v>
      </c>
      <c r="AD70" s="347"/>
      <c r="AE70" s="13">
        <v>0.20169777859275695</v>
      </c>
      <c r="AF70" s="13">
        <v>1.0163761528514209E-4</v>
      </c>
      <c r="AG70" s="13">
        <v>3.2247397079853225E-9</v>
      </c>
      <c r="AH70" s="347"/>
      <c r="AI70" s="13">
        <v>0.21957256670110539</v>
      </c>
      <c r="AJ70" s="13">
        <v>6.6841937307556459E-5</v>
      </c>
      <c r="AK70" s="13">
        <v>3.3875848295941618E-9</v>
      </c>
      <c r="AL70" s="347"/>
      <c r="AM70" s="13">
        <v>0.2594229969667049</v>
      </c>
      <c r="AN70" s="13">
        <v>5.8236590724689199E-5</v>
      </c>
      <c r="AO70" s="13">
        <v>3.8663532786256627E-9</v>
      </c>
      <c r="AP70" s="347"/>
      <c r="AQ70" s="13">
        <v>0.28728143261816996</v>
      </c>
      <c r="AR70" s="13">
        <v>1.2285994805313506E-5</v>
      </c>
      <c r="AS70" s="13">
        <v>4.5502475782455359E-9</v>
      </c>
      <c r="AT70" s="347"/>
      <c r="AX70" s="347"/>
      <c r="BB70" s="347"/>
      <c r="BF70" s="347"/>
      <c r="BJ70" s="347"/>
    </row>
    <row r="71" spans="1:62">
      <c r="A71" s="344" t="s">
        <v>40</v>
      </c>
      <c r="B71" t="s">
        <v>17</v>
      </c>
      <c r="C71" s="13"/>
      <c r="D71" s="13"/>
      <c r="E71" s="13"/>
      <c r="F71" s="347"/>
      <c r="G71" s="13"/>
      <c r="H71" s="13"/>
      <c r="I71" s="13"/>
      <c r="J71" s="347"/>
      <c r="K71" s="13"/>
      <c r="L71" s="13"/>
      <c r="M71" s="13"/>
      <c r="N71" s="347"/>
      <c r="O71" s="13"/>
      <c r="P71" s="13"/>
      <c r="Q71" s="13"/>
      <c r="R71" s="347"/>
      <c r="S71" s="13"/>
      <c r="T71" s="13"/>
      <c r="U71" s="13"/>
      <c r="V71" s="347"/>
      <c r="W71" s="13"/>
      <c r="X71" s="13"/>
      <c r="Y71" s="13"/>
      <c r="Z71" s="347"/>
      <c r="AA71" s="13"/>
      <c r="AB71" s="13"/>
      <c r="AC71" s="13"/>
      <c r="AD71" s="347"/>
      <c r="AE71" s="13"/>
      <c r="AF71" s="13"/>
      <c r="AG71" s="13"/>
      <c r="AH71" s="347"/>
      <c r="AI71" s="13"/>
      <c r="AJ71" s="13"/>
      <c r="AK71" s="13"/>
      <c r="AL71" s="347"/>
      <c r="AM71" s="13"/>
      <c r="AN71" s="13"/>
      <c r="AO71" s="13"/>
      <c r="AP71" s="347"/>
      <c r="AQ71" s="13"/>
      <c r="AR71" s="13"/>
      <c r="AS71" s="13"/>
      <c r="AT71" s="347"/>
      <c r="AX71" s="347"/>
      <c r="BB71" s="347"/>
      <c r="BF71" s="347"/>
      <c r="BJ71" s="347"/>
    </row>
    <row r="72" spans="1:62">
      <c r="A72" s="344" t="s">
        <v>41</v>
      </c>
      <c r="B72" t="s">
        <v>17</v>
      </c>
      <c r="C72" s="13"/>
      <c r="D72" s="13"/>
      <c r="E72" s="13"/>
      <c r="F72" s="347"/>
      <c r="G72" s="13"/>
      <c r="H72" s="13"/>
      <c r="I72" s="13"/>
      <c r="J72" s="347"/>
      <c r="K72" s="13"/>
      <c r="L72" s="13"/>
      <c r="M72" s="13"/>
      <c r="N72" s="347"/>
      <c r="O72" s="13"/>
      <c r="P72" s="13"/>
      <c r="Q72" s="13"/>
      <c r="R72" s="347"/>
      <c r="S72" s="13"/>
      <c r="T72" s="13"/>
      <c r="U72" s="13"/>
      <c r="V72" s="347"/>
      <c r="W72" s="13"/>
      <c r="X72" s="13"/>
      <c r="Y72" s="13"/>
      <c r="Z72" s="347"/>
      <c r="AA72" s="13"/>
      <c r="AB72" s="13"/>
      <c r="AC72" s="13"/>
      <c r="AD72" s="347"/>
      <c r="AE72" s="13"/>
      <c r="AF72" s="13"/>
      <c r="AG72" s="13"/>
      <c r="AH72" s="347"/>
      <c r="AI72" s="13"/>
      <c r="AJ72" s="13"/>
      <c r="AK72" s="13"/>
      <c r="AL72" s="347"/>
      <c r="AM72" s="13"/>
      <c r="AN72" s="13"/>
      <c r="AO72" s="13"/>
      <c r="AP72" s="347"/>
      <c r="AQ72" s="13"/>
      <c r="AR72" s="13"/>
      <c r="AS72" s="13"/>
      <c r="AT72" s="347"/>
      <c r="AX72" s="347"/>
      <c r="BB72" s="347"/>
      <c r="BF72" s="347"/>
      <c r="BJ72" s="347"/>
    </row>
    <row r="73" spans="1:62">
      <c r="A73" s="344" t="s">
        <v>42</v>
      </c>
      <c r="B73" t="s">
        <v>17</v>
      </c>
      <c r="C73" s="13"/>
      <c r="D73" s="13"/>
      <c r="E73" s="13"/>
      <c r="F73" s="347"/>
      <c r="G73" s="13"/>
      <c r="H73" s="13"/>
      <c r="I73" s="13"/>
      <c r="J73" s="347"/>
      <c r="K73" s="13"/>
      <c r="L73" s="13"/>
      <c r="M73" s="13"/>
      <c r="N73" s="347"/>
      <c r="O73" s="13"/>
      <c r="P73" s="13"/>
      <c r="Q73" s="13"/>
      <c r="R73" s="347"/>
      <c r="S73" s="13"/>
      <c r="T73" s="13"/>
      <c r="U73" s="13"/>
      <c r="V73" s="347"/>
      <c r="W73" s="13"/>
      <c r="X73" s="13"/>
      <c r="Y73" s="13"/>
      <c r="Z73" s="347"/>
      <c r="AA73" s="13"/>
      <c r="AB73" s="13"/>
      <c r="AC73" s="13"/>
      <c r="AD73" s="347"/>
      <c r="AE73" s="13"/>
      <c r="AF73" s="13"/>
      <c r="AG73" s="13"/>
      <c r="AH73" s="347"/>
      <c r="AI73" s="13"/>
      <c r="AJ73" s="13"/>
      <c r="AK73" s="13"/>
      <c r="AL73" s="347"/>
      <c r="AM73" s="13"/>
      <c r="AN73" s="13"/>
      <c r="AO73" s="13"/>
      <c r="AP73" s="347"/>
      <c r="AQ73" s="13"/>
      <c r="AR73" s="13"/>
      <c r="AS73" s="13"/>
      <c r="AT73" s="347"/>
      <c r="AX73" s="347"/>
      <c r="BB73" s="347"/>
      <c r="BF73" s="347"/>
      <c r="BJ73" s="347"/>
    </row>
    <row r="74" spans="1:62">
      <c r="A74" s="344" t="s">
        <v>43</v>
      </c>
      <c r="B74" t="s">
        <v>17</v>
      </c>
      <c r="C74" s="13"/>
      <c r="D74" s="13"/>
      <c r="E74" s="13"/>
      <c r="F74" s="347"/>
      <c r="G74" s="13"/>
      <c r="H74" s="13"/>
      <c r="I74" s="13"/>
      <c r="J74" s="347"/>
      <c r="K74" s="13"/>
      <c r="L74" s="13"/>
      <c r="M74" s="13"/>
      <c r="N74" s="347"/>
      <c r="O74" s="13"/>
      <c r="P74" s="13"/>
      <c r="Q74" s="13"/>
      <c r="R74" s="347"/>
      <c r="S74" s="13"/>
      <c r="T74" s="13"/>
      <c r="U74" s="13"/>
      <c r="V74" s="347"/>
      <c r="W74" s="13"/>
      <c r="X74" s="13"/>
      <c r="Y74" s="13"/>
      <c r="Z74" s="347"/>
      <c r="AA74" s="13"/>
      <c r="AB74" s="13"/>
      <c r="AC74" s="13"/>
      <c r="AD74" s="347"/>
      <c r="AE74" s="13"/>
      <c r="AF74" s="13"/>
      <c r="AG74" s="13"/>
      <c r="AH74" s="347"/>
      <c r="AI74" s="13"/>
      <c r="AJ74" s="13"/>
      <c r="AK74" s="13"/>
      <c r="AL74" s="347"/>
      <c r="AM74" s="13"/>
      <c r="AN74" s="13"/>
      <c r="AO74" s="13"/>
      <c r="AP74" s="347"/>
      <c r="AQ74" s="13"/>
      <c r="AR74" s="13"/>
      <c r="AS74" s="13"/>
      <c r="AT74" s="347"/>
      <c r="AX74" s="347"/>
      <c r="BB74" s="347"/>
      <c r="BF74" s="347"/>
      <c r="BJ74" s="347"/>
    </row>
    <row r="75" spans="1:62">
      <c r="A75" s="344" t="s">
        <v>44</v>
      </c>
      <c r="B75" t="s">
        <v>17</v>
      </c>
      <c r="C75" s="13"/>
      <c r="D75" s="13"/>
      <c r="E75" s="13"/>
      <c r="F75" s="347"/>
      <c r="G75" s="13"/>
      <c r="H75" s="13"/>
      <c r="I75" s="13"/>
      <c r="J75" s="347"/>
      <c r="K75" s="13"/>
      <c r="L75" s="13"/>
      <c r="M75" s="13"/>
      <c r="N75" s="347"/>
      <c r="O75" s="13"/>
      <c r="P75" s="13"/>
      <c r="Q75" s="13"/>
      <c r="R75" s="347"/>
      <c r="S75" s="13"/>
      <c r="T75" s="13"/>
      <c r="U75" s="13"/>
      <c r="V75" s="347"/>
      <c r="W75" s="13"/>
      <c r="X75" s="13"/>
      <c r="Y75" s="13"/>
      <c r="Z75" s="347"/>
      <c r="AA75" s="13"/>
      <c r="AB75" s="13"/>
      <c r="AC75" s="13"/>
      <c r="AD75" s="347"/>
      <c r="AE75" s="13"/>
      <c r="AF75" s="13"/>
      <c r="AG75" s="13"/>
      <c r="AH75" s="347"/>
      <c r="AI75" s="13"/>
      <c r="AJ75" s="13"/>
      <c r="AK75" s="13"/>
      <c r="AL75" s="347"/>
      <c r="AM75" s="13"/>
      <c r="AN75" s="13"/>
      <c r="AO75" s="13"/>
      <c r="AP75" s="347"/>
      <c r="AQ75" s="13"/>
      <c r="AR75" s="13"/>
      <c r="AS75" s="13"/>
      <c r="AT75" s="347"/>
      <c r="AX75" s="347"/>
      <c r="BB75" s="347"/>
      <c r="BF75" s="347"/>
      <c r="BJ75" s="347"/>
    </row>
    <row r="76" spans="1:62">
      <c r="A76" s="344" t="s">
        <v>45</v>
      </c>
      <c r="B76" t="s">
        <v>17</v>
      </c>
    </row>
    <row r="77" spans="1:62">
      <c r="A77" s="344" t="s">
        <v>225</v>
      </c>
      <c r="D77" s="13">
        <f>SUM(D63:D70)</f>
        <v>1.6131231625492719E-2</v>
      </c>
      <c r="H77" s="13">
        <f>SUM(H63:H70)</f>
        <v>1.6131101270817422E-2</v>
      </c>
      <c r="K77" s="13">
        <f>SUM(K63:K70)*K47/$D$47</f>
        <v>1.039239182532483E-3</v>
      </c>
      <c r="O77" s="13">
        <f>SUM(O63:O70)*O47/$D$47</f>
        <v>2.216067424121579E-3</v>
      </c>
      <c r="S77" s="13">
        <f>SUM(S63:S70)*S47/$D$47</f>
        <v>3.3397834589458798E-3</v>
      </c>
      <c r="W77" s="13">
        <f>SUM(W63:W70)*W47/$D$47</f>
        <v>4.3604049707239006E-3</v>
      </c>
      <c r="AA77" s="13">
        <f>SUM(AA63:AA70)*AA47/$D$47</f>
        <v>5.1601228656807411E-3</v>
      </c>
      <c r="AE77" s="13">
        <f>SUM(AE63:AE70)*AE47/$D$47</f>
        <v>5.6531245577498817E-3</v>
      </c>
      <c r="AI77" s="13">
        <f>SUM(AI63:AI70)*AI47/$D$47</f>
        <v>5.8228604021118872E-3</v>
      </c>
      <c r="AM77" s="13">
        <f>SUM(AM63:AM70)*AM47/$D$47</f>
        <v>5.6137306383325525E-3</v>
      </c>
      <c r="AQ77" s="13">
        <f>SUM(AQ63:AQ70)*AQ47/$D$47</f>
        <v>5.6945385476085087E-3</v>
      </c>
    </row>
    <row r="78" spans="1:62">
      <c r="A78" s="344" t="s">
        <v>226</v>
      </c>
      <c r="D78">
        <f>(D63*PVT_Mod!$D$12+PVT_Mod!$D$14*CVD_results!D65+CVD_results!D66*PVT_Mod!$D$15+PVT_Mod!$D$16*CVD_results!D67+CVD_results!D68*PVT_Mod!$D$17+PVT_Mod!$D$18*CVD_results!D69+CVD_results!D70*PVT_Mod!$D$19)/0.02404/(1-D77)</f>
        <v>96.387200213978886</v>
      </c>
      <c r="H78">
        <f>(H63*PVT_Mod!$D$12+PVT_Mod!$D$14*CVD_results!H65+CVD_results!H66*PVT_Mod!$D$15+PVT_Mod!$D$16*CVD_results!H67+CVD_results!H68*PVT_Mod!$D$17+PVT_Mod!$D$18*CVD_results!H69+CVD_results!H70*PVT_Mod!$D$19)/0.02404/(1-H77)</f>
        <v>96.386416257270909</v>
      </c>
      <c r="K78">
        <f>(K63*PVT_Mod!$D$12+PVT_Mod!$D$14*CVD_results!K65+CVD_results!K66*PVT_Mod!$D$15+PVT_Mod!$D$16*CVD_results!K67+CVD_results!K68*PVT_Mod!$D$17+PVT_Mod!$D$18*CVD_results!K69+CVD_results!K70*PVT_Mod!$D$19)/0.02404/(1-K77)*K47/$D$47</f>
        <v>10.853422749798042</v>
      </c>
      <c r="O78">
        <f>(O63*PVT_Mod!$D$12+PVT_Mod!$D$14*CVD_results!O65+CVD_results!O66*PVT_Mod!$D$15+PVT_Mod!$D$16*CVD_results!O67+CVD_results!O68*PVT_Mod!$D$17+PVT_Mod!$D$18*CVD_results!O69+CVD_results!O70*PVT_Mod!$D$19)/0.02404/(1-O77)*O47/$D$47</f>
        <v>21.896225468354654</v>
      </c>
      <c r="S78">
        <f>(S63*PVT_Mod!$D$12+PVT_Mod!$D$14*CVD_results!S65+CVD_results!S66*PVT_Mod!$D$15+PVT_Mod!$D$16*CVD_results!S67+CVD_results!S68*PVT_Mod!$D$17+PVT_Mod!$D$18*CVD_results!S69+CVD_results!S70*PVT_Mod!$D$19)/0.02404/(1-S77)*S47/$D$47</f>
        <v>30.985547290684273</v>
      </c>
      <c r="W78">
        <f>(W63*PVT_Mod!$D$12+PVT_Mod!$D$14*CVD_results!W65+CVD_results!W66*PVT_Mod!$D$15+PVT_Mod!$D$16*CVD_results!W67+CVD_results!W68*PVT_Mod!$D$17+PVT_Mod!$D$18*CVD_results!W69+CVD_results!W70*PVT_Mod!$D$19)/0.02404/(1-W77)*W47/$D$47</f>
        <v>38.112641645171358</v>
      </c>
      <c r="AA78">
        <f>(AA63*PVT_Mod!$D$12+PVT_Mod!$D$14*CVD_results!AA65+CVD_results!AA66*PVT_Mod!$D$15+PVT_Mod!$D$16*CVD_results!AA67+CVD_results!AA68*PVT_Mod!$D$17+PVT_Mod!$D$18*CVD_results!AA69+CVD_results!AA70*PVT_Mod!$D$19)/0.02404/(1-AA77)*AA47/$D$47</f>
        <v>43.099846651561208</v>
      </c>
      <c r="AE78">
        <f>(AE63*PVT_Mod!$D$12+PVT_Mod!$D$14*CVD_results!AE65+CVD_results!AE66*PVT_Mod!$D$15+PVT_Mod!$D$16*CVD_results!AE67+CVD_results!AE68*PVT_Mod!$D$17+PVT_Mod!$D$18*CVD_results!AE69+CVD_results!AE70*PVT_Mod!$D$19)/0.02404/(1-AE77)*AE47/$D$47</f>
        <v>45.979027220678304</v>
      </c>
      <c r="AI78">
        <f>(AI63*PVT_Mod!$D$12+PVT_Mod!$D$14*CVD_results!AI65+CVD_results!AI66*PVT_Mod!$D$15+PVT_Mod!$D$16*CVD_results!AI67+CVD_results!AI68*PVT_Mod!$D$17+PVT_Mod!$D$18*CVD_results!AI69+CVD_results!AI70*PVT_Mod!$D$19)/0.02404/(1-AI77)*AI47/$D$47</f>
        <v>47.028662069089272</v>
      </c>
      <c r="AM78">
        <f>(AM63*PVT_Mod!$D$12+PVT_Mod!$D$14*CVD_results!AM65+CVD_results!AM66*PVT_Mod!$D$15+PVT_Mod!$D$16*CVD_results!AM67+CVD_results!AM68*PVT_Mod!$D$17+PVT_Mod!$D$18*CVD_results!AM69+CVD_results!AM70*PVT_Mod!$D$19)/0.02404/(1-AM77)*AM47/$D$47</f>
        <v>46.21914532808966</v>
      </c>
      <c r="AQ78">
        <f>(AQ63*PVT_Mod!$D$12+PVT_Mod!$D$14*CVD_results!AQ65+CVD_results!AQ66*PVT_Mod!$D$15+PVT_Mod!$D$16*CVD_results!AQ67+CVD_results!AQ68*PVT_Mod!$D$17+PVT_Mod!$D$18*CVD_results!AQ69+CVD_results!AQ70*PVT_Mod!$D$19)/0.02404/(1-AQ77)*AQ47/$D$47</f>
        <v>46.796168483204127</v>
      </c>
    </row>
  </sheetData>
  <mergeCells count="73">
    <mergeCell ref="BG5:BI5"/>
    <mergeCell ref="AI6:AK6"/>
    <mergeCell ref="AI7:AK7"/>
    <mergeCell ref="S6:U6"/>
    <mergeCell ref="S7:U7"/>
    <mergeCell ref="AI5:AK5"/>
    <mergeCell ref="AQ7:AS7"/>
    <mergeCell ref="AU7:AW7"/>
    <mergeCell ref="AQ5:AS5"/>
    <mergeCell ref="AY5:BA5"/>
    <mergeCell ref="BC5:BE5"/>
    <mergeCell ref="AM7:AO7"/>
    <mergeCell ref="AE7:AG7"/>
    <mergeCell ref="AQ6:AS6"/>
    <mergeCell ref="A1:AU3"/>
    <mergeCell ref="AA5:AC5"/>
    <mergeCell ref="AM5:AO5"/>
    <mergeCell ref="AU5:AW5"/>
    <mergeCell ref="C6:E6"/>
    <mergeCell ref="S5:U5"/>
    <mergeCell ref="AU6:AW6"/>
    <mergeCell ref="C5:E5"/>
    <mergeCell ref="G5:I5"/>
    <mergeCell ref="K5:M5"/>
    <mergeCell ref="O5:Q5"/>
    <mergeCell ref="AE5:AG5"/>
    <mergeCell ref="W5:Y5"/>
    <mergeCell ref="K6:M6"/>
    <mergeCell ref="AM6:AO6"/>
    <mergeCell ref="AE6:AG6"/>
    <mergeCell ref="C7:E7"/>
    <mergeCell ref="G6:I6"/>
    <mergeCell ref="AA6:AC6"/>
    <mergeCell ref="AA7:AC7"/>
    <mergeCell ref="O6:Q6"/>
    <mergeCell ref="W6:Y6"/>
    <mergeCell ref="W7:Y7"/>
    <mergeCell ref="G7:I7"/>
    <mergeCell ref="O7:Q7"/>
    <mergeCell ref="K7:M7"/>
    <mergeCell ref="C43:E43"/>
    <mergeCell ref="G43:I43"/>
    <mergeCell ref="K43:M43"/>
    <mergeCell ref="O43:Q43"/>
    <mergeCell ref="S43:U43"/>
    <mergeCell ref="W43:Y43"/>
    <mergeCell ref="AE43:AG43"/>
    <mergeCell ref="AI43:AK43"/>
    <mergeCell ref="AM43:AO43"/>
    <mergeCell ref="AQ43:AS43"/>
    <mergeCell ref="C44:E44"/>
    <mergeCell ref="G44:I44"/>
    <mergeCell ref="W45:Y45"/>
    <mergeCell ref="AA45:AC45"/>
    <mergeCell ref="AE45:AG45"/>
    <mergeCell ref="K44:M44"/>
    <mergeCell ref="O44:Q44"/>
    <mergeCell ref="S44:U44"/>
    <mergeCell ref="W44:Y44"/>
    <mergeCell ref="C45:E45"/>
    <mergeCell ref="G45:I45"/>
    <mergeCell ref="K45:M45"/>
    <mergeCell ref="O45:Q45"/>
    <mergeCell ref="S45:U45"/>
    <mergeCell ref="AQ45:AS45"/>
    <mergeCell ref="AA44:AC44"/>
    <mergeCell ref="AE44:AG44"/>
    <mergeCell ref="AA43:AC43"/>
    <mergeCell ref="AI44:AK44"/>
    <mergeCell ref="AM44:AO44"/>
    <mergeCell ref="AQ44:AS44"/>
    <mergeCell ref="AI45:AK45"/>
    <mergeCell ref="AM45:AO45"/>
  </mergeCell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BU123"/>
  <sheetViews>
    <sheetView topLeftCell="AI1" workbookViewId="0">
      <selection activeCell="BA8" sqref="BA8:BA18"/>
    </sheetView>
  </sheetViews>
  <sheetFormatPr defaultRowHeight="12.75"/>
  <cols>
    <col min="3" max="3" width="10.28515625" customWidth="1"/>
    <col min="5" max="5" width="10.5703125" customWidth="1"/>
    <col min="7" max="7" width="11.140625" customWidth="1"/>
    <col min="9" max="9" width="10" customWidth="1"/>
    <col min="13" max="13" width="10.85546875" customWidth="1"/>
    <col min="17" max="17" width="10.5703125" customWidth="1"/>
    <col min="21" max="21" width="11.85546875" customWidth="1"/>
    <col min="25" max="25" width="10.7109375" customWidth="1"/>
    <col min="29" max="29" width="11.140625" customWidth="1"/>
    <col min="33" max="33" width="11.28515625" customWidth="1"/>
    <col min="37" max="37" width="12.28515625" customWidth="1"/>
    <col min="41" max="41" width="11.140625" customWidth="1"/>
    <col min="45" max="45" width="12.28515625" customWidth="1"/>
    <col min="47" max="47" width="10" customWidth="1"/>
    <col min="48" max="48" width="13.140625" customWidth="1"/>
  </cols>
  <sheetData>
    <row r="1" spans="1:73">
      <c r="A1" s="479" t="s">
        <v>203</v>
      </c>
      <c r="B1" s="479"/>
      <c r="C1" s="479"/>
      <c r="D1" s="479"/>
      <c r="E1" s="479"/>
      <c r="F1" s="479"/>
      <c r="G1" s="479"/>
      <c r="H1" s="479"/>
      <c r="I1" s="479"/>
      <c r="J1" s="479"/>
      <c r="K1" s="479"/>
      <c r="L1" s="479"/>
      <c r="M1" s="479"/>
      <c r="N1" s="479"/>
      <c r="O1" s="475"/>
      <c r="P1" s="475"/>
      <c r="Q1" s="475"/>
      <c r="R1" s="475"/>
      <c r="S1" s="475"/>
      <c r="T1" s="475"/>
      <c r="U1" s="475"/>
      <c r="V1" s="475"/>
      <c r="W1" s="475"/>
      <c r="X1" s="475"/>
      <c r="Y1" s="475"/>
      <c r="Z1" s="475"/>
      <c r="AA1" s="475"/>
      <c r="AB1" s="475"/>
      <c r="AC1" s="475"/>
      <c r="AD1" s="475"/>
      <c r="AE1" s="475"/>
      <c r="AF1" s="475"/>
      <c r="AG1" s="475"/>
      <c r="AH1" s="475"/>
      <c r="AI1" s="475"/>
      <c r="AJ1" s="475"/>
      <c r="AK1" s="475"/>
      <c r="AL1" s="475"/>
      <c r="AM1" s="475"/>
      <c r="AN1" s="475"/>
      <c r="AO1" s="475"/>
      <c r="AP1" s="475"/>
      <c r="AQ1" s="475"/>
      <c r="AR1" s="475"/>
      <c r="AS1" s="475"/>
      <c r="AT1" s="475"/>
      <c r="AU1" s="475"/>
    </row>
    <row r="2" spans="1:73">
      <c r="A2" s="479"/>
      <c r="B2" s="479"/>
      <c r="C2" s="479"/>
      <c r="D2" s="479"/>
      <c r="E2" s="479"/>
      <c r="F2" s="479"/>
      <c r="G2" s="479"/>
      <c r="H2" s="479"/>
      <c r="I2" s="479"/>
      <c r="J2" s="479"/>
      <c r="K2" s="479"/>
      <c r="L2" s="479"/>
      <c r="M2" s="479"/>
      <c r="N2" s="479"/>
      <c r="O2" s="475"/>
      <c r="P2" s="475"/>
      <c r="Q2" s="475"/>
      <c r="R2" s="475"/>
      <c r="S2" s="475"/>
      <c r="T2" s="475"/>
      <c r="U2" s="475"/>
      <c r="V2" s="475"/>
      <c r="W2" s="475"/>
      <c r="X2" s="475"/>
      <c r="Y2" s="475"/>
      <c r="Z2" s="475"/>
      <c r="AA2" s="475"/>
      <c r="AB2" s="475"/>
      <c r="AC2" s="475"/>
      <c r="AD2" s="475"/>
      <c r="AE2" s="475"/>
      <c r="AF2" s="475"/>
      <c r="AG2" s="475"/>
      <c r="AH2" s="475"/>
      <c r="AI2" s="475"/>
      <c r="AJ2" s="475"/>
      <c r="AK2" s="475"/>
      <c r="AL2" s="475"/>
      <c r="AM2" s="475"/>
      <c r="AN2" s="475"/>
      <c r="AO2" s="475"/>
      <c r="AP2" s="475"/>
      <c r="AQ2" s="475"/>
      <c r="AR2" s="475"/>
      <c r="AS2" s="475"/>
      <c r="AT2" s="475"/>
      <c r="AU2" s="475"/>
    </row>
    <row r="3" spans="1:73">
      <c r="A3" s="479"/>
      <c r="B3" s="479"/>
      <c r="C3" s="479"/>
      <c r="D3" s="479"/>
      <c r="E3" s="479"/>
      <c r="F3" s="479"/>
      <c r="G3" s="479"/>
      <c r="H3" s="479"/>
      <c r="I3" s="479"/>
      <c r="J3" s="479"/>
      <c r="K3" s="479"/>
      <c r="L3" s="479"/>
      <c r="M3" s="479"/>
      <c r="N3" s="479"/>
      <c r="O3" s="475"/>
      <c r="P3" s="475"/>
      <c r="Q3" s="475"/>
      <c r="R3" s="475"/>
      <c r="S3" s="475"/>
      <c r="T3" s="475"/>
      <c r="U3" s="475"/>
      <c r="V3" s="475"/>
      <c r="W3" s="475"/>
      <c r="X3" s="475"/>
      <c r="Y3" s="475"/>
      <c r="Z3" s="475"/>
      <c r="AA3" s="475"/>
      <c r="AB3" s="475"/>
      <c r="AC3" s="475"/>
      <c r="AD3" s="475"/>
      <c r="AE3" s="475"/>
      <c r="AF3" s="475"/>
      <c r="AG3" s="475"/>
      <c r="AH3" s="475"/>
      <c r="AI3" s="475"/>
      <c r="AJ3" s="475"/>
      <c r="AK3" s="475"/>
      <c r="AL3" s="475"/>
      <c r="AM3" s="475"/>
      <c r="AN3" s="475"/>
      <c r="AO3" s="475"/>
      <c r="AP3" s="475"/>
      <c r="AQ3" s="475"/>
      <c r="AR3" s="475"/>
      <c r="AS3" s="475"/>
      <c r="AT3" s="475"/>
      <c r="AU3" s="475"/>
    </row>
    <row r="4" spans="1:73">
      <c r="A4" s="344" t="s">
        <v>214</v>
      </c>
      <c r="B4" s="344">
        <v>102.21191448875496</v>
      </c>
      <c r="F4" s="345"/>
      <c r="J4" s="345"/>
      <c r="N4" s="345"/>
      <c r="R4" s="345"/>
      <c r="V4" s="345"/>
      <c r="Z4" s="345"/>
      <c r="AD4" s="345"/>
      <c r="AH4" s="345"/>
      <c r="AL4" s="345"/>
      <c r="AP4" s="345"/>
      <c r="AT4" s="345"/>
      <c r="AX4" s="347"/>
    </row>
    <row r="5" spans="1:73" ht="15">
      <c r="A5" s="344" t="s">
        <v>204</v>
      </c>
      <c r="B5" s="344"/>
      <c r="C5" s="476" t="s">
        <v>209</v>
      </c>
      <c r="D5" s="476"/>
      <c r="E5" s="476"/>
      <c r="F5" s="345"/>
      <c r="G5" s="476" t="s">
        <v>215</v>
      </c>
      <c r="H5" s="476"/>
      <c r="I5" s="476"/>
      <c r="J5" s="345"/>
      <c r="K5" s="476" t="s">
        <v>216</v>
      </c>
      <c r="L5" s="476"/>
      <c r="M5" s="476"/>
      <c r="N5" s="345"/>
      <c r="O5" s="476" t="s">
        <v>217</v>
      </c>
      <c r="P5" s="476"/>
      <c r="Q5" s="476"/>
      <c r="R5" s="345"/>
      <c r="S5" s="476" t="s">
        <v>218</v>
      </c>
      <c r="T5" s="476"/>
      <c r="U5" s="476"/>
      <c r="V5" s="345"/>
      <c r="W5" s="476" t="s">
        <v>219</v>
      </c>
      <c r="X5" s="476"/>
      <c r="Y5" s="476"/>
      <c r="Z5" s="345"/>
      <c r="AA5" s="476" t="s">
        <v>220</v>
      </c>
      <c r="AB5" s="476"/>
      <c r="AC5" s="476"/>
      <c r="AD5" s="345"/>
      <c r="AE5" s="476" t="s">
        <v>221</v>
      </c>
      <c r="AF5" s="476"/>
      <c r="AG5" s="476"/>
      <c r="AH5" s="345"/>
      <c r="AI5" s="476" t="s">
        <v>222</v>
      </c>
      <c r="AJ5" s="476"/>
      <c r="AK5" s="476"/>
      <c r="AL5" s="345"/>
      <c r="AM5" s="476" t="s">
        <v>223</v>
      </c>
      <c r="AN5" s="476"/>
      <c r="AO5" s="476"/>
      <c r="AP5" s="345"/>
      <c r="AQ5" s="476" t="s">
        <v>224</v>
      </c>
      <c r="AR5" s="476"/>
      <c r="AS5" s="476"/>
      <c r="AT5" s="345"/>
      <c r="AU5" s="476"/>
      <c r="AV5" s="476"/>
      <c r="AW5" s="476"/>
      <c r="AX5" s="347"/>
    </row>
    <row r="6" spans="1:73" ht="16.5" thickBot="1">
      <c r="A6" s="346" t="s">
        <v>211</v>
      </c>
      <c r="B6" s="344" t="s">
        <v>213</v>
      </c>
      <c r="C6" s="476">
        <v>25.72</v>
      </c>
      <c r="D6" s="476"/>
      <c r="E6" s="476"/>
      <c r="F6" s="345"/>
      <c r="G6" s="476">
        <v>23.271999999999998</v>
      </c>
      <c r="H6" s="476"/>
      <c r="I6" s="476"/>
      <c r="J6" s="345"/>
      <c r="K6" s="476">
        <v>20.741</v>
      </c>
      <c r="L6" s="476"/>
      <c r="M6" s="476"/>
      <c r="N6" s="345"/>
      <c r="O6" s="476">
        <v>18.21</v>
      </c>
      <c r="P6" s="476"/>
      <c r="Q6" s="476"/>
      <c r="R6" s="345"/>
      <c r="S6" s="476">
        <v>15.678000000000001</v>
      </c>
      <c r="T6" s="476"/>
      <c r="U6" s="476"/>
      <c r="V6" s="345"/>
      <c r="W6" s="476">
        <v>13.147</v>
      </c>
      <c r="X6" s="476"/>
      <c r="Y6" s="476"/>
      <c r="Z6" s="345"/>
      <c r="AA6" s="476">
        <v>10.616</v>
      </c>
      <c r="AB6" s="476"/>
      <c r="AC6" s="476"/>
      <c r="AD6" s="345"/>
      <c r="AE6" s="476">
        <v>8.0849999999999991</v>
      </c>
      <c r="AF6" s="476"/>
      <c r="AG6" s="476"/>
      <c r="AH6" s="345"/>
      <c r="AI6" s="476">
        <v>5.5540000000000003</v>
      </c>
      <c r="AJ6" s="476"/>
      <c r="AK6" s="476"/>
      <c r="AL6" s="345"/>
      <c r="AM6" s="476">
        <v>2.883</v>
      </c>
      <c r="AN6" s="476"/>
      <c r="AO6" s="476"/>
      <c r="AP6" s="345"/>
      <c r="AQ6" s="476">
        <v>0.49199999999999999</v>
      </c>
      <c r="AR6" s="476"/>
      <c r="AS6" s="476"/>
      <c r="AT6" s="345"/>
      <c r="AU6" s="476"/>
      <c r="AV6" s="476"/>
      <c r="AW6" s="476"/>
      <c r="AX6" s="347"/>
      <c r="AZ6" s="396" t="s">
        <v>149</v>
      </c>
      <c r="BA6" s="397"/>
      <c r="BB6" s="397"/>
      <c r="BC6" s="398"/>
    </row>
    <row r="7" spans="1:73" ht="16.5" thickTop="1" thickBot="1">
      <c r="A7" s="346" t="s">
        <v>212</v>
      </c>
      <c r="B7" s="344" t="s">
        <v>29</v>
      </c>
      <c r="C7" s="478">
        <v>328.6</v>
      </c>
      <c r="D7" s="476"/>
      <c r="E7" s="476"/>
      <c r="F7" s="345"/>
      <c r="G7" s="476">
        <v>328.6</v>
      </c>
      <c r="H7" s="476"/>
      <c r="I7" s="476"/>
      <c r="J7" s="345"/>
      <c r="K7" s="476">
        <v>328.6</v>
      </c>
      <c r="L7" s="476"/>
      <c r="M7" s="476"/>
      <c r="N7" s="345"/>
      <c r="O7" s="476">
        <v>328.6</v>
      </c>
      <c r="P7" s="476"/>
      <c r="Q7" s="476"/>
      <c r="R7" s="345"/>
      <c r="S7" s="476">
        <v>328.6</v>
      </c>
      <c r="T7" s="476"/>
      <c r="U7" s="476"/>
      <c r="V7" s="345"/>
      <c r="W7" s="476">
        <v>328.6</v>
      </c>
      <c r="X7" s="476"/>
      <c r="Y7" s="476"/>
      <c r="Z7" s="345"/>
      <c r="AA7" s="476">
        <v>328.6</v>
      </c>
      <c r="AB7" s="476"/>
      <c r="AC7" s="476"/>
      <c r="AD7" s="345"/>
      <c r="AE7" s="476">
        <v>328.6</v>
      </c>
      <c r="AF7" s="476"/>
      <c r="AG7" s="476"/>
      <c r="AH7" s="345"/>
      <c r="AI7" s="476">
        <v>328.6</v>
      </c>
      <c r="AJ7" s="476"/>
      <c r="AK7" s="476"/>
      <c r="AL7" s="345"/>
      <c r="AM7" s="476">
        <v>328.6</v>
      </c>
      <c r="AN7" s="476"/>
      <c r="AO7" s="476"/>
      <c r="AP7" s="345"/>
      <c r="AQ7" s="476">
        <v>328.6</v>
      </c>
      <c r="AR7" s="476"/>
      <c r="AS7" s="476"/>
      <c r="AT7" s="345"/>
      <c r="AU7" s="476"/>
      <c r="AV7" s="476"/>
      <c r="AW7" s="476"/>
      <c r="AX7" s="347"/>
      <c r="AZ7" s="125" t="s">
        <v>79</v>
      </c>
      <c r="BA7" s="198" t="s">
        <v>31</v>
      </c>
      <c r="BB7" s="126" t="s">
        <v>52</v>
      </c>
      <c r="BC7" s="127" t="s">
        <v>54</v>
      </c>
      <c r="BH7" t="s">
        <v>239</v>
      </c>
      <c r="BI7" t="s">
        <v>240</v>
      </c>
    </row>
    <row r="8" spans="1:73" ht="13.5" thickTop="1">
      <c r="A8" s="344"/>
      <c r="B8" s="344"/>
      <c r="C8" s="344" t="s">
        <v>160</v>
      </c>
      <c r="D8" s="344" t="s">
        <v>161</v>
      </c>
      <c r="E8" s="344" t="s">
        <v>162</v>
      </c>
      <c r="F8" s="345"/>
      <c r="G8" s="344" t="s">
        <v>160</v>
      </c>
      <c r="H8" s="344" t="s">
        <v>161</v>
      </c>
      <c r="I8" s="344" t="s">
        <v>162</v>
      </c>
      <c r="J8" s="345"/>
      <c r="K8" s="344" t="s">
        <v>160</v>
      </c>
      <c r="L8" s="344" t="s">
        <v>161</v>
      </c>
      <c r="M8" s="344" t="s">
        <v>162</v>
      </c>
      <c r="N8" s="345"/>
      <c r="O8" s="344" t="s">
        <v>160</v>
      </c>
      <c r="P8" s="344" t="s">
        <v>161</v>
      </c>
      <c r="Q8" s="344" t="s">
        <v>162</v>
      </c>
      <c r="R8" s="345"/>
      <c r="S8" s="344" t="s">
        <v>160</v>
      </c>
      <c r="T8" s="344" t="s">
        <v>161</v>
      </c>
      <c r="U8" s="344" t="s">
        <v>162</v>
      </c>
      <c r="V8" s="345"/>
      <c r="W8" s="344" t="s">
        <v>160</v>
      </c>
      <c r="X8" s="344" t="s">
        <v>161</v>
      </c>
      <c r="Y8" s="344" t="s">
        <v>162</v>
      </c>
      <c r="Z8" s="345"/>
      <c r="AA8" s="344" t="s">
        <v>160</v>
      </c>
      <c r="AB8" s="344" t="s">
        <v>161</v>
      </c>
      <c r="AC8" s="344" t="s">
        <v>162</v>
      </c>
      <c r="AD8" s="345"/>
      <c r="AE8" s="344" t="s">
        <v>160</v>
      </c>
      <c r="AF8" s="344" t="s">
        <v>161</v>
      </c>
      <c r="AG8" s="344" t="s">
        <v>162</v>
      </c>
      <c r="AH8" s="345"/>
      <c r="AI8" s="344" t="s">
        <v>160</v>
      </c>
      <c r="AJ8" s="344" t="s">
        <v>161</v>
      </c>
      <c r="AK8" s="344" t="s">
        <v>162</v>
      </c>
      <c r="AL8" s="345"/>
      <c r="AM8" s="344" t="s">
        <v>160</v>
      </c>
      <c r="AN8" s="344" t="s">
        <v>161</v>
      </c>
      <c r="AO8" s="344" t="s">
        <v>162</v>
      </c>
      <c r="AP8" s="345"/>
      <c r="AQ8" s="344" t="s">
        <v>160</v>
      </c>
      <c r="AR8" s="344" t="s">
        <v>161</v>
      </c>
      <c r="AS8" s="344" t="s">
        <v>162</v>
      </c>
      <c r="AT8" s="345"/>
      <c r="AU8" s="344" t="s">
        <v>127</v>
      </c>
      <c r="AV8" s="344" t="s">
        <v>246</v>
      </c>
      <c r="AW8" s="344"/>
      <c r="AX8" s="347"/>
      <c r="AZ8">
        <v>257.2</v>
      </c>
      <c r="BA8" s="7">
        <f>AZ8/10</f>
        <v>25.72</v>
      </c>
      <c r="BB8" s="252"/>
      <c r="BC8" s="252">
        <v>0</v>
      </c>
      <c r="BF8" t="s">
        <v>237</v>
      </c>
      <c r="BG8" s="328">
        <v>257.2</v>
      </c>
      <c r="BH8">
        <v>0</v>
      </c>
      <c r="BI8">
        <f>C40</f>
        <v>75.415379341422209</v>
      </c>
      <c r="BJ8">
        <f>BG8/10</f>
        <v>25.72</v>
      </c>
      <c r="BU8">
        <v>1</v>
      </c>
    </row>
    <row r="9" spans="1:73" ht="12.75" customHeight="1">
      <c r="A9" s="344" t="s">
        <v>205</v>
      </c>
      <c r="B9" s="344"/>
      <c r="C9" s="13">
        <v>1</v>
      </c>
      <c r="D9" s="13"/>
      <c r="E9" s="13"/>
      <c r="F9" s="347"/>
      <c r="G9" s="13">
        <v>1</v>
      </c>
      <c r="H9" s="13"/>
      <c r="I9" s="13"/>
      <c r="J9" s="347"/>
      <c r="K9" s="13">
        <v>1.937983685185618E-3</v>
      </c>
      <c r="L9" s="13">
        <v>0.92550921146878395</v>
      </c>
      <c r="M9" s="13">
        <f>L9+K9</f>
        <v>0.92744719515396956</v>
      </c>
      <c r="N9" s="347"/>
      <c r="O9" s="13">
        <v>4.1485246810293811E-3</v>
      </c>
      <c r="P9" s="13">
        <v>0.83865022085810303</v>
      </c>
      <c r="Q9" s="13">
        <f>P9+O9</f>
        <v>0.84279874553913237</v>
      </c>
      <c r="R9" s="347"/>
      <c r="S9" s="13">
        <v>5.9581148840222291E-3</v>
      </c>
      <c r="T9" s="13">
        <v>0.74341927524743145</v>
      </c>
      <c r="U9" s="13"/>
      <c r="V9" s="347"/>
      <c r="W9" s="13">
        <v>7.2615477399683003E-3</v>
      </c>
      <c r="X9" s="13">
        <v>0.64114825981479928</v>
      </c>
      <c r="Y9" s="13"/>
      <c r="Z9" s="347"/>
      <c r="AA9" s="13">
        <v>7.9027548459348843E-3</v>
      </c>
      <c r="AB9" s="13">
        <v>0.53378194480727115</v>
      </c>
      <c r="AC9" s="13"/>
      <c r="AD9" s="347"/>
      <c r="AE9" s="13">
        <v>7.8650720872331225E-3</v>
      </c>
      <c r="AF9" s="13">
        <v>0.42411775875399177</v>
      </c>
      <c r="AG9" s="13"/>
      <c r="AH9" s="347"/>
      <c r="AI9" s="13">
        <v>7.275216342018824E-3</v>
      </c>
      <c r="AJ9" s="13">
        <v>0.31531051915963071</v>
      </c>
      <c r="AK9" s="13"/>
      <c r="AL9" s="347"/>
      <c r="AM9" s="13">
        <v>6.1768460903513893E-3</v>
      </c>
      <c r="AN9" s="13">
        <v>0.21030630279526624</v>
      </c>
      <c r="AO9" s="13"/>
      <c r="AP9" s="347"/>
      <c r="AQ9" s="13">
        <v>4.1420273558383262E-3</v>
      </c>
      <c r="AR9" s="13">
        <v>0.10633438360093625</v>
      </c>
      <c r="AS9" s="13"/>
      <c r="AT9" s="347"/>
      <c r="AU9" t="s">
        <v>8</v>
      </c>
      <c r="AV9">
        <v>72.2</v>
      </c>
      <c r="AW9" s="13"/>
      <c r="AX9" s="347"/>
      <c r="AZ9" s="328">
        <v>232.72</v>
      </c>
      <c r="BA9" s="7">
        <v>23.271999999999998</v>
      </c>
      <c r="BB9" s="8"/>
      <c r="BC9" s="8">
        <v>0</v>
      </c>
      <c r="BE9" t="s">
        <v>238</v>
      </c>
      <c r="BF9">
        <v>22.61</v>
      </c>
      <c r="BG9" s="328">
        <v>232.72</v>
      </c>
      <c r="BH9">
        <v>0</v>
      </c>
      <c r="BI9">
        <f>G40</f>
        <v>75.415379341422209</v>
      </c>
      <c r="BJ9">
        <f t="shared" ref="BJ9:BJ19" si="0">BG9/10</f>
        <v>23.271999999999998</v>
      </c>
    </row>
    <row r="10" spans="1:73" ht="12.75" customHeight="1">
      <c r="A10" s="344" t="s">
        <v>206</v>
      </c>
      <c r="B10" s="344" t="s">
        <v>210</v>
      </c>
      <c r="C10" s="13">
        <v>94.780577716850274</v>
      </c>
      <c r="D10" s="13"/>
      <c r="E10" s="13"/>
      <c r="F10" s="347"/>
      <c r="G10" s="13">
        <v>102.19512033902409</v>
      </c>
      <c r="H10" s="13"/>
      <c r="I10" s="13"/>
      <c r="J10" s="347"/>
      <c r="K10" s="13">
        <v>0.2193949173747779</v>
      </c>
      <c r="L10" s="13">
        <v>104.08054424532585</v>
      </c>
      <c r="M10" s="13"/>
      <c r="N10" s="347"/>
      <c r="O10" s="13">
        <v>0.47688751631123111</v>
      </c>
      <c r="P10" s="13">
        <v>106.12553308253119</v>
      </c>
      <c r="Q10" s="13"/>
      <c r="R10" s="347"/>
      <c r="S10" s="13">
        <v>0.69725925352333817</v>
      </c>
      <c r="T10" s="13">
        <v>108.86943442255908</v>
      </c>
      <c r="U10" s="13"/>
      <c r="V10" s="347"/>
      <c r="W10" s="13">
        <v>0.87076526815024835</v>
      </c>
      <c r="X10" s="13">
        <v>112.66374335667471</v>
      </c>
      <c r="Y10" s="13"/>
      <c r="Z10" s="347"/>
      <c r="AA10" s="13">
        <v>0.98028179697182116</v>
      </c>
      <c r="AB10" s="13">
        <v>118.06474110367388</v>
      </c>
      <c r="AC10" s="13"/>
      <c r="AD10" s="347"/>
      <c r="AE10" s="13">
        <v>1.0200044109347397</v>
      </c>
      <c r="AF10" s="13">
        <v>126.35180600656012</v>
      </c>
      <c r="AG10" s="13"/>
      <c r="AH10" s="347"/>
      <c r="AI10" s="13">
        <v>0.99789695565175462</v>
      </c>
      <c r="AJ10" s="13">
        <v>141.34581513936098</v>
      </c>
      <c r="AK10" s="13"/>
      <c r="AL10" s="347"/>
      <c r="AM10" s="13">
        <v>0.91336990560934217</v>
      </c>
      <c r="AN10" s="13">
        <v>189.27083208620488</v>
      </c>
      <c r="AO10" s="13"/>
      <c r="AP10" s="347"/>
      <c r="AQ10" s="13">
        <v>0.68327672415979335</v>
      </c>
      <c r="AR10" s="13">
        <v>584.44264284409587</v>
      </c>
      <c r="AS10" s="13"/>
      <c r="AT10" s="347"/>
      <c r="AU10" t="s">
        <v>9</v>
      </c>
      <c r="AV10">
        <v>72.2</v>
      </c>
      <c r="AW10" s="13"/>
      <c r="AX10" s="347"/>
      <c r="AZ10" s="358">
        <v>207.41</v>
      </c>
      <c r="BA10" s="7">
        <v>20.741</v>
      </c>
      <c r="BB10" s="8"/>
      <c r="BC10" s="114">
        <v>2.3147666184331925E-3</v>
      </c>
      <c r="BD10">
        <f>BC10*100</f>
        <v>0.23147666184331925</v>
      </c>
      <c r="BG10" s="328">
        <v>226.1</v>
      </c>
      <c r="BH10">
        <v>0</v>
      </c>
      <c r="BI10">
        <v>75.415379341422209</v>
      </c>
      <c r="BJ10">
        <f t="shared" si="0"/>
        <v>22.61</v>
      </c>
    </row>
    <row r="11" spans="1:73" ht="12.75" customHeight="1">
      <c r="A11" s="344" t="s">
        <v>207</v>
      </c>
      <c r="B11" s="344"/>
      <c r="C11" s="13">
        <v>18.857433759999999</v>
      </c>
      <c r="D11" s="13"/>
      <c r="E11" s="13"/>
      <c r="F11" s="347"/>
      <c r="G11" s="13">
        <v>18.857433759999999</v>
      </c>
      <c r="H11" s="13"/>
      <c r="I11" s="13"/>
      <c r="J11" s="347"/>
      <c r="K11" s="13">
        <v>83.180732142691198</v>
      </c>
      <c r="L11" s="13">
        <v>18.722743039153308</v>
      </c>
      <c r="M11" s="13"/>
      <c r="N11" s="347"/>
      <c r="O11" s="13">
        <v>83.894560498906003</v>
      </c>
      <c r="P11" s="13">
        <v>18.549311543686734</v>
      </c>
      <c r="Q11" s="13"/>
      <c r="R11" s="347"/>
      <c r="S11" s="13">
        <v>84.924471004592078</v>
      </c>
      <c r="T11" s="13">
        <v>18.381997550660071</v>
      </c>
      <c r="U11" s="13"/>
      <c r="V11" s="347"/>
      <c r="W11" s="13">
        <v>87.025842683575561</v>
      </c>
      <c r="X11" s="13">
        <v>18.222919123134442</v>
      </c>
      <c r="Y11" s="13"/>
      <c r="Z11" s="347"/>
      <c r="AA11" s="13">
        <v>90.826103297851802</v>
      </c>
      <c r="AB11" s="13">
        <v>18.084005748103955</v>
      </c>
      <c r="AC11" s="13"/>
      <c r="AD11" s="347"/>
      <c r="AE11" s="13">
        <v>96.662095762059238</v>
      </c>
      <c r="AF11" s="13">
        <v>17.982243023881054</v>
      </c>
      <c r="AG11" s="13"/>
      <c r="AH11" s="347"/>
      <c r="AI11" s="13">
        <v>104.88485263730411</v>
      </c>
      <c r="AJ11" s="13">
        <v>17.939705362718517</v>
      </c>
      <c r="AK11" s="13"/>
      <c r="AL11" s="347"/>
      <c r="AM11" s="13">
        <v>117.22187345655624</v>
      </c>
      <c r="AN11" s="13">
        <v>18.031448140860785</v>
      </c>
      <c r="AO11" s="13"/>
      <c r="AP11" s="347"/>
      <c r="AQ11" s="13">
        <v>138.86391678880042</v>
      </c>
      <c r="AR11" s="13">
        <v>19.086540542762986</v>
      </c>
      <c r="AS11" s="13"/>
      <c r="AT11" s="347"/>
      <c r="AU11" t="s">
        <v>10</v>
      </c>
      <c r="AV11">
        <v>84</v>
      </c>
      <c r="AW11" s="13"/>
      <c r="AX11" s="347"/>
      <c r="AZ11" s="362">
        <v>182.1</v>
      </c>
      <c r="BA11" s="7">
        <v>18.21</v>
      </c>
      <c r="BB11" s="8"/>
      <c r="BC11" s="114">
        <v>5.0314898663721599E-3</v>
      </c>
      <c r="BD11">
        <f t="shared" ref="BD11:BD18" si="1">BC11*100</f>
        <v>0.50314898663721597</v>
      </c>
      <c r="BG11" s="358">
        <v>207.41</v>
      </c>
      <c r="BH11">
        <f>K40</f>
        <v>5.8513326256017963</v>
      </c>
      <c r="BI11">
        <f t="shared" ref="BI11:BI19" si="2">$BI$8-BH11</f>
        <v>69.56404671582041</v>
      </c>
      <c r="BJ11">
        <f t="shared" si="0"/>
        <v>20.741</v>
      </c>
    </row>
    <row r="12" spans="1:73" ht="12.75" customHeight="1">
      <c r="A12" s="344" t="s">
        <v>16</v>
      </c>
      <c r="B12" s="344"/>
      <c r="C12" s="13">
        <v>0.85337375330321019</v>
      </c>
      <c r="D12" s="13"/>
      <c r="E12" s="13"/>
      <c r="F12" s="347"/>
      <c r="G12" s="13">
        <v>0.8353072505761634</v>
      </c>
      <c r="H12" s="13"/>
      <c r="I12" s="13"/>
      <c r="J12" s="347"/>
      <c r="K12" s="13">
        <v>0.89947341304534534</v>
      </c>
      <c r="L12" s="13">
        <v>0.82226100101897259</v>
      </c>
      <c r="M12" s="13"/>
      <c r="N12" s="347"/>
      <c r="O12" s="13">
        <v>0.80066360197550512</v>
      </c>
      <c r="P12" s="13">
        <v>0.81564722433455761</v>
      </c>
      <c r="Q12" s="13"/>
      <c r="R12" s="347"/>
      <c r="S12" s="13">
        <v>0.70071349355937951</v>
      </c>
      <c r="T12" s="13">
        <v>0.8163150118506316</v>
      </c>
      <c r="U12" s="13"/>
      <c r="V12" s="347"/>
      <c r="W12" s="13">
        <v>0.60178128377985307</v>
      </c>
      <c r="X12" s="13">
        <v>0.82532961590583132</v>
      </c>
      <c r="Y12" s="13"/>
      <c r="Z12" s="347"/>
      <c r="AA12" s="13">
        <v>0.5032781708691596</v>
      </c>
      <c r="AB12" s="13">
        <v>0.84304124568867411</v>
      </c>
      <c r="AC12" s="13"/>
      <c r="AD12" s="347"/>
      <c r="AE12" s="13">
        <v>0.40202976563803516</v>
      </c>
      <c r="AF12" s="13">
        <v>0.86909191319649204</v>
      </c>
      <c r="AG12" s="13"/>
      <c r="AH12" s="347"/>
      <c r="AI12" s="13">
        <v>0.29365499764256336</v>
      </c>
      <c r="AJ12" s="13">
        <v>0.90268238374388177</v>
      </c>
      <c r="AK12" s="13"/>
      <c r="AL12" s="347"/>
      <c r="AM12" s="13">
        <v>0.16573779006488215</v>
      </c>
      <c r="AN12" s="13">
        <v>0.94524517954438747</v>
      </c>
      <c r="AO12" s="13"/>
      <c r="AP12" s="347"/>
      <c r="AQ12" s="13">
        <v>3.2091294807177873E-2</v>
      </c>
      <c r="AR12" s="13">
        <v>0.98907196742056902</v>
      </c>
      <c r="AS12" s="13"/>
      <c r="AT12" s="347"/>
      <c r="AU12" t="s">
        <v>247</v>
      </c>
      <c r="AV12">
        <v>96</v>
      </c>
      <c r="AW12" s="13"/>
      <c r="AX12" s="347"/>
      <c r="AZ12" s="328">
        <v>156.78</v>
      </c>
      <c r="BA12" s="7">
        <v>15.678000000000001</v>
      </c>
      <c r="BB12" s="8"/>
      <c r="BC12" s="114">
        <v>7.3565626030086765E-3</v>
      </c>
      <c r="BD12">
        <f t="shared" si="1"/>
        <v>0.73565626030086761</v>
      </c>
      <c r="BG12" s="361">
        <v>182.1</v>
      </c>
      <c r="BH12">
        <f>O40</f>
        <v>12.708914521077849</v>
      </c>
      <c r="BI12">
        <f t="shared" si="2"/>
        <v>62.706464820344358</v>
      </c>
      <c r="BJ12">
        <f t="shared" si="0"/>
        <v>18.21</v>
      </c>
    </row>
    <row r="13" spans="1:73" ht="12.75" customHeight="1">
      <c r="A13" s="344" t="s">
        <v>208</v>
      </c>
      <c r="B13" s="344" t="s">
        <v>27</v>
      </c>
      <c r="C13" s="13">
        <v>198.9588396088399</v>
      </c>
      <c r="D13" s="13"/>
      <c r="E13" s="13"/>
      <c r="F13" s="347"/>
      <c r="G13" s="13">
        <v>184.52381774630709</v>
      </c>
      <c r="H13" s="13"/>
      <c r="I13" s="13"/>
      <c r="J13" s="347"/>
      <c r="K13" s="13">
        <v>734.76133241025889</v>
      </c>
      <c r="L13" s="13">
        <v>166.48713044635741</v>
      </c>
      <c r="M13" s="13"/>
      <c r="N13" s="347"/>
      <c r="O13" s="13">
        <v>729.81288653965021</v>
      </c>
      <c r="P13" s="13">
        <v>146.58474516948553</v>
      </c>
      <c r="Q13" s="13"/>
      <c r="R13" s="347"/>
      <c r="S13" s="13">
        <v>725.68381438230449</v>
      </c>
      <c r="T13" s="13">
        <v>125.52220344666459</v>
      </c>
      <c r="U13" s="13"/>
      <c r="V13" s="347"/>
      <c r="W13" s="13">
        <v>725.73210527812967</v>
      </c>
      <c r="X13" s="13">
        <v>103.70321930059754</v>
      </c>
      <c r="Y13" s="13"/>
      <c r="Z13" s="347"/>
      <c r="AA13" s="13">
        <v>732.21437977503695</v>
      </c>
      <c r="AB13" s="13">
        <v>81.759513194989111</v>
      </c>
      <c r="AC13" s="13"/>
      <c r="AD13" s="347"/>
      <c r="AE13" s="13">
        <v>745.34418000695155</v>
      </c>
      <c r="AF13" s="13">
        <v>60.35994933275483</v>
      </c>
      <c r="AG13" s="13"/>
      <c r="AH13" s="347"/>
      <c r="AI13" s="13">
        <v>764.66812491553787</v>
      </c>
      <c r="AJ13" s="13">
        <v>40.019421911518499</v>
      </c>
      <c r="AK13" s="13"/>
      <c r="AL13" s="347"/>
      <c r="AM13" s="13">
        <v>792.73629043070673</v>
      </c>
      <c r="AN13" s="13">
        <v>20.035454754179213</v>
      </c>
      <c r="AO13" s="13"/>
      <c r="AP13" s="347"/>
      <c r="AQ13" s="13">
        <v>841.79384682735861</v>
      </c>
      <c r="AR13" s="13">
        <v>3.4726342243140862</v>
      </c>
      <c r="AS13" s="13"/>
      <c r="AT13" s="347"/>
      <c r="AU13" t="s">
        <v>163</v>
      </c>
      <c r="AV13">
        <v>107</v>
      </c>
      <c r="AW13" s="13"/>
      <c r="AX13" s="347"/>
      <c r="AZ13" s="328">
        <v>131.47</v>
      </c>
      <c r="BA13" s="7">
        <v>13.147</v>
      </c>
      <c r="BB13" s="8"/>
      <c r="BC13" s="114">
        <v>9.1871698730471227E-3</v>
      </c>
      <c r="BD13">
        <f t="shared" si="1"/>
        <v>0.9187169873047123</v>
      </c>
      <c r="BG13" s="328">
        <v>156.78</v>
      </c>
      <c r="BH13">
        <f>S40</f>
        <v>18.612937564100807</v>
      </c>
      <c r="BI13">
        <f t="shared" si="2"/>
        <v>56.802441777321405</v>
      </c>
      <c r="BJ13">
        <f t="shared" si="0"/>
        <v>15.678000000000001</v>
      </c>
    </row>
    <row r="14" spans="1:73" ht="12.75" customHeight="1">
      <c r="F14" s="345"/>
      <c r="J14" s="345"/>
      <c r="N14" s="345"/>
      <c r="R14" s="345"/>
      <c r="V14" s="345"/>
      <c r="Z14" s="345"/>
      <c r="AD14" s="345"/>
      <c r="AH14" s="345"/>
      <c r="AL14" s="345"/>
      <c r="AP14" s="345"/>
      <c r="AT14" s="345"/>
      <c r="AU14" t="s">
        <v>178</v>
      </c>
      <c r="AV14">
        <v>121</v>
      </c>
      <c r="AX14" s="347"/>
      <c r="AZ14" s="328">
        <v>106.16</v>
      </c>
      <c r="BA14" s="7">
        <v>10.616</v>
      </c>
      <c r="BB14" s="8"/>
      <c r="BC14" s="114">
        <v>1.0342644248279832E-2</v>
      </c>
      <c r="BD14">
        <f t="shared" si="1"/>
        <v>1.0342644248279833</v>
      </c>
      <c r="BG14" s="328">
        <v>131.47</v>
      </c>
      <c r="BH14">
        <f>W40</f>
        <v>23.491656295099943</v>
      </c>
      <c r="BI14">
        <f t="shared" si="2"/>
        <v>51.923723046322266</v>
      </c>
      <c r="BJ14">
        <f t="shared" si="0"/>
        <v>13.147</v>
      </c>
    </row>
    <row r="15" spans="1:73" ht="12.75" customHeight="1">
      <c r="A15" s="344" t="s">
        <v>22</v>
      </c>
      <c r="B15" t="s">
        <v>17</v>
      </c>
      <c r="C15" s="79">
        <v>1.3600000000000001E-3</v>
      </c>
      <c r="D15" s="348"/>
      <c r="E15" s="13"/>
      <c r="F15" s="347"/>
      <c r="G15" s="13">
        <v>1.3600000000000001E-3</v>
      </c>
      <c r="H15" s="13"/>
      <c r="I15" s="13"/>
      <c r="J15" s="347"/>
      <c r="K15" s="13">
        <v>1.1858982377089824E-3</v>
      </c>
      <c r="L15" s="13">
        <v>1.3603645629570197E-3</v>
      </c>
      <c r="M15" s="13"/>
      <c r="N15" s="347"/>
      <c r="O15" s="13">
        <v>1.1385000557661358E-3</v>
      </c>
      <c r="P15" s="13">
        <v>1.3610588899571187E-3</v>
      </c>
      <c r="Q15" s="13"/>
      <c r="R15" s="347"/>
      <c r="S15" s="13">
        <v>1.0772448629932335E-3</v>
      </c>
      <c r="T15" s="13">
        <v>1.3620915585834063E-3</v>
      </c>
      <c r="U15" s="13"/>
      <c r="V15" s="347"/>
      <c r="W15" s="13">
        <v>9.962810728747348E-4</v>
      </c>
      <c r="X15" s="13">
        <v>1.3635876259194873E-3</v>
      </c>
      <c r="Y15" s="13"/>
      <c r="Z15" s="347"/>
      <c r="AA15" s="13">
        <v>8.8899650741885809E-4</v>
      </c>
      <c r="AB15" s="13">
        <v>1.3656172247134702E-3</v>
      </c>
      <c r="AC15" s="13"/>
      <c r="AD15" s="347"/>
      <c r="AE15" s="13">
        <v>7.4876954064111926E-4</v>
      </c>
      <c r="AF15" s="13">
        <v>1.3681753227803523E-3</v>
      </c>
      <c r="AG15" s="13"/>
      <c r="AH15" s="347"/>
      <c r="AI15" s="13">
        <v>5.6878992055400292E-4</v>
      </c>
      <c r="AJ15" s="13">
        <v>1.3711692939824245E-3</v>
      </c>
      <c r="AK15" s="13"/>
      <c r="AL15" s="347"/>
      <c r="AM15" s="13">
        <v>3.2775804832453913E-4</v>
      </c>
      <c r="AN15" s="13">
        <v>1.3740579717596985E-3</v>
      </c>
      <c r="AO15" s="13"/>
      <c r="AP15" s="347"/>
      <c r="AQ15" s="13">
        <v>6.0577740228077659E-5</v>
      </c>
      <c r="AR15" s="13">
        <v>1.3644433719808969E-3</v>
      </c>
      <c r="AS15" s="13"/>
      <c r="AT15" s="347"/>
      <c r="AU15" t="s">
        <v>179</v>
      </c>
      <c r="AV15">
        <v>134</v>
      </c>
      <c r="AW15" s="13"/>
      <c r="AX15" s="347"/>
      <c r="AZ15" s="328">
        <v>80.849999999999994</v>
      </c>
      <c r="BA15" s="7">
        <v>8.0849999999999991</v>
      </c>
      <c r="BB15" s="8"/>
      <c r="BC15" s="114">
        <v>1.0761745027361248E-2</v>
      </c>
      <c r="BD15">
        <f t="shared" si="1"/>
        <v>1.0761745027361249</v>
      </c>
      <c r="BG15" s="328">
        <v>106.16</v>
      </c>
      <c r="BH15">
        <f>AA40</f>
        <v>27.074846006592903</v>
      </c>
      <c r="BI15">
        <f t="shared" si="2"/>
        <v>48.340533334829303</v>
      </c>
      <c r="BJ15">
        <f t="shared" si="0"/>
        <v>10.616</v>
      </c>
    </row>
    <row r="16" spans="1:73" ht="12.75" customHeight="1">
      <c r="A16" s="344" t="s">
        <v>23</v>
      </c>
      <c r="B16" t="s">
        <v>17</v>
      </c>
      <c r="C16" s="79">
        <v>5.0000000000000002E-5</v>
      </c>
      <c r="D16" s="348"/>
      <c r="E16" s="13"/>
      <c r="F16" s="347"/>
      <c r="G16" s="13">
        <v>5.0000000000000002E-5</v>
      </c>
      <c r="H16" s="13"/>
      <c r="I16" s="13"/>
      <c r="J16" s="347"/>
      <c r="K16" s="13">
        <v>1.4506927539951366E-5</v>
      </c>
      <c r="L16" s="13">
        <v>5.0074321243389381E-5</v>
      </c>
      <c r="M16" s="13"/>
      <c r="N16" s="347"/>
      <c r="O16" s="13">
        <v>1.2947376808146202E-5</v>
      </c>
      <c r="P16" s="13">
        <v>5.017578549449505E-5</v>
      </c>
      <c r="Q16" s="13"/>
      <c r="R16" s="347"/>
      <c r="S16" s="13">
        <v>1.1277818608652826E-5</v>
      </c>
      <c r="T16" s="13">
        <v>5.0279785465661043E-5</v>
      </c>
      <c r="U16" s="13"/>
      <c r="V16" s="347"/>
      <c r="W16" s="13">
        <v>9.4895942635902344E-6</v>
      </c>
      <c r="X16" s="13">
        <v>5.0379328310116127E-5</v>
      </c>
      <c r="Y16" s="13"/>
      <c r="Z16" s="347"/>
      <c r="AA16" s="13">
        <v>7.6151788774550514E-6</v>
      </c>
      <c r="AB16" s="13">
        <v>5.0456198338611756E-5</v>
      </c>
      <c r="AC16" s="13"/>
      <c r="AD16" s="347"/>
      <c r="AE16" s="13">
        <v>5.7157741141356137E-6</v>
      </c>
      <c r="AF16" s="13">
        <v>5.0487615527145888E-5</v>
      </c>
      <c r="AG16" s="13"/>
      <c r="AH16" s="347"/>
      <c r="AI16" s="13">
        <v>3.8451480076549174E-6</v>
      </c>
      <c r="AJ16" s="13">
        <v>5.0447021517482891E-5</v>
      </c>
      <c r="AK16" s="13"/>
      <c r="AL16" s="347"/>
      <c r="AM16" s="13">
        <v>1.9393387388733493E-6</v>
      </c>
      <c r="AN16" s="13">
        <v>5.0259608109132963E-5</v>
      </c>
      <c r="AO16" s="13"/>
      <c r="AP16" s="347"/>
      <c r="AQ16" s="13">
        <v>3.1521548359686818E-7</v>
      </c>
      <c r="AR16" s="13">
        <v>4.939821386094261E-5</v>
      </c>
      <c r="AS16" s="13"/>
      <c r="AT16" s="347"/>
      <c r="AU16" t="s">
        <v>115</v>
      </c>
      <c r="AV16">
        <v>186</v>
      </c>
      <c r="AW16" s="13"/>
      <c r="AX16" s="347"/>
      <c r="AZ16" s="328">
        <v>55.54</v>
      </c>
      <c r="BA16" s="7">
        <v>5.5540000000000003</v>
      </c>
      <c r="BB16" s="8"/>
      <c r="BC16" s="114">
        <v>1.0528496235092546E-2</v>
      </c>
      <c r="BD16">
        <f t="shared" si="1"/>
        <v>1.0528496235092546</v>
      </c>
      <c r="BG16" s="328">
        <v>80.849999999999994</v>
      </c>
      <c r="BH16">
        <f>AE40</f>
        <v>29.213440704863007</v>
      </c>
      <c r="BI16">
        <f t="shared" si="2"/>
        <v>46.201938636559206</v>
      </c>
      <c r="BJ16">
        <f t="shared" si="0"/>
        <v>8.0849999999999991</v>
      </c>
    </row>
    <row r="17" spans="1:64" ht="12.75" customHeight="1">
      <c r="A17" s="344" t="s">
        <v>157</v>
      </c>
      <c r="B17" t="s">
        <v>17</v>
      </c>
      <c r="C17" s="79"/>
      <c r="D17" s="348"/>
      <c r="E17" s="13"/>
      <c r="F17" s="347"/>
      <c r="G17" s="13"/>
      <c r="H17" s="13"/>
      <c r="I17" s="13"/>
      <c r="J17" s="347"/>
      <c r="K17" s="13"/>
      <c r="L17" s="13"/>
      <c r="M17" s="13"/>
      <c r="N17" s="347"/>
      <c r="O17" s="13"/>
      <c r="P17" s="13"/>
      <c r="Q17" s="13"/>
      <c r="R17" s="347"/>
      <c r="S17" s="13"/>
      <c r="T17" s="13"/>
      <c r="U17" s="13"/>
      <c r="V17" s="347"/>
      <c r="W17" s="13"/>
      <c r="X17" s="13"/>
      <c r="Y17" s="13"/>
      <c r="Z17" s="347"/>
      <c r="AA17" s="13"/>
      <c r="AB17" s="13"/>
      <c r="AC17" s="13"/>
      <c r="AD17" s="347"/>
      <c r="AE17" s="13"/>
      <c r="AF17" s="13"/>
      <c r="AG17" s="13"/>
      <c r="AH17" s="347"/>
      <c r="AI17" s="13"/>
      <c r="AJ17" s="13"/>
      <c r="AK17" s="13"/>
      <c r="AL17" s="347"/>
      <c r="AM17" s="13"/>
      <c r="AN17" s="13"/>
      <c r="AO17" s="13"/>
      <c r="AP17" s="347"/>
      <c r="AQ17" s="13"/>
      <c r="AR17" s="13"/>
      <c r="AS17" s="13"/>
      <c r="AT17" s="347"/>
      <c r="AW17" s="13"/>
      <c r="AX17" s="347"/>
      <c r="AZ17" s="328">
        <v>28.83</v>
      </c>
      <c r="BA17" s="7">
        <v>2.883</v>
      </c>
      <c r="BB17" s="8"/>
      <c r="BC17" s="80">
        <v>9.6366779736030399E-3</v>
      </c>
      <c r="BD17">
        <f t="shared" si="1"/>
        <v>0.96366779736030395</v>
      </c>
      <c r="BG17" s="328">
        <v>55.54</v>
      </c>
      <c r="BH17">
        <f>AI40</f>
        <v>29.976144187899699</v>
      </c>
      <c r="BI17">
        <f t="shared" si="2"/>
        <v>45.43923515352251</v>
      </c>
      <c r="BJ17">
        <f t="shared" si="0"/>
        <v>5.5540000000000003</v>
      </c>
    </row>
    <row r="18" spans="1:64" ht="12.75" customHeight="1">
      <c r="A18" s="344" t="s">
        <v>159</v>
      </c>
      <c r="B18" t="s">
        <v>17</v>
      </c>
      <c r="C18" s="79"/>
      <c r="D18" s="348"/>
      <c r="E18" s="13"/>
      <c r="F18" s="347"/>
      <c r="G18" s="13"/>
      <c r="H18" s="13"/>
      <c r="I18" s="13"/>
      <c r="J18" s="347"/>
      <c r="K18" s="13"/>
      <c r="L18" s="13"/>
      <c r="M18" s="13"/>
      <c r="N18" s="347"/>
      <c r="O18" s="13"/>
      <c r="P18" s="13"/>
      <c r="Q18" s="13"/>
      <c r="R18" s="347"/>
      <c r="S18" s="13"/>
      <c r="T18" s="13"/>
      <c r="U18" s="13"/>
      <c r="V18" s="347"/>
      <c r="W18" s="13"/>
      <c r="X18" s="13"/>
      <c r="Y18" s="13"/>
      <c r="Z18" s="347"/>
      <c r="AA18" s="13"/>
      <c r="AB18" s="13"/>
      <c r="AC18" s="13"/>
      <c r="AD18" s="347"/>
      <c r="AE18" s="13"/>
      <c r="AF18" s="13"/>
      <c r="AG18" s="13"/>
      <c r="AH18" s="347"/>
      <c r="AI18" s="13"/>
      <c r="AJ18" s="13"/>
      <c r="AK18" s="13"/>
      <c r="AL18" s="347"/>
      <c r="AM18" s="13"/>
      <c r="AN18" s="13"/>
      <c r="AO18" s="13"/>
      <c r="AP18" s="347"/>
      <c r="AQ18" s="13"/>
      <c r="AR18" s="13"/>
      <c r="AS18" s="13"/>
      <c r="AT18" s="347"/>
      <c r="AW18" s="13"/>
      <c r="AX18" s="347"/>
      <c r="AZ18" s="359">
        <v>4.92</v>
      </c>
      <c r="BA18" s="7">
        <v>0.49199999999999999</v>
      </c>
      <c r="BB18" s="8"/>
      <c r="BC18" s="80">
        <v>7.2090373430834138E-3</v>
      </c>
      <c r="BD18">
        <f t="shared" si="1"/>
        <v>0.72090373430834143</v>
      </c>
      <c r="BG18" s="328">
        <v>28.83</v>
      </c>
      <c r="BH18">
        <f>AM40</f>
        <v>29.228114793693067</v>
      </c>
      <c r="BI18">
        <f t="shared" si="2"/>
        <v>46.187264547729143</v>
      </c>
      <c r="BJ18">
        <f t="shared" si="0"/>
        <v>2.883</v>
      </c>
    </row>
    <row r="19" spans="1:64" ht="12.75" customHeight="1">
      <c r="A19" s="344" t="s">
        <v>193</v>
      </c>
      <c r="B19" t="s">
        <v>17</v>
      </c>
      <c r="C19" s="79"/>
      <c r="D19" s="348"/>
      <c r="E19" s="13"/>
      <c r="F19" s="347"/>
      <c r="G19" s="13"/>
      <c r="H19" s="13"/>
      <c r="I19" s="13"/>
      <c r="J19" s="347"/>
      <c r="K19" s="13"/>
      <c r="L19" s="13"/>
      <c r="M19" s="13"/>
      <c r="N19" s="347"/>
      <c r="O19" s="13"/>
      <c r="P19" s="13"/>
      <c r="Q19" s="13"/>
      <c r="R19" s="347"/>
      <c r="S19" s="13"/>
      <c r="T19" s="13"/>
      <c r="U19" s="13"/>
      <c r="V19" s="347"/>
      <c r="W19" s="13"/>
      <c r="X19" s="13"/>
      <c r="Y19" s="13"/>
      <c r="Z19" s="347"/>
      <c r="AA19" s="13"/>
      <c r="AB19" s="13"/>
      <c r="AC19" s="13"/>
      <c r="AD19" s="347"/>
      <c r="AE19" s="13"/>
      <c r="AF19" s="13"/>
      <c r="AG19" s="13"/>
      <c r="AH19" s="347"/>
      <c r="AI19" s="13"/>
      <c r="AJ19" s="13"/>
      <c r="AK19" s="13"/>
      <c r="AL19" s="347"/>
      <c r="AM19" s="13"/>
      <c r="AN19" s="13"/>
      <c r="AO19" s="13"/>
      <c r="AP19" s="347"/>
      <c r="AQ19" s="13"/>
      <c r="AR19" s="13"/>
      <c r="AS19" s="13"/>
      <c r="AT19" s="347"/>
      <c r="AW19" s="13"/>
      <c r="AX19" s="347"/>
      <c r="AZ19" s="328"/>
      <c r="BA19" s="7"/>
      <c r="BB19" s="1"/>
      <c r="BC19" s="80"/>
      <c r="BG19" s="359">
        <v>4.92</v>
      </c>
      <c r="BH19">
        <f>AQ40</f>
        <v>23.871769063195249</v>
      </c>
      <c r="BI19">
        <f t="shared" si="2"/>
        <v>51.543610278226964</v>
      </c>
      <c r="BJ19">
        <f t="shared" si="0"/>
        <v>0.49199999999999999</v>
      </c>
    </row>
    <row r="20" spans="1:64" ht="12.75" customHeight="1">
      <c r="A20" s="344" t="s">
        <v>24</v>
      </c>
      <c r="B20" t="s">
        <v>17</v>
      </c>
      <c r="C20" s="79">
        <v>0.92076999999999998</v>
      </c>
      <c r="D20" s="348"/>
      <c r="E20" s="13"/>
      <c r="F20" s="347"/>
      <c r="G20" s="13">
        <v>0.92076999999999998</v>
      </c>
      <c r="H20" s="13"/>
      <c r="I20" s="13"/>
      <c r="J20" s="347"/>
      <c r="K20" s="13">
        <v>0.42338262745406574</v>
      </c>
      <c r="L20" s="13">
        <v>0.92181151163626085</v>
      </c>
      <c r="M20" s="13"/>
      <c r="N20" s="347"/>
      <c r="O20" s="13">
        <v>0.39840966967956437</v>
      </c>
      <c r="P20" s="13">
        <v>0.92324881932867386</v>
      </c>
      <c r="Q20" s="13"/>
      <c r="R20" s="347"/>
      <c r="S20" s="13">
        <v>0.36833868307459128</v>
      </c>
      <c r="T20" s="13">
        <v>0.92476735700157031</v>
      </c>
      <c r="U20" s="13"/>
      <c r="V20" s="347"/>
      <c r="W20" s="13">
        <v>0.33054014241802232</v>
      </c>
      <c r="X20" s="13">
        <v>0.9263266583141162</v>
      </c>
      <c r="Y20" s="13"/>
      <c r="Z20" s="347"/>
      <c r="AA20" s="13">
        <v>0.28357023452320201</v>
      </c>
      <c r="AB20" s="13">
        <v>0.92773774803378151</v>
      </c>
      <c r="AC20" s="13"/>
      <c r="AD20" s="347"/>
      <c r="AE20" s="13">
        <v>0.22764831647148662</v>
      </c>
      <c r="AF20" s="13">
        <v>0.92871756059569555</v>
      </c>
      <c r="AG20" s="13"/>
      <c r="AH20" s="347"/>
      <c r="AI20" s="13">
        <v>0.16362723900651308</v>
      </c>
      <c r="AJ20" s="13">
        <v>0.92888323051278654</v>
      </c>
      <c r="AK20" s="13"/>
      <c r="AL20" s="347"/>
      <c r="AM20" s="13">
        <v>8.8203049627968461E-2</v>
      </c>
      <c r="AN20" s="13">
        <v>0.92710177745255817</v>
      </c>
      <c r="AO20" s="13"/>
      <c r="AP20" s="347"/>
      <c r="AQ20" s="13">
        <v>1.4925905596848405E-2</v>
      </c>
      <c r="AR20" s="13">
        <v>0.91390293371947906</v>
      </c>
      <c r="AS20" s="13"/>
      <c r="AT20" s="347"/>
      <c r="AW20" s="13"/>
      <c r="AX20" s="347"/>
      <c r="BG20" s="328"/>
    </row>
    <row r="21" spans="1:64" ht="12.75" customHeight="1">
      <c r="A21" s="344" t="s">
        <v>4</v>
      </c>
      <c r="B21" t="s">
        <v>17</v>
      </c>
      <c r="C21" s="79">
        <v>4.0800000000000003E-2</v>
      </c>
      <c r="D21" s="348"/>
      <c r="E21" s="13"/>
      <c r="F21" s="347"/>
      <c r="G21" s="13">
        <v>4.0800000000000003E-2</v>
      </c>
      <c r="H21" s="13"/>
      <c r="I21" s="13"/>
      <c r="J21" s="347"/>
      <c r="K21" s="13">
        <v>4.6145955661578184E-2</v>
      </c>
      <c r="L21" s="13">
        <v>4.0788805757170782E-2</v>
      </c>
      <c r="M21" s="13"/>
      <c r="N21" s="347"/>
      <c r="O21" s="13">
        <v>4.581961109871685E-2</v>
      </c>
      <c r="P21" s="13">
        <v>4.0776299529007756E-2</v>
      </c>
      <c r="Q21" s="13"/>
      <c r="R21" s="347"/>
      <c r="S21" s="13">
        <v>4.5099042806443813E-2</v>
      </c>
      <c r="T21" s="13">
        <v>4.0769798354366525E-2</v>
      </c>
      <c r="U21" s="13"/>
      <c r="V21" s="347"/>
      <c r="W21" s="13">
        <v>4.3653351604858864E-2</v>
      </c>
      <c r="X21" s="13">
        <v>4.0777370824763154E-2</v>
      </c>
      <c r="Y21" s="13"/>
      <c r="Z21" s="347"/>
      <c r="AA21" s="13">
        <v>4.1008419977279643E-2</v>
      </c>
      <c r="AB21" s="13">
        <v>4.0813074817956631E-2</v>
      </c>
      <c r="AC21" s="13"/>
      <c r="AD21" s="347"/>
      <c r="AE21" s="13">
        <v>3.6551500263062149E-2</v>
      </c>
      <c r="AF21" s="13">
        <v>4.0895743735397956E-2</v>
      </c>
      <c r="AG21" s="13"/>
      <c r="AH21" s="347"/>
      <c r="AI21" s="13">
        <v>2.9512158941734368E-2</v>
      </c>
      <c r="AJ21" s="13">
        <v>4.1050036887992011E-2</v>
      </c>
      <c r="AK21" s="13"/>
      <c r="AL21" s="347"/>
      <c r="AM21" s="13">
        <v>1.8217629637673295E-2</v>
      </c>
      <c r="AN21" s="13">
        <v>4.132150619971392E-2</v>
      </c>
      <c r="AO21" s="13"/>
      <c r="AP21" s="347"/>
      <c r="AQ21" s="13">
        <v>3.6038250613433052E-3</v>
      </c>
      <c r="AR21" s="13">
        <v>4.1448638901309773E-2</v>
      </c>
      <c r="AS21" s="13"/>
      <c r="AT21" s="347"/>
      <c r="AW21" s="13"/>
      <c r="AX21" s="347"/>
    </row>
    <row r="22" spans="1:64" ht="12.75" customHeight="1">
      <c r="A22" s="344" t="s">
        <v>5</v>
      </c>
      <c r="B22" t="s">
        <v>17</v>
      </c>
      <c r="C22" s="79">
        <v>1.4200000000000001E-2</v>
      </c>
      <c r="D22" s="348"/>
      <c r="E22" s="13"/>
      <c r="F22" s="347"/>
      <c r="G22" s="13">
        <v>1.4200000000000001E-2</v>
      </c>
      <c r="H22" s="13"/>
      <c r="I22" s="13"/>
      <c r="J22" s="347"/>
      <c r="K22" s="13">
        <v>2.8001444121581471E-2</v>
      </c>
      <c r="L22" s="13">
        <v>1.4171100262203574E-2</v>
      </c>
      <c r="M22" s="13"/>
      <c r="N22" s="347"/>
      <c r="O22" s="13">
        <v>2.9174512491532741E-2</v>
      </c>
      <c r="P22" s="13">
        <v>1.4128843020398059E-2</v>
      </c>
      <c r="Q22" s="13"/>
      <c r="R22" s="347"/>
      <c r="S22" s="13">
        <v>3.0367786010793683E-2</v>
      </c>
      <c r="T22" s="13">
        <v>1.4082656221196727E-2</v>
      </c>
      <c r="U22" s="13"/>
      <c r="V22" s="347"/>
      <c r="W22" s="13">
        <v>3.136473786752516E-2</v>
      </c>
      <c r="X22" s="13">
        <v>1.4038257774663573E-2</v>
      </c>
      <c r="Y22" s="13"/>
      <c r="Z22" s="347"/>
      <c r="AA22" s="13">
        <v>3.1736554954137484E-2</v>
      </c>
      <c r="AB22" s="13">
        <v>1.401193945952268E-2</v>
      </c>
      <c r="AC22" s="13"/>
      <c r="AD22" s="347"/>
      <c r="AE22" s="13">
        <v>3.0754282179115515E-2</v>
      </c>
      <c r="AF22" s="13">
        <v>1.4031730091771371E-2</v>
      </c>
      <c r="AG22" s="13"/>
      <c r="AH22" s="347"/>
      <c r="AI22" s="13">
        <v>2.7268304556864686E-2</v>
      </c>
      <c r="AJ22" s="13">
        <v>1.4143445789942682E-2</v>
      </c>
      <c r="AK22" s="13"/>
      <c r="AL22" s="347"/>
      <c r="AM22" s="13">
        <v>1.8861791740324003E-2</v>
      </c>
      <c r="AN22" s="13">
        <v>1.4458898486174262E-2</v>
      </c>
      <c r="AO22" s="13"/>
      <c r="AP22" s="347"/>
      <c r="AQ22" s="13">
        <v>4.262564447971802E-3</v>
      </c>
      <c r="AR22" s="13">
        <v>1.5111833935155581E-2</v>
      </c>
      <c r="AS22" s="13"/>
      <c r="AT22" s="347"/>
      <c r="AW22" s="13"/>
      <c r="AX22" s="347"/>
      <c r="BG22" t="s">
        <v>241</v>
      </c>
    </row>
    <row r="23" spans="1:64" ht="12.75" customHeight="1">
      <c r="A23" s="344" t="s">
        <v>6</v>
      </c>
      <c r="B23" t="s">
        <v>17</v>
      </c>
      <c r="C23" s="79">
        <v>2.8500000000000001E-3</v>
      </c>
      <c r="D23" s="348"/>
      <c r="E23" s="13"/>
      <c r="F23" s="347"/>
      <c r="G23" s="13">
        <v>2.8500000000000001E-3</v>
      </c>
      <c r="H23" s="13"/>
      <c r="I23" s="13"/>
      <c r="J23" s="347"/>
      <c r="K23" s="13">
        <v>8.0146576897109877E-3</v>
      </c>
      <c r="L23" s="13">
        <v>2.8391853887371437E-3</v>
      </c>
      <c r="M23" s="13"/>
      <c r="N23" s="347"/>
      <c r="O23" s="13">
        <v>8.6069412984084923E-3</v>
      </c>
      <c r="P23" s="13">
        <v>2.8226138830994446E-3</v>
      </c>
      <c r="Q23" s="13"/>
      <c r="R23" s="347"/>
      <c r="S23" s="13">
        <v>9.2834699821524279E-3</v>
      </c>
      <c r="T23" s="13">
        <v>2.8031119703505409E-3</v>
      </c>
      <c r="U23" s="13"/>
      <c r="V23" s="347"/>
      <c r="W23" s="13">
        <v>9.995366917773512E-3</v>
      </c>
      <c r="X23" s="13">
        <v>2.7818747839020289E-3</v>
      </c>
      <c r="Y23" s="13"/>
      <c r="Z23" s="347"/>
      <c r="AA23" s="13">
        <v>1.0611686532260169E-2</v>
      </c>
      <c r="AB23" s="13">
        <v>2.7640848130581672E-3</v>
      </c>
      <c r="AC23" s="13"/>
      <c r="AD23" s="347"/>
      <c r="AE23" s="13">
        <v>1.0866207969639363E-2</v>
      </c>
      <c r="AF23" s="13">
        <v>2.7600620855596212E-3</v>
      </c>
      <c r="AG23" s="13"/>
      <c r="AH23" s="347"/>
      <c r="AI23" s="13">
        <v>1.0275235066927185E-2</v>
      </c>
      <c r="AJ23" s="13">
        <v>2.7888619887946105E-3</v>
      </c>
      <c r="AK23" s="13"/>
      <c r="AL23" s="347"/>
      <c r="AM23" s="13">
        <v>7.7438758944483824E-3</v>
      </c>
      <c r="AN23" s="13">
        <v>2.9023090190195286E-3</v>
      </c>
      <c r="AO23" s="13"/>
      <c r="AP23" s="347"/>
      <c r="AQ23" s="13">
        <v>1.9754739271833355E-3</v>
      </c>
      <c r="AR23" s="13">
        <v>3.2196531234161318E-3</v>
      </c>
      <c r="AS23" s="13"/>
      <c r="AT23" s="347"/>
      <c r="AW23" s="13"/>
      <c r="AX23" s="347"/>
    </row>
    <row r="24" spans="1:64" ht="12.75" customHeight="1">
      <c r="A24" s="344" t="s">
        <v>7</v>
      </c>
      <c r="B24" t="s">
        <v>17</v>
      </c>
      <c r="C24" s="79">
        <v>3.82E-3</v>
      </c>
      <c r="D24" s="348"/>
      <c r="E24" s="13"/>
      <c r="F24" s="347"/>
      <c r="G24" s="13">
        <v>3.82E-3</v>
      </c>
      <c r="H24" s="13"/>
      <c r="I24" s="13"/>
      <c r="J24" s="347"/>
      <c r="K24" s="13">
        <v>1.259336227430973E-2</v>
      </c>
      <c r="L24" s="13">
        <v>3.8016288884636256E-3</v>
      </c>
      <c r="M24" s="13"/>
      <c r="N24" s="347"/>
      <c r="O24" s="13">
        <v>1.3696144841934077E-2</v>
      </c>
      <c r="P24" s="13">
        <v>3.7730002573890735E-3</v>
      </c>
      <c r="Q24" s="13"/>
      <c r="R24" s="347"/>
      <c r="S24" s="13">
        <v>1.4979194867627188E-2</v>
      </c>
      <c r="T24" s="13">
        <v>3.7385629142497245E-3</v>
      </c>
      <c r="U24" s="13"/>
      <c r="V24" s="347"/>
      <c r="W24" s="13">
        <v>1.6375599869074258E-2</v>
      </c>
      <c r="X24" s="13">
        <v>3.699895616612311E-3</v>
      </c>
      <c r="Y24" s="13"/>
      <c r="Z24" s="347"/>
      <c r="AA24" s="13">
        <v>1.7679828522189901E-2</v>
      </c>
      <c r="AB24" s="13">
        <v>3.6653595085109369E-3</v>
      </c>
      <c r="AC24" s="13"/>
      <c r="AD24" s="347"/>
      <c r="AE24" s="13">
        <v>1.844844754237316E-2</v>
      </c>
      <c r="AF24" s="13">
        <v>3.6523509984136633E-3</v>
      </c>
      <c r="AG24" s="13"/>
      <c r="AH24" s="347"/>
      <c r="AI24" s="13">
        <v>1.7842411359742103E-2</v>
      </c>
      <c r="AJ24" s="13">
        <v>3.6940134425590227E-3</v>
      </c>
      <c r="AK24" s="13"/>
      <c r="AL24" s="347"/>
      <c r="AM24" s="13">
        <v>1.3899868774856387E-2</v>
      </c>
      <c r="AN24" s="13">
        <v>3.8837018047348263E-3</v>
      </c>
      <c r="AO24" s="13"/>
      <c r="AP24" s="347"/>
      <c r="AQ24" s="13">
        <v>3.7570662312802032E-3</v>
      </c>
      <c r="AR24" s="13">
        <v>4.4704626217564247E-3</v>
      </c>
      <c r="AS24" s="13"/>
      <c r="AT24" s="347"/>
      <c r="AW24" s="13"/>
      <c r="AX24" s="347"/>
    </row>
    <row r="25" spans="1:64" ht="12.75" customHeight="1">
      <c r="A25" s="344" t="s">
        <v>8</v>
      </c>
      <c r="B25" t="s">
        <v>17</v>
      </c>
      <c r="C25" s="79">
        <v>2.5799999999999998E-3</v>
      </c>
      <c r="D25" s="348"/>
      <c r="E25" s="13"/>
      <c r="F25" s="347"/>
      <c r="G25" s="13">
        <v>2.5799999999999998E-3</v>
      </c>
      <c r="H25" s="13"/>
      <c r="I25" s="13"/>
      <c r="J25" s="347"/>
      <c r="K25" s="13">
        <v>1.3614000316495595E-2</v>
      </c>
      <c r="L25" s="13">
        <v>2.5568951920405354E-3</v>
      </c>
      <c r="M25" s="13"/>
      <c r="N25" s="347"/>
      <c r="O25" s="13">
        <v>1.5252563517572062E-2</v>
      </c>
      <c r="P25" s="13">
        <v>2.5196450926819615E-3</v>
      </c>
      <c r="Q25" s="13"/>
      <c r="R25" s="347"/>
      <c r="S25" s="13">
        <v>1.725734411467764E-2</v>
      </c>
      <c r="T25" s="13">
        <v>2.4725840616905887E-3</v>
      </c>
      <c r="U25" s="13"/>
      <c r="V25" s="347"/>
      <c r="W25" s="13">
        <v>1.9610755618612381E-2</v>
      </c>
      <c r="X25" s="13">
        <v>2.4158727605970501E-3</v>
      </c>
      <c r="Y25" s="13"/>
      <c r="Z25" s="347"/>
      <c r="AA25" s="13">
        <v>2.2134837463047074E-2</v>
      </c>
      <c r="AB25" s="13">
        <v>2.3578477910307853E-3</v>
      </c>
      <c r="AC25" s="13"/>
      <c r="AD25" s="347"/>
      <c r="AE25" s="13">
        <v>2.4349772554145502E-2</v>
      </c>
      <c r="AF25" s="13">
        <v>2.3185300018409034E-3</v>
      </c>
      <c r="AG25" s="13"/>
      <c r="AH25" s="347"/>
      <c r="AI25" s="13">
        <v>2.5228958715510591E-2</v>
      </c>
      <c r="AJ25" s="13">
        <v>2.3394585312234125E-3</v>
      </c>
      <c r="AK25" s="13"/>
      <c r="AL25" s="347"/>
      <c r="AM25" s="13">
        <v>2.207183288573588E-2</v>
      </c>
      <c r="AN25" s="13">
        <v>2.5517309444748975E-3</v>
      </c>
      <c r="AO25" s="13"/>
      <c r="AP25" s="347"/>
      <c r="AQ25" s="13">
        <v>7.6280467853485348E-3</v>
      </c>
      <c r="AR25" s="13">
        <v>3.4878949857595439E-3</v>
      </c>
      <c r="AS25" s="13"/>
      <c r="AT25" s="347"/>
      <c r="AW25" s="13"/>
      <c r="AX25" s="347"/>
      <c r="BG25" s="328">
        <v>257.2</v>
      </c>
      <c r="BH25">
        <v>0</v>
      </c>
      <c r="BI25">
        <v>0</v>
      </c>
      <c r="BJ25">
        <f>BG25/10</f>
        <v>25.72</v>
      </c>
      <c r="BK25">
        <v>0</v>
      </c>
      <c r="BL25">
        <v>0</v>
      </c>
    </row>
    <row r="26" spans="1:64" ht="12.75" customHeight="1">
      <c r="A26" s="344" t="s">
        <v>9</v>
      </c>
      <c r="B26" t="s">
        <v>17</v>
      </c>
      <c r="C26" s="79"/>
      <c r="D26" s="348"/>
      <c r="E26" s="13"/>
      <c r="F26" s="347"/>
      <c r="G26" s="13"/>
      <c r="H26" s="13"/>
      <c r="I26" s="13"/>
      <c r="J26" s="347"/>
      <c r="K26" s="13"/>
      <c r="L26" s="13"/>
      <c r="M26" s="13"/>
      <c r="N26" s="347"/>
      <c r="O26" s="13"/>
      <c r="P26" s="13"/>
      <c r="Q26" s="13"/>
      <c r="R26" s="347"/>
      <c r="S26" s="13"/>
      <c r="T26" s="13"/>
      <c r="U26" s="13"/>
      <c r="V26" s="347"/>
      <c r="W26" s="13"/>
      <c r="X26" s="13"/>
      <c r="Y26" s="13"/>
      <c r="Z26" s="347"/>
      <c r="AA26" s="13"/>
      <c r="AB26" s="13"/>
      <c r="AC26" s="13"/>
      <c r="AD26" s="347"/>
      <c r="AE26" s="13"/>
      <c r="AF26" s="13"/>
      <c r="AG26" s="13"/>
      <c r="AH26" s="347"/>
      <c r="AI26" s="13"/>
      <c r="AJ26" s="13"/>
      <c r="AK26" s="13"/>
      <c r="AL26" s="347"/>
      <c r="AM26" s="13"/>
      <c r="AN26" s="13"/>
      <c r="AO26" s="13"/>
      <c r="AP26" s="347"/>
      <c r="AQ26" s="13"/>
      <c r="AR26" s="13"/>
      <c r="AS26" s="13"/>
      <c r="AT26" s="347"/>
      <c r="AW26" s="13"/>
      <c r="AX26" s="347"/>
      <c r="BG26" s="328">
        <v>232.72</v>
      </c>
      <c r="BH26">
        <f>G40-K40-L40</f>
        <v>5.6986368250438062</v>
      </c>
      <c r="BI26">
        <f t="shared" ref="BI26:BI34" si="3">BH26/$C$40*100</f>
        <v>7.5563325077830727</v>
      </c>
      <c r="BJ26">
        <f t="shared" ref="BJ26:BJ34" si="4">BG26/10</f>
        <v>23.271999999999998</v>
      </c>
      <c r="BK26">
        <f>G42*(G9-K9-L9)</f>
        <v>5.471597299747561</v>
      </c>
      <c r="BL26">
        <f t="shared" ref="BL26:BL34" si="5">BK26/$C$40*100</f>
        <v>7.2552804846030439</v>
      </c>
    </row>
    <row r="27" spans="1:64" ht="12.75" customHeight="1">
      <c r="A27" s="344" t="s">
        <v>10</v>
      </c>
      <c r="B27" t="s">
        <v>17</v>
      </c>
      <c r="C27" s="79">
        <v>1.9400000000000001E-3</v>
      </c>
      <c r="D27" s="348"/>
      <c r="E27" s="13"/>
      <c r="F27" s="347"/>
      <c r="G27" s="13">
        <v>1.9400000000000001E-3</v>
      </c>
      <c r="H27" s="13"/>
      <c r="I27" s="13"/>
      <c r="J27" s="347"/>
      <c r="K27" s="13">
        <v>1.4903791980951748E-2</v>
      </c>
      <c r="L27" s="13">
        <v>1.9128542762774322E-3</v>
      </c>
      <c r="M27" s="13"/>
      <c r="N27" s="347"/>
      <c r="O27" s="13">
        <v>1.7368305848038706E-2</v>
      </c>
      <c r="P27" s="13">
        <v>1.8664212151436267E-3</v>
      </c>
      <c r="Q27" s="13"/>
      <c r="R27" s="347"/>
      <c r="S27" s="13">
        <v>2.0492063922188764E-2</v>
      </c>
      <c r="T27" s="13">
        <v>1.8036521027611696E-3</v>
      </c>
      <c r="U27" s="13"/>
      <c r="V27" s="347"/>
      <c r="W27" s="13">
        <v>2.4304382264832756E-2</v>
      </c>
      <c r="X27" s="13">
        <v>1.7224814517622995E-3</v>
      </c>
      <c r="Y27" s="13"/>
      <c r="Z27" s="347"/>
      <c r="AA27" s="13">
        <v>2.8643488729396517E-2</v>
      </c>
      <c r="AB27" s="13">
        <v>1.6311134870308571E-3</v>
      </c>
      <c r="AC27" s="13"/>
      <c r="AD27" s="347"/>
      <c r="AE27" s="13">
        <v>3.302344624275512E-2</v>
      </c>
      <c r="AF27" s="13">
        <v>1.5522891980843652E-3</v>
      </c>
      <c r="AG27" s="13"/>
      <c r="AH27" s="347"/>
      <c r="AI27" s="13">
        <v>3.6420589072573999E-2</v>
      </c>
      <c r="AJ27" s="13">
        <v>1.532779838686127E-3</v>
      </c>
      <c r="AK27" s="13"/>
      <c r="AL27" s="347"/>
      <c r="AM27" s="13">
        <v>3.6052031777831887E-2</v>
      </c>
      <c r="AN27" s="13">
        <v>1.7258137751581587E-3</v>
      </c>
      <c r="AO27" s="13"/>
      <c r="AP27" s="347"/>
      <c r="AQ27" s="13">
        <v>1.7779082251827075E-2</v>
      </c>
      <c r="AR27" s="13">
        <v>3.0944650369321867E-3</v>
      </c>
      <c r="AS27" s="13"/>
      <c r="AT27" s="347"/>
      <c r="AW27" s="13"/>
      <c r="AX27" s="347"/>
      <c r="BG27" s="358">
        <v>207.41</v>
      </c>
      <c r="BH27">
        <f>G40-O40-P40</f>
        <v>11.742335381507679</v>
      </c>
      <c r="BI27">
        <f t="shared" si="3"/>
        <v>15.570213243040937</v>
      </c>
      <c r="BJ27">
        <f t="shared" si="4"/>
        <v>20.741</v>
      </c>
      <c r="BK27">
        <f>L42*(K9+L9-O9-P9)+BK26</f>
        <v>11.319528414339196</v>
      </c>
      <c r="BL27">
        <f t="shared" si="5"/>
        <v>15.009575650469346</v>
      </c>
    </row>
    <row r="28" spans="1:64" ht="12.75" customHeight="1">
      <c r="A28" s="344" t="s">
        <v>35</v>
      </c>
      <c r="B28" t="s">
        <v>17</v>
      </c>
      <c r="C28" s="79">
        <v>2.5999999999999999E-3</v>
      </c>
      <c r="D28" s="348"/>
      <c r="E28" s="13"/>
      <c r="F28" s="347"/>
      <c r="G28" s="13">
        <v>2.5999999999999999E-3</v>
      </c>
      <c r="H28" s="13"/>
      <c r="I28" s="13"/>
      <c r="J28" s="347"/>
      <c r="K28" s="13">
        <v>3.3905595859810331E-2</v>
      </c>
      <c r="L28" s="13">
        <v>2.5344471850960383E-3</v>
      </c>
      <c r="M28" s="13"/>
      <c r="N28" s="347"/>
      <c r="O28" s="13">
        <v>4.0387328240862136E-2</v>
      </c>
      <c r="P28" s="13">
        <v>2.4196951292361889E-3</v>
      </c>
      <c r="Q28" s="13"/>
      <c r="R28" s="347"/>
      <c r="S28" s="13">
        <v>4.8480754633130063E-2</v>
      </c>
      <c r="T28" s="13">
        <v>2.2624118504010783E-3</v>
      </c>
      <c r="U28" s="13"/>
      <c r="V28" s="347"/>
      <c r="W28" s="13">
        <v>5.807333695991497E-2</v>
      </c>
      <c r="X28" s="13">
        <v>2.0598073840278328E-3</v>
      </c>
      <c r="Y28" s="13"/>
      <c r="Z28" s="347"/>
      <c r="AA28" s="13">
        <v>6.869969422984834E-2</v>
      </c>
      <c r="AB28" s="13">
        <v>1.8351954975257179E-3</v>
      </c>
      <c r="AC28" s="13"/>
      <c r="AD28" s="347"/>
      <c r="AE28" s="13">
        <v>7.9668234047348074E-2</v>
      </c>
      <c r="AF28" s="13">
        <v>1.6377297799124639E-3</v>
      </c>
      <c r="AG28" s="13"/>
      <c r="AH28" s="347"/>
      <c r="AI28" s="13">
        <v>9.0159647983394778E-2</v>
      </c>
      <c r="AJ28" s="13">
        <v>1.5416322410322079E-3</v>
      </c>
      <c r="AK28" s="13"/>
      <c r="AL28" s="347"/>
      <c r="AM28" s="13">
        <v>9.8299375686682136E-2</v>
      </c>
      <c r="AN28" s="13">
        <v>1.7653894294149199E-3</v>
      </c>
      <c r="AO28" s="13"/>
      <c r="AP28" s="347"/>
      <c r="AQ28" s="13">
        <v>7.4677501804030821E-2</v>
      </c>
      <c r="AR28" s="13">
        <v>4.5328067182195892E-3</v>
      </c>
      <c r="AS28" s="13"/>
      <c r="AT28" s="347"/>
      <c r="AW28" s="13"/>
      <c r="AX28" s="347"/>
      <c r="BG28" s="362">
        <v>182.1</v>
      </c>
      <c r="BH28">
        <f>G40-S40-T40</f>
        <v>17.550142522989837</v>
      </c>
      <c r="BI28">
        <f t="shared" si="3"/>
        <v>23.271304442475103</v>
      </c>
      <c r="BJ28">
        <f t="shared" si="4"/>
        <v>18.21</v>
      </c>
      <c r="BK28">
        <f>P42*(O9+P9-S9-T9)+BK27</f>
        <v>17.009527068122004</v>
      </c>
      <c r="BL28">
        <f t="shared" si="5"/>
        <v>22.554454033992311</v>
      </c>
    </row>
    <row r="29" spans="1:64" ht="12.75" customHeight="1">
      <c r="A29" s="344" t="s">
        <v>163</v>
      </c>
      <c r="B29" t="s">
        <v>17</v>
      </c>
      <c r="C29" s="79">
        <v>4.2199999999999998E-3</v>
      </c>
      <c r="D29" s="348"/>
      <c r="E29" s="13"/>
      <c r="F29" s="347"/>
      <c r="G29" s="13">
        <v>4.2199999999999998E-3</v>
      </c>
      <c r="H29" s="13"/>
      <c r="I29" s="13"/>
      <c r="J29" s="347"/>
      <c r="K29" s="13">
        <v>7.5730750841453184E-2</v>
      </c>
      <c r="L29" s="13">
        <v>4.0702590069026136E-3</v>
      </c>
      <c r="M29" s="13"/>
      <c r="N29" s="347"/>
      <c r="O29" s="13">
        <v>9.1032871625094797E-2</v>
      </c>
      <c r="P29" s="13">
        <v>3.8056794775505613E-3</v>
      </c>
      <c r="Q29" s="13"/>
      <c r="R29" s="347"/>
      <c r="S29" s="13">
        <v>0.10956663358659438</v>
      </c>
      <c r="T29" s="13">
        <v>3.4448174925620478E-3</v>
      </c>
      <c r="U29" s="13"/>
      <c r="V29" s="347"/>
      <c r="W29" s="13">
        <v>0.13044166509340607</v>
      </c>
      <c r="X29" s="13">
        <v>2.9926479744330709E-3</v>
      </c>
      <c r="Y29" s="13"/>
      <c r="Z29" s="347"/>
      <c r="AA29" s="13">
        <v>0.15240061906104763</v>
      </c>
      <c r="AB29" s="13">
        <v>2.5144425053501046E-3</v>
      </c>
      <c r="AC29" s="13"/>
      <c r="AD29" s="347"/>
      <c r="AE29" s="13">
        <v>0.17488495216772415</v>
      </c>
      <c r="AF29" s="13">
        <v>2.1107980633054144E-3</v>
      </c>
      <c r="AG29" s="13"/>
      <c r="AH29" s="347"/>
      <c r="AI29" s="13">
        <v>0.19852206195361075</v>
      </c>
      <c r="AJ29" s="13">
        <v>1.8886257737286182E-3</v>
      </c>
      <c r="AK29" s="13"/>
      <c r="AL29" s="347"/>
      <c r="AM29" s="13">
        <v>0.22547508959836099</v>
      </c>
      <c r="AN29" s="13">
        <v>2.1239568726767037E-3</v>
      </c>
      <c r="AO29" s="13"/>
      <c r="AP29" s="347"/>
      <c r="AQ29" s="13">
        <v>0.21966776929374451</v>
      </c>
      <c r="AR29" s="13">
        <v>6.6242241672769759E-3</v>
      </c>
      <c r="AS29" s="13"/>
      <c r="AT29" s="347"/>
      <c r="AW29" s="13"/>
      <c r="AX29" s="347"/>
      <c r="BG29" s="328">
        <v>156.78</v>
      </c>
      <c r="BH29">
        <f>G40-W40-X40</f>
        <v>22.953080568067069</v>
      </c>
      <c r="BI29">
        <f t="shared" si="3"/>
        <v>30.435543477350109</v>
      </c>
      <c r="BJ29">
        <f t="shared" si="4"/>
        <v>15.678000000000001</v>
      </c>
      <c r="BK29">
        <f>T42*(S9+T9-W9-X9)+BK28</f>
        <v>22.357793955890518</v>
      </c>
      <c r="BL29">
        <f t="shared" si="5"/>
        <v>29.646199689153335</v>
      </c>
    </row>
    <row r="30" spans="1:64" ht="12.75" customHeight="1">
      <c r="A30" s="344" t="s">
        <v>37</v>
      </c>
      <c r="B30" t="s">
        <v>17</v>
      </c>
      <c r="C30" s="79">
        <v>1.6100000000000001E-3</v>
      </c>
      <c r="D30" s="348"/>
      <c r="E30" s="13"/>
      <c r="F30" s="347"/>
      <c r="G30" s="13">
        <v>1.6100000000000001E-3</v>
      </c>
      <c r="H30" s="13"/>
      <c r="I30" s="13"/>
      <c r="J30" s="347"/>
      <c r="K30" s="13">
        <v>4.2974452428230475E-2</v>
      </c>
      <c r="L30" s="13">
        <v>1.5233842937928941E-3</v>
      </c>
      <c r="M30" s="13"/>
      <c r="N30" s="347"/>
      <c r="O30" s="13">
        <v>5.1588922951524029E-2</v>
      </c>
      <c r="P30" s="13">
        <v>1.3715133160660312E-3</v>
      </c>
      <c r="Q30" s="13"/>
      <c r="R30" s="347"/>
      <c r="S30" s="13">
        <v>6.1164299048553888E-2</v>
      </c>
      <c r="T30" s="13">
        <v>1.1725352585081423E-3</v>
      </c>
      <c r="U30" s="13"/>
      <c r="V30" s="347"/>
      <c r="W30" s="13">
        <v>7.0707542723523475E-2</v>
      </c>
      <c r="X30" s="13">
        <v>9.4248869237904202E-4</v>
      </c>
      <c r="Y30" s="13"/>
      <c r="Z30" s="347"/>
      <c r="AA30" s="13">
        <v>7.9776886759539076E-2</v>
      </c>
      <c r="AB30" s="13">
        <v>7.2440965831764874E-4</v>
      </c>
      <c r="AC30" s="13"/>
      <c r="AD30" s="347"/>
      <c r="AE30" s="13">
        <v>8.9117586110954564E-2</v>
      </c>
      <c r="AF30" s="13">
        <v>5.5821440506591605E-4</v>
      </c>
      <c r="AG30" s="13"/>
      <c r="AH30" s="347"/>
      <c r="AI30" s="13">
        <v>0.10031202661582286</v>
      </c>
      <c r="AJ30" s="13">
        <v>4.655923054755682E-4</v>
      </c>
      <c r="AK30" s="13"/>
      <c r="AL30" s="347"/>
      <c r="AM30" s="13">
        <v>0.11682458394133513</v>
      </c>
      <c r="AN30" s="13">
        <v>5.0207636668427068E-4</v>
      </c>
      <c r="AO30" s="13"/>
      <c r="AP30" s="347"/>
      <c r="AQ30" s="13">
        <v>0.14027345428237661</v>
      </c>
      <c r="AR30" s="13">
        <v>1.8146278718129303E-3</v>
      </c>
      <c r="AS30" s="13"/>
      <c r="AT30" s="347"/>
      <c r="AW30" s="13"/>
      <c r="AX30" s="347"/>
      <c r="BG30" s="328">
        <v>131.47</v>
      </c>
      <c r="BH30">
        <f>G40-AA40-AB40</f>
        <v>27.805348001757046</v>
      </c>
      <c r="BI30">
        <f t="shared" si="3"/>
        <v>36.869599071929407</v>
      </c>
      <c r="BJ30">
        <f t="shared" si="4"/>
        <v>13.147</v>
      </c>
      <c r="BK30">
        <f>X42*(W9+X9-AA9-AB9)+BK29</f>
        <v>27.199407986703072</v>
      </c>
      <c r="BL30">
        <f t="shared" si="5"/>
        <v>36.066128983539677</v>
      </c>
    </row>
    <row r="31" spans="1:64" ht="12.75" customHeight="1">
      <c r="A31" s="344" t="s">
        <v>38</v>
      </c>
      <c r="B31" t="s">
        <v>17</v>
      </c>
      <c r="C31" s="79">
        <v>1.09E-3</v>
      </c>
      <c r="D31" s="348"/>
      <c r="E31" s="13"/>
      <c r="F31" s="347"/>
      <c r="G31" s="13">
        <v>1.09E-3</v>
      </c>
      <c r="H31" s="13"/>
      <c r="I31" s="13"/>
      <c r="J31" s="347"/>
      <c r="K31" s="13">
        <v>3.8267752532485655E-2</v>
      </c>
      <c r="L31" s="13">
        <v>1.0121510958864676E-3</v>
      </c>
      <c r="M31" s="13"/>
      <c r="N31" s="347"/>
      <c r="O31" s="13">
        <v>4.6250255624342512E-2</v>
      </c>
      <c r="P31" s="13">
        <v>8.744647964954857E-4</v>
      </c>
      <c r="Q31" s="13"/>
      <c r="R31" s="347"/>
      <c r="S31" s="13">
        <v>5.4336451598144625E-2</v>
      </c>
      <c r="T31" s="13">
        <v>6.9920693668496295E-4</v>
      </c>
      <c r="U31" s="13"/>
      <c r="V31" s="347"/>
      <c r="W31" s="13">
        <v>6.1247843419428238E-2</v>
      </c>
      <c r="X31" s="13">
        <v>5.1188684836601711E-4</v>
      </c>
      <c r="Y31" s="13"/>
      <c r="Z31" s="347"/>
      <c r="AA31" s="13">
        <v>6.7049600003609294E-2</v>
      </c>
      <c r="AB31" s="13">
        <v>3.5303136865842607E-4</v>
      </c>
      <c r="AC31" s="13"/>
      <c r="AD31" s="347"/>
      <c r="AE31" s="13">
        <v>7.3254282963633621E-2</v>
      </c>
      <c r="AF31" s="13">
        <v>2.4389430212082397E-4</v>
      </c>
      <c r="AG31" s="13"/>
      <c r="AH31" s="347"/>
      <c r="AI31" s="13">
        <v>8.1784655101515391E-2</v>
      </c>
      <c r="AJ31" s="13">
        <v>1.8365303386462246E-4</v>
      </c>
      <c r="AK31" s="13"/>
      <c r="AL31" s="347"/>
      <c r="AM31" s="13">
        <v>9.6402800890502391E-2</v>
      </c>
      <c r="AN31" s="13">
        <v>1.8048658816765943E-4</v>
      </c>
      <c r="AO31" s="13"/>
      <c r="AP31" s="347"/>
      <c r="AQ31" s="13">
        <v>0.13108887020509324</v>
      </c>
      <c r="AR31" s="13">
        <v>6.7067911186417242E-4</v>
      </c>
      <c r="AS31" s="13"/>
      <c r="AT31" s="347"/>
      <c r="AW31" s="13"/>
      <c r="AX31" s="347"/>
      <c r="BG31" s="328">
        <v>106.16</v>
      </c>
      <c r="BH31">
        <f>G40-AE40-AF40</f>
        <v>32.034408273681549</v>
      </c>
      <c r="BI31">
        <f t="shared" si="3"/>
        <v>42.47728852314679</v>
      </c>
      <c r="BJ31">
        <f t="shared" si="4"/>
        <v>10.616</v>
      </c>
      <c r="BK31">
        <f>AB42*(AA9+AB9-AE9-AF9)+BK30</f>
        <v>31.438816429074315</v>
      </c>
      <c r="BL31">
        <f t="shared" si="5"/>
        <v>41.687539999956499</v>
      </c>
    </row>
    <row r="32" spans="1:64" ht="12.75" customHeight="1">
      <c r="A32" s="344" t="s">
        <v>39</v>
      </c>
      <c r="B32" t="s">
        <v>17</v>
      </c>
      <c r="C32" s="79">
        <v>2.1099999999999999E-3</v>
      </c>
      <c r="D32" s="348"/>
      <c r="E32" s="13"/>
      <c r="F32" s="347"/>
      <c r="G32" s="13">
        <v>2.1099999999999999E-3</v>
      </c>
      <c r="H32" s="13"/>
      <c r="I32" s="13"/>
      <c r="J32" s="347"/>
      <c r="K32" s="13">
        <v>0.26126520367399497</v>
      </c>
      <c r="L32" s="13">
        <v>1.5673381329677873E-3</v>
      </c>
      <c r="M32" s="13"/>
      <c r="N32" s="347"/>
      <c r="O32" s="13">
        <v>0.2412614253498728</v>
      </c>
      <c r="P32" s="13">
        <v>9.8177027880611153E-4</v>
      </c>
      <c r="Q32" s="13"/>
      <c r="R32" s="347"/>
      <c r="S32" s="13">
        <v>0.21954575367353432</v>
      </c>
      <c r="T32" s="13">
        <v>5.7093449160901309E-4</v>
      </c>
      <c r="U32" s="13"/>
      <c r="V32" s="347"/>
      <c r="W32" s="13">
        <v>0.20267950457590275</v>
      </c>
      <c r="X32" s="13">
        <v>3.1679062014784237E-4</v>
      </c>
      <c r="Y32" s="13"/>
      <c r="Z32" s="347"/>
      <c r="AA32" s="13">
        <v>0.19579153755816675</v>
      </c>
      <c r="AB32" s="13">
        <v>1.7567963620430057E-4</v>
      </c>
      <c r="AC32" s="13"/>
      <c r="AD32" s="347"/>
      <c r="AE32" s="13">
        <v>0.20067848617305167</v>
      </c>
      <c r="AF32" s="13">
        <v>1.0243380452388759E-4</v>
      </c>
      <c r="AG32" s="13"/>
      <c r="AH32" s="347"/>
      <c r="AI32" s="13">
        <v>0.21847407655731424</v>
      </c>
      <c r="AJ32" s="13">
        <v>6.7053338413177726E-5</v>
      </c>
      <c r="AK32" s="13"/>
      <c r="AL32" s="347"/>
      <c r="AM32" s="13">
        <v>0.25761837215722788</v>
      </c>
      <c r="AN32" s="13">
        <v>5.803548135516607E-5</v>
      </c>
      <c r="AO32" s="13"/>
      <c r="AP32" s="347"/>
      <c r="AQ32" s="13">
        <v>0.38029954715722875</v>
      </c>
      <c r="AR32" s="13">
        <v>2.07938221178113E-4</v>
      </c>
      <c r="AS32" s="13"/>
      <c r="AT32" s="347"/>
      <c r="AW32" s="13"/>
      <c r="AX32" s="347"/>
      <c r="BG32" s="328">
        <v>80.849999999999994</v>
      </c>
      <c r="BH32">
        <f>G40-AI40-AJ40</f>
        <v>35.69347926574067</v>
      </c>
      <c r="BI32">
        <f t="shared" si="3"/>
        <v>47.329178182805848</v>
      </c>
      <c r="BJ32">
        <f t="shared" si="4"/>
        <v>8.0849999999999991</v>
      </c>
      <c r="BK32">
        <f>AF42*(AE9+AF9-AI9-AJ9)+BK31</f>
        <v>35.111287250102606</v>
      </c>
      <c r="BL32">
        <f t="shared" si="5"/>
        <v>46.557197691926994</v>
      </c>
    </row>
    <row r="33" spans="1:64" ht="12.75" customHeight="1">
      <c r="A33" s="344" t="s">
        <v>40</v>
      </c>
      <c r="B33" t="s">
        <v>17</v>
      </c>
      <c r="C33" s="13"/>
      <c r="D33" s="13"/>
      <c r="E33" s="13"/>
      <c r="F33" s="347"/>
      <c r="G33" s="13"/>
      <c r="H33" s="13"/>
      <c r="I33" s="13"/>
      <c r="J33" s="347"/>
      <c r="K33" s="13"/>
      <c r="L33" s="13"/>
      <c r="M33" s="13"/>
      <c r="N33" s="347"/>
      <c r="O33" s="13"/>
      <c r="P33" s="13"/>
      <c r="Q33" s="13"/>
      <c r="R33" s="347"/>
      <c r="S33" s="13"/>
      <c r="T33" s="13"/>
      <c r="U33" s="13"/>
      <c r="V33" s="347"/>
      <c r="W33" s="13"/>
      <c r="X33" s="13"/>
      <c r="Y33" s="13"/>
      <c r="Z33" s="347"/>
      <c r="AA33" s="13"/>
      <c r="AB33" s="13"/>
      <c r="AC33" s="13"/>
      <c r="AD33" s="347"/>
      <c r="AE33" s="13"/>
      <c r="AF33" s="13"/>
      <c r="AG33" s="13"/>
      <c r="AH33" s="347"/>
      <c r="AI33" s="13"/>
      <c r="AJ33" s="13"/>
      <c r="AK33" s="13"/>
      <c r="AL33" s="347"/>
      <c r="AM33" s="13"/>
      <c r="AN33" s="13"/>
      <c r="AO33" s="13"/>
      <c r="AP33" s="347"/>
      <c r="AQ33" s="13"/>
      <c r="AR33" s="13"/>
      <c r="AS33" s="13"/>
      <c r="AT33" s="347"/>
      <c r="AX33" s="347"/>
      <c r="BG33" s="328">
        <v>55.54</v>
      </c>
      <c r="BH33">
        <f>G40-AM40-AN40</f>
        <v>38.985609712383976</v>
      </c>
      <c r="BI33">
        <f t="shared" si="3"/>
        <v>51.694508537691554</v>
      </c>
      <c r="BJ33">
        <f t="shared" si="4"/>
        <v>5.5540000000000003</v>
      </c>
      <c r="BK33">
        <f>AJ42*(AI9+AJ9-AM9-AN9)+BK32</f>
        <v>38.408903631831123</v>
      </c>
      <c r="BL33">
        <f t="shared" si="5"/>
        <v>50.929802339050056</v>
      </c>
    </row>
    <row r="34" spans="1:64" ht="12.75" customHeight="1">
      <c r="A34" s="344" t="s">
        <v>41</v>
      </c>
      <c r="B34" t="s">
        <v>17</v>
      </c>
      <c r="C34" s="13"/>
      <c r="D34" s="13"/>
      <c r="E34" s="13"/>
      <c r="F34" s="347"/>
      <c r="G34" s="13"/>
      <c r="H34" s="13"/>
      <c r="I34" s="13"/>
      <c r="J34" s="347"/>
      <c r="K34" s="13"/>
      <c r="L34" s="13"/>
      <c r="M34" s="13"/>
      <c r="N34" s="347"/>
      <c r="O34" s="13"/>
      <c r="P34" s="13"/>
      <c r="Q34" s="13"/>
      <c r="R34" s="347"/>
      <c r="S34" s="13"/>
      <c r="T34" s="13"/>
      <c r="U34" s="13"/>
      <c r="V34" s="347"/>
      <c r="W34" s="13"/>
      <c r="X34" s="13"/>
      <c r="Y34" s="13"/>
      <c r="Z34" s="347"/>
      <c r="AA34" s="13"/>
      <c r="AB34" s="13"/>
      <c r="AC34" s="13"/>
      <c r="AD34" s="347"/>
      <c r="AE34" s="13"/>
      <c r="AF34" s="13"/>
      <c r="AG34" s="13"/>
      <c r="AH34" s="347"/>
      <c r="AI34" s="13"/>
      <c r="AJ34" s="13"/>
      <c r="AK34" s="13"/>
      <c r="AL34" s="347"/>
      <c r="AM34" s="13"/>
      <c r="AN34" s="13"/>
      <c r="AO34" s="13"/>
      <c r="AP34" s="347"/>
      <c r="AQ34" s="13"/>
      <c r="AR34" s="13"/>
      <c r="AS34" s="13"/>
      <c r="AT34" s="347"/>
      <c r="AX34" s="347"/>
      <c r="BG34" s="328">
        <v>28.83</v>
      </c>
      <c r="BH34">
        <f>G40-AQ40-AR40</f>
        <v>42.660959770070662</v>
      </c>
      <c r="BI34">
        <f t="shared" si="3"/>
        <v>56.567984067195368</v>
      </c>
      <c r="BJ34">
        <f t="shared" si="4"/>
        <v>2.883</v>
      </c>
      <c r="BK34">
        <f>AN42*(AM9+AN9-AQ9-AR9)+BK33</f>
        <v>42.064724964842028</v>
      </c>
      <c r="BL34">
        <f t="shared" si="5"/>
        <v>55.777382984981962</v>
      </c>
    </row>
    <row r="35" spans="1:64" ht="12.75" customHeight="1">
      <c r="A35" s="344" t="s">
        <v>42</v>
      </c>
      <c r="B35" t="s">
        <v>17</v>
      </c>
      <c r="C35" s="13"/>
      <c r="D35" s="13"/>
      <c r="E35" s="13"/>
      <c r="F35" s="347"/>
      <c r="G35" s="13"/>
      <c r="H35" s="13"/>
      <c r="I35" s="13"/>
      <c r="J35" s="347"/>
      <c r="K35" s="13"/>
      <c r="L35" s="13"/>
      <c r="M35" s="13"/>
      <c r="N35" s="347"/>
      <c r="O35" s="13"/>
      <c r="P35" s="13"/>
      <c r="Q35" s="13"/>
      <c r="R35" s="347"/>
      <c r="S35" s="13"/>
      <c r="T35" s="13"/>
      <c r="U35" s="13"/>
      <c r="V35" s="347"/>
      <c r="W35" s="13"/>
      <c r="X35" s="13"/>
      <c r="Y35" s="13"/>
      <c r="Z35" s="347"/>
      <c r="AA35" s="13"/>
      <c r="AB35" s="13"/>
      <c r="AC35" s="13"/>
      <c r="AD35" s="347"/>
      <c r="AE35" s="13"/>
      <c r="AF35" s="13"/>
      <c r="AG35" s="13"/>
      <c r="AH35" s="347"/>
      <c r="AI35" s="13"/>
      <c r="AJ35" s="13"/>
      <c r="AK35" s="13"/>
      <c r="AL35" s="347"/>
      <c r="AM35" s="13"/>
      <c r="AN35" s="13"/>
      <c r="AO35" s="13"/>
      <c r="AP35" s="347"/>
      <c r="AQ35" s="13"/>
      <c r="AR35" s="13"/>
      <c r="AS35" s="13"/>
      <c r="AT35" s="347"/>
      <c r="AX35" s="347"/>
    </row>
    <row r="36" spans="1:64" ht="12.75" customHeight="1">
      <c r="A36" s="344" t="s">
        <v>43</v>
      </c>
      <c r="B36" t="s">
        <v>17</v>
      </c>
      <c r="C36" s="13"/>
      <c r="D36" s="13"/>
      <c r="E36" s="13"/>
      <c r="F36" s="347"/>
      <c r="G36" s="13"/>
      <c r="H36" s="13"/>
      <c r="I36" s="13"/>
      <c r="J36" s="347"/>
      <c r="K36" s="13"/>
      <c r="L36" s="13"/>
      <c r="M36" s="13"/>
      <c r="N36" s="347"/>
      <c r="O36" s="13"/>
      <c r="P36" s="13"/>
      <c r="Q36" s="13"/>
      <c r="R36" s="347"/>
      <c r="S36" s="13"/>
      <c r="T36" s="13"/>
      <c r="U36" s="13"/>
      <c r="V36" s="347"/>
      <c r="W36" s="13"/>
      <c r="X36" s="13"/>
      <c r="Y36" s="13"/>
      <c r="Z36" s="347"/>
      <c r="AA36" s="13"/>
      <c r="AB36" s="13"/>
      <c r="AC36" s="13"/>
      <c r="AD36" s="347"/>
      <c r="AE36" s="13"/>
      <c r="AF36" s="13"/>
      <c r="AG36" s="13"/>
      <c r="AH36" s="347"/>
      <c r="AI36" s="13"/>
      <c r="AJ36" s="13"/>
      <c r="AK36" s="13"/>
      <c r="AL36" s="347"/>
      <c r="AM36" s="13"/>
      <c r="AN36" s="13"/>
      <c r="AO36" s="13"/>
      <c r="AP36" s="347"/>
      <c r="AQ36" s="13"/>
      <c r="AR36" s="13"/>
      <c r="AS36" s="13"/>
      <c r="AT36" s="347"/>
      <c r="AX36" s="347"/>
      <c r="BG36" s="359">
        <v>4.92</v>
      </c>
    </row>
    <row r="37" spans="1:64" ht="12.75" customHeight="1">
      <c r="A37" s="344" t="s">
        <v>44</v>
      </c>
      <c r="B37" t="s">
        <v>17</v>
      </c>
      <c r="C37" s="13"/>
      <c r="D37" s="13"/>
      <c r="E37" s="13"/>
      <c r="F37" s="347"/>
      <c r="G37" s="13"/>
      <c r="H37" s="13"/>
      <c r="I37" s="13"/>
      <c r="J37" s="347"/>
      <c r="K37" s="13"/>
      <c r="L37" s="13"/>
      <c r="M37" s="13"/>
      <c r="N37" s="347"/>
      <c r="O37" s="13"/>
      <c r="P37" s="13"/>
      <c r="Q37" s="13"/>
      <c r="R37" s="347"/>
      <c r="S37" s="13"/>
      <c r="T37" s="13"/>
      <c r="U37" s="13"/>
      <c r="V37" s="347"/>
      <c r="W37" s="13"/>
      <c r="X37" s="13"/>
      <c r="Y37" s="13"/>
      <c r="Z37" s="347"/>
      <c r="AA37" s="13"/>
      <c r="AB37" s="13"/>
      <c r="AC37" s="13"/>
      <c r="AD37" s="347"/>
      <c r="AE37" s="13"/>
      <c r="AF37" s="13"/>
      <c r="AG37" s="13"/>
      <c r="AH37" s="347"/>
      <c r="AI37" s="13"/>
      <c r="AJ37" s="13"/>
      <c r="AK37" s="13"/>
      <c r="AL37" s="347"/>
      <c r="AM37" s="13"/>
      <c r="AN37" s="13"/>
      <c r="AO37" s="13"/>
      <c r="AP37" s="347"/>
      <c r="AQ37" s="13"/>
      <c r="AR37" s="13"/>
      <c r="AS37" s="13"/>
      <c r="AT37" s="347"/>
      <c r="AX37" s="347"/>
    </row>
    <row r="38" spans="1:64" ht="12.75" customHeight="1">
      <c r="A38" s="344" t="s">
        <v>45</v>
      </c>
      <c r="B38" t="s">
        <v>17</v>
      </c>
      <c r="F38" s="345"/>
      <c r="J38" s="345"/>
      <c r="N38" s="345"/>
      <c r="R38" s="345"/>
      <c r="V38" s="345"/>
      <c r="Z38" s="345"/>
      <c r="AD38" s="345"/>
      <c r="AH38" s="345"/>
      <c r="AL38" s="345"/>
      <c r="AP38" s="345"/>
      <c r="AT38" s="347"/>
      <c r="AX38" s="347"/>
    </row>
    <row r="39" spans="1:64" ht="12.75" customHeight="1">
      <c r="A39" s="344" t="s">
        <v>225</v>
      </c>
      <c r="C39" s="13">
        <f>SUM(C25:C32)*C9</f>
        <v>1.6150000000000001E-2</v>
      </c>
      <c r="D39" s="13"/>
      <c r="F39" s="345"/>
      <c r="G39" s="13">
        <f>SUM(G25:G32)*G9</f>
        <v>1.6150000000000001E-2</v>
      </c>
      <c r="H39" s="13"/>
      <c r="J39" s="345"/>
      <c r="K39" s="13">
        <f>SUM(K25:K32)*K9</f>
        <v>9.3151423740964157E-4</v>
      </c>
      <c r="L39" s="13">
        <f>SUM(L25:L32)*L9</f>
        <v>1.404675796432696E-2</v>
      </c>
      <c r="N39" s="345"/>
      <c r="O39" s="13">
        <f>SUM(O25:O32)*O9</f>
        <v>2.0872956491475064E-3</v>
      </c>
      <c r="P39" s="13">
        <f>SUM(P25:P32)*P9</f>
        <v>1.1606239167957198E-2</v>
      </c>
      <c r="R39" s="345"/>
      <c r="S39" s="13">
        <f>SUM(S25:S32)*S9</f>
        <v>3.1628253702502595E-3</v>
      </c>
      <c r="T39" s="13">
        <f>SUM(T25:T32)*T9</f>
        <v>9.2378336241463327E-3</v>
      </c>
      <c r="V39" s="345"/>
      <c r="W39" s="13">
        <f>SUM(W25:W32)*W9</f>
        <v>4.1177697917723771E-3</v>
      </c>
      <c r="X39" s="13">
        <f>SUM(X25:X32)*X9</f>
        <v>7.0282516645199496E-3</v>
      </c>
      <c r="Z39" s="345"/>
      <c r="AA39" s="13">
        <f>SUM(AA25:AA32)*AA9</f>
        <v>4.8562164876930543E-3</v>
      </c>
      <c r="AB39" s="13">
        <f>SUM(AB25:AB32)*AB9</f>
        <v>5.1198869258179116E-3</v>
      </c>
      <c r="AD39" s="345"/>
      <c r="AE39" s="13">
        <f>SUM(AE25:AE32)*AE9</f>
        <v>5.308740876648922E-3</v>
      </c>
      <c r="AF39" s="13">
        <f>SUM(AF25:AF32)*AF9</f>
        <v>3.6151329338711432E-3</v>
      </c>
      <c r="AH39" s="345"/>
      <c r="AI39" s="13">
        <f>SUM(AI25:AI32)*AI9</f>
        <v>5.4629746180562067E-3</v>
      </c>
      <c r="AJ39" s="13">
        <f>SUM(AJ25:AJ32)*AJ9</f>
        <v>2.5284104341675106E-3</v>
      </c>
      <c r="AL39" s="345"/>
      <c r="AM39" s="13">
        <f>SUM(AM25:AM32)*AM9</f>
        <v>5.2672689794712509E-3</v>
      </c>
      <c r="AN39" s="13">
        <f>SUM(AN25:AN32)*AN9</f>
        <v>1.8733011750854415E-3</v>
      </c>
      <c r="AP39" s="345"/>
      <c r="AQ39" s="13">
        <f>SUM(AQ25:AQ32)*AQ9</f>
        <v>4.0236244875630758E-3</v>
      </c>
      <c r="AR39" s="13">
        <f>SUM(AR25:AR32)*AR9</f>
        <v>2.1726917664227114E-3</v>
      </c>
      <c r="AT39" s="347"/>
      <c r="AU39" s="13"/>
      <c r="AV39" s="13"/>
      <c r="AX39" s="347"/>
    </row>
    <row r="40" spans="1:64" ht="12.75" customHeight="1">
      <c r="A40" s="344" t="s">
        <v>226</v>
      </c>
      <c r="C40">
        <f>(C25*$AV$9+$AV$11*C27+C28*$AV$12+$AV$13*C29+C30*$AV$14+$AV$15*C31+C32*$AV$16)/0.02404/(1-C39)*C9</f>
        <v>75.415379341422209</v>
      </c>
      <c r="F40" s="345"/>
      <c r="G40">
        <f>(G25*$AV$9+$AV$11*G27+G28*$AV$12+$AV$13*G29+G30*$AV$14+$AV$15*G31+G32*$AV$16)/0.02404/(1-G39)*G9</f>
        <v>75.415379341422209</v>
      </c>
      <c r="J40" s="345"/>
      <c r="K40">
        <f>(K25*$AV$9+$AV$11*K27+K28*$AV$12+$AV$13*K29+K30*$AV$14+$AV$15*K31+K32*$AV$16)/0.02404/(1-K39)*K9</f>
        <v>5.8513326256017963</v>
      </c>
      <c r="L40">
        <f>(L25*$AV$9+$AV$11*L27+L28*$AV$12+$AV$13*L29+L30*$AV$14+$AV$15*L31+L32*$AV$16)/0.02404/(1-L39)*L9</f>
        <v>63.865409890776604</v>
      </c>
      <c r="N40" s="345"/>
      <c r="O40">
        <f>(O25*$AV$9+$AV$11*O27+O28*$AV$12+$AV$13*O29+O30*$AV$14+$AV$15*O31+O32*$AV$16)/0.02404/(1-O39)*O9</f>
        <v>12.708914521077849</v>
      </c>
      <c r="P40">
        <f>(P25*$AV$9+$AV$11*P27+P28*$AV$12+$AV$13*P29+P30*$AV$14+$AV$15*P31+P32*$AV$16)/0.02404/(1-P39)*P9</f>
        <v>50.964129438836679</v>
      </c>
      <c r="R40" s="345"/>
      <c r="S40">
        <f>(S25*$AV$9+$AV$11*S27+S28*$AV$12+$AV$13*S29+S30*$AV$14+$AV$15*S31+S32*$AV$16)/0.02404/(1-S39)*S9</f>
        <v>18.612937564100807</v>
      </c>
      <c r="T40">
        <f>(T25*$AV$9+$AV$11*T27+T28*$AV$12+$AV$13*T29+T30*$AV$14+$AV$15*T31+T32*$AV$16)/0.02404/(1-T39)*T9</f>
        <v>39.252299254331568</v>
      </c>
      <c r="V40" s="345"/>
      <c r="W40">
        <f>(W25*$AV$9+$AV$11*W27+W28*$AV$12+$AV$13*W29+W30*$AV$14+$AV$15*W31+W32*$AV$16)/0.02404/(1-W39)*W9</f>
        <v>23.491656295099943</v>
      </c>
      <c r="X40">
        <f>(X25*$AV$9+$AV$11*X27+X28*$AV$12+$AV$13*X29+X30*$AV$14+$AV$15*X31+X32*$AV$16)/0.02404/(1-X39)*X9</f>
        <v>28.970642478255197</v>
      </c>
      <c r="Z40" s="345"/>
      <c r="AA40">
        <f>(AA25*$AV$9+$AV$11*AA27+AA28*$AV$12+$AV$13*AA29+AA30*$AV$14+$AV$15*AA31+AA32*$AV$16)/0.02404/(1-AA39)*AA9</f>
        <v>27.074846006592903</v>
      </c>
      <c r="AB40">
        <f>(AB25*$AV$9+$AV$11*AB27+AB28*$AV$12+$AV$13*AB29+AB30*$AV$14+$AV$15*AB31+AB32*$AV$16)/0.02404/(1-AB39)*AB9</f>
        <v>20.535185333072256</v>
      </c>
      <c r="AD40" s="345"/>
      <c r="AE40">
        <f>(AE25*$AV$9+$AV$11*AE27+AE28*$AV$12+$AV$13*AE29+AE30*$AV$14+$AV$15*AE31+AE32*$AV$16)/0.02404/(1-AE39)*AE9</f>
        <v>29.213440704863007</v>
      </c>
      <c r="AF40">
        <f>(AF25*$AV$9+$AV$11*AF27+AF28*$AV$12+$AV$13*AF29+AF30*$AV$14+$AV$15*AF31+AF32*$AV$16)/0.02404/(1-AF39)*AF9</f>
        <v>14.167530362877658</v>
      </c>
      <c r="AH40" s="345"/>
      <c r="AI40">
        <f>(AI25*$AV$9+$AV$11*AI27+AI28*$AV$12+$AV$13*AI29+AI30*$AV$14+$AV$15*AI31+AI32*$AV$16)/0.02404/(1-AI39)*AI9</f>
        <v>29.976144187899699</v>
      </c>
      <c r="AJ40">
        <f>(AJ25*$AV$9+$AV$11*AJ27+AJ28*$AV$12+$AV$13*AJ29+AJ30*$AV$14+$AV$15*AJ31+AJ32*$AV$16)/0.02404/(1-AJ39)*AJ9</f>
        <v>9.7457558877818382</v>
      </c>
      <c r="AL40" s="345"/>
      <c r="AM40">
        <f>(AM25*$AV$9+$AV$11*AM27+AM28*$AV$12+$AV$13*AM29+AM30*$AV$14+$AV$15*AM31+AM32*$AV$16)/0.02404/(1-AM39)*AM9</f>
        <v>29.228114793693067</v>
      </c>
      <c r="AN40">
        <f>(AN25*$AV$9+$AV$11*AN27+AN28*$AV$12+$AV$13*AN29+AN30*$AV$14+$AV$15*AN31+AN32*$AV$16)/0.02404/(1-AN39)*AN9</f>
        <v>7.2016548353451686</v>
      </c>
      <c r="AP40" s="345"/>
      <c r="AQ40">
        <f>(AQ25*$AV$9+$AV$11*AQ27+AQ28*$AV$12+$AV$13*AQ29+AQ30*$AV$14+$AV$15*AQ31+AQ32*$AV$16)/0.02404/(1-AQ39)*AQ9</f>
        <v>23.871769063195249</v>
      </c>
      <c r="AR40">
        <f>(AR25*$AV$9+$AV$11*AR27+AR28*$AV$12+$AV$13*AR29+AR30*$AV$14+$AV$15*AR31+AR32*$AV$16)/0.02404/(1-AR39)*AR9</f>
        <v>8.882650508156301</v>
      </c>
      <c r="AT40" s="347"/>
      <c r="AX40" s="347"/>
    </row>
    <row r="41" spans="1:64" ht="12.75" customHeight="1">
      <c r="A41" s="344" t="s">
        <v>225</v>
      </c>
      <c r="C41">
        <f>SUM(C25:C32)</f>
        <v>1.6150000000000001E-2</v>
      </c>
      <c r="F41" s="345"/>
      <c r="G41">
        <f>SUM(G25:G32)</f>
        <v>1.6150000000000001E-2</v>
      </c>
      <c r="J41" s="345"/>
      <c r="L41">
        <f>SUM(L25:L32)</f>
        <v>1.5177329182963769E-2</v>
      </c>
      <c r="N41" s="345"/>
      <c r="P41">
        <f>SUM(P25:P32)</f>
        <v>1.3839189305979967E-2</v>
      </c>
      <c r="R41" s="345"/>
      <c r="T41">
        <f>SUM(T25:T32)</f>
        <v>1.2426142194217003E-2</v>
      </c>
      <c r="V41" s="345"/>
      <c r="X41">
        <f>SUM(X25:X32)</f>
        <v>1.0961975731713154E-2</v>
      </c>
      <c r="Z41" s="345"/>
      <c r="AB41">
        <f>SUM(AB25:AB32)</f>
        <v>9.5917199441178415E-3</v>
      </c>
      <c r="AD41" s="345"/>
      <c r="AF41">
        <f>SUM(AF25:AF32)</f>
        <v>8.5238895548537738E-3</v>
      </c>
      <c r="AH41" s="345"/>
      <c r="AJ41">
        <f>SUM(AJ25:AJ32)</f>
        <v>8.0187950624237333E-3</v>
      </c>
      <c r="AL41" s="345"/>
      <c r="AN41">
        <f>SUM(AN25:AN32)</f>
        <v>8.9074894579317734E-3</v>
      </c>
      <c r="AP41" s="345"/>
      <c r="AR41">
        <f>SUM(AR25:AR32)</f>
        <v>2.0432636113043509E-2</v>
      </c>
      <c r="AT41" s="347"/>
      <c r="AX41" s="347"/>
    </row>
    <row r="42" spans="1:64" ht="12.75" customHeight="1">
      <c r="A42" s="344" t="s">
        <v>226</v>
      </c>
      <c r="C42">
        <f>(C25*$AV$9+$AV$11*C27+C28*$AV$12+$AV$13*C29+C30*$AV$14+$AV$15*C31+C32*$AV$16)/0.02404/(1-C41)</f>
        <v>75.415379341422209</v>
      </c>
      <c r="F42" s="345"/>
      <c r="G42">
        <f>(G25*$AV$9+$AV$11*G27+G28*$AV$12+$AV$13*G29+G30*$AV$14+$AV$15*G31+G32*$AV$16)/0.02404/(1-G41)</f>
        <v>75.415379341422209</v>
      </c>
      <c r="J42" s="345"/>
      <c r="L42">
        <f>(L25*$AV$9+$AV$11*L27+L28*$AV$12+$AV$13*L29+L30*$AV$14+$AV$15*L31+L32*$AV$16)/0.02404/(1-L41)</f>
        <v>69.084916985492072</v>
      </c>
      <c r="N42" s="345"/>
      <c r="P42">
        <f>(P25*$AV$9+$AV$11*P27+P28*$AV$12+$AV$13*P29+P30*$AV$14+$AV$15*P31+P32*$AV$16)/0.02404/(1-P41)</f>
        <v>60.906830445270131</v>
      </c>
      <c r="R42" s="345"/>
      <c r="T42">
        <f>(T25*$AV$9+$AV$11*T27+T28*$AV$12+$AV$13*T29+T30*$AV$14+$AV$15*T31+T32*$AV$16)/0.02404/(1-T41)</f>
        <v>52.970139041473473</v>
      </c>
      <c r="V42" s="345"/>
      <c r="X42">
        <f>(X25*$AV$9+$AV$11*X27+X28*$AV$12+$AV$13*X29+X30*$AV$14+$AV$15*X31+X32*$AV$16)/0.02404/(1-X41)</f>
        <v>45.365276512798076</v>
      </c>
      <c r="Z42" s="345"/>
      <c r="AB42">
        <f>(AB25*$AV$9+$AV$11*AB27+AB28*$AV$12+$AV$13*AB29+AB30*$AV$14+$AV$15*AB31+AB32*$AV$16)/0.02404/(1-AB41)</f>
        <v>38.644815154764579</v>
      </c>
      <c r="AD42" s="345"/>
      <c r="AF42">
        <f>(AF25*$AV$9+$AV$11*AF27+AF28*$AV$12+$AV$13*AF29+AF30*$AV$14+$AV$15*AF31+AF32*$AV$16)/0.02404/(1-AF41)</f>
        <v>33.570094431014958</v>
      </c>
      <c r="AH42" s="345"/>
      <c r="AJ42">
        <f>(AJ25*$AV$9+$AV$11*AJ27+AJ28*$AV$12+$AV$13*AJ29+AJ30*$AV$14+$AV$15*AJ31+AJ32*$AV$16)/0.02404/(1-AJ41)</f>
        <v>31.079509811217466</v>
      </c>
      <c r="AL42" s="345"/>
      <c r="AN42">
        <f>(AN25*$AV$9+$AV$11*AN27+AN28*$AV$12+$AV$13*AN29+AN30*$AV$14+$AV$15*AN31+AN32*$AV$16)/0.02404/(1-AN41)</f>
        <v>34.486688341121067</v>
      </c>
      <c r="AP42" s="345"/>
      <c r="AR42">
        <f>(AR25*$AV$9+$AV$11*AR27+AR28*$AV$12+$AV$13*AR29+AR30*$AV$14+$AV$15*AR31+AR32*$AV$16)/0.02404/(1-AR41)</f>
        <v>85.092235834790699</v>
      </c>
      <c r="AT42" s="347"/>
      <c r="AX42" s="347"/>
    </row>
    <row r="43" spans="1:64" ht="12.75" customHeight="1">
      <c r="A43" s="480" t="s">
        <v>227</v>
      </c>
      <c r="B43" s="480"/>
      <c r="C43" s="480"/>
      <c r="D43" s="480"/>
      <c r="E43" s="480"/>
      <c r="F43" s="480"/>
      <c r="G43" s="480"/>
      <c r="H43" s="480"/>
      <c r="I43" s="480"/>
      <c r="J43" s="480"/>
      <c r="K43" s="480"/>
      <c r="L43" s="480"/>
      <c r="M43" s="480"/>
      <c r="N43" s="480"/>
      <c r="O43" s="480"/>
      <c r="R43" s="345"/>
      <c r="V43" s="345"/>
      <c r="Z43" s="345"/>
      <c r="AD43" s="345"/>
      <c r="AH43" s="345"/>
      <c r="AL43" s="345"/>
      <c r="AP43" s="345"/>
      <c r="AT43" s="347"/>
      <c r="AX43" s="347"/>
    </row>
    <row r="44" spans="1:64">
      <c r="A44" s="480"/>
      <c r="B44" s="480"/>
      <c r="C44" s="480"/>
      <c r="D44" s="480"/>
      <c r="E44" s="480"/>
      <c r="F44" s="480"/>
      <c r="G44" s="480"/>
      <c r="H44" s="480"/>
      <c r="I44" s="480"/>
      <c r="J44" s="480"/>
      <c r="K44" s="480"/>
      <c r="L44" s="480"/>
      <c r="M44" s="480"/>
      <c r="N44" s="480"/>
      <c r="O44" s="480"/>
      <c r="P44">
        <v>0.6</v>
      </c>
      <c r="R44" s="345"/>
      <c r="V44" s="345"/>
      <c r="Z44" s="345"/>
      <c r="AD44" s="345"/>
      <c r="AH44" s="345"/>
      <c r="AL44" s="345"/>
      <c r="AP44" s="345"/>
      <c r="AT44" s="347"/>
      <c r="AX44" s="347"/>
      <c r="BH44" t="s">
        <v>239</v>
      </c>
      <c r="BI44" t="s">
        <v>240</v>
      </c>
    </row>
    <row r="45" spans="1:64" ht="16.5" thickBot="1">
      <c r="A45" s="344" t="s">
        <v>204</v>
      </c>
      <c r="B45" s="344"/>
      <c r="C45" s="476" t="s">
        <v>209</v>
      </c>
      <c r="D45" s="476"/>
      <c r="E45" s="476"/>
      <c r="F45" s="345"/>
      <c r="G45" s="476" t="s">
        <v>215</v>
      </c>
      <c r="H45" s="476"/>
      <c r="I45" s="476"/>
      <c r="J45" s="345"/>
      <c r="K45" s="476" t="s">
        <v>216</v>
      </c>
      <c r="L45" s="476"/>
      <c r="M45" s="476"/>
      <c r="N45" s="345"/>
      <c r="O45" s="476" t="s">
        <v>217</v>
      </c>
      <c r="P45" s="476"/>
      <c r="Q45" s="476"/>
      <c r="R45" s="345"/>
      <c r="S45" s="476" t="s">
        <v>218</v>
      </c>
      <c r="T45" s="476"/>
      <c r="U45" s="476"/>
      <c r="V45" s="345"/>
      <c r="W45" s="476" t="s">
        <v>219</v>
      </c>
      <c r="X45" s="476"/>
      <c r="Y45" s="476"/>
      <c r="Z45" s="345"/>
      <c r="AA45" s="476" t="s">
        <v>220</v>
      </c>
      <c r="AB45" s="476"/>
      <c r="AC45" s="476"/>
      <c r="AD45" s="345"/>
      <c r="AE45" s="476" t="s">
        <v>221</v>
      </c>
      <c r="AF45" s="476"/>
      <c r="AG45" s="476"/>
      <c r="AH45" s="345"/>
      <c r="AI45" s="476" t="s">
        <v>222</v>
      </c>
      <c r="AJ45" s="476"/>
      <c r="AK45" s="476"/>
      <c r="AL45" s="345"/>
      <c r="AM45" s="476" t="s">
        <v>223</v>
      </c>
      <c r="AN45" s="476"/>
      <c r="AO45" s="476"/>
      <c r="AP45" s="345"/>
      <c r="AQ45" s="476" t="s">
        <v>224</v>
      </c>
      <c r="AR45" s="476"/>
      <c r="AS45" s="476"/>
      <c r="AT45" s="347"/>
      <c r="AU45" s="476"/>
      <c r="AV45" s="476"/>
      <c r="AW45" s="476"/>
      <c r="AX45" s="347"/>
      <c r="AZ45" s="396" t="s">
        <v>149</v>
      </c>
      <c r="BA45" s="397"/>
      <c r="BB45" s="397"/>
      <c r="BC45" s="398"/>
      <c r="BF45" t="s">
        <v>237</v>
      </c>
      <c r="BG45" s="328">
        <v>257.2</v>
      </c>
      <c r="BH45">
        <v>1.1615046378492918E-2</v>
      </c>
      <c r="BI45">
        <f>$E$80-BH45</f>
        <v>75.403379807298563</v>
      </c>
      <c r="BJ45">
        <f>BG45/10</f>
        <v>25.72</v>
      </c>
    </row>
    <row r="46" spans="1:64" ht="16.5" thickTop="1" thickBot="1">
      <c r="A46" s="346" t="s">
        <v>211</v>
      </c>
      <c r="B46" s="344" t="s">
        <v>213</v>
      </c>
      <c r="C46" s="476">
        <v>25.72</v>
      </c>
      <c r="D46" s="476"/>
      <c r="E46" s="476"/>
      <c r="F46" s="345"/>
      <c r="G46" s="476">
        <v>23.271999999999998</v>
      </c>
      <c r="H46" s="476"/>
      <c r="I46" s="476"/>
      <c r="J46" s="345"/>
      <c r="K46" s="476">
        <v>20.741</v>
      </c>
      <c r="L46" s="476"/>
      <c r="M46" s="476"/>
      <c r="N46" s="345"/>
      <c r="O46" s="476">
        <v>18.21</v>
      </c>
      <c r="P46" s="476"/>
      <c r="Q46" s="476"/>
      <c r="R46" s="345"/>
      <c r="S46" s="476">
        <v>15.678000000000001</v>
      </c>
      <c r="T46" s="476"/>
      <c r="U46" s="476"/>
      <c r="V46" s="345"/>
      <c r="W46" s="476">
        <v>13.147</v>
      </c>
      <c r="X46" s="476"/>
      <c r="Y46" s="476"/>
      <c r="Z46" s="345"/>
      <c r="AA46" s="476">
        <v>10.616</v>
      </c>
      <c r="AB46" s="476"/>
      <c r="AC46" s="476"/>
      <c r="AD46" s="345"/>
      <c r="AE46" s="476">
        <v>8.0849999999999991</v>
      </c>
      <c r="AF46" s="476"/>
      <c r="AG46" s="476"/>
      <c r="AH46" s="345"/>
      <c r="AI46" s="476">
        <v>5.5540000000000003</v>
      </c>
      <c r="AJ46" s="476"/>
      <c r="AK46" s="476"/>
      <c r="AL46" s="345"/>
      <c r="AM46" s="476">
        <v>2.883</v>
      </c>
      <c r="AN46" s="476"/>
      <c r="AO46" s="476"/>
      <c r="AP46" s="345"/>
      <c r="AQ46" s="476">
        <v>0.49199999999999999</v>
      </c>
      <c r="AR46" s="476"/>
      <c r="AS46" s="476"/>
      <c r="AT46" s="345"/>
      <c r="AU46" s="476"/>
      <c r="AV46" s="476"/>
      <c r="AW46" s="476"/>
      <c r="AX46" s="347"/>
      <c r="AZ46" s="125" t="s">
        <v>79</v>
      </c>
      <c r="BA46" s="198" t="s">
        <v>31</v>
      </c>
      <c r="BB46" s="126" t="s">
        <v>52</v>
      </c>
      <c r="BC46" s="127" t="s">
        <v>54</v>
      </c>
      <c r="BE46" t="s">
        <v>238</v>
      </c>
      <c r="BF46">
        <v>22.61</v>
      </c>
      <c r="BG46" s="328">
        <v>232.72</v>
      </c>
      <c r="BH46">
        <v>1.3965578670158086E-2</v>
      </c>
      <c r="BI46">
        <f>$E$80-BH46</f>
        <v>75.401029275006906</v>
      </c>
      <c r="BJ46">
        <f t="shared" ref="BJ46:BJ56" si="6">BG46/10</f>
        <v>23.271999999999998</v>
      </c>
    </row>
    <row r="47" spans="1:64" ht="15.75" thickTop="1">
      <c r="A47" s="346" t="s">
        <v>212</v>
      </c>
      <c r="B47" s="344" t="s">
        <v>29</v>
      </c>
      <c r="C47" s="478">
        <v>328.6</v>
      </c>
      <c r="D47" s="476"/>
      <c r="E47" s="476"/>
      <c r="F47" s="345"/>
      <c r="G47" s="476">
        <v>328.6</v>
      </c>
      <c r="H47" s="476"/>
      <c r="I47" s="476"/>
      <c r="J47" s="345"/>
      <c r="K47" s="476">
        <v>328.6</v>
      </c>
      <c r="L47" s="476"/>
      <c r="M47" s="476"/>
      <c r="N47" s="345"/>
      <c r="O47" s="476">
        <v>328.6</v>
      </c>
      <c r="P47" s="476"/>
      <c r="Q47" s="476"/>
      <c r="R47" s="345"/>
      <c r="S47" s="476">
        <v>328.6</v>
      </c>
      <c r="T47" s="476"/>
      <c r="U47" s="476"/>
      <c r="V47" s="345"/>
      <c r="W47" s="476">
        <v>328.6</v>
      </c>
      <c r="X47" s="476"/>
      <c r="Y47" s="476"/>
      <c r="Z47" s="345"/>
      <c r="AA47" s="476">
        <v>328.6</v>
      </c>
      <c r="AB47" s="476"/>
      <c r="AC47" s="476"/>
      <c r="AD47" s="345"/>
      <c r="AE47" s="476">
        <v>328.6</v>
      </c>
      <c r="AF47" s="476"/>
      <c r="AG47" s="476"/>
      <c r="AH47" s="345"/>
      <c r="AI47" s="476">
        <v>328.6</v>
      </c>
      <c r="AJ47" s="476"/>
      <c r="AK47" s="476"/>
      <c r="AL47" s="345"/>
      <c r="AM47" s="476">
        <v>328.6</v>
      </c>
      <c r="AN47" s="476"/>
      <c r="AO47" s="476"/>
      <c r="AP47" s="345"/>
      <c r="AQ47" s="476">
        <v>328.6</v>
      </c>
      <c r="AR47" s="476"/>
      <c r="AS47" s="476"/>
      <c r="AT47" s="345"/>
      <c r="AU47" s="476"/>
      <c r="AV47" s="476"/>
      <c r="AW47" s="476"/>
      <c r="AX47" s="347"/>
      <c r="AZ47">
        <v>257.2</v>
      </c>
      <c r="BA47" s="7">
        <f>AZ47/10</f>
        <v>25.72</v>
      </c>
      <c r="BB47" s="252"/>
      <c r="BC47" s="252">
        <v>0</v>
      </c>
      <c r="BD47">
        <v>0</v>
      </c>
      <c r="BG47" s="328">
        <v>226.1</v>
      </c>
      <c r="BH47">
        <v>1.41E-2</v>
      </c>
      <c r="BI47">
        <f>$E$80-BH47</f>
        <v>75.400894853677059</v>
      </c>
      <c r="BJ47">
        <f t="shared" si="6"/>
        <v>22.61</v>
      </c>
    </row>
    <row r="48" spans="1:64">
      <c r="A48" s="344"/>
      <c r="B48" s="344"/>
      <c r="C48" s="344" t="s">
        <v>160</v>
      </c>
      <c r="D48" s="344" t="s">
        <v>161</v>
      </c>
      <c r="E48" s="344" t="s">
        <v>162</v>
      </c>
      <c r="F48" s="345"/>
      <c r="G48" s="344" t="s">
        <v>160</v>
      </c>
      <c r="H48" s="344" t="s">
        <v>161</v>
      </c>
      <c r="I48" s="344" t="s">
        <v>162</v>
      </c>
      <c r="J48" s="345"/>
      <c r="K48" s="344" t="s">
        <v>160</v>
      </c>
      <c r="L48" s="344" t="s">
        <v>161</v>
      </c>
      <c r="M48" s="344" t="s">
        <v>162</v>
      </c>
      <c r="N48" s="345"/>
      <c r="O48" s="344" t="s">
        <v>160</v>
      </c>
      <c r="P48" s="344" t="s">
        <v>161</v>
      </c>
      <c r="Q48" s="344" t="s">
        <v>162</v>
      </c>
      <c r="R48" s="345"/>
      <c r="S48" s="344" t="s">
        <v>160</v>
      </c>
      <c r="T48" s="344" t="s">
        <v>161</v>
      </c>
      <c r="U48" s="344" t="s">
        <v>162</v>
      </c>
      <c r="V48" s="345"/>
      <c r="W48" s="344" t="s">
        <v>160</v>
      </c>
      <c r="X48" s="344" t="s">
        <v>161</v>
      </c>
      <c r="Y48" s="344" t="s">
        <v>162</v>
      </c>
      <c r="Z48" s="345"/>
      <c r="AA48" s="344" t="s">
        <v>160</v>
      </c>
      <c r="AB48" s="344" t="s">
        <v>161</v>
      </c>
      <c r="AC48" s="344" t="s">
        <v>162</v>
      </c>
      <c r="AD48" s="345"/>
      <c r="AE48" s="344" t="s">
        <v>160</v>
      </c>
      <c r="AF48" s="344" t="s">
        <v>161</v>
      </c>
      <c r="AG48" s="344" t="s">
        <v>162</v>
      </c>
      <c r="AH48" s="345"/>
      <c r="AI48" s="344" t="s">
        <v>160</v>
      </c>
      <c r="AJ48" s="344" t="s">
        <v>161</v>
      </c>
      <c r="AK48" s="344" t="s">
        <v>162</v>
      </c>
      <c r="AL48" s="345"/>
      <c r="AM48" s="344" t="s">
        <v>160</v>
      </c>
      <c r="AN48" s="344" t="s">
        <v>161</v>
      </c>
      <c r="AO48" s="344" t="s">
        <v>162</v>
      </c>
      <c r="AP48" s="345"/>
      <c r="AQ48" s="344" t="s">
        <v>160</v>
      </c>
      <c r="AR48" s="344" t="s">
        <v>161</v>
      </c>
      <c r="AS48" s="344" t="s">
        <v>162</v>
      </c>
      <c r="AT48" s="347"/>
      <c r="AU48" s="344"/>
      <c r="AV48" s="344"/>
      <c r="AW48" s="344"/>
      <c r="AX48" s="347"/>
      <c r="AZ48" s="328">
        <v>232.72</v>
      </c>
      <c r="BA48" s="7">
        <v>23.271999999999998</v>
      </c>
      <c r="BB48" s="8"/>
      <c r="BC48" s="8">
        <v>0</v>
      </c>
      <c r="BD48">
        <v>0</v>
      </c>
      <c r="BG48" s="358">
        <v>207.41</v>
      </c>
      <c r="BH48">
        <f>K80+M80</f>
        <v>5.8806734923772988</v>
      </c>
      <c r="BI48">
        <f>($BI$45-BH48)</f>
        <v>69.522706314921265</v>
      </c>
      <c r="BJ48">
        <f t="shared" si="6"/>
        <v>20.741</v>
      </c>
    </row>
    <row r="49" spans="1:64" ht="15">
      <c r="A49" s="344" t="s">
        <v>205</v>
      </c>
      <c r="B49" s="344"/>
      <c r="C49" s="13">
        <v>0.39938138349327823</v>
      </c>
      <c r="D49" s="13">
        <v>0.60061861650672177</v>
      </c>
      <c r="E49" s="13"/>
      <c r="F49" s="347"/>
      <c r="G49" s="13">
        <v>0.39934770945730258</v>
      </c>
      <c r="H49" s="13">
        <v>0.60065229054269742</v>
      </c>
      <c r="I49" s="13"/>
      <c r="J49" s="347"/>
      <c r="K49" s="13">
        <v>1.1626877367515692E-3</v>
      </c>
      <c r="L49" s="13">
        <v>0.5558865988680336</v>
      </c>
      <c r="M49" s="13">
        <v>0.39930816695029586</v>
      </c>
      <c r="N49" s="347"/>
      <c r="O49" s="13">
        <v>2.4828721284413774E-3</v>
      </c>
      <c r="P49" s="13">
        <v>0.50367587472676856</v>
      </c>
      <c r="Q49" s="13">
        <v>0.39926252879889434</v>
      </c>
      <c r="R49" s="347"/>
      <c r="S49" s="13">
        <v>3.5638924719695909E-3</v>
      </c>
      <c r="T49" s="13">
        <v>0.44647480708302606</v>
      </c>
      <c r="U49" s="13">
        <v>0.39920880363271266</v>
      </c>
      <c r="V49" s="347"/>
      <c r="W49" s="13">
        <v>4.3429769665808199E-3</v>
      </c>
      <c r="X49" s="13">
        <v>0.38505272775268462</v>
      </c>
      <c r="Y49" s="13">
        <v>0.39914345132230927</v>
      </c>
      <c r="Z49" s="347"/>
      <c r="AA49" s="13">
        <v>4.7262284691435112E-3</v>
      </c>
      <c r="AB49" s="13">
        <v>0.3205827163691809</v>
      </c>
      <c r="AC49" s="13">
        <v>0.39905984947384709</v>
      </c>
      <c r="AD49" s="347"/>
      <c r="AE49" s="13">
        <v>4.7038209690070092E-3</v>
      </c>
      <c r="AF49" s="13">
        <v>0.2547489779457745</v>
      </c>
      <c r="AG49" s="13">
        <v>0.39894848768383628</v>
      </c>
      <c r="AH49" s="347"/>
      <c r="AI49" s="13">
        <v>4.350492751798299E-3</v>
      </c>
      <c r="AJ49" s="13">
        <v>0.18946440615407462</v>
      </c>
      <c r="AK49" s="13">
        <v>0.39878435428977033</v>
      </c>
      <c r="AL49" s="347"/>
      <c r="AM49" s="13">
        <v>3.6918997705834523E-3</v>
      </c>
      <c r="AN49" s="13">
        <v>0.12658004912081569</v>
      </c>
      <c r="AO49" s="13">
        <v>0.39845945666850213</v>
      </c>
      <c r="AP49" s="347"/>
      <c r="AQ49" s="13">
        <v>2.457547228239355E-3</v>
      </c>
      <c r="AR49" s="13">
        <v>6.5491193480607238E-2</v>
      </c>
      <c r="AS49" s="13">
        <v>0.39681902578769052</v>
      </c>
      <c r="AT49" s="347"/>
      <c r="AX49" s="347"/>
      <c r="AZ49" s="358">
        <v>207.41</v>
      </c>
      <c r="BA49" s="7">
        <v>20.741</v>
      </c>
      <c r="BB49" s="8"/>
      <c r="BC49" s="114">
        <v>2.0880350662783979E-3</v>
      </c>
      <c r="BD49">
        <f>BC49/0.9</f>
        <v>2.3200389625315531E-3</v>
      </c>
      <c r="BG49" s="361">
        <v>182.1</v>
      </c>
      <c r="BH49">
        <f>O80+Q80</f>
        <v>12.72351674207767</v>
      </c>
      <c r="BI49">
        <f t="shared" ref="BI49:BI56" si="7">($BI$45-BH49)</f>
        <v>62.679863065220893</v>
      </c>
      <c r="BJ49">
        <f t="shared" si="6"/>
        <v>18.21</v>
      </c>
    </row>
    <row r="50" spans="1:64" ht="15">
      <c r="A50" s="344" t="s">
        <v>206</v>
      </c>
      <c r="B50" s="344" t="s">
        <v>210</v>
      </c>
      <c r="C50" s="13">
        <v>6.1960367876671647</v>
      </c>
      <c r="D50" s="13">
        <v>56.903177538957983</v>
      </c>
      <c r="E50" s="13"/>
      <c r="F50" s="347"/>
      <c r="G50" s="13">
        <v>6.1986977263700673</v>
      </c>
      <c r="H50" s="13">
        <v>61.35875716925775</v>
      </c>
      <c r="I50" s="13"/>
      <c r="J50" s="347"/>
      <c r="K50" s="13">
        <v>0.13175337216860958</v>
      </c>
      <c r="L50" s="13">
        <v>62.492263289543892</v>
      </c>
      <c r="M50" s="13">
        <v>6.20139622201539</v>
      </c>
      <c r="N50" s="347"/>
      <c r="O50" s="13">
        <v>0.28568230682527074</v>
      </c>
      <c r="P50" s="13">
        <v>63.715558393046251</v>
      </c>
      <c r="Q50" s="13">
        <v>6.2040183259998276</v>
      </c>
      <c r="R50" s="347"/>
      <c r="S50" s="13">
        <v>0.41744736020842194</v>
      </c>
      <c r="T50" s="13">
        <v>65.362793367418419</v>
      </c>
      <c r="U50" s="13">
        <v>6.2065235508421548</v>
      </c>
      <c r="V50" s="347"/>
      <c r="W50" s="13">
        <v>0.52122558959192611</v>
      </c>
      <c r="X50" s="13">
        <v>67.641909195412083</v>
      </c>
      <c r="Y50" s="13">
        <v>6.2088364091558255</v>
      </c>
      <c r="Z50" s="347"/>
      <c r="AA50" s="13">
        <v>0.58672540378775373</v>
      </c>
      <c r="AB50" s="13">
        <v>70.888688566891673</v>
      </c>
      <c r="AC50" s="13">
        <v>6.2108316307536855</v>
      </c>
      <c r="AD50" s="347"/>
      <c r="AE50" s="13">
        <v>0.61047511794284237</v>
      </c>
      <c r="AF50" s="13">
        <v>75.875073503776633</v>
      </c>
      <c r="AG50" s="13">
        <v>6.2123081073549145</v>
      </c>
      <c r="AH50" s="347"/>
      <c r="AI50" s="13">
        <v>0.59715372625455221</v>
      </c>
      <c r="AJ50" s="13">
        <v>84.913188836087528</v>
      </c>
      <c r="AK50" s="13">
        <v>6.2128371672516476</v>
      </c>
      <c r="AL50" s="347"/>
      <c r="AM50" s="13">
        <v>0.54632033030019966</v>
      </c>
      <c r="AN50" s="13">
        <v>113.89644812271621</v>
      </c>
      <c r="AO50" s="13">
        <v>6.2107867742599492</v>
      </c>
      <c r="AP50" s="347"/>
      <c r="AQ50" s="13">
        <v>0.40609627844420687</v>
      </c>
      <c r="AR50" s="13">
        <v>359.87954734360005</v>
      </c>
      <c r="AS50" s="13">
        <v>6.187570327349893</v>
      </c>
      <c r="AT50" s="347"/>
      <c r="AX50" s="347"/>
      <c r="AZ50" s="362">
        <v>182.1</v>
      </c>
      <c r="BA50" s="7">
        <v>18.21</v>
      </c>
      <c r="BB50" s="8"/>
      <c r="BC50" s="114">
        <v>4.5275097300969897E-3</v>
      </c>
      <c r="BD50">
        <f t="shared" ref="BD50:BD57" si="8">BC50/0.9</f>
        <v>5.0305663667744331E-3</v>
      </c>
      <c r="BG50" s="328">
        <v>156.78</v>
      </c>
      <c r="BH50">
        <f>S80+U80</f>
        <v>18.615952639510663</v>
      </c>
      <c r="BI50">
        <f t="shared" si="7"/>
        <v>56.787427167787897</v>
      </c>
      <c r="BJ50">
        <f t="shared" si="6"/>
        <v>15.678000000000001</v>
      </c>
    </row>
    <row r="51" spans="1:64">
      <c r="A51" s="344" t="s">
        <v>207</v>
      </c>
      <c r="B51" s="344"/>
      <c r="C51" s="13">
        <v>18.002545787496381</v>
      </c>
      <c r="D51" s="13">
        <v>18.854857811191181</v>
      </c>
      <c r="E51" s="13"/>
      <c r="F51" s="347"/>
      <c r="G51" s="13">
        <v>18.002605871146184</v>
      </c>
      <c r="H51" s="13">
        <v>18.854770081477174</v>
      </c>
      <c r="I51" s="13"/>
      <c r="J51" s="347"/>
      <c r="K51" s="13">
        <v>83.328768820635389</v>
      </c>
      <c r="L51" s="13">
        <v>18.719822145080776</v>
      </c>
      <c r="M51" s="13">
        <v>18.002653265631462</v>
      </c>
      <c r="N51" s="347"/>
      <c r="O51" s="13">
        <v>84.039148078008338</v>
      </c>
      <c r="P51" s="13">
        <v>18.546871650375181</v>
      </c>
      <c r="Q51" s="13">
        <v>18.002700246298776</v>
      </c>
      <c r="R51" s="347"/>
      <c r="S51" s="13">
        <v>85.065733789386869</v>
      </c>
      <c r="T51" s="13">
        <v>18.380009613813463</v>
      </c>
      <c r="U51" s="13">
        <v>18.002733651457369</v>
      </c>
      <c r="V51" s="347"/>
      <c r="W51" s="13">
        <v>87.16046983255211</v>
      </c>
      <c r="X51" s="13">
        <v>18.221386371300699</v>
      </c>
      <c r="Y51" s="13">
        <v>18.002739795251181</v>
      </c>
      <c r="Z51" s="347"/>
      <c r="AA51" s="13">
        <v>90.957090773187929</v>
      </c>
      <c r="AB51" s="13">
        <v>18.082969940601995</v>
      </c>
      <c r="AC51" s="13">
        <v>18.002717068804497</v>
      </c>
      <c r="AD51" s="347"/>
      <c r="AE51" s="13">
        <v>96.786916942530823</v>
      </c>
      <c r="AF51" s="13">
        <v>17.981896763013228</v>
      </c>
      <c r="AG51" s="13">
        <v>18.002591287845167</v>
      </c>
      <c r="AH51" s="347"/>
      <c r="AI51" s="13">
        <v>105.01253712286092</v>
      </c>
      <c r="AJ51" s="13">
        <v>17.940427344980407</v>
      </c>
      <c r="AK51" s="13">
        <v>18.002387948968323</v>
      </c>
      <c r="AL51" s="347"/>
      <c r="AM51" s="13">
        <v>117.36586635757584</v>
      </c>
      <c r="AN51" s="13">
        <v>18.034683191770906</v>
      </c>
      <c r="AO51" s="13">
        <v>18.001953897600661</v>
      </c>
      <c r="AP51" s="347"/>
      <c r="AQ51" s="13">
        <v>139.27301085176384</v>
      </c>
      <c r="AR51" s="13">
        <v>19.088329572167499</v>
      </c>
      <c r="AS51" s="13">
        <v>18.001232176008404</v>
      </c>
      <c r="AT51" s="347"/>
      <c r="AX51" s="347"/>
      <c r="AZ51" s="328">
        <v>156.78</v>
      </c>
      <c r="BA51" s="7">
        <v>15.678000000000001</v>
      </c>
      <c r="BB51" s="8"/>
      <c r="BC51" s="114">
        <v>6.6157299209393984E-3</v>
      </c>
      <c r="BD51">
        <f t="shared" si="8"/>
        <v>7.3508110232659981E-3</v>
      </c>
      <c r="BG51" s="328">
        <v>131.47</v>
      </c>
      <c r="BH51">
        <f>W80+Y80</f>
        <v>23.4856746067138</v>
      </c>
      <c r="BI51">
        <f t="shared" si="7"/>
        <v>51.917705200584763</v>
      </c>
      <c r="BJ51">
        <f t="shared" si="6"/>
        <v>13.147</v>
      </c>
    </row>
    <row r="52" spans="1:64">
      <c r="A52" s="344" t="s">
        <v>16</v>
      </c>
      <c r="B52" s="344"/>
      <c r="C52" s="13">
        <v>0.20310923785310597</v>
      </c>
      <c r="D52" s="13">
        <v>0.85315633225009035</v>
      </c>
      <c r="E52" s="13"/>
      <c r="F52" s="347"/>
      <c r="G52" s="13">
        <v>0.18384581699757774</v>
      </c>
      <c r="H52" s="13">
        <v>0.83510163575009777</v>
      </c>
      <c r="I52" s="13"/>
      <c r="J52" s="347"/>
      <c r="K52" s="13">
        <v>0.90048872447335759</v>
      </c>
      <c r="L52" s="13">
        <v>0.82206935450918273</v>
      </c>
      <c r="M52" s="13">
        <v>0.16391453220312724</v>
      </c>
      <c r="N52" s="347"/>
      <c r="O52" s="13">
        <v>0.80153452898898458</v>
      </c>
      <c r="P52" s="13">
        <v>0.81546139101495219</v>
      </c>
      <c r="Q52" s="13">
        <v>0.14396817194245021</v>
      </c>
      <c r="R52" s="347"/>
      <c r="S52" s="13">
        <v>0.70144762358143486</v>
      </c>
      <c r="T52" s="13">
        <v>0.81613624144155583</v>
      </c>
      <c r="U52" s="13">
        <v>0.12399856039898971</v>
      </c>
      <c r="V52" s="347"/>
      <c r="W52" s="13">
        <v>0.60237084312226274</v>
      </c>
      <c r="X52" s="13">
        <v>0.82515959261966687</v>
      </c>
      <c r="Y52" s="13">
        <v>0.10402122529346564</v>
      </c>
      <c r="Z52" s="347"/>
      <c r="AA52" s="13">
        <v>0.50374549181848727</v>
      </c>
      <c r="AB52" s="13">
        <v>0.84288197576583868</v>
      </c>
      <c r="AC52" s="13">
        <v>8.4028156940230303E-2</v>
      </c>
      <c r="AD52" s="347"/>
      <c r="AE52" s="13">
        <v>0.40237162175862839</v>
      </c>
      <c r="AF52" s="13">
        <v>0.86894335139971368</v>
      </c>
      <c r="AG52" s="13">
        <v>6.4019092134236011E-2</v>
      </c>
      <c r="AH52" s="347"/>
      <c r="AI52" s="13">
        <v>0.29389728564612672</v>
      </c>
      <c r="AJ52" s="13">
        <v>0.90254466735524197</v>
      </c>
      <c r="AK52" s="13">
        <v>4.3994375879538361E-2</v>
      </c>
      <c r="AL52" s="347"/>
      <c r="AM52" s="13">
        <v>0.16588001282313597</v>
      </c>
      <c r="AN52" s="13">
        <v>0.94511630469947239</v>
      </c>
      <c r="AO52" s="13">
        <v>2.2845356469976819E-2</v>
      </c>
      <c r="AP52" s="347"/>
      <c r="AQ52" s="13">
        <v>3.2158250908231267E-2</v>
      </c>
      <c r="AR52" s="13">
        <v>0.98891350249447063</v>
      </c>
      <c r="AS52" s="13">
        <v>3.8998827958626192E-3</v>
      </c>
      <c r="AT52" s="347"/>
      <c r="AX52" s="347"/>
      <c r="AZ52" s="328">
        <v>131.47</v>
      </c>
      <c r="BA52" s="7">
        <v>13.147</v>
      </c>
      <c r="BB52" s="8"/>
      <c r="BC52" s="114">
        <v>8.2604133055265549E-3</v>
      </c>
      <c r="BD52">
        <f t="shared" si="8"/>
        <v>9.1782370061406163E-3</v>
      </c>
      <c r="BG52" s="328">
        <v>106.16</v>
      </c>
      <c r="BH52">
        <f>AA80+AC80</f>
        <v>27.06148338685999</v>
      </c>
      <c r="BI52">
        <f t="shared" si="7"/>
        <v>48.341896420438573</v>
      </c>
      <c r="BJ52">
        <f t="shared" si="6"/>
        <v>10.616</v>
      </c>
    </row>
    <row r="53" spans="1:64">
      <c r="A53" s="344" t="s">
        <v>208</v>
      </c>
      <c r="B53" s="344" t="s">
        <v>27</v>
      </c>
      <c r="C53" s="13">
        <v>1160.400089509219</v>
      </c>
      <c r="D53" s="13">
        <v>199.01487232826997</v>
      </c>
      <c r="E53" s="13"/>
      <c r="F53" s="347"/>
      <c r="G53" s="13">
        <v>1159.8080332777965</v>
      </c>
      <c r="H53" s="13">
        <v>184.57285250831922</v>
      </c>
      <c r="I53" s="13"/>
      <c r="J53" s="347"/>
      <c r="K53" s="13">
        <v>735.35376007205036</v>
      </c>
      <c r="L53" s="13">
        <v>166.51818506603172</v>
      </c>
      <c r="M53" s="13">
        <v>1159.1916107893576</v>
      </c>
      <c r="N53" s="347"/>
      <c r="O53" s="13">
        <v>730.38635391748119</v>
      </c>
      <c r="P53" s="13">
        <v>146.61429700296472</v>
      </c>
      <c r="Q53" s="13">
        <v>1158.5722749114148</v>
      </c>
      <c r="R53" s="347"/>
      <c r="S53" s="13">
        <v>726.23558602263449</v>
      </c>
      <c r="T53" s="13">
        <v>125.54866191814418</v>
      </c>
      <c r="U53" s="13">
        <v>1157.950937307166</v>
      </c>
      <c r="V53" s="347"/>
      <c r="W53" s="13">
        <v>726.24199662855506</v>
      </c>
      <c r="X53" s="13">
        <v>103.72555430739986</v>
      </c>
      <c r="Y53" s="13">
        <v>1157.3304918354306</v>
      </c>
      <c r="Z53" s="347"/>
      <c r="AA53" s="13">
        <v>732.68344801075068</v>
      </c>
      <c r="AB53" s="13">
        <v>81.777329229475171</v>
      </c>
      <c r="AC53" s="13">
        <v>1156.7149120617171</v>
      </c>
      <c r="AD53" s="347"/>
      <c r="AE53" s="13">
        <v>745.76066420849963</v>
      </c>
      <c r="AF53" s="13">
        <v>60.37384361381924</v>
      </c>
      <c r="AG53" s="13">
        <v>1156.1092020167112</v>
      </c>
      <c r="AH53" s="347"/>
      <c r="AI53" s="13">
        <v>765.05640258905373</v>
      </c>
      <c r="AJ53" s="13">
        <v>40.029970133714393</v>
      </c>
      <c r="AK53" s="13">
        <v>1155.5221005541109</v>
      </c>
      <c r="AL53" s="347"/>
      <c r="AM53" s="13">
        <v>793.12994784903026</v>
      </c>
      <c r="AN53" s="13">
        <v>20.043040164282424</v>
      </c>
      <c r="AO53" s="13">
        <v>1154.9339930228232</v>
      </c>
      <c r="AP53" s="347"/>
      <c r="AQ53" s="13">
        <v>842.82969324065334</v>
      </c>
      <c r="AR53" s="13">
        <v>3.4737108414745537</v>
      </c>
      <c r="AS53" s="13">
        <v>1154.4485213343983</v>
      </c>
      <c r="AT53" s="347"/>
      <c r="AX53" s="347"/>
      <c r="AZ53" s="328">
        <v>106.16</v>
      </c>
      <c r="BA53" s="7">
        <v>10.616</v>
      </c>
      <c r="BB53" s="8"/>
      <c r="BC53" s="114">
        <v>9.2984581511687849E-3</v>
      </c>
      <c r="BD53">
        <f t="shared" si="8"/>
        <v>1.0331620167965317E-2</v>
      </c>
      <c r="BG53" s="328">
        <v>80.849999999999994</v>
      </c>
      <c r="BH53">
        <f>AE80+AG80</f>
        <v>29.194301602256449</v>
      </c>
      <c r="BI53">
        <f t="shared" si="7"/>
        <v>46.209078205042118</v>
      </c>
      <c r="BJ53">
        <f t="shared" si="6"/>
        <v>8.0849999999999991</v>
      </c>
    </row>
    <row r="54" spans="1:64">
      <c r="F54" s="345"/>
      <c r="J54" s="345"/>
      <c r="N54" s="345"/>
      <c r="R54" s="345"/>
      <c r="V54" s="345"/>
      <c r="Z54" s="345"/>
      <c r="AD54" s="345"/>
      <c r="AH54" s="345"/>
      <c r="AL54" s="345"/>
      <c r="AP54" s="345"/>
      <c r="AT54" s="345"/>
      <c r="AX54" s="347"/>
      <c r="AZ54" s="328">
        <v>80.849999999999994</v>
      </c>
      <c r="BA54" s="7">
        <v>8.0849999999999991</v>
      </c>
      <c r="BB54" s="8"/>
      <c r="BC54" s="114">
        <v>9.674844995419353E-3</v>
      </c>
      <c r="BD54">
        <f t="shared" si="8"/>
        <v>1.074982777268817E-2</v>
      </c>
      <c r="BG54" s="328">
        <v>55.54</v>
      </c>
      <c r="BH54">
        <f>AI80+AK80</f>
        <v>29.950946776319853</v>
      </c>
      <c r="BI54">
        <f t="shared" si="7"/>
        <v>45.45243303097871</v>
      </c>
      <c r="BJ54">
        <f t="shared" si="6"/>
        <v>5.5540000000000003</v>
      </c>
    </row>
    <row r="55" spans="1:64">
      <c r="A55" s="344" t="s">
        <v>22</v>
      </c>
      <c r="B55" t="s">
        <v>17</v>
      </c>
      <c r="C55" s="79">
        <v>1.1929901564216353E-6</v>
      </c>
      <c r="D55" s="348">
        <v>1.3578059679269158E-3</v>
      </c>
      <c r="E55" s="13"/>
      <c r="F55" s="347"/>
      <c r="G55" s="13">
        <v>1.1515808633997321E-6</v>
      </c>
      <c r="H55" s="13">
        <v>1.3577574441331021E-3</v>
      </c>
      <c r="I55" s="13"/>
      <c r="J55" s="347"/>
      <c r="K55" s="13">
        <v>1.1820272194305917E-3</v>
      </c>
      <c r="L55" s="13">
        <v>1.3580616380749074E-3</v>
      </c>
      <c r="M55" s="13">
        <v>1.1054471830829237E-6</v>
      </c>
      <c r="N55" s="347"/>
      <c r="O55" s="13">
        <v>1.1347829098906222E-3</v>
      </c>
      <c r="P55" s="13">
        <v>1.3586752311813492E-3</v>
      </c>
      <c r="Q55" s="13">
        <v>1.0521450475587168E-6</v>
      </c>
      <c r="R55" s="347"/>
      <c r="S55" s="13">
        <v>1.0737152429150022E-3</v>
      </c>
      <c r="T55" s="13">
        <v>1.3595987602805174E-3</v>
      </c>
      <c r="U55" s="13">
        <v>9.8801757998215422E-7</v>
      </c>
      <c r="V55" s="347"/>
      <c r="W55" s="13">
        <v>9.9299148906308509E-4</v>
      </c>
      <c r="X55" s="13">
        <v>1.3609389389743955E-3</v>
      </c>
      <c r="Y55" s="13">
        <v>9.0905099955985492E-7</v>
      </c>
      <c r="Z55" s="347"/>
      <c r="AA55" s="13">
        <v>8.8597961298786377E-4</v>
      </c>
      <c r="AB55" s="13">
        <v>1.3627254760014726E-3</v>
      </c>
      <c r="AC55" s="13">
        <v>8.0968014729439047E-7</v>
      </c>
      <c r="AD55" s="347"/>
      <c r="AE55" s="13">
        <v>7.4608280167120817E-4</v>
      </c>
      <c r="AF55" s="13">
        <v>1.3648695750334428E-3</v>
      </c>
      <c r="AG55" s="13">
        <v>6.8308348667100425E-7</v>
      </c>
      <c r="AH55" s="347"/>
      <c r="AI55" s="13">
        <v>5.6644297997904768E-4</v>
      </c>
      <c r="AJ55" s="13">
        <v>1.3669991985642593E-3</v>
      </c>
      <c r="AK55" s="13">
        <v>5.2131810856928865E-7</v>
      </c>
      <c r="AL55" s="347"/>
      <c r="AM55" s="13">
        <v>3.2576021123516421E-4</v>
      </c>
      <c r="AN55" s="13">
        <v>1.3670351063001485E-3</v>
      </c>
      <c r="AO55" s="13">
        <v>3.0253885183796019E-7</v>
      </c>
      <c r="AP55" s="347"/>
      <c r="AQ55" s="13">
        <v>5.8763085702375751E-5</v>
      </c>
      <c r="AR55" s="13">
        <v>1.3246922221426022E-3</v>
      </c>
      <c r="AS55" s="13">
        <v>5.535675523553407E-8</v>
      </c>
      <c r="AT55" s="347"/>
      <c r="AX55" s="347"/>
      <c r="AZ55" s="328">
        <v>55.54</v>
      </c>
      <c r="BA55" s="7">
        <v>5.5540000000000003</v>
      </c>
      <c r="BB55" s="8"/>
      <c r="BC55" s="114">
        <v>9.4637268090765926E-3</v>
      </c>
      <c r="BD55">
        <f t="shared" si="8"/>
        <v>1.0515252010085102E-2</v>
      </c>
      <c r="BG55" s="328">
        <v>28.83</v>
      </c>
      <c r="BH55">
        <f>AM80+AO80</f>
        <v>29.19198877178415</v>
      </c>
      <c r="BI55">
        <f t="shared" si="7"/>
        <v>46.21139103551441</v>
      </c>
      <c r="BJ55">
        <f t="shared" si="6"/>
        <v>2.883</v>
      </c>
    </row>
    <row r="56" spans="1:64">
      <c r="A56" s="344" t="s">
        <v>23</v>
      </c>
      <c r="B56" t="s">
        <v>17</v>
      </c>
      <c r="C56" s="79">
        <v>4.0372153355429704E-10</v>
      </c>
      <c r="D56" s="348">
        <v>4.9948233265925819E-5</v>
      </c>
      <c r="E56" s="13"/>
      <c r="F56" s="347"/>
      <c r="G56" s="13">
        <v>3.7088100120436755E-10</v>
      </c>
      <c r="H56" s="13">
        <v>4.9945454902729855E-5</v>
      </c>
      <c r="I56" s="13"/>
      <c r="J56" s="347"/>
      <c r="K56" s="13">
        <v>1.4497432123734123E-5</v>
      </c>
      <c r="L56" s="13">
        <v>5.0016070750529496E-5</v>
      </c>
      <c r="M56" s="13">
        <v>3.3487893973350807E-10</v>
      </c>
      <c r="N56" s="347"/>
      <c r="O56" s="13">
        <v>1.2937299558818629E-5</v>
      </c>
      <c r="P56" s="13">
        <v>5.0112357173627796E-5</v>
      </c>
      <c r="Q56" s="13">
        <v>2.9727933505753363E-10</v>
      </c>
      <c r="R56" s="347"/>
      <c r="S56" s="13">
        <v>1.1267153961650917E-5</v>
      </c>
      <c r="T56" s="13">
        <v>5.0209703004527435E-5</v>
      </c>
      <c r="U56" s="13">
        <v>2.5838504625950586E-10</v>
      </c>
      <c r="V56" s="347"/>
      <c r="W56" s="13">
        <v>9.4788867485742627E-6</v>
      </c>
      <c r="X56" s="13">
        <v>5.0300185577883081E-5</v>
      </c>
      <c r="Y56" s="13">
        <v>2.1848601209367292E-10</v>
      </c>
      <c r="Z56" s="347"/>
      <c r="AA56" s="13">
        <v>7.604398765439633E-6</v>
      </c>
      <c r="AB56" s="13">
        <v>5.0363554986801306E-5</v>
      </c>
      <c r="AC56" s="13">
        <v>1.7782823017947001E-10</v>
      </c>
      <c r="AD56" s="347"/>
      <c r="AE56" s="13">
        <v>5.7053297009349956E-6</v>
      </c>
      <c r="AF56" s="13">
        <v>5.0372907952796726E-5</v>
      </c>
      <c r="AG56" s="13">
        <v>1.3657159772642442E-10</v>
      </c>
      <c r="AH56" s="347"/>
      <c r="AI56" s="13">
        <v>3.8347262022449491E-6</v>
      </c>
      <c r="AJ56" s="13">
        <v>5.0289011368980606E-5</v>
      </c>
      <c r="AK56" s="13">
        <v>9.467844853688933E-11</v>
      </c>
      <c r="AL56" s="347"/>
      <c r="AM56" s="13">
        <v>1.9291026646163044E-6</v>
      </c>
      <c r="AN56" s="13">
        <v>4.9973954829927605E-5</v>
      </c>
      <c r="AO56" s="13">
        <v>4.9574044014481378E-11</v>
      </c>
      <c r="AP56" s="347"/>
      <c r="AQ56" s="13">
        <v>3.0560316984946991E-7</v>
      </c>
      <c r="AR56" s="13">
        <v>4.7877844086255321E-5</v>
      </c>
      <c r="AS56" s="13">
        <v>8.2406446431610058E-12</v>
      </c>
      <c r="AT56" s="347"/>
      <c r="AX56" s="347"/>
      <c r="AZ56" s="328">
        <v>28.83</v>
      </c>
      <c r="BA56" s="7">
        <v>2.883</v>
      </c>
      <c r="BB56" s="8"/>
      <c r="BC56" s="80">
        <v>8.6581162084244222E-3</v>
      </c>
      <c r="BD56">
        <f t="shared" si="8"/>
        <v>9.6201291204715805E-3</v>
      </c>
      <c r="BG56" s="359">
        <v>4.92</v>
      </c>
      <c r="BH56">
        <f>AQ80+AS80</f>
        <v>23.712583781690618</v>
      </c>
      <c r="BI56">
        <f t="shared" si="7"/>
        <v>51.690796025607945</v>
      </c>
      <c r="BJ56">
        <f t="shared" si="6"/>
        <v>0.49199999999999999</v>
      </c>
    </row>
    <row r="57" spans="1:64">
      <c r="A57" s="344" t="s">
        <v>157</v>
      </c>
      <c r="B57" t="s">
        <v>17</v>
      </c>
      <c r="C57" s="79">
        <v>0.99977753049109808</v>
      </c>
      <c r="D57" s="348">
        <v>1.1778967010493955E-3</v>
      </c>
      <c r="E57" s="13"/>
      <c r="F57" s="347"/>
      <c r="G57" s="13">
        <v>0.99978081914055084</v>
      </c>
      <c r="H57" s="13">
        <v>1.2316941573749605E-3</v>
      </c>
      <c r="I57" s="13"/>
      <c r="J57" s="347"/>
      <c r="K57" s="13">
        <v>3.8537901675387851E-5</v>
      </c>
      <c r="L57" s="13">
        <v>1.3027595197649599E-3</v>
      </c>
      <c r="M57" s="13">
        <v>0.99978424536980093</v>
      </c>
      <c r="N57" s="347"/>
      <c r="O57" s="13">
        <v>3.5890418231904455E-5</v>
      </c>
      <c r="P57" s="13">
        <v>1.3929089675923565E-3</v>
      </c>
      <c r="Q57" s="13">
        <v>0.99978884967426318</v>
      </c>
      <c r="R57" s="347"/>
      <c r="S57" s="13">
        <v>3.2545254818725807E-5</v>
      </c>
      <c r="T57" s="13">
        <v>1.511486355138077E-3</v>
      </c>
      <c r="U57" s="13">
        <v>0.99979430060130203</v>
      </c>
      <c r="V57" s="347"/>
      <c r="W57" s="13">
        <v>2.7913446324570071E-5</v>
      </c>
      <c r="X57" s="13">
        <v>1.6762743825988941E-3</v>
      </c>
      <c r="Y57" s="13">
        <v>0.99980171734528167</v>
      </c>
      <c r="Z57" s="347"/>
      <c r="AA57" s="13">
        <v>2.2114019631020854E-5</v>
      </c>
      <c r="AB57" s="13">
        <v>1.9232366852640626E-3</v>
      </c>
      <c r="AC57" s="13">
        <v>0.99981407747729523</v>
      </c>
      <c r="AD57" s="347"/>
      <c r="AE57" s="13">
        <v>1.5954061266987621E-5</v>
      </c>
      <c r="AF57" s="13">
        <v>2.3319399803681503E-3</v>
      </c>
      <c r="AG57" s="13">
        <v>0.99983161492813444</v>
      </c>
      <c r="AH57" s="347"/>
      <c r="AI57" s="13">
        <v>1.0274181680607653E-5</v>
      </c>
      <c r="AJ57" s="13">
        <v>3.1285377037686734E-3</v>
      </c>
      <c r="AK57" s="13">
        <v>0.99986171264784462</v>
      </c>
      <c r="AL57" s="347"/>
      <c r="AM57" s="13">
        <v>5.4286486192804461E-6</v>
      </c>
      <c r="AN57" s="13">
        <v>5.5217233686415549E-3</v>
      </c>
      <c r="AO57" s="13">
        <v>0.99990907230012782</v>
      </c>
      <c r="AP57" s="347"/>
      <c r="AQ57" s="13">
        <v>2.3330184057034013E-6</v>
      </c>
      <c r="AR57" s="13">
        <v>2.9925486246898024E-2</v>
      </c>
      <c r="AS57" s="13">
        <v>0.99997507395807339</v>
      </c>
      <c r="AT57" s="347"/>
      <c r="AX57" s="347"/>
      <c r="AZ57" s="359">
        <v>4.92</v>
      </c>
      <c r="BA57" s="7">
        <v>0.49199999999999999</v>
      </c>
      <c r="BB57" s="8"/>
      <c r="BC57" s="80">
        <v>6.4358373202889748E-3</v>
      </c>
      <c r="BD57">
        <f t="shared" si="8"/>
        <v>7.1509303558766387E-3</v>
      </c>
      <c r="BG57" s="328"/>
    </row>
    <row r="58" spans="1:64">
      <c r="A58" s="344" t="s">
        <v>159</v>
      </c>
      <c r="B58" t="s">
        <v>17</v>
      </c>
      <c r="C58" s="79"/>
      <c r="D58" s="348"/>
      <c r="E58" s="13"/>
      <c r="F58" s="347"/>
      <c r="G58" s="13"/>
      <c r="H58" s="13"/>
      <c r="I58" s="13"/>
      <c r="J58" s="347"/>
      <c r="K58" s="13"/>
      <c r="L58" s="13"/>
      <c r="M58" s="13"/>
      <c r="N58" s="347"/>
      <c r="O58" s="13"/>
      <c r="P58" s="13"/>
      <c r="Q58" s="13"/>
      <c r="R58" s="347"/>
      <c r="S58" s="13"/>
      <c r="T58" s="13"/>
      <c r="U58" s="13"/>
      <c r="V58" s="347"/>
      <c r="W58" s="13"/>
      <c r="X58" s="13"/>
      <c r="Y58" s="13"/>
      <c r="Z58" s="347"/>
      <c r="AA58" s="13"/>
      <c r="AB58" s="13"/>
      <c r="AC58" s="13"/>
      <c r="AD58" s="347"/>
      <c r="AE58" s="13"/>
      <c r="AF58" s="13"/>
      <c r="AG58" s="13"/>
      <c r="AH58" s="347"/>
      <c r="AI58" s="13"/>
      <c r="AJ58" s="13"/>
      <c r="AK58" s="13"/>
      <c r="AL58" s="347"/>
      <c r="AM58" s="13"/>
      <c r="AN58" s="13"/>
      <c r="AO58" s="13"/>
      <c r="AP58" s="347"/>
      <c r="AQ58" s="13"/>
      <c r="AR58" s="13"/>
      <c r="AS58" s="13"/>
      <c r="AT58" s="347"/>
      <c r="AX58" s="347"/>
      <c r="AZ58" s="328"/>
      <c r="BA58" s="7"/>
      <c r="BB58" s="1"/>
      <c r="BC58" s="80"/>
    </row>
    <row r="59" spans="1:64">
      <c r="A59" s="344" t="s">
        <v>193</v>
      </c>
      <c r="B59" t="s">
        <v>17</v>
      </c>
      <c r="C59" s="79"/>
      <c r="D59" s="348"/>
      <c r="E59" s="13"/>
      <c r="F59" s="347"/>
      <c r="G59" s="13"/>
      <c r="H59" s="13"/>
      <c r="I59" s="13"/>
      <c r="J59" s="347"/>
      <c r="K59" s="13"/>
      <c r="L59" s="13"/>
      <c r="M59" s="13"/>
      <c r="N59" s="347"/>
      <c r="O59" s="13"/>
      <c r="P59" s="13"/>
      <c r="Q59" s="13"/>
      <c r="R59" s="347"/>
      <c r="S59" s="13"/>
      <c r="T59" s="13"/>
      <c r="U59" s="13"/>
      <c r="V59" s="347"/>
      <c r="W59" s="13"/>
      <c r="X59" s="13"/>
      <c r="Y59" s="13"/>
      <c r="Z59" s="347"/>
      <c r="AA59" s="13"/>
      <c r="AB59" s="13"/>
      <c r="AC59" s="13"/>
      <c r="AD59" s="347"/>
      <c r="AE59" s="13"/>
      <c r="AF59" s="13"/>
      <c r="AG59" s="13"/>
      <c r="AH59" s="347"/>
      <c r="AI59" s="13"/>
      <c r="AJ59" s="13"/>
      <c r="AK59" s="13"/>
      <c r="AL59" s="347"/>
      <c r="AM59" s="13"/>
      <c r="AN59" s="13"/>
      <c r="AO59" s="13"/>
      <c r="AP59" s="347"/>
      <c r="AQ59" s="13"/>
      <c r="AR59" s="13"/>
      <c r="AS59" s="13"/>
      <c r="AT59" s="347"/>
      <c r="AX59" s="347"/>
      <c r="BG59" t="s">
        <v>241</v>
      </c>
    </row>
    <row r="60" spans="1:64">
      <c r="A60" s="344" t="s">
        <v>24</v>
      </c>
      <c r="B60" t="s">
        <v>17</v>
      </c>
      <c r="C60" s="79">
        <v>3.9601421755659953E-5</v>
      </c>
      <c r="D60" s="348">
        <v>0.9197953056175513</v>
      </c>
      <c r="E60" s="13"/>
      <c r="F60" s="347"/>
      <c r="G60" s="13">
        <v>3.7423354978547266E-5</v>
      </c>
      <c r="H60" s="13">
        <v>0.91974518996633792</v>
      </c>
      <c r="I60" s="13"/>
      <c r="J60" s="347"/>
      <c r="K60" s="13">
        <v>0.42250428259760542</v>
      </c>
      <c r="L60" s="13">
        <v>0.9207215393414645</v>
      </c>
      <c r="M60" s="13">
        <v>3.4991200760596797E-5</v>
      </c>
      <c r="N60" s="347"/>
      <c r="O60" s="13">
        <v>0.39755416615786948</v>
      </c>
      <c r="P60" s="13">
        <v>0.92206909523848368</v>
      </c>
      <c r="Q60" s="13">
        <v>3.2328209766716088E-5</v>
      </c>
      <c r="R60" s="347"/>
      <c r="S60" s="13">
        <v>0.36750991535593963</v>
      </c>
      <c r="T60" s="13">
        <v>0.923470576832089</v>
      </c>
      <c r="U60" s="13">
        <v>2.9379841445316674E-5</v>
      </c>
      <c r="V60" s="347"/>
      <c r="W60" s="13">
        <v>0.32975918725196113</v>
      </c>
      <c r="X60" s="13">
        <v>0.92486793340031992</v>
      </c>
      <c r="Y60" s="13">
        <v>2.6087540434167198E-5</v>
      </c>
      <c r="Z60" s="347"/>
      <c r="AA60" s="13">
        <v>0.282840816470044</v>
      </c>
      <c r="AB60" s="13">
        <v>0.92603452048432489</v>
      </c>
      <c r="AC60" s="13">
        <v>2.2371598432913148E-5</v>
      </c>
      <c r="AD60" s="347"/>
      <c r="AE60" s="13">
        <v>0.22698454246597549</v>
      </c>
      <c r="AF60" s="13">
        <v>0.92661113238044912</v>
      </c>
      <c r="AG60" s="13">
        <v>1.8140195551552774E-5</v>
      </c>
      <c r="AH60" s="347"/>
      <c r="AI60" s="13">
        <v>0.16301574215623033</v>
      </c>
      <c r="AJ60" s="13">
        <v>0.92598277154884234</v>
      </c>
      <c r="AK60" s="13">
        <v>1.3288313748897252E-5</v>
      </c>
      <c r="AL60" s="347"/>
      <c r="AM60" s="13">
        <v>8.7650506840329559E-2</v>
      </c>
      <c r="AN60" s="13">
        <v>0.92185311420209726</v>
      </c>
      <c r="AO60" s="13">
        <v>7.3733125838272537E-6</v>
      </c>
      <c r="AP60" s="347"/>
      <c r="AQ60" s="13">
        <v>1.4446446299004821E-2</v>
      </c>
      <c r="AR60" s="13">
        <v>0.88582371786595426</v>
      </c>
      <c r="AS60" s="13">
        <v>1.2906218582821889E-6</v>
      </c>
      <c r="AT60" s="347"/>
      <c r="AX60" s="347"/>
    </row>
    <row r="61" spans="1:64">
      <c r="A61" s="344" t="s">
        <v>4</v>
      </c>
      <c r="B61" t="s">
        <v>17</v>
      </c>
      <c r="C61" s="79">
        <v>1.7224470538420574E-4</v>
      </c>
      <c r="D61" s="348">
        <v>4.0643443277271561E-2</v>
      </c>
      <c r="E61" s="13"/>
      <c r="F61" s="347"/>
      <c r="G61" s="13">
        <v>1.7035179993235761E-4</v>
      </c>
      <c r="H61" s="13">
        <v>4.0642432873832117E-2</v>
      </c>
      <c r="I61" s="13"/>
      <c r="J61" s="347"/>
      <c r="K61" s="13">
        <v>4.5948793512076307E-2</v>
      </c>
      <c r="L61" s="13">
        <v>4.0629679952858946E-2</v>
      </c>
      <c r="M61" s="13">
        <v>1.6864677563971811E-4</v>
      </c>
      <c r="N61" s="347"/>
      <c r="O61" s="13">
        <v>4.5621588795881865E-2</v>
      </c>
      <c r="P61" s="13">
        <v>4.0615405202713707E-2</v>
      </c>
      <c r="Q61" s="13">
        <v>1.6647646748916501E-4</v>
      </c>
      <c r="R61" s="347"/>
      <c r="S61" s="13">
        <v>4.4902101491981025E-2</v>
      </c>
      <c r="T61" s="13">
        <v>4.0607183580706488E-2</v>
      </c>
      <c r="U61" s="13">
        <v>1.6309480549196438E-4</v>
      </c>
      <c r="V61" s="347"/>
      <c r="W61" s="13">
        <v>4.3462202145485643E-2</v>
      </c>
      <c r="X61" s="13">
        <v>4.0613628000548727E-2</v>
      </c>
      <c r="Y61" s="13">
        <v>1.5753988449903919E-4</v>
      </c>
      <c r="Z61" s="347"/>
      <c r="AA61" s="13">
        <v>4.0830229178414355E-2</v>
      </c>
      <c r="AB61" s="13">
        <v>4.0650055472241597E-2</v>
      </c>
      <c r="AC61" s="13">
        <v>1.4823642705293365E-4</v>
      </c>
      <c r="AD61" s="347"/>
      <c r="AE61" s="13">
        <v>3.6399170919406053E-2</v>
      </c>
      <c r="AF61" s="13">
        <v>4.073820392995138E-2</v>
      </c>
      <c r="AG61" s="13">
        <v>1.3289824989578221E-4</v>
      </c>
      <c r="AH61" s="347"/>
      <c r="AI61" s="13">
        <v>2.940081636004406E-2</v>
      </c>
      <c r="AJ61" s="13">
        <v>4.090718632091641E-2</v>
      </c>
      <c r="AK61" s="13">
        <v>1.0840469366426336E-4</v>
      </c>
      <c r="AL61" s="347"/>
      <c r="AM61" s="13">
        <v>1.8158325645301371E-2</v>
      </c>
      <c r="AN61" s="13">
        <v>4.1197767591592722E-2</v>
      </c>
      <c r="AO61" s="13">
        <v>6.7976278796752721E-5</v>
      </c>
      <c r="AP61" s="347"/>
      <c r="AQ61" s="13">
        <v>3.5302649627796377E-3</v>
      </c>
      <c r="AR61" s="13">
        <v>4.06122949828778E-2</v>
      </c>
      <c r="AS61" s="13">
        <v>1.3500756589271857E-5</v>
      </c>
      <c r="AT61" s="347"/>
      <c r="AX61" s="347"/>
    </row>
    <row r="62" spans="1:64">
      <c r="A62" s="344" t="s">
        <v>5</v>
      </c>
      <c r="B62" t="s">
        <v>17</v>
      </c>
      <c r="C62" s="79">
        <v>5.7099989314496322E-6</v>
      </c>
      <c r="D62" s="348">
        <v>1.4181577624528537E-2</v>
      </c>
      <c r="E62" s="13"/>
      <c r="F62" s="347"/>
      <c r="G62" s="13">
        <v>5.8538127499215356E-6</v>
      </c>
      <c r="H62" s="13">
        <v>1.4180687275146998E-2</v>
      </c>
      <c r="I62" s="13"/>
      <c r="J62" s="347"/>
      <c r="K62" s="13">
        <v>2.7973410481236763E-2</v>
      </c>
      <c r="L62" s="13">
        <v>1.415068326035957E-2</v>
      </c>
      <c r="M62" s="13">
        <v>6.0583944732509149E-6</v>
      </c>
      <c r="N62" s="347"/>
      <c r="O62" s="13">
        <v>2.914143353025064E-2</v>
      </c>
      <c r="P62" s="13">
        <v>1.4107224591684245E-2</v>
      </c>
      <c r="Q62" s="13">
        <v>6.2962024821366216E-6</v>
      </c>
      <c r="R62" s="347"/>
      <c r="S62" s="13">
        <v>3.0328387442191376E-2</v>
      </c>
      <c r="T62" s="13">
        <v>1.40594326282315E-2</v>
      </c>
      <c r="U62" s="13">
        <v>6.5413652089683837E-6</v>
      </c>
      <c r="V62" s="347"/>
      <c r="W62" s="13">
        <v>3.1317514879498777E-2</v>
      </c>
      <c r="X62" s="13">
        <v>1.4012755941207872E-2</v>
      </c>
      <c r="Y62" s="13">
        <v>6.7516871681908434E-6</v>
      </c>
      <c r="Z62" s="347"/>
      <c r="AA62" s="13">
        <v>3.1679365447500156E-2</v>
      </c>
      <c r="AB62" s="13">
        <v>1.3982971114953269E-2</v>
      </c>
      <c r="AC62" s="13">
        <v>6.8401684861572157E-6</v>
      </c>
      <c r="AD62" s="347"/>
      <c r="AE62" s="13">
        <v>3.0685432429321459E-2</v>
      </c>
      <c r="AF62" s="13">
        <v>1.3997064050934423E-2</v>
      </c>
      <c r="AG62" s="13">
        <v>6.6527932528430838E-6</v>
      </c>
      <c r="AH62" s="347"/>
      <c r="AI62" s="13">
        <v>2.7185967854023756E-2</v>
      </c>
      <c r="AJ62" s="13">
        <v>1.4097929210374893E-2</v>
      </c>
      <c r="AK62" s="13">
        <v>5.9361540497579629E-6</v>
      </c>
      <c r="AL62" s="347"/>
      <c r="AM62" s="13">
        <v>1.8763681116842762E-2</v>
      </c>
      <c r="AN62" s="13">
        <v>1.4381148513690829E-2</v>
      </c>
      <c r="AO62" s="13">
        <v>4.1431498298710468E-6</v>
      </c>
      <c r="AP62" s="347"/>
      <c r="AQ62" s="13">
        <v>4.1395225368171988E-3</v>
      </c>
      <c r="AR62" s="13">
        <v>1.4671880978753311E-2</v>
      </c>
      <c r="AS62" s="13">
        <v>9.2821061127150997E-7</v>
      </c>
      <c r="AT62" s="347"/>
      <c r="AX62" s="347"/>
      <c r="BG62" s="328">
        <v>257.2</v>
      </c>
      <c r="BH62">
        <v>0</v>
      </c>
      <c r="BI62">
        <v>0</v>
      </c>
      <c r="BJ62">
        <f>BG62/10</f>
        <v>25.72</v>
      </c>
      <c r="BK62">
        <v>0</v>
      </c>
      <c r="BL62">
        <v>0</v>
      </c>
    </row>
    <row r="63" spans="1:64">
      <c r="A63" s="344" t="s">
        <v>6</v>
      </c>
      <c r="B63" t="s">
        <v>17</v>
      </c>
      <c r="C63" s="79">
        <v>6.3115374164148247E-9</v>
      </c>
      <c r="D63" s="348">
        <v>2.8470604012160476E-3</v>
      </c>
      <c r="E63" s="13"/>
      <c r="F63" s="347"/>
      <c r="G63" s="13">
        <v>6.6238791090871355E-9</v>
      </c>
      <c r="H63" s="13">
        <v>2.8469005807403888E-3</v>
      </c>
      <c r="I63" s="13"/>
      <c r="J63" s="347"/>
      <c r="K63" s="13">
        <v>8.0171284579859479E-3</v>
      </c>
      <c r="L63" s="13">
        <v>2.8358837535351479E-3</v>
      </c>
      <c r="M63" s="13">
        <v>7.0564575824494582E-9</v>
      </c>
      <c r="N63" s="347"/>
      <c r="O63" s="13">
        <v>8.6082695199074296E-3</v>
      </c>
      <c r="P63" s="13">
        <v>2.8191317878427462E-3</v>
      </c>
      <c r="Q63" s="13">
        <v>7.5843019902113338E-9</v>
      </c>
      <c r="R63" s="347"/>
      <c r="S63" s="13">
        <v>9.283152684293269E-3</v>
      </c>
      <c r="T63" s="13">
        <v>2.7993880386458386E-3</v>
      </c>
      <c r="U63" s="13">
        <v>8.190522589307341E-9</v>
      </c>
      <c r="V63" s="347"/>
      <c r="W63" s="13">
        <v>9.9925851544654092E-3</v>
      </c>
      <c r="X63" s="13">
        <v>2.777791898526118E-3</v>
      </c>
      <c r="Y63" s="13">
        <v>8.8352577595061743E-9</v>
      </c>
      <c r="Z63" s="347"/>
      <c r="AA63" s="13">
        <v>1.0605102631824291E-2</v>
      </c>
      <c r="AB63" s="13">
        <v>2.75941150974515E-3</v>
      </c>
      <c r="AC63" s="13">
        <v>9.4097812284115341E-9</v>
      </c>
      <c r="AD63" s="347"/>
      <c r="AE63" s="13">
        <v>1.0853876075827603E-2</v>
      </c>
      <c r="AF63" s="13">
        <v>2.7543014372355891E-3</v>
      </c>
      <c r="AG63" s="13">
        <v>9.6864442188141941E-9</v>
      </c>
      <c r="AH63" s="347"/>
      <c r="AI63" s="13">
        <v>1.0254114582622594E-2</v>
      </c>
      <c r="AJ63" s="13">
        <v>2.7807928281665313E-3</v>
      </c>
      <c r="AK63" s="13">
        <v>9.2335477327777067E-9</v>
      </c>
      <c r="AL63" s="347"/>
      <c r="AM63" s="13">
        <v>7.7081434791784571E-3</v>
      </c>
      <c r="AN63" s="13">
        <v>2.8868028390896293E-3</v>
      </c>
      <c r="AO63" s="13">
        <v>7.0376441834358338E-9</v>
      </c>
      <c r="AP63" s="347"/>
      <c r="AQ63" s="13">
        <v>1.9174954977022741E-3</v>
      </c>
      <c r="AR63" s="13">
        <v>3.122689827707947E-3</v>
      </c>
      <c r="AS63" s="13">
        <v>1.7848283513407487E-9</v>
      </c>
      <c r="AT63" s="347"/>
      <c r="AX63" s="347"/>
      <c r="BG63" s="328">
        <v>232.72</v>
      </c>
      <c r="BH63">
        <f>E80-K80-L80-M80</f>
        <v>5.7059899206307207</v>
      </c>
      <c r="BI63">
        <f t="shared" ref="BI63:BI71" si="9">BH63/$C$40*100</f>
        <v>7.5660826352121555</v>
      </c>
      <c r="BJ63">
        <f t="shared" ref="BJ63:BJ71" si="10">BG63/10</f>
        <v>23.271999999999998</v>
      </c>
      <c r="BK63">
        <f>H82*(G49+H49-K49-L49-M49)/0.6</f>
        <v>5.478400921233523</v>
      </c>
      <c r="BL63">
        <f t="shared" ref="BL63:BL71" si="11">BK63/$C$40*100</f>
        <v>7.2643020151520856</v>
      </c>
    </row>
    <row r="64" spans="1:64">
      <c r="A64" s="344" t="s">
        <v>7</v>
      </c>
      <c r="B64" t="s">
        <v>17</v>
      </c>
      <c r="C64" s="79">
        <v>9.784129531983362E-9</v>
      </c>
      <c r="D64" s="348">
        <v>3.816059025495025E-3</v>
      </c>
      <c r="E64" s="13"/>
      <c r="F64" s="347"/>
      <c r="G64" s="13">
        <v>1.0376367788223067E-8</v>
      </c>
      <c r="H64" s="13">
        <v>3.8158446946909026E-3</v>
      </c>
      <c r="I64" s="13"/>
      <c r="J64" s="347"/>
      <c r="K64" s="13">
        <v>1.2597990119255142E-2</v>
      </c>
      <c r="L64" s="13">
        <v>3.7972040155392832E-3</v>
      </c>
      <c r="M64" s="13">
        <v>1.1185996621459215E-8</v>
      </c>
      <c r="N64" s="347"/>
      <c r="O64" s="13">
        <v>1.3699155663593265E-2</v>
      </c>
      <c r="P64" s="13">
        <v>3.7683632317461191E-3</v>
      </c>
      <c r="Q64" s="13">
        <v>1.2178967363796691E-8</v>
      </c>
      <c r="R64" s="347"/>
      <c r="S64" s="13">
        <v>1.4979791503290714E-2</v>
      </c>
      <c r="T64" s="13">
        <v>3.7336415538390308E-3</v>
      </c>
      <c r="U64" s="13">
        <v>1.3336466910764375E-8</v>
      </c>
      <c r="V64" s="347"/>
      <c r="W64" s="13">
        <v>1.6372360599243515E-2</v>
      </c>
      <c r="X64" s="13">
        <v>3.694545345373567E-3</v>
      </c>
      <c r="Y64" s="13">
        <v>1.4598986522599449E-8</v>
      </c>
      <c r="Z64" s="347"/>
      <c r="AA64" s="13">
        <v>1.7670442818713598E-2</v>
      </c>
      <c r="AB64" s="13">
        <v>3.6592871437540644E-3</v>
      </c>
      <c r="AC64" s="13">
        <v>1.5790696660442238E-8</v>
      </c>
      <c r="AD64" s="347"/>
      <c r="AE64" s="13">
        <v>1.8429280715746142E-2</v>
      </c>
      <c r="AF64" s="13">
        <v>3.6449071812764116E-3</v>
      </c>
      <c r="AG64" s="13">
        <v>1.6530382704153738E-8</v>
      </c>
      <c r="AH64" s="347"/>
      <c r="AI64" s="13">
        <v>1.7807774094878034E-2</v>
      </c>
      <c r="AJ64" s="13">
        <v>3.6835927072068741E-3</v>
      </c>
      <c r="AK64" s="13">
        <v>1.6073800247944644E-8</v>
      </c>
      <c r="AL64" s="347"/>
      <c r="AM64" s="13">
        <v>1.3837917917932126E-2</v>
      </c>
      <c r="AN64" s="13">
        <v>3.8634234805165453E-3</v>
      </c>
      <c r="AO64" s="13">
        <v>1.2621582810007757E-8</v>
      </c>
      <c r="AP64" s="347"/>
      <c r="AQ64" s="13">
        <v>3.6480487586533082E-3</v>
      </c>
      <c r="AR64" s="13">
        <v>4.3370770338751778E-3</v>
      </c>
      <c r="AS64" s="13">
        <v>3.3788099634467306E-9</v>
      </c>
      <c r="AT64" s="347"/>
      <c r="AX64" s="347"/>
      <c r="BG64" s="358">
        <v>207.41</v>
      </c>
      <c r="BH64">
        <f>D80-O80-P80-Q80</f>
        <v>11.744850178500414</v>
      </c>
      <c r="BI64">
        <f t="shared" si="9"/>
        <v>15.573547837409746</v>
      </c>
      <c r="BJ64">
        <f t="shared" si="10"/>
        <v>20.741</v>
      </c>
      <c r="BK64">
        <f>L82*(K49+L49+M49-O49-P49-Q49)/0.6+BK63</f>
        <v>11.333640701522565</v>
      </c>
      <c r="BL64">
        <f t="shared" si="11"/>
        <v>15.028288394881169</v>
      </c>
    </row>
    <row r="65" spans="1:64" ht="15">
      <c r="A65" s="344" t="s">
        <v>8</v>
      </c>
      <c r="B65" t="s">
        <v>17</v>
      </c>
      <c r="C65" s="79">
        <v>6.7035626552016244E-7</v>
      </c>
      <c r="D65" s="348">
        <v>2.5768969353448632E-3</v>
      </c>
      <c r="E65" s="13"/>
      <c r="F65" s="347"/>
      <c r="G65" s="13">
        <v>7.2707212069000318E-7</v>
      </c>
      <c r="H65" s="13">
        <v>2.576714797866858E-3</v>
      </c>
      <c r="I65" s="13"/>
      <c r="J65" s="347"/>
      <c r="K65" s="13">
        <v>1.3625537796810047E-2</v>
      </c>
      <c r="L65" s="13">
        <v>2.5533662389504541E-3</v>
      </c>
      <c r="M65" s="13">
        <v>8.0460368144343117E-7</v>
      </c>
      <c r="N65" s="347"/>
      <c r="O65" s="13">
        <v>1.5262350117097128E-2</v>
      </c>
      <c r="P65" s="13">
        <v>2.5159675769513778E-3</v>
      </c>
      <c r="Q65" s="13">
        <v>9.0229839728217794E-7</v>
      </c>
      <c r="R65" s="347"/>
      <c r="S65" s="13">
        <v>1.7264240332908302E-2</v>
      </c>
      <c r="T65" s="13">
        <v>2.4687167598202958E-3</v>
      </c>
      <c r="U65" s="13">
        <v>1.0214261833043185E-6</v>
      </c>
      <c r="V65" s="347"/>
      <c r="W65" s="13">
        <v>1.9612587383866398E-2</v>
      </c>
      <c r="X65" s="13">
        <v>2.411731476037478E-3</v>
      </c>
      <c r="Y65" s="13">
        <v>1.1599458394060418E-6</v>
      </c>
      <c r="Z65" s="347"/>
      <c r="AA65" s="13">
        <v>2.2128269384693713E-2</v>
      </c>
      <c r="AB65" s="13">
        <v>2.3532686390700937E-3</v>
      </c>
      <c r="AC65" s="13">
        <v>1.3070543052020928E-6</v>
      </c>
      <c r="AD65" s="347"/>
      <c r="AE65" s="13">
        <v>2.4329141175595446E-2</v>
      </c>
      <c r="AF65" s="13">
        <v>2.3131403841677913E-3</v>
      </c>
      <c r="AG65" s="13">
        <v>1.4356792388554583E-6</v>
      </c>
      <c r="AH65" s="347"/>
      <c r="AI65" s="13">
        <v>2.5186344104740455E-2</v>
      </c>
      <c r="AJ65" s="13">
        <v>2.3324027192845932E-3</v>
      </c>
      <c r="AK65" s="13">
        <v>1.4874976115413784E-6</v>
      </c>
      <c r="AL65" s="347"/>
      <c r="AM65" s="13">
        <v>2.198886072239729E-2</v>
      </c>
      <c r="AN65" s="13">
        <v>2.5391650908855321E-3</v>
      </c>
      <c r="AO65" s="13">
        <v>1.304125356253931E-6</v>
      </c>
      <c r="AP65" s="347"/>
      <c r="AQ65" s="13">
        <v>7.4295195970747289E-3</v>
      </c>
      <c r="AR65" s="13">
        <v>3.3937211853460217E-3</v>
      </c>
      <c r="AS65" s="13">
        <v>4.4470501312903407E-7</v>
      </c>
      <c r="AT65" s="347"/>
      <c r="AX65" s="347"/>
      <c r="BG65" s="365">
        <v>182.1</v>
      </c>
      <c r="BH65">
        <f>D80-S80-T80-U80</f>
        <v>17.555969896252034</v>
      </c>
      <c r="BI65">
        <f t="shared" si="9"/>
        <v>23.279031478144862</v>
      </c>
      <c r="BJ65">
        <f t="shared" si="10"/>
        <v>18.21</v>
      </c>
      <c r="BK65">
        <f>P82*(O49+P49+Q49-S49-T49-U49)/0.6+BK64</f>
        <v>17.027046882802679</v>
      </c>
      <c r="BL65">
        <f t="shared" si="11"/>
        <v>22.577685124034776</v>
      </c>
    </row>
    <row r="66" spans="1:64">
      <c r="A66" s="344" t="s">
        <v>9</v>
      </c>
      <c r="B66" t="s">
        <v>17</v>
      </c>
      <c r="C66" s="79"/>
      <c r="D66" s="348"/>
      <c r="E66" s="13"/>
      <c r="F66" s="347"/>
      <c r="G66" s="13"/>
      <c r="H66" s="13"/>
      <c r="I66" s="13"/>
      <c r="J66" s="347"/>
      <c r="K66" s="13"/>
      <c r="L66" s="13"/>
      <c r="M66" s="13"/>
      <c r="N66" s="347"/>
      <c r="O66" s="13"/>
      <c r="P66" s="13"/>
      <c r="Q66" s="13"/>
      <c r="R66" s="347"/>
      <c r="S66" s="13"/>
      <c r="T66" s="13"/>
      <c r="U66" s="13"/>
      <c r="V66" s="347"/>
      <c r="W66" s="13"/>
      <c r="X66" s="13"/>
      <c r="Y66" s="13"/>
      <c r="Z66" s="347"/>
      <c r="AA66" s="13"/>
      <c r="AB66" s="13"/>
      <c r="AC66" s="13"/>
      <c r="AD66" s="347"/>
      <c r="AE66" s="13"/>
      <c r="AF66" s="13"/>
      <c r="AG66" s="13"/>
      <c r="AH66" s="347"/>
      <c r="AI66" s="13"/>
      <c r="AJ66" s="13"/>
      <c r="AK66" s="13"/>
      <c r="AL66" s="347"/>
      <c r="AM66" s="13"/>
      <c r="AN66" s="13"/>
      <c r="AO66" s="13"/>
      <c r="AP66" s="347"/>
      <c r="AQ66" s="13"/>
      <c r="AR66" s="13"/>
      <c r="AS66" s="13"/>
      <c r="AT66" s="347"/>
      <c r="AX66" s="347"/>
      <c r="BG66" s="328">
        <v>156.78</v>
      </c>
      <c r="BH66">
        <f>D80-W80-X80-Y80</f>
        <v>22.962181095415488</v>
      </c>
      <c r="BI66">
        <f t="shared" si="9"/>
        <v>30.447610680920377</v>
      </c>
      <c r="BJ66">
        <f t="shared" si="10"/>
        <v>15.678000000000001</v>
      </c>
      <c r="BK66">
        <f>T82*(S49+T49+U49-W49-Y49-X49)/0.6+BK65</f>
        <v>22.378558627291536</v>
      </c>
      <c r="BL66">
        <f t="shared" si="11"/>
        <v>29.673733425086706</v>
      </c>
    </row>
    <row r="67" spans="1:64">
      <c r="A67" s="344" t="s">
        <v>10</v>
      </c>
      <c r="B67" t="s">
        <v>17</v>
      </c>
      <c r="C67" s="79">
        <v>3.0119778834934216E-7</v>
      </c>
      <c r="D67" s="348">
        <v>1.937801585271972E-3</v>
      </c>
      <c r="E67" s="13"/>
      <c r="F67" s="347"/>
      <c r="G67" s="13">
        <v>3.387291025330555E-7</v>
      </c>
      <c r="H67" s="13">
        <v>1.9376680113168461E-3</v>
      </c>
      <c r="I67" s="13"/>
      <c r="J67" s="347"/>
      <c r="K67" s="13">
        <v>1.4921923544275687E-2</v>
      </c>
      <c r="L67" s="13">
        <v>1.9103352262156241E-3</v>
      </c>
      <c r="M67" s="13">
        <v>3.9053723841705514E-7</v>
      </c>
      <c r="N67" s="347"/>
      <c r="O67" s="13">
        <v>1.7386040940810876E-2</v>
      </c>
      <c r="P67" s="13">
        <v>1.8638573166582478E-3</v>
      </c>
      <c r="Q67" s="13">
        <v>4.5778921249935702E-7</v>
      </c>
      <c r="R67" s="347"/>
      <c r="S67" s="13">
        <v>2.0508485430827776E-2</v>
      </c>
      <c r="T67" s="13">
        <v>1.8010496926780738E-3</v>
      </c>
      <c r="U67" s="13">
        <v>5.4310212269151823E-7</v>
      </c>
      <c r="V67" s="347"/>
      <c r="W67" s="13">
        <v>2.4317272267405796E-2</v>
      </c>
      <c r="X67" s="13">
        <v>1.7198264916885599E-3</v>
      </c>
      <c r="Y67" s="13">
        <v>6.4682726884254623E-7</v>
      </c>
      <c r="Z67" s="347"/>
      <c r="AA67" s="13">
        <v>2.8649188442039418E-2</v>
      </c>
      <c r="AB67" s="13">
        <v>1.6283529857559107E-3</v>
      </c>
      <c r="AC67" s="13">
        <v>7.6452342860644299E-7</v>
      </c>
      <c r="AD67" s="347"/>
      <c r="AE67" s="13">
        <v>3.3014511283704341E-2</v>
      </c>
      <c r="AF67" s="13">
        <v>1.5492275125553801E-3</v>
      </c>
      <c r="AG67" s="13">
        <v>8.8397373179539869E-7</v>
      </c>
      <c r="AH67" s="347"/>
      <c r="AI67" s="13">
        <v>3.6385612290817951E-2</v>
      </c>
      <c r="AJ67" s="13">
        <v>1.5289573146445054E-3</v>
      </c>
      <c r="AK67" s="13">
        <v>9.7918371431667289E-7</v>
      </c>
      <c r="AL67" s="347"/>
      <c r="AM67" s="13">
        <v>3.5956659308848817E-2</v>
      </c>
      <c r="AN67" s="13">
        <v>1.7189146105176323E-3</v>
      </c>
      <c r="AO67" s="13">
        <v>9.7607029615211832E-7</v>
      </c>
      <c r="AP67" s="347"/>
      <c r="AQ67" s="13">
        <v>1.7379308628907492E-2</v>
      </c>
      <c r="AR67" s="13">
        <v>3.0213139620630081E-3</v>
      </c>
      <c r="AS67" s="13">
        <v>4.7789995423230297E-7</v>
      </c>
      <c r="AT67" s="347"/>
      <c r="AX67" s="347"/>
      <c r="BG67" s="328">
        <v>131.47</v>
      </c>
      <c r="BH67" s="13">
        <f>D80-AA80-AB80-AC80</f>
        <v>27.817549037520351</v>
      </c>
      <c r="BI67">
        <f t="shared" si="9"/>
        <v>36.885777517055395</v>
      </c>
      <c r="BJ67">
        <f t="shared" si="10"/>
        <v>13.147</v>
      </c>
      <c r="BK67">
        <f>X82*(W49+X49+Y49-AA49-AB49-AC49)/0.6+BK66</f>
        <v>27.223177554420857</v>
      </c>
      <c r="BL67">
        <f t="shared" si="11"/>
        <v>36.097647180392045</v>
      </c>
    </row>
    <row r="68" spans="1:64">
      <c r="A68" s="344" t="s">
        <v>35</v>
      </c>
      <c r="B68" t="s">
        <v>17</v>
      </c>
      <c r="C68" s="79">
        <v>5.3564439637566569E-7</v>
      </c>
      <c r="D68" s="348">
        <v>2.5969659126982101E-3</v>
      </c>
      <c r="E68" s="13"/>
      <c r="F68" s="347"/>
      <c r="G68" s="13">
        <v>6.2058083854145309E-7</v>
      </c>
      <c r="H68" s="13">
        <v>2.596763879905191E-3</v>
      </c>
      <c r="I68" s="13"/>
      <c r="J68" s="347"/>
      <c r="K68" s="13">
        <v>3.3958614129250005E-2</v>
      </c>
      <c r="L68" s="13">
        <v>2.5309009728329518E-3</v>
      </c>
      <c r="M68" s="13">
        <v>7.3480515544149941E-7</v>
      </c>
      <c r="N68" s="347"/>
      <c r="O68" s="13">
        <v>4.0442552081094846E-2</v>
      </c>
      <c r="P68" s="13">
        <v>2.4162180573242278E-3</v>
      </c>
      <c r="Q68" s="13">
        <v>8.8102593862878853E-7</v>
      </c>
      <c r="R68" s="347"/>
      <c r="S68" s="13">
        <v>4.8537031316931323E-2</v>
      </c>
      <c r="T68" s="13">
        <v>2.2590811998711041E-3</v>
      </c>
      <c r="U68" s="13">
        <v>1.0633602217152713E-6</v>
      </c>
      <c r="V68" s="347"/>
      <c r="W68" s="13">
        <v>5.8126266208650842E-2</v>
      </c>
      <c r="X68" s="13">
        <v>2.0566853615890481E-3</v>
      </c>
      <c r="Y68" s="13">
        <v>1.2769257776441866E-6</v>
      </c>
      <c r="Z68" s="347"/>
      <c r="AA68" s="13">
        <v>6.8743482539546624E-2</v>
      </c>
      <c r="AB68" s="13">
        <v>1.8323040788443873E-3</v>
      </c>
      <c r="AC68" s="13">
        <v>1.5094322209745009E-6</v>
      </c>
      <c r="AD68" s="347"/>
      <c r="AE68" s="13">
        <v>7.9688880255181935E-2</v>
      </c>
      <c r="AF68" s="13">
        <v>1.634916697000649E-3</v>
      </c>
      <c r="AG68" s="13">
        <v>1.7462401537621022E-6</v>
      </c>
      <c r="AH68" s="347"/>
      <c r="AI68" s="13">
        <v>9.0141146568833264E-2</v>
      </c>
      <c r="AJ68" s="13">
        <v>1.5385810192588216E-3</v>
      </c>
      <c r="AK68" s="13">
        <v>1.9726359898742413E-6</v>
      </c>
      <c r="AL68" s="347"/>
      <c r="AM68" s="13">
        <v>9.8182290131529834E-2</v>
      </c>
      <c r="AN68" s="13">
        <v>1.7605388975886159E-3</v>
      </c>
      <c r="AO68" s="13">
        <v>2.1514550961863992E-6</v>
      </c>
      <c r="AP68" s="347"/>
      <c r="AQ68" s="13">
        <v>7.3582552604129242E-2</v>
      </c>
      <c r="AR68" s="13">
        <v>4.4601300389625655E-3</v>
      </c>
      <c r="AS68" s="13">
        <v>1.6209657373004199E-6</v>
      </c>
      <c r="AT68" s="347"/>
      <c r="AX68" s="347"/>
      <c r="BG68" s="328">
        <v>106.16</v>
      </c>
      <c r="BH68" s="13">
        <f>D80-AE80-AF80-AG80</f>
        <v>32.049647117785312</v>
      </c>
      <c r="BI68">
        <f t="shared" si="9"/>
        <v>42.497495070189103</v>
      </c>
      <c r="BJ68">
        <f t="shared" si="10"/>
        <v>10.616</v>
      </c>
      <c r="BK68">
        <f>AB82*(AA49+AB49+AC49-AE49-AF49-AG49)/0.6+BK67</f>
        <v>31.465505183589762</v>
      </c>
      <c r="BL68">
        <f t="shared" si="11"/>
        <v>41.722929007806769</v>
      </c>
    </row>
    <row r="69" spans="1:64">
      <c r="A69" s="344" t="s">
        <v>163</v>
      </c>
      <c r="B69" t="s">
        <v>17</v>
      </c>
      <c r="C69" s="79">
        <v>8.8508887487424101E-7</v>
      </c>
      <c r="D69" s="348">
        <v>4.2150650053190703E-3</v>
      </c>
      <c r="E69" s="13"/>
      <c r="F69" s="347"/>
      <c r="G69" s="13">
        <v>1.0465637823682418E-6</v>
      </c>
      <c r="H69" s="13">
        <v>4.2147213904127319E-3</v>
      </c>
      <c r="I69" s="13"/>
      <c r="J69" s="347"/>
      <c r="K69" s="13">
        <v>7.5865782803045345E-2</v>
      </c>
      <c r="L69" s="13">
        <v>4.0644042053031198E-3</v>
      </c>
      <c r="M69" s="13">
        <v>1.2591291465825412E-6</v>
      </c>
      <c r="N69" s="347"/>
      <c r="O69" s="13">
        <v>9.1177899554986439E-2</v>
      </c>
      <c r="P69" s="13">
        <v>3.8001449951947505E-3</v>
      </c>
      <c r="Q69" s="13">
        <v>1.5257886268144003E-6</v>
      </c>
      <c r="R69" s="347"/>
      <c r="S69" s="13">
        <v>0.1097210499196775</v>
      </c>
      <c r="T69" s="13">
        <v>3.4398202191210253E-3</v>
      </c>
      <c r="U69" s="13">
        <v>1.8487504281794911E-6</v>
      </c>
      <c r="V69" s="347"/>
      <c r="W69" s="13">
        <v>0.13059795808639446</v>
      </c>
      <c r="X69" s="13">
        <v>2.9883549300816427E-3</v>
      </c>
      <c r="Y69" s="13">
        <v>2.2076996275634506E-6</v>
      </c>
      <c r="Z69" s="347"/>
      <c r="AA69" s="13">
        <v>0.15255163958642878</v>
      </c>
      <c r="AB69" s="13">
        <v>2.5109067647720602E-3</v>
      </c>
      <c r="AC69" s="13">
        <v>2.5768063500901307E-6</v>
      </c>
      <c r="AD69" s="347"/>
      <c r="AE69" s="13">
        <v>0.17500813470989063</v>
      </c>
      <c r="AF69" s="13">
        <v>2.1077784333040036E-3</v>
      </c>
      <c r="AG69" s="13">
        <v>2.94753941955795E-6</v>
      </c>
      <c r="AH69" s="347"/>
      <c r="AI69" s="13">
        <v>0.19860309230922613</v>
      </c>
      <c r="AJ69" s="13">
        <v>1.8857855827209107E-3</v>
      </c>
      <c r="AK69" s="13">
        <v>3.3366048104743023E-6</v>
      </c>
      <c r="AL69" s="347"/>
      <c r="AM69" s="13">
        <v>0.22544611570782458</v>
      </c>
      <c r="AN69" s="13">
        <v>2.1201302888863714E-3</v>
      </c>
      <c r="AO69" s="13">
        <v>3.7881387138174325E-6</v>
      </c>
      <c r="AP69" s="347"/>
      <c r="AQ69" s="13">
        <v>0.21788589316735701</v>
      </c>
      <c r="AR69" s="13">
        <v>6.5606522846721324E-3</v>
      </c>
      <c r="AS69" s="13">
        <v>3.6767620585661847E-6</v>
      </c>
      <c r="AT69" s="347"/>
      <c r="AX69" s="347"/>
      <c r="BG69" s="328">
        <v>80.849999999999994</v>
      </c>
      <c r="BH69">
        <f>D80-AI80-AJ80-AK80</f>
        <v>35.711753803322509</v>
      </c>
      <c r="BI69">
        <f t="shared" si="9"/>
        <v>47.353410027479207</v>
      </c>
      <c r="BJ69">
        <f t="shared" si="10"/>
        <v>8.0849999999999991</v>
      </c>
      <c r="BK69">
        <f>AF82*(AE49+AF49+AG49-AI49-AJ49-AK49)/0.6+BK68</f>
        <v>35.140890092543962</v>
      </c>
      <c r="BL69">
        <f t="shared" si="11"/>
        <v>46.596450749724845</v>
      </c>
    </row>
    <row r="70" spans="1:64">
      <c r="A70" s="344" t="s">
        <v>37</v>
      </c>
      <c r="B70" t="s">
        <v>17</v>
      </c>
      <c r="C70" s="79">
        <v>4.0102202963559058E-7</v>
      </c>
      <c r="D70" s="348">
        <v>1.6080750957811574E-3</v>
      </c>
      <c r="E70" s="13"/>
      <c r="F70" s="347"/>
      <c r="G70" s="13">
        <v>4.863146253029838E-7</v>
      </c>
      <c r="H70" s="13">
        <v>1.6079282582868221E-3</v>
      </c>
      <c r="I70" s="13"/>
      <c r="J70" s="347"/>
      <c r="K70" s="13">
        <v>4.3060700223627235E-2</v>
      </c>
      <c r="L70" s="13">
        <v>1.5210351586155287E-3</v>
      </c>
      <c r="M70" s="13">
        <v>5.9279313517294607E-7</v>
      </c>
      <c r="N70" s="347"/>
      <c r="O70" s="13">
        <v>5.1683277018690091E-2</v>
      </c>
      <c r="P70" s="13">
        <v>1.3694133236997195E-3</v>
      </c>
      <c r="Q70" s="13">
        <v>7.1826720738418028E-7</v>
      </c>
      <c r="R70" s="347"/>
      <c r="S70" s="13">
        <v>6.1266997985602874E-2</v>
      </c>
      <c r="T70" s="13">
        <v>1.1708019785982252E-3</v>
      </c>
      <c r="U70" s="13">
        <v>8.5796201268606729E-7</v>
      </c>
      <c r="V70" s="347"/>
      <c r="W70" s="13">
        <v>7.081478333764403E-2</v>
      </c>
      <c r="X70" s="13">
        <v>9.411794144211042E-4</v>
      </c>
      <c r="Y70" s="13">
        <v>9.9452891691488625E-7</v>
      </c>
      <c r="Z70" s="347"/>
      <c r="AA70" s="13">
        <v>7.9887216509027248E-2</v>
      </c>
      <c r="AB70" s="13">
        <v>7.2349499500233929E-4</v>
      </c>
      <c r="AC70" s="13">
        <v>1.1190858279189454E-6</v>
      </c>
      <c r="AD70" s="347"/>
      <c r="AE70" s="13">
        <v>8.9223206564498642E-2</v>
      </c>
      <c r="AF70" s="13">
        <v>5.5756425757478927E-4</v>
      </c>
      <c r="AG70" s="13">
        <v>1.2426005370449951E-6</v>
      </c>
      <c r="AH70" s="347"/>
      <c r="AI70" s="13">
        <v>0.1004166234042389</v>
      </c>
      <c r="AJ70" s="13">
        <v>4.6509908839137567E-4</v>
      </c>
      <c r="AK70" s="13">
        <v>1.3899029617869288E-6</v>
      </c>
      <c r="AL70" s="347"/>
      <c r="AM70" s="13">
        <v>0.11693033058420413</v>
      </c>
      <c r="AN70" s="13">
        <v>5.0160862939126736E-4</v>
      </c>
      <c r="AO70" s="13">
        <v>1.6117150458296728E-6</v>
      </c>
      <c r="AP70" s="347"/>
      <c r="AQ70" s="13">
        <v>0.14015446785555413</v>
      </c>
      <c r="AR70" s="13">
        <v>1.8100710844470202E-3</v>
      </c>
      <c r="AS70" s="13">
        <v>1.9309955599698899E-6</v>
      </c>
      <c r="AT70" s="347"/>
      <c r="AX70" s="347"/>
      <c r="BG70" s="328">
        <v>55.54</v>
      </c>
      <c r="BH70">
        <f>D80-AM80-AN80-AO80</f>
        <v>39.007977653680186</v>
      </c>
      <c r="BI70">
        <f t="shared" si="9"/>
        <v>51.724168192647269</v>
      </c>
      <c r="BJ70">
        <f t="shared" si="10"/>
        <v>5.5540000000000003</v>
      </c>
      <c r="BK70">
        <f>AJ82*(AI49+AJ49+AK49-AM49-AN49-AO49)/0.6+BK69</f>
        <v>38.442462647121552</v>
      </c>
      <c r="BL70">
        <f t="shared" si="11"/>
        <v>50.974301240445882</v>
      </c>
    </row>
    <row r="71" spans="1:64">
      <c r="A71" s="344" t="s">
        <v>38</v>
      </c>
      <c r="B71" t="s">
        <v>17</v>
      </c>
      <c r="C71" s="79">
        <v>1.4323086020044412E-7</v>
      </c>
      <c r="D71" s="348">
        <v>1.0887820961399978E-3</v>
      </c>
      <c r="E71" s="13"/>
      <c r="F71" s="347"/>
      <c r="G71" s="13">
        <v>1.796925260817035E-7</v>
      </c>
      <c r="H71" s="13">
        <v>1.088696822600093E-3</v>
      </c>
      <c r="I71" s="13"/>
      <c r="J71" s="347"/>
      <c r="K71" s="13">
        <v>3.8353946531554849E-2</v>
      </c>
      <c r="L71" s="13">
        <v>1.0106432442592522E-3</v>
      </c>
      <c r="M71" s="13">
        <v>2.2488732807609044E-7</v>
      </c>
      <c r="N71" s="347"/>
      <c r="O71" s="13">
        <v>4.6347888943022698E-2</v>
      </c>
      <c r="P71" s="13">
        <v>8.7322425365942433E-4</v>
      </c>
      <c r="Q71" s="13">
        <v>2.7631645848858162E-7</v>
      </c>
      <c r="R71" s="347"/>
      <c r="S71" s="13">
        <v>5.444685578649356E-2</v>
      </c>
      <c r="T71" s="13">
        <v>6.9831837001470515E-4</v>
      </c>
      <c r="U71" s="13">
        <v>3.2963887089503797E-7</v>
      </c>
      <c r="V71" s="347"/>
      <c r="W71" s="13">
        <v>6.1368006028211103E-2</v>
      </c>
      <c r="X71" s="13">
        <v>5.1133843186526497E-4</v>
      </c>
      <c r="Y71" s="13">
        <v>3.7591760090124054E-7</v>
      </c>
      <c r="Z71" s="347"/>
      <c r="AA71" s="13">
        <v>6.7178729496530809E-2</v>
      </c>
      <c r="AB71" s="13">
        <v>3.5273850892940021E-4</v>
      </c>
      <c r="AC71" s="13">
        <v>4.1466046242381338E-7</v>
      </c>
      <c r="AD71" s="347"/>
      <c r="AE71" s="13">
        <v>7.3388248783419693E-2</v>
      </c>
      <c r="AF71" s="13">
        <v>2.4374240738727327E-4</v>
      </c>
      <c r="AG71" s="13">
        <v>4.5563423989054184E-7</v>
      </c>
      <c r="AH71" s="347"/>
      <c r="AI71" s="13">
        <v>8.19341781640225E-2</v>
      </c>
      <c r="AJ71" s="13">
        <v>1.8358590651852344E-4</v>
      </c>
      <c r="AK71" s="13">
        <v>5.1230255728582683E-7</v>
      </c>
      <c r="AL71" s="347"/>
      <c r="AM71" s="13">
        <v>9.659648203166267E-2</v>
      </c>
      <c r="AN71" s="13">
        <v>1.8050307471572104E-4</v>
      </c>
      <c r="AO71" s="13">
        <v>6.1106996688400092E-7</v>
      </c>
      <c r="AP71" s="347"/>
      <c r="AQ71" s="13">
        <v>0.13174340664965128</v>
      </c>
      <c r="AR71" s="13">
        <v>6.7289366938477735E-4</v>
      </c>
      <c r="AS71" s="13">
        <v>8.472821004624334E-7</v>
      </c>
      <c r="AT71" s="347"/>
      <c r="AX71" s="347"/>
      <c r="BG71" s="328">
        <v>28.83</v>
      </c>
      <c r="BH71">
        <f>D80-AQ80-AR80-AS80</f>
        <v>42.693615770029197</v>
      </c>
      <c r="BI71">
        <f t="shared" si="9"/>
        <v>56.611285579756476</v>
      </c>
      <c r="BJ71">
        <f t="shared" si="10"/>
        <v>2.883</v>
      </c>
      <c r="BK71">
        <f>AN82*(AM49+AN49+AO49-AQ49-AR49-AS49)/0.6+BK70</f>
        <v>42.108081212075803</v>
      </c>
      <c r="BL71">
        <f t="shared" si="11"/>
        <v>55.834872912914946</v>
      </c>
    </row>
    <row r="72" spans="1:64">
      <c r="A72" s="344" t="s">
        <v>39</v>
      </c>
      <c r="B72" t="s">
        <v>17</v>
      </c>
      <c r="C72" s="79">
        <v>7.6735301081898659E-7</v>
      </c>
      <c r="D72" s="348">
        <v>2.1073165211800368E-3</v>
      </c>
      <c r="E72" s="13"/>
      <c r="F72" s="347"/>
      <c r="G72" s="13">
        <v>9.8398680008884528E-7</v>
      </c>
      <c r="H72" s="13">
        <v>2.107054392453503E-3</v>
      </c>
      <c r="I72" s="13"/>
      <c r="J72" s="347"/>
      <c r="K72" s="13">
        <v>0.26193443559511687</v>
      </c>
      <c r="L72" s="13">
        <v>1.5634272911481766E-3</v>
      </c>
      <c r="M72" s="13">
        <v>1.0181240851489762E-6</v>
      </c>
      <c r="N72" s="347"/>
      <c r="O72" s="13">
        <v>0.24189301599170906</v>
      </c>
      <c r="P72" s="13">
        <v>9.7967923632435354E-4</v>
      </c>
      <c r="Q72" s="13">
        <v>9.456094004211019E-7</v>
      </c>
      <c r="R72" s="347"/>
      <c r="S72" s="13">
        <v>0.22014117586137028</v>
      </c>
      <c r="T72" s="13">
        <v>5.6995868484574171E-4</v>
      </c>
      <c r="U72" s="13">
        <v>8.6124949922350531E-7</v>
      </c>
      <c r="V72" s="347"/>
      <c r="W72" s="13">
        <v>0.20323262956458743</v>
      </c>
      <c r="X72" s="13">
        <v>3.1638623314671406E-4</v>
      </c>
      <c r="Y72" s="13">
        <v>7.8726286018262297E-7</v>
      </c>
      <c r="Z72" s="347"/>
      <c r="AA72" s="13">
        <v>0.19633031058509612</v>
      </c>
      <c r="AB72" s="13">
        <v>1.7553296807523407E-4</v>
      </c>
      <c r="AC72" s="13">
        <v>7.4395853280605044E-7</v>
      </c>
      <c r="AD72" s="347"/>
      <c r="AE72" s="13">
        <v>0.20122200346087982</v>
      </c>
      <c r="AF72" s="13">
        <v>1.0239351684143211E-4</v>
      </c>
      <c r="AG72" s="13">
        <v>7.4001395216369283E-7</v>
      </c>
      <c r="AH72" s="347"/>
      <c r="AI72" s="13">
        <v>0.21908730335213983</v>
      </c>
      <c r="AJ72" s="13">
        <v>6.706009545073286E-5</v>
      </c>
      <c r="AK72" s="13">
        <v>7.8042804608292216E-7</v>
      </c>
      <c r="AL72" s="347"/>
      <c r="AM72" s="13">
        <v>0.25844754728967817</v>
      </c>
      <c r="AN72" s="13">
        <v>5.8089891487325922E-5</v>
      </c>
      <c r="AO72" s="13">
        <v>8.9344868340438442E-7</v>
      </c>
      <c r="AP72" s="347"/>
      <c r="AQ72" s="13">
        <v>0.38408742000509249</v>
      </c>
      <c r="AR72" s="13">
        <v>2.0959265286288101E-4</v>
      </c>
      <c r="AS72" s="13">
        <v>1.3012901088529561E-6</v>
      </c>
      <c r="AT72" s="347"/>
      <c r="AX72" s="347"/>
    </row>
    <row r="73" spans="1:64">
      <c r="A73" s="344" t="s">
        <v>40</v>
      </c>
      <c r="B73" t="s">
        <v>17</v>
      </c>
      <c r="C73" s="13"/>
      <c r="D73" s="13"/>
      <c r="E73" s="13"/>
      <c r="F73" s="347"/>
      <c r="G73" s="13"/>
      <c r="H73" s="13"/>
      <c r="I73" s="13"/>
      <c r="J73" s="347"/>
      <c r="K73" s="13"/>
      <c r="L73" s="13"/>
      <c r="M73" s="13"/>
      <c r="N73" s="347"/>
      <c r="O73" s="13"/>
      <c r="P73" s="13"/>
      <c r="Q73" s="13"/>
      <c r="R73" s="347"/>
      <c r="S73" s="13"/>
      <c r="T73" s="13"/>
      <c r="U73" s="13"/>
      <c r="V73" s="347"/>
      <c r="W73" s="13"/>
      <c r="X73" s="13"/>
      <c r="Y73" s="13"/>
      <c r="Z73" s="347"/>
      <c r="AA73" s="13"/>
      <c r="AB73" s="13"/>
      <c r="AC73" s="13"/>
      <c r="AD73" s="347"/>
      <c r="AE73" s="13"/>
      <c r="AF73" s="13"/>
      <c r="AG73" s="13"/>
      <c r="AH73" s="347"/>
      <c r="AI73" s="13"/>
      <c r="AJ73" s="13"/>
      <c r="AK73" s="13"/>
      <c r="AL73" s="347"/>
      <c r="AM73" s="13"/>
      <c r="AN73" s="13"/>
      <c r="AO73" s="13"/>
      <c r="AP73" s="347"/>
      <c r="AQ73" s="13"/>
      <c r="AR73" s="13"/>
      <c r="AS73" s="13"/>
      <c r="AT73" s="347"/>
      <c r="AX73" s="347"/>
      <c r="BG73" s="359">
        <v>4.92</v>
      </c>
    </row>
    <row r="74" spans="1:64">
      <c r="A74" s="344" t="s">
        <v>41</v>
      </c>
      <c r="B74" t="s">
        <v>17</v>
      </c>
      <c r="C74" s="13"/>
      <c r="D74" s="13"/>
      <c r="E74" s="13"/>
      <c r="F74" s="347"/>
      <c r="G74" s="13"/>
      <c r="H74" s="13"/>
      <c r="I74" s="13"/>
      <c r="J74" s="347"/>
      <c r="K74" s="13"/>
      <c r="L74" s="13"/>
      <c r="M74" s="13"/>
      <c r="N74" s="347"/>
      <c r="O74" s="13"/>
      <c r="P74" s="13"/>
      <c r="Q74" s="13"/>
      <c r="R74" s="347"/>
      <c r="S74" s="13"/>
      <c r="T74" s="13"/>
      <c r="U74" s="13"/>
      <c r="V74" s="347"/>
      <c r="W74" s="13"/>
      <c r="X74" s="13"/>
      <c r="Y74" s="13"/>
      <c r="Z74" s="347"/>
      <c r="AA74" s="13"/>
      <c r="AB74" s="13"/>
      <c r="AC74" s="13"/>
      <c r="AD74" s="347"/>
      <c r="AE74" s="13"/>
      <c r="AF74" s="13"/>
      <c r="AG74" s="13"/>
      <c r="AH74" s="347"/>
      <c r="AI74" s="13"/>
      <c r="AJ74" s="13"/>
      <c r="AK74" s="13"/>
      <c r="AL74" s="347"/>
      <c r="AM74" s="13"/>
      <c r="AN74" s="13"/>
      <c r="AO74" s="13"/>
      <c r="AP74" s="347"/>
      <c r="AQ74" s="13"/>
      <c r="AR74" s="13"/>
      <c r="AS74" s="13"/>
      <c r="AT74" s="347"/>
      <c r="AX74" s="347"/>
    </row>
    <row r="75" spans="1:64">
      <c r="A75" s="344" t="s">
        <v>42</v>
      </c>
      <c r="B75" t="s">
        <v>17</v>
      </c>
      <c r="C75" s="13"/>
      <c r="D75" s="13"/>
      <c r="E75" s="13"/>
      <c r="F75" s="347"/>
      <c r="G75" s="13"/>
      <c r="H75" s="13"/>
      <c r="I75" s="13"/>
      <c r="J75" s="347"/>
      <c r="K75" s="13"/>
      <c r="L75" s="13"/>
      <c r="M75" s="13"/>
      <c r="N75" s="347"/>
      <c r="O75" s="13"/>
      <c r="P75" s="13"/>
      <c r="Q75" s="13"/>
      <c r="R75" s="347"/>
      <c r="S75" s="13"/>
      <c r="T75" s="13"/>
      <c r="U75" s="13"/>
      <c r="V75" s="347"/>
      <c r="W75" s="13"/>
      <c r="X75" s="13"/>
      <c r="Y75" s="13"/>
      <c r="Z75" s="347"/>
      <c r="AA75" s="13"/>
      <c r="AB75" s="13"/>
      <c r="AC75" s="13"/>
      <c r="AD75" s="347"/>
      <c r="AE75" s="13"/>
      <c r="AF75" s="13"/>
      <c r="AG75" s="13"/>
      <c r="AH75" s="347"/>
      <c r="AI75" s="13"/>
      <c r="AJ75" s="13"/>
      <c r="AK75" s="13"/>
      <c r="AL75" s="347"/>
      <c r="AM75" s="13"/>
      <c r="AN75" s="13"/>
      <c r="AO75" s="13"/>
      <c r="AP75" s="347"/>
      <c r="AQ75" s="13"/>
      <c r="AR75" s="13"/>
      <c r="AS75" s="13"/>
      <c r="AT75" s="347"/>
      <c r="AX75" s="347"/>
    </row>
    <row r="76" spans="1:64">
      <c r="A76" s="344" t="s">
        <v>43</v>
      </c>
      <c r="B76" t="s">
        <v>17</v>
      </c>
      <c r="C76" s="13"/>
      <c r="D76" s="13"/>
      <c r="E76" s="13"/>
      <c r="F76" s="347"/>
      <c r="G76" s="13"/>
      <c r="H76" s="13"/>
      <c r="I76" s="13"/>
      <c r="J76" s="347"/>
      <c r="K76" s="13"/>
      <c r="L76" s="13"/>
      <c r="M76" s="13"/>
      <c r="N76" s="347"/>
      <c r="O76" s="13"/>
      <c r="P76" s="13"/>
      <c r="Q76" s="13"/>
      <c r="R76" s="347"/>
      <c r="S76" s="13"/>
      <c r="T76" s="13"/>
      <c r="U76" s="13"/>
      <c r="V76" s="347"/>
      <c r="W76" s="13"/>
      <c r="X76" s="13"/>
      <c r="Y76" s="13"/>
      <c r="Z76" s="347"/>
      <c r="AA76" s="13"/>
      <c r="AB76" s="13"/>
      <c r="AC76" s="13"/>
      <c r="AD76" s="347"/>
      <c r="AE76" s="13"/>
      <c r="AF76" s="13"/>
      <c r="AG76" s="13"/>
      <c r="AH76" s="347"/>
      <c r="AI76" s="13"/>
      <c r="AJ76" s="13"/>
      <c r="AK76" s="13"/>
      <c r="AL76" s="347"/>
      <c r="AM76" s="13"/>
      <c r="AN76" s="13"/>
      <c r="AO76" s="13"/>
      <c r="AP76" s="347"/>
      <c r="AQ76" s="13"/>
      <c r="AR76" s="13"/>
      <c r="AS76" s="13"/>
      <c r="AT76" s="347"/>
      <c r="AX76" s="347"/>
    </row>
    <row r="77" spans="1:64">
      <c r="A77" s="344" t="s">
        <v>44</v>
      </c>
      <c r="B77" t="s">
        <v>17</v>
      </c>
      <c r="C77" s="13"/>
      <c r="D77" s="13"/>
      <c r="E77" s="13"/>
      <c r="F77" s="347"/>
      <c r="G77" s="13"/>
      <c r="H77" s="13"/>
      <c r="I77" s="13"/>
      <c r="J77" s="347"/>
      <c r="K77" s="13"/>
      <c r="L77" s="13"/>
      <c r="M77" s="13"/>
      <c r="N77" s="347"/>
      <c r="O77" s="13"/>
      <c r="P77" s="13"/>
      <c r="Q77" s="13"/>
      <c r="R77" s="347"/>
      <c r="S77" s="13"/>
      <c r="T77" s="13"/>
      <c r="U77" s="13"/>
      <c r="V77" s="347"/>
      <c r="W77" s="13"/>
      <c r="X77" s="13"/>
      <c r="Y77" s="13"/>
      <c r="Z77" s="347"/>
      <c r="AA77" s="13"/>
      <c r="AB77" s="13"/>
      <c r="AC77" s="13"/>
      <c r="AD77" s="347"/>
      <c r="AE77" s="13"/>
      <c r="AF77" s="13"/>
      <c r="AG77" s="13"/>
      <c r="AH77" s="347"/>
      <c r="AI77" s="13"/>
      <c r="AJ77" s="13"/>
      <c r="AK77" s="13"/>
      <c r="AL77" s="347"/>
      <c r="AM77" s="13"/>
      <c r="AN77" s="13"/>
      <c r="AO77" s="13"/>
      <c r="AP77" s="347"/>
      <c r="AQ77" s="13"/>
      <c r="AR77" s="13"/>
      <c r="AS77" s="13"/>
      <c r="AT77" s="347"/>
      <c r="AX77" s="347"/>
    </row>
    <row r="78" spans="1:64">
      <c r="A78" s="344" t="s">
        <v>45</v>
      </c>
      <c r="B78" t="s">
        <v>17</v>
      </c>
      <c r="F78" s="345"/>
      <c r="J78" s="345"/>
      <c r="N78" s="345"/>
      <c r="R78" s="345"/>
      <c r="V78" s="345"/>
      <c r="Z78" s="345"/>
      <c r="AD78" s="345"/>
      <c r="AH78" s="345"/>
      <c r="AL78" s="345"/>
      <c r="AP78" s="345"/>
      <c r="AT78" s="347"/>
      <c r="AX78" s="347"/>
    </row>
    <row r="79" spans="1:64">
      <c r="A79" s="344" t="s">
        <v>225</v>
      </c>
      <c r="C79" s="13">
        <f>SUM(C65:C72)*C49/$P$44</f>
        <v>2.4654433347019565E-6</v>
      </c>
      <c r="D79" s="13">
        <f>SUM(D65:D72)*D49/$P$44</f>
        <v>1.6147534556665302E-2</v>
      </c>
      <c r="F79" s="345"/>
      <c r="G79" s="13">
        <f>SUM(G65:G72)*G49/$P$44</f>
        <v>2.9171949467743803E-6</v>
      </c>
      <c r="H79" s="13">
        <f>SUM(H65:H72)*H49/$P$44</f>
        <v>1.6147082805053226E-2</v>
      </c>
      <c r="I79" s="13"/>
      <c r="J79" s="345"/>
      <c r="K79" s="13">
        <f>SUM(K65:K72)*K49/$P$44</f>
        <v>9.3348505033263938E-4</v>
      </c>
      <c r="L79" s="13">
        <f>SUM(L65:L72)*L49/$P$44</f>
        <v>1.4039946610099602E-2</v>
      </c>
      <c r="M79" s="13">
        <f>SUM(M65:M72)*M49/$P$44</f>
        <v>3.344125883695242E-6</v>
      </c>
      <c r="N79" s="345"/>
      <c r="O79" s="13">
        <f>SUM(O65:O72)*O49/$P$44</f>
        <v>2.0864113470860225E-3</v>
      </c>
      <c r="P79" s="13">
        <f>SUM(P65:P72)*P49/$P$44</f>
        <v>1.1600079120523956E-2</v>
      </c>
      <c r="Q79" s="13">
        <f>SUM(Q65:Q72)*Q49/$P$44</f>
        <v>3.7977154637080801E-6</v>
      </c>
      <c r="R79" s="345"/>
      <c r="S79" s="13">
        <f>SUM(S65:S72)*S49/$P$44</f>
        <v>3.1593065485441482E-3</v>
      </c>
      <c r="T79" s="13">
        <f>SUM(T65:T72)*T49/$P$44</f>
        <v>9.2329106762036577E-3</v>
      </c>
      <c r="U79" s="13">
        <f>SUM(U65:U72)*U49/$P$44</f>
        <v>4.3417213200308927E-6</v>
      </c>
      <c r="V79" s="345"/>
      <c r="W79" s="13">
        <f>SUM(W65:W72)*W49/$P$44</f>
        <v>4.1118546106846425E-3</v>
      </c>
      <c r="X79" s="13">
        <f>SUM(X65:X72)*X49/$P$44</f>
        <v>7.0243258869830127E-3</v>
      </c>
      <c r="Y79" s="13">
        <f>SUM(Y65:Y72)*Y49/$P$44</f>
        <v>4.9554377217793152E-6</v>
      </c>
      <c r="Z79" s="345"/>
      <c r="AA79" s="13">
        <f>SUM(AA65:AA72)*AA49/$P$44</f>
        <v>4.8480772285697925E-3</v>
      </c>
      <c r="AB79" s="13">
        <f>SUM(AB65:AB72)*AB49/$P$44</f>
        <v>5.1168201698458277E-3</v>
      </c>
      <c r="AC79" s="13">
        <f>SUM(AC65:AC72)*AC49/$P$44</f>
        <v>5.6104629859698457E-6</v>
      </c>
      <c r="AD79" s="345"/>
      <c r="AE79" s="13">
        <f>SUM(AE65:AE72)*AE49/$P$44</f>
        <v>5.2986514789747962E-3</v>
      </c>
      <c r="AF79" s="13">
        <f>SUM(AF65:AF72)*AF49/$P$44</f>
        <v>3.6126645517206455E-3</v>
      </c>
      <c r="AG79" s="13">
        <f>SUM(AG65:AG72)*AG49/$P$44</f>
        <v>6.2845565832682804E-6</v>
      </c>
      <c r="AH79" s="345"/>
      <c r="AI79" s="13">
        <f>SUM(AI65:AI72)*AI49/$P$44</f>
        <v>5.4508360568788043E-3</v>
      </c>
      <c r="AJ79" s="13">
        <f>SUM(AJ65:AJ72)*AJ49/$P$44</f>
        <v>2.5266568149604368E-3</v>
      </c>
      <c r="AK79" s="13">
        <f>SUM(AK65:AK72)*AK49/$P$44</f>
        <v>6.9511806303058448E-6</v>
      </c>
      <c r="AL79" s="345"/>
      <c r="AM79" s="13">
        <f>SUM(AM65:AM72)*AM49/$P$44</f>
        <v>5.2520245340647517E-3</v>
      </c>
      <c r="AN79" s="13">
        <f>SUM(AN65:AN72)*AN49/$P$44</f>
        <v>1.8731633138987253E-3</v>
      </c>
      <c r="AO79" s="13">
        <f>SUM(AO65:AO72)*AO49/$P$44</f>
        <v>7.528242714214334E-6</v>
      </c>
      <c r="AP79" s="345"/>
      <c r="AQ79" s="13">
        <f>SUM(AQ65:AQ72)*AQ49/$P$44</f>
        <v>3.9823019672618953E-3</v>
      </c>
      <c r="AR79" s="13">
        <f>SUM(AR65:AR72)*AR49/$P$44</f>
        <v>2.197052155946933E-3</v>
      </c>
      <c r="AS79" s="13">
        <f>SUM(AS65:AS72)*AS49/$P$44</f>
        <v>6.8119941583700174E-6</v>
      </c>
      <c r="AT79" s="347"/>
      <c r="AU79" s="13"/>
      <c r="AV79" s="13"/>
      <c r="AW79" s="13"/>
      <c r="AX79" s="347"/>
    </row>
    <row r="80" spans="1:64">
      <c r="A80" s="344" t="s">
        <v>226</v>
      </c>
      <c r="C80">
        <f>(C65*$AV$9+$AV$11*C67+C68*$AV$12+$AV$13*C69+C70*$AV$14+$AV$15*C71+C72*$AV$16)/0.02404/(1-C79)*C49/$P$44</f>
        <v>1.1913660468155091E-2</v>
      </c>
      <c r="D80">
        <f>(D65*$AV$9+$AV$11*D67+D68*$AV$12+$AV$13*D69+D70*$AV$14+$AV$15*D71+D72*$AV$16)/0.02404/(1-D79)*D49/$P$44</f>
        <v>75.403081193208905</v>
      </c>
      <c r="E80">
        <f>D80+C80</f>
        <v>75.414994853677058</v>
      </c>
      <c r="F80" s="345"/>
      <c r="G80">
        <f>(G65*$AV$9+$AV$11*G67+G68*$AV$12+$AV$13*G69+G70*$AV$14+$AV$15*G71+G72*$AV$16)/0.02404/(1-G79)*G49/$P$44</f>
        <v>1.4354032424338494E-2</v>
      </c>
      <c r="H80">
        <f>(H65*$AV$9+$AV$11*H67+H68*$AV$12+$AV$13*H69+H70*$AV$14+$AV$15*H71+H72*$AV$16)/0.02404/(1-H79)*H49/$P$44</f>
        <v>75.400566159838206</v>
      </c>
      <c r="I80">
        <f>H80+G80</f>
        <v>75.414920192262542</v>
      </c>
      <c r="J80" s="345"/>
      <c r="K80">
        <f>(K65*$AV$9+$AV$11*K67+K68*$AV$12+$AV$13*K69+K70*$AV$14+$AV$15*K71+K72*$AV$16)/0.02404/(1-K79)*K49/$P$44</f>
        <v>5.8644121062588193</v>
      </c>
      <c r="L80">
        <f>(L65*$AV$9+$AV$11*L67+L68*$AV$12+$AV$13*L69+L70*$AV$14+$AV$15*L71+L72*$AV$16)/0.02404/(1-L79)*L49/$P$44</f>
        <v>63.828331440669032</v>
      </c>
      <c r="M80">
        <f>(M65*$AV$9+$AV$11*M67+M68*$AV$12+$AV$13*M69+M70*$AV$14+$AV$15*M71+M72*$AV$16)/0.02404/(1-M79)*M49/$P$44</f>
        <v>1.626138611847967E-2</v>
      </c>
      <c r="N80" s="345"/>
      <c r="O80">
        <f>(O65*$AV$9+$AV$11*O67+O68*$AV$12+$AV$13*O69+O70*$AV$14+$AV$15*O71+O72*$AV$16)/0.02404/(1-O79)*O49/$P$44</f>
        <v>12.705489566380201</v>
      </c>
      <c r="P80">
        <f>(P65*$AV$9+$AV$11*P67+P68*$AV$12+$AV$13*P69+P70*$AV$14+$AV$15*P71+P72*$AV$16)/0.02404/(1-P79)*P49/$P$44</f>
        <v>50.934714272630821</v>
      </c>
      <c r="Q80">
        <f>(Q65*$AV$9+$AV$11*Q67+Q68*$AV$12+$AV$13*Q69+Q70*$AV$14+$AV$15*Q71+Q72*$AV$16)/0.02404/(1-Q79)*Q49/$P$44</f>
        <v>1.8027175697468957E-2</v>
      </c>
      <c r="R80" s="345"/>
      <c r="S80">
        <f>(S65*$AV$9+$AV$11*S67+S68*$AV$12+$AV$13*S69+S70*$AV$14+$AV$15*S71+S72*$AV$16)/0.02404/(1-S79)*S49/$P$44</f>
        <v>18.595819302856832</v>
      </c>
      <c r="T80">
        <f>(T65*$AV$9+$AV$11*T67+T68*$AV$12+$AV$13*T69+T70*$AV$14+$AV$15*T71+T72*$AV$16)/0.02404/(1-T79)*T49/$P$44</f>
        <v>39.231158657446208</v>
      </c>
      <c r="U80">
        <f>(U65*$AV$9+$AV$11*U67+U68*$AV$12+$AV$13*U69+U70*$AV$14+$AV$15*U71+U72*$AV$16)/0.02404/(1-U79)*U49/$P$44</f>
        <v>2.013333665383241E-2</v>
      </c>
      <c r="V80" s="345"/>
      <c r="W80">
        <f>(W65*$AV$9+$AV$11*W67+W68*$AV$12+$AV$13*W69+W70*$AV$14+$AV$15*W71+W72*$AV$16)/0.02404/(1-W79)*W49/$P$44</f>
        <v>23.463148454626033</v>
      </c>
      <c r="X80">
        <f>(X65*$AV$9+$AV$11*X67+X68*$AV$12+$AV$13*X69+X70*$AV$14+$AV$15*X71+X72*$AV$16)/0.02404/(1-X79)*X49/$P$44</f>
        <v>28.955225491079613</v>
      </c>
      <c r="Y80">
        <f>(Y65*$AV$9+$AV$11*Y67+Y68*$AV$12+$AV$13*Y69+Y70*$AV$14+$AV$15*Y71+Y72*$AV$16)/0.02404/(1-Y79)*Y49/$P$44</f>
        <v>2.2526152087767631E-2</v>
      </c>
      <c r="Z80" s="345"/>
      <c r="AA80">
        <f>(AA65*$AV$9+$AV$11*AA67+AA68*$AV$12+$AV$13*AA69+AA70*$AV$14+$AV$15*AA71+AA72*$AV$16)/0.02404/(1-AA79)*AA49/$P$44</f>
        <v>27.036346591082001</v>
      </c>
      <c r="AB80">
        <f>(AB65*$AV$9+$AV$11*AB67+AB68*$AV$12+$AV$13*AB69+AB70*$AV$14+$AV$15*AB71+AB72*$AV$16)/0.02404/(1-AB79)*AB49/$P$44</f>
        <v>20.524048768828564</v>
      </c>
      <c r="AC80">
        <f>(AC65*$AV$9+$AV$11*AC67+AC68*$AV$12+$AV$13*AC69+AC70*$AV$14+$AV$15*AC71+AC72*$AV$16)/0.02404/(1-AC79)*AC49/$P$44</f>
        <v>2.513679577798875E-2</v>
      </c>
      <c r="AD80" s="345"/>
      <c r="AE80">
        <f>(AE65*$AV$9+$AV$11*AE67+AE68*$AV$12+$AV$13*AE69+AE70*$AV$14+$AV$15*AE71+AE72*$AV$16)/0.02404/(1-AE79)*AE49/$P$44</f>
        <v>29.166366517691632</v>
      </c>
      <c r="AF80">
        <f>(AF65*$AV$9+$AV$11*AF67+AF68*$AV$12+$AV$13*AF69+AF70*$AV$14+$AV$15*AF71+AF72*$AV$16)/0.02404/(1-AF79)*AF49/$P$44</f>
        <v>14.159132473167144</v>
      </c>
      <c r="AG80">
        <f>(AG65*$AV$9+$AV$11*AG67+AG68*$AV$12+$AV$13*AG69+AG70*$AV$14+$AV$15*AG71+AG72*$AV$16)/0.02404/(1-AG79)*AG49/$P$44</f>
        <v>2.7935084564817639E-2</v>
      </c>
      <c r="AH80" s="345"/>
      <c r="AI80">
        <f>(AI65*$AV$9+$AV$11*AI67+AI68*$AV$12+$AV$13*AI69+AI70*$AV$14+$AV$15*AI71+AI72*$AV$16)/0.02404/(1-AI79)*AI49/$P$44</f>
        <v>29.920036213663717</v>
      </c>
      <c r="AJ80">
        <f>(AJ65*$AV$9+$AV$11*AJ67+AJ68*$AV$12+$AV$13*AJ69+AJ70*$AV$14+$AV$15*AJ71+AJ72*$AV$16)/0.02404/(1-AJ79)*AJ49/$P$44</f>
        <v>9.7403806135665363</v>
      </c>
      <c r="AK80">
        <f>(AK65*$AV$9+$AV$11*AK67+AK68*$AV$12+$AV$13*AK69+AK70*$AV$14+$AV$15*AK71+AK72*$AV$16)/0.02404/(1-AK79)*AK49/$P$44</f>
        <v>3.0910562656137064E-2</v>
      </c>
      <c r="AL80" s="345"/>
      <c r="AM80">
        <f>(AM65*$AV$9+$AV$11*AM67+AM68*$AV$12+$AV$13*AM69+AM70*$AV$14+$AV$15*AM71+AM72*$AV$16)/0.02404/(1-AM79)*AM49/$P$44</f>
        <v>29.157979663044998</v>
      </c>
      <c r="AN80">
        <f>(AN65*$AV$9+$AV$11*AN67+AN68*$AV$12+$AV$13*AN69+AN70*$AV$14+$AV$15*AN71+AN72*$AV$16)/0.02404/(1-AN79)*AN49/$P$44</f>
        <v>7.2031147677445757</v>
      </c>
      <c r="AO80">
        <f>(AO65*$AV$9+$AV$11*AO67+AO68*$AV$12+$AV$13*AO69+AO70*$AV$14+$AV$15*AO71+AO72*$AV$16)/0.02404/(1-AO79)*AO49/$P$44</f>
        <v>3.4009108739151944E-2</v>
      </c>
      <c r="AP80" s="345"/>
      <c r="AQ80">
        <f>(AQ65*$AV$9+$AV$11*AQ67+AQ68*$AV$12+$AV$13*AQ69+AQ70*$AV$14+$AV$15*AQ71+AQ72*$AV$16)/0.02404/(1-AQ79)*AQ49/$P$44</f>
        <v>23.679281355156469</v>
      </c>
      <c r="AR80">
        <f>(AR65*$AV$9+$AV$11*AR67+AR68*$AV$12+$AV$13*AR69+AR70*$AV$14+$AV$15*AR71+AR72*$AV$16)/0.02404/(1-AR79)*AR49/$P$44</f>
        <v>8.996881641489086</v>
      </c>
      <c r="AS80">
        <f>(AS65*$AV$9+$AV$11*AS67+AS68*$AV$12+$AV$13*AS69+AS70*$AV$14+$AV$15*AS71+AS72*$AV$16)/0.02404/(1-AS79)*AS49/$P$44</f>
        <v>3.3302426534148728E-2</v>
      </c>
      <c r="AT80" s="347"/>
      <c r="AX80" s="347"/>
    </row>
    <row r="81" spans="1:71">
      <c r="A81" s="344" t="s">
        <v>225</v>
      </c>
      <c r="D81" s="13">
        <f>SUM(D65:D72)</f>
        <v>1.613090315173531E-2</v>
      </c>
      <c r="F81" s="345"/>
      <c r="H81" s="13">
        <f>SUM(H65:H72)</f>
        <v>1.6129547552842044E-2</v>
      </c>
      <c r="J81" s="345"/>
      <c r="L81" s="13">
        <f>SUM(L65:L72)</f>
        <v>1.5154112337325108E-2</v>
      </c>
      <c r="N81" s="345"/>
      <c r="P81" s="13">
        <f>SUM(P65:P72)</f>
        <v>1.3818504759812099E-2</v>
      </c>
      <c r="R81" s="345"/>
      <c r="T81" s="13">
        <f>SUM(T65:T72)</f>
        <v>1.240774690494917E-2</v>
      </c>
      <c r="V81" s="345"/>
      <c r="X81" s="13">
        <f>SUM(X65:X72)</f>
        <v>1.0945502338829809E-2</v>
      </c>
      <c r="Z81" s="345"/>
      <c r="AB81" s="13">
        <f>SUM(AB65:AB72)</f>
        <v>9.5765989404494253E-3</v>
      </c>
      <c r="AD81" s="345"/>
      <c r="AF81" s="13">
        <f>SUM(AF65:AF72)</f>
        <v>8.5087632088313193E-3</v>
      </c>
      <c r="AH81" s="345"/>
      <c r="AJ81" s="13">
        <f>SUM(AJ65:AJ72)</f>
        <v>8.0014717262694626E-3</v>
      </c>
      <c r="AL81" s="345"/>
      <c r="AN81" s="13">
        <f>SUM(AN65:AN72)</f>
        <v>8.878950483472467E-3</v>
      </c>
      <c r="AP81" s="345"/>
      <c r="AR81" s="13">
        <f>SUM(AR65:AR72)</f>
        <v>2.0128374877738404E-2</v>
      </c>
      <c r="AT81" s="347"/>
      <c r="AX81" s="347"/>
    </row>
    <row r="82" spans="1:71">
      <c r="A82" s="344" t="s">
        <v>226</v>
      </c>
      <c r="D82">
        <f>(D65*$AV$9+$AV$11*D67+D68*$AV$12+$AV$13*D69+D70*$AV$14+$AV$15*D71+D72*$AV$16)/0.02404/(1-D81)</f>
        <v>75.324145307192126</v>
      </c>
      <c r="F82" s="345"/>
      <c r="H82">
        <f>(H65*$AV$9+$AV$11*H67+H68*$AV$12+$AV$13*H69+H70*$AV$14+$AV$15*H71+H72*$AV$16)/0.02404/(1-H81)</f>
        <v>75.317341000912222</v>
      </c>
      <c r="J82" s="345"/>
      <c r="L82">
        <f>(L65*$AV$9+$AV$11*L67+L68*$AV$12+$AV$13*L69+L70*$AV$14+$AV$15*L71+L72*$AV$16)/0.02404/(1-L81)</f>
        <v>68.971485748365509</v>
      </c>
      <c r="N82" s="345"/>
      <c r="P82">
        <f>(P65*$AV$9+$AV$11*P67+P68*$AV$12+$AV$13*P69+P70*$AV$14+$AV$15*P71+P72*$AV$16)/0.02404/(1-P81)</f>
        <v>60.812075792338952</v>
      </c>
      <c r="R82" s="345"/>
      <c r="T82">
        <f>(T65*$AV$9+$AV$11*T67+T68*$AV$12+$AV$13*T69+T70*$AV$14+$AV$15*T71+T72*$AV$16)/0.02404/(1-T81)</f>
        <v>52.890701157852455</v>
      </c>
      <c r="V82" s="345"/>
      <c r="X82">
        <f>(X65*$AV$9+$AV$11*X67+X68*$AV$12+$AV$13*X69+X70*$AV$14+$AV$15*X71+X72*$AV$16)/0.02404/(1-X81)</f>
        <v>45.297724337833913</v>
      </c>
      <c r="Z82" s="345"/>
      <c r="AB82">
        <f>(AB65*$AV$9+$AV$11*AB67+AB68*$AV$12+$AV$13*AB69+AB70*$AV$14+$AV$15*AB71+AB72*$AV$16)/0.02404/(1-AB81)</f>
        <v>38.585610791210257</v>
      </c>
      <c r="AD82" s="345"/>
      <c r="AF82">
        <f>(AF65*$AV$9+$AV$11*AF67+AF68*$AV$12+$AV$13*AF69+AF70*$AV$14+$AV$15*AF71+AF72*$AV$16)/0.02404/(1-AF81)</f>
        <v>33.513112457598282</v>
      </c>
      <c r="AH82" s="345"/>
      <c r="AJ82">
        <f>(AJ65*$AV$9+$AV$11*AJ67+AJ68*$AV$12+$AV$13*AJ69+AJ70*$AV$14+$AV$15*AJ71+AJ72*$AV$16)/0.02404/(1-AJ81)</f>
        <v>31.016287632620518</v>
      </c>
      <c r="AL82" s="345"/>
      <c r="AN82">
        <f>(AN65*$AV$9+$AV$11*AN67+AN68*$AV$12+$AV$13*AN69+AN70*$AV$14+$AV$15*AN71+AN72*$AV$16)/0.02404/(1-AN81)</f>
        <v>34.384709362670748</v>
      </c>
      <c r="AP82" s="345"/>
      <c r="AR82">
        <f>(AR65*$AV$9+$AV$11*AR67+AR68*$AV$12+$AV$13*AR69+AR70*$AV$14+$AV$15*AR71+AR72*$AV$16)/0.02404/(1-AR81)</f>
        <v>83.933619867355432</v>
      </c>
      <c r="AT82" s="347"/>
      <c r="AX82" s="347"/>
    </row>
    <row r="83" spans="1:71">
      <c r="A83" s="480" t="s">
        <v>228</v>
      </c>
      <c r="B83" s="480"/>
      <c r="C83" s="480"/>
      <c r="D83" s="480"/>
      <c r="E83" s="480"/>
      <c r="F83" s="480"/>
      <c r="G83" s="480"/>
      <c r="H83" s="480"/>
      <c r="I83" s="480"/>
      <c r="J83" s="480"/>
      <c r="K83" s="480"/>
      <c r="L83" s="480"/>
      <c r="M83" s="480"/>
      <c r="N83" s="480"/>
      <c r="O83" s="480"/>
      <c r="AT83" s="347"/>
      <c r="AX83" s="347"/>
    </row>
    <row r="84" spans="1:71">
      <c r="A84" s="480"/>
      <c r="B84" s="480"/>
      <c r="C84" s="480"/>
      <c r="D84" s="480"/>
      <c r="E84" s="480"/>
      <c r="F84" s="480"/>
      <c r="G84" s="480"/>
      <c r="H84" s="480"/>
      <c r="I84" s="480"/>
      <c r="J84" s="480"/>
      <c r="K84" s="480"/>
      <c r="L84" s="480"/>
      <c r="M84" s="480"/>
      <c r="N84" s="480"/>
      <c r="O84" s="480"/>
      <c r="P84">
        <v>0.2</v>
      </c>
      <c r="AT84" s="347"/>
      <c r="AX84" s="347"/>
    </row>
    <row r="85" spans="1:71">
      <c r="A85" s="344" t="s">
        <v>214</v>
      </c>
      <c r="B85" s="344">
        <v>34.680265863698345</v>
      </c>
      <c r="F85" s="345"/>
      <c r="J85" s="345"/>
      <c r="N85" s="345"/>
      <c r="R85" s="345"/>
      <c r="V85" s="345"/>
      <c r="Z85" s="345"/>
      <c r="AD85" s="345"/>
      <c r="AH85" s="345"/>
      <c r="AL85" s="345"/>
      <c r="AP85" s="345"/>
      <c r="AT85" s="347"/>
      <c r="AX85" s="347"/>
    </row>
    <row r="86" spans="1:71" ht="15">
      <c r="A86" s="344" t="s">
        <v>204</v>
      </c>
      <c r="B86" s="344"/>
      <c r="C86" s="476" t="s">
        <v>209</v>
      </c>
      <c r="D86" s="476"/>
      <c r="E86" s="476"/>
      <c r="F86" s="345"/>
      <c r="G86" s="476" t="s">
        <v>215</v>
      </c>
      <c r="H86" s="476"/>
      <c r="I86" s="476"/>
      <c r="J86" s="345"/>
      <c r="K86" s="476" t="s">
        <v>216</v>
      </c>
      <c r="L86" s="476"/>
      <c r="M86" s="476"/>
      <c r="N86" s="345"/>
      <c r="O86" s="476" t="s">
        <v>217</v>
      </c>
      <c r="P86" s="476"/>
      <c r="Q86" s="476"/>
      <c r="R86" s="345"/>
      <c r="S86" s="476" t="s">
        <v>218</v>
      </c>
      <c r="T86" s="476"/>
      <c r="U86" s="476"/>
      <c r="V86" s="345"/>
      <c r="W86" s="476" t="s">
        <v>219</v>
      </c>
      <c r="X86" s="476"/>
      <c r="Y86" s="476"/>
      <c r="Z86" s="345"/>
      <c r="AA86" s="476" t="s">
        <v>220</v>
      </c>
      <c r="AB86" s="476"/>
      <c r="AC86" s="476"/>
      <c r="AD86" s="345"/>
      <c r="AE86" s="476" t="s">
        <v>221</v>
      </c>
      <c r="AF86" s="476"/>
      <c r="AG86" s="476"/>
      <c r="AH86" s="345"/>
      <c r="AI86" s="476" t="s">
        <v>222</v>
      </c>
      <c r="AJ86" s="476"/>
      <c r="AK86" s="476"/>
      <c r="AL86" s="345"/>
      <c r="AM86" s="476" t="s">
        <v>223</v>
      </c>
      <c r="AN86" s="476"/>
      <c r="AO86" s="476"/>
      <c r="AP86" s="345"/>
      <c r="AQ86" s="476" t="s">
        <v>224</v>
      </c>
      <c r="AR86" s="476"/>
      <c r="AS86" s="476"/>
      <c r="AT86" s="347"/>
      <c r="AX86" s="347"/>
      <c r="BH86" t="s">
        <v>239</v>
      </c>
      <c r="BI86" t="s">
        <v>240</v>
      </c>
    </row>
    <row r="87" spans="1:71" ht="16.5" thickBot="1">
      <c r="A87" s="346" t="s">
        <v>211</v>
      </c>
      <c r="B87" s="344" t="s">
        <v>213</v>
      </c>
      <c r="C87" s="476">
        <v>25.72</v>
      </c>
      <c r="D87" s="476"/>
      <c r="E87" s="476"/>
      <c r="F87" s="345"/>
      <c r="G87" s="476">
        <v>23.271999999999998</v>
      </c>
      <c r="H87" s="476"/>
      <c r="I87" s="476"/>
      <c r="J87" s="345"/>
      <c r="K87" s="476">
        <v>20.741</v>
      </c>
      <c r="L87" s="476"/>
      <c r="M87" s="476"/>
      <c r="N87" s="345"/>
      <c r="O87" s="476">
        <v>18.21</v>
      </c>
      <c r="P87" s="476"/>
      <c r="Q87" s="476"/>
      <c r="R87" s="345"/>
      <c r="S87" s="476">
        <v>15.678000000000001</v>
      </c>
      <c r="T87" s="476"/>
      <c r="U87" s="476"/>
      <c r="V87" s="345"/>
      <c r="W87" s="476">
        <v>13.147</v>
      </c>
      <c r="X87" s="476"/>
      <c r="Y87" s="476"/>
      <c r="Z87" s="345"/>
      <c r="AA87" s="476">
        <v>10.616</v>
      </c>
      <c r="AB87" s="476"/>
      <c r="AC87" s="476"/>
      <c r="AD87" s="345"/>
      <c r="AE87" s="476">
        <v>8.0849999999999991</v>
      </c>
      <c r="AF87" s="476"/>
      <c r="AG87" s="476"/>
      <c r="AH87" s="345"/>
      <c r="AI87" s="476">
        <v>5.5540000000000003</v>
      </c>
      <c r="AJ87" s="476"/>
      <c r="AK87" s="476"/>
      <c r="AL87" s="345"/>
      <c r="AM87" s="476">
        <v>2.883</v>
      </c>
      <c r="AN87" s="476"/>
      <c r="AO87" s="476"/>
      <c r="AP87" s="345"/>
      <c r="AQ87" s="476">
        <v>0.49199999999999999</v>
      </c>
      <c r="AR87" s="476"/>
      <c r="AS87" s="476"/>
      <c r="AT87" s="345"/>
      <c r="AU87" s="476"/>
      <c r="AV87" s="476"/>
      <c r="AW87" s="476"/>
      <c r="AX87" s="347"/>
      <c r="AZ87" s="396" t="s">
        <v>149</v>
      </c>
      <c r="BA87" s="397"/>
      <c r="BB87" s="397"/>
      <c r="BC87" s="398"/>
      <c r="BF87" t="s">
        <v>237</v>
      </c>
      <c r="BH87" t="s">
        <v>239</v>
      </c>
      <c r="BI87" t="s">
        <v>240</v>
      </c>
    </row>
    <row r="88" spans="1:71" ht="16.5" thickTop="1" thickBot="1">
      <c r="A88" s="346" t="s">
        <v>212</v>
      </c>
      <c r="B88" s="344" t="s">
        <v>29</v>
      </c>
      <c r="C88" s="478">
        <v>328.6</v>
      </c>
      <c r="D88" s="476"/>
      <c r="E88" s="476"/>
      <c r="F88" s="345"/>
      <c r="G88" s="476">
        <v>328.6</v>
      </c>
      <c r="H88" s="476"/>
      <c r="I88" s="476"/>
      <c r="J88" s="345"/>
      <c r="K88" s="476">
        <v>328.6</v>
      </c>
      <c r="L88" s="476"/>
      <c r="M88" s="476"/>
      <c r="N88" s="345"/>
      <c r="O88" s="476">
        <v>328.6</v>
      </c>
      <c r="P88" s="476"/>
      <c r="Q88" s="476"/>
      <c r="R88" s="345"/>
      <c r="S88" s="476">
        <v>328.6</v>
      </c>
      <c r="T88" s="476"/>
      <c r="U88" s="476"/>
      <c r="V88" s="345"/>
      <c r="W88" s="476">
        <v>328.6</v>
      </c>
      <c r="X88" s="476"/>
      <c r="Y88" s="476"/>
      <c r="Z88" s="345"/>
      <c r="AA88" s="476">
        <v>328.6</v>
      </c>
      <c r="AB88" s="476"/>
      <c r="AC88" s="476"/>
      <c r="AD88" s="345"/>
      <c r="AE88" s="476">
        <v>328.6</v>
      </c>
      <c r="AF88" s="476"/>
      <c r="AG88" s="476"/>
      <c r="AH88" s="345"/>
      <c r="AI88" s="476">
        <v>328.6</v>
      </c>
      <c r="AJ88" s="476"/>
      <c r="AK88" s="476"/>
      <c r="AL88" s="345"/>
      <c r="AM88" s="476">
        <v>328.6</v>
      </c>
      <c r="AN88" s="476"/>
      <c r="AO88" s="476"/>
      <c r="AP88" s="345"/>
      <c r="AQ88" s="476">
        <v>328.6</v>
      </c>
      <c r="AR88" s="476"/>
      <c r="AS88" s="476"/>
      <c r="AT88" s="345"/>
      <c r="AU88" s="476"/>
      <c r="AV88" s="476"/>
      <c r="AW88" s="476"/>
      <c r="AX88" s="347"/>
      <c r="AZ88" s="125" t="s">
        <v>79</v>
      </c>
      <c r="BA88" s="198" t="s">
        <v>31</v>
      </c>
      <c r="BB88" s="126" t="s">
        <v>52</v>
      </c>
      <c r="BC88" s="127" t="s">
        <v>54</v>
      </c>
      <c r="BE88" t="s">
        <v>238</v>
      </c>
      <c r="BF88">
        <v>22.61</v>
      </c>
      <c r="BG88" s="328">
        <v>257.2</v>
      </c>
      <c r="BH88">
        <f>C121</f>
        <v>7.1718314541660305E-2</v>
      </c>
      <c r="BI88">
        <f>$E$121-BH88</f>
        <v>75.34134850680266</v>
      </c>
      <c r="BJ88">
        <f>BG88/10</f>
        <v>25.72</v>
      </c>
    </row>
    <row r="89" spans="1:71" ht="13.5" thickTop="1">
      <c r="A89" s="344"/>
      <c r="B89" s="344"/>
      <c r="C89" s="344" t="s">
        <v>160</v>
      </c>
      <c r="D89" s="344" t="s">
        <v>161</v>
      </c>
      <c r="E89" s="344" t="s">
        <v>162</v>
      </c>
      <c r="F89" s="345"/>
      <c r="G89" s="344" t="s">
        <v>160</v>
      </c>
      <c r="H89" s="344" t="s">
        <v>161</v>
      </c>
      <c r="I89" s="344" t="s">
        <v>162</v>
      </c>
      <c r="J89" s="345"/>
      <c r="K89" s="344" t="s">
        <v>160</v>
      </c>
      <c r="L89" s="344" t="s">
        <v>161</v>
      </c>
      <c r="M89" s="344" t="s">
        <v>162</v>
      </c>
      <c r="N89" s="345"/>
      <c r="O89" s="344" t="s">
        <v>160</v>
      </c>
      <c r="P89" s="344" t="s">
        <v>161</v>
      </c>
      <c r="Q89" s="344" t="s">
        <v>162</v>
      </c>
      <c r="R89" s="345"/>
      <c r="S89" s="344" t="s">
        <v>160</v>
      </c>
      <c r="T89" s="344" t="s">
        <v>161</v>
      </c>
      <c r="U89" s="344" t="s">
        <v>162</v>
      </c>
      <c r="V89" s="345"/>
      <c r="W89" s="344" t="s">
        <v>160</v>
      </c>
      <c r="X89" s="344" t="s">
        <v>161</v>
      </c>
      <c r="Y89" s="344" t="s">
        <v>162</v>
      </c>
      <c r="Z89" s="345"/>
      <c r="AA89" s="344" t="s">
        <v>160</v>
      </c>
      <c r="AB89" s="344" t="s">
        <v>161</v>
      </c>
      <c r="AC89" s="344" t="s">
        <v>162</v>
      </c>
      <c r="AD89" s="345"/>
      <c r="AE89" s="344" t="s">
        <v>160</v>
      </c>
      <c r="AF89" s="344" t="s">
        <v>161</v>
      </c>
      <c r="AG89" s="344" t="s">
        <v>162</v>
      </c>
      <c r="AH89" s="345"/>
      <c r="AI89" s="344" t="s">
        <v>160</v>
      </c>
      <c r="AJ89" s="344" t="s">
        <v>161</v>
      </c>
      <c r="AK89" s="344" t="s">
        <v>162</v>
      </c>
      <c r="AL89" s="345"/>
      <c r="AM89" s="344" t="s">
        <v>160</v>
      </c>
      <c r="AN89" s="344" t="s">
        <v>161</v>
      </c>
      <c r="AO89" s="344" t="s">
        <v>162</v>
      </c>
      <c r="AP89" s="345"/>
      <c r="AQ89" s="344" t="s">
        <v>160</v>
      </c>
      <c r="AR89" s="344" t="s">
        <v>161</v>
      </c>
      <c r="AS89" s="344" t="s">
        <v>162</v>
      </c>
      <c r="AT89" s="347"/>
      <c r="AX89" s="347"/>
      <c r="AZ89">
        <v>257.2</v>
      </c>
      <c r="BA89" s="7">
        <f>AZ89/10</f>
        <v>25.72</v>
      </c>
      <c r="BB89" s="252"/>
      <c r="BC89" s="252">
        <v>0</v>
      </c>
      <c r="BD89">
        <v>0</v>
      </c>
      <c r="BG89" s="328">
        <v>232.72</v>
      </c>
      <c r="BH89">
        <f>G121</f>
        <v>8.6403501241093902E-2</v>
      </c>
      <c r="BI89">
        <f>$E$121-BH89</f>
        <v>75.326663320103222</v>
      </c>
      <c r="BJ89">
        <f t="shared" ref="BJ89:BJ99" si="12">BG89/10</f>
        <v>23.271999999999998</v>
      </c>
    </row>
    <row r="90" spans="1:71">
      <c r="A90" s="344" t="s">
        <v>205</v>
      </c>
      <c r="B90" s="344"/>
      <c r="C90" s="13">
        <v>0.79994056090425014</v>
      </c>
      <c r="D90" s="13">
        <v>0.20005943909574989</v>
      </c>
      <c r="E90" s="13"/>
      <c r="F90" s="347"/>
      <c r="G90" s="13">
        <v>0.79992718491477366</v>
      </c>
      <c r="H90" s="13">
        <v>0.20007281508522637</v>
      </c>
      <c r="I90" s="13"/>
      <c r="J90" s="347"/>
      <c r="K90" s="13">
        <v>3.889550698916211E-4</v>
      </c>
      <c r="L90" s="13">
        <v>0.18510382433222067</v>
      </c>
      <c r="M90" s="13">
        <v>0.79991182461423838</v>
      </c>
      <c r="N90" s="347"/>
      <c r="O90" s="13">
        <v>8.2702176722886783E-4</v>
      </c>
      <c r="P90" s="13">
        <v>0.16766515744665481</v>
      </c>
      <c r="Q90" s="13">
        <v>0.79989407751691954</v>
      </c>
      <c r="R90" s="347"/>
      <c r="S90" s="13">
        <v>1.1855194185667747E-3</v>
      </c>
      <c r="T90" s="13">
        <v>0.1485807415627414</v>
      </c>
      <c r="U90" s="13">
        <v>0.79987284428138472</v>
      </c>
      <c r="V90" s="347"/>
      <c r="W90" s="13">
        <v>1.4433124010478323E-3</v>
      </c>
      <c r="X90" s="13">
        <v>0.12810630666728878</v>
      </c>
      <c r="Y90" s="13">
        <v>0.79984591614421163</v>
      </c>
      <c r="Z90" s="347"/>
      <c r="AA90" s="13">
        <v>1.5696640806676138E-3</v>
      </c>
      <c r="AB90" s="13">
        <v>0.10663281618226998</v>
      </c>
      <c r="AC90" s="13">
        <v>0.79981028181205949</v>
      </c>
      <c r="AD90" s="347"/>
      <c r="AE90" s="13">
        <v>1.5614454958419177E-3</v>
      </c>
      <c r="AF90" s="13">
        <v>8.4721660377905503E-2</v>
      </c>
      <c r="AG90" s="13">
        <v>0.79976069596259136</v>
      </c>
      <c r="AH90" s="347"/>
      <c r="AI90" s="13">
        <v>1.443632207422274E-3</v>
      </c>
      <c r="AJ90" s="13">
        <v>6.3006427503077625E-2</v>
      </c>
      <c r="AK90" s="13">
        <v>0.79968749796825755</v>
      </c>
      <c r="AL90" s="347"/>
      <c r="AM90" s="13">
        <v>1.2245275267362124E-3</v>
      </c>
      <c r="AN90" s="13">
        <v>4.2105657733223147E-2</v>
      </c>
      <c r="AO90" s="13">
        <v>0.7995484684198183</v>
      </c>
      <c r="AP90" s="347"/>
      <c r="AQ90" s="13">
        <v>8.1450683973426357E-4</v>
      </c>
      <c r="AR90" s="13">
        <v>2.1809967095779589E-2</v>
      </c>
      <c r="AS90" s="13">
        <v>0.79895850257067658</v>
      </c>
      <c r="AT90" s="347"/>
      <c r="AX90" s="347"/>
      <c r="AZ90" s="328">
        <v>232.72</v>
      </c>
      <c r="BA90" s="7">
        <v>23.271999999999998</v>
      </c>
      <c r="BB90" s="8"/>
      <c r="BC90" s="8">
        <v>0</v>
      </c>
      <c r="BD90">
        <v>0</v>
      </c>
      <c r="BG90" s="328">
        <v>226.1</v>
      </c>
      <c r="BH90">
        <v>0.09</v>
      </c>
      <c r="BI90">
        <f>$E$121-BH90</f>
        <v>75.323066821344312</v>
      </c>
      <c r="BJ90">
        <f t="shared" si="12"/>
        <v>22.61</v>
      </c>
      <c r="BP90" t="s">
        <v>257</v>
      </c>
    </row>
    <row r="91" spans="1:71">
      <c r="A91" s="344" t="s">
        <v>206</v>
      </c>
      <c r="B91" s="344" t="s">
        <v>210</v>
      </c>
      <c r="C91" s="13">
        <v>12.410277403396456</v>
      </c>
      <c r="D91" s="13">
        <v>18.957434345125627</v>
      </c>
      <c r="E91" s="13"/>
      <c r="F91" s="347"/>
      <c r="G91" s="13">
        <v>12.416447947884075</v>
      </c>
      <c r="H91" s="13">
        <v>20.442556923546046</v>
      </c>
      <c r="I91" s="13"/>
      <c r="J91" s="347"/>
      <c r="K91" s="13">
        <v>4.4088144517560129E-2</v>
      </c>
      <c r="L91" s="13">
        <v>20.81444757385685</v>
      </c>
      <c r="M91" s="13">
        <v>12.422845283857718</v>
      </c>
      <c r="N91" s="347"/>
      <c r="O91" s="13">
        <v>9.5187837580642379E-2</v>
      </c>
      <c r="P91" s="13">
        <v>21.215449254308087</v>
      </c>
      <c r="Q91" s="13">
        <v>12.429238597499026</v>
      </c>
      <c r="R91" s="347"/>
      <c r="S91" s="13">
        <v>0.1389083704812831</v>
      </c>
      <c r="T91" s="13">
        <v>21.757592590649502</v>
      </c>
      <c r="U91" s="13">
        <v>12.435601361154388</v>
      </c>
      <c r="V91" s="347"/>
      <c r="W91" s="13">
        <v>0.17328630851661725</v>
      </c>
      <c r="X91" s="13">
        <v>22.509764360233344</v>
      </c>
      <c r="Y91" s="13">
        <v>12.44186240120796</v>
      </c>
      <c r="Z91" s="347"/>
      <c r="AA91" s="13">
        <v>0.19493808338385329</v>
      </c>
      <c r="AB91" s="13">
        <v>23.583663686069819</v>
      </c>
      <c r="AC91" s="13">
        <v>12.447919755934297</v>
      </c>
      <c r="AD91" s="347"/>
      <c r="AE91" s="13">
        <v>0.20272604176452413</v>
      </c>
      <c r="AF91" s="13">
        <v>25.236776847076825</v>
      </c>
      <c r="AG91" s="13">
        <v>12.453612078839516</v>
      </c>
      <c r="AH91" s="347"/>
      <c r="AI91" s="13">
        <v>0.19821772969165508</v>
      </c>
      <c r="AJ91" s="13">
        <v>28.238848134581264</v>
      </c>
      <c r="AK91" s="13">
        <v>12.458673187582777</v>
      </c>
      <c r="AL91" s="347"/>
      <c r="AM91" s="13">
        <v>0.18124716662297555</v>
      </c>
      <c r="AN91" s="13">
        <v>37.884771077244814</v>
      </c>
      <c r="AO91" s="13">
        <v>12.462582992901753</v>
      </c>
      <c r="AP91" s="347"/>
      <c r="AQ91" s="13">
        <v>0.13462651963748454</v>
      </c>
      <c r="AR91" s="13">
        <v>119.84299582517403</v>
      </c>
      <c r="AS91" s="13">
        <v>12.458112274217182</v>
      </c>
      <c r="AT91" s="347"/>
      <c r="AX91" s="347"/>
      <c r="AZ91" s="358">
        <v>207.41</v>
      </c>
      <c r="BA91" s="7">
        <v>20.741</v>
      </c>
      <c r="BB91" s="8"/>
      <c r="BC91" s="114">
        <v>1.4055263218120263E-3</v>
      </c>
      <c r="BD91">
        <f>BC91/0.6</f>
        <v>2.3425438696867106E-3</v>
      </c>
      <c r="BG91" s="358">
        <v>207.41</v>
      </c>
      <c r="BH91">
        <f>K121+M121</f>
        <v>5.9875374808391397</v>
      </c>
      <c r="BI91">
        <f>($BI$88-BH91)</f>
        <v>69.353811025963523</v>
      </c>
      <c r="BJ91">
        <f t="shared" si="12"/>
        <v>20.741</v>
      </c>
      <c r="BP91" t="s">
        <v>258</v>
      </c>
      <c r="BQ91" t="s">
        <v>254</v>
      </c>
    </row>
    <row r="92" spans="1:71" ht="15">
      <c r="A92" s="344" t="s">
        <v>207</v>
      </c>
      <c r="B92" s="344"/>
      <c r="C92" s="13">
        <v>18.002519541330773</v>
      </c>
      <c r="D92" s="13">
        <v>18.8471045878197</v>
      </c>
      <c r="E92" s="13"/>
      <c r="F92" s="347"/>
      <c r="G92" s="13">
        <v>18.002580300542878</v>
      </c>
      <c r="H92" s="13">
        <v>18.846805196289857</v>
      </c>
      <c r="I92" s="13"/>
      <c r="J92" s="347"/>
      <c r="K92" s="13">
        <v>83.367280395721366</v>
      </c>
      <c r="L92" s="13">
        <v>18.710958803906408</v>
      </c>
      <c r="M92" s="13">
        <v>18.002626747241145</v>
      </c>
      <c r="N92" s="347"/>
      <c r="O92" s="13">
        <v>84.083030838174295</v>
      </c>
      <c r="P92" s="13">
        <v>18.538247458085966</v>
      </c>
      <c r="Q92" s="13">
        <v>18.002663479222498</v>
      </c>
      <c r="R92" s="347"/>
      <c r="S92" s="13">
        <v>85.114561785218285</v>
      </c>
      <c r="T92" s="13">
        <v>18.371630460319604</v>
      </c>
      <c r="U92" s="13">
        <v>18.002693676567866</v>
      </c>
      <c r="V92" s="347"/>
      <c r="W92" s="13">
        <v>87.22080186078469</v>
      </c>
      <c r="X92" s="13">
        <v>18.213415875225731</v>
      </c>
      <c r="Y92" s="13">
        <v>18.002709341623195</v>
      </c>
      <c r="Z92" s="347"/>
      <c r="AA92" s="13">
        <v>91.023140858888027</v>
      </c>
      <c r="AB92" s="13">
        <v>18.075784775580232</v>
      </c>
      <c r="AC92" s="13">
        <v>18.002685447568737</v>
      </c>
      <c r="AD92" s="347"/>
      <c r="AE92" s="13">
        <v>96.856213058810653</v>
      </c>
      <c r="AF92" s="13">
        <v>17.976192467511549</v>
      </c>
      <c r="AG92" s="13">
        <v>18.002592295614768</v>
      </c>
      <c r="AH92" s="347"/>
      <c r="AI92" s="13">
        <v>105.07754073407563</v>
      </c>
      <c r="AJ92" s="13">
        <v>17.938046770914788</v>
      </c>
      <c r="AK92" s="13">
        <v>18.002379584621909</v>
      </c>
      <c r="AL92" s="347"/>
      <c r="AM92" s="13">
        <v>117.42558503842994</v>
      </c>
      <c r="AN92" s="13">
        <v>18.040578218518814</v>
      </c>
      <c r="AO92" s="13">
        <v>18.001959273605078</v>
      </c>
      <c r="AP92" s="347"/>
      <c r="AQ92" s="13">
        <v>139.34473760852418</v>
      </c>
      <c r="AR92" s="13">
        <v>19.116425866484427</v>
      </c>
      <c r="AS92" s="13">
        <v>18.00122034088897</v>
      </c>
      <c r="AT92" s="347"/>
      <c r="AX92" s="347"/>
      <c r="AZ92" s="362">
        <v>182.1</v>
      </c>
      <c r="BA92" s="7">
        <v>18.21</v>
      </c>
      <c r="BB92" s="8"/>
      <c r="BC92" s="114">
        <v>3.0345802187858742E-3</v>
      </c>
      <c r="BD92">
        <f t="shared" ref="BD92:BD99" si="13">BC92/0.6</f>
        <v>5.0576336979764576E-3</v>
      </c>
      <c r="BG92" s="361">
        <v>182.1</v>
      </c>
      <c r="BH92">
        <f>O121+Q121</f>
        <v>12.814607261537347</v>
      </c>
      <c r="BI92">
        <f t="shared" ref="BI92:BI99" si="14">($BI$88-BH92)</f>
        <v>62.526741245265313</v>
      </c>
      <c r="BJ92">
        <f t="shared" si="12"/>
        <v>18.21</v>
      </c>
      <c r="BO92" s="7">
        <v>25.72</v>
      </c>
      <c r="BP92" s="191">
        <f>(0.16/C87/10*47482+10^((-1713.3/(273.15+55.45))+6.694))*0.016*(10^(-7)*55.45^2-1.1*10^(-3)*55.45*D92/29-0.079*(D92/29)^2+0.73*10^(-3)*55.45+0.156*D92/29+0.927)</f>
        <v>0.95219786967941855</v>
      </c>
      <c r="BQ92" s="348">
        <v>1.1778568329902683E-3</v>
      </c>
      <c r="BR92">
        <f t="shared" ref="BR92:BR100" si="15">BQ92*18/0.02404</f>
        <v>0.88192275348688975</v>
      </c>
      <c r="BS92">
        <f>(BP92-BR92)/BP92*100</f>
        <v>7.3803059668878168</v>
      </c>
    </row>
    <row r="93" spans="1:71">
      <c r="A93" s="344" t="s">
        <v>16</v>
      </c>
      <c r="B93" s="344"/>
      <c r="C93" s="13">
        <v>0.20310865234065156</v>
      </c>
      <c r="D93" s="13">
        <v>0.85332770381983469</v>
      </c>
      <c r="E93" s="13"/>
      <c r="F93" s="347"/>
      <c r="G93" s="13">
        <v>0.18384529905772889</v>
      </c>
      <c r="H93" s="13">
        <v>0.83529033024073795</v>
      </c>
      <c r="I93" s="13"/>
      <c r="J93" s="347"/>
      <c r="K93" s="13">
        <v>0.90078155413173255</v>
      </c>
      <c r="L93" s="13">
        <v>0.82228428875174742</v>
      </c>
      <c r="M93" s="13">
        <v>0.16391406782514278</v>
      </c>
      <c r="N93" s="347"/>
      <c r="O93" s="13">
        <v>0.80182211534980918</v>
      </c>
      <c r="P93" s="13">
        <v>0.81568490765941926</v>
      </c>
      <c r="Q93" s="13">
        <v>0.14396770048212049</v>
      </c>
      <c r="R93" s="347"/>
      <c r="S93" s="13">
        <v>0.70171676849113795</v>
      </c>
      <c r="T93" s="13">
        <v>0.81635827449398923</v>
      </c>
      <c r="U93" s="13">
        <v>0.12399814381275232</v>
      </c>
      <c r="V93" s="347"/>
      <c r="W93" s="13">
        <v>0.6026431519276918</v>
      </c>
      <c r="X93" s="13">
        <v>0.82536383410196423</v>
      </c>
      <c r="Y93" s="13">
        <v>0.10402093394686623</v>
      </c>
      <c r="Z93" s="347"/>
      <c r="AA93" s="13">
        <v>0.50398271754597213</v>
      </c>
      <c r="AB93" s="13">
        <v>0.84304752846813669</v>
      </c>
      <c r="AC93" s="13">
        <v>8.4027934823680206E-2</v>
      </c>
      <c r="AD93" s="347"/>
      <c r="AE93" s="13">
        <v>0.40255906537854158</v>
      </c>
      <c r="AF93" s="13">
        <v>0.86905059926244099</v>
      </c>
      <c r="AG93" s="13">
        <v>6.4019044089826171E-2</v>
      </c>
      <c r="AH93" s="347"/>
      <c r="AI93" s="13">
        <v>0.2940151818691274</v>
      </c>
      <c r="AJ93" s="13">
        <v>0.90257523619020685</v>
      </c>
      <c r="AK93" s="13">
        <v>4.3994350313821096E-2</v>
      </c>
      <c r="AL93" s="347"/>
      <c r="AM93" s="13">
        <v>0.16593352574287423</v>
      </c>
      <c r="AN93" s="13">
        <v>0.94507077443211307</v>
      </c>
      <c r="AO93" s="13">
        <v>2.2845375980437177E-2</v>
      </c>
      <c r="AP93" s="347"/>
      <c r="AQ93" s="13">
        <v>3.2168992142273367E-2</v>
      </c>
      <c r="AR93" s="13">
        <v>0.98887546705343632</v>
      </c>
      <c r="AS93" s="13">
        <v>3.8998826333012659E-3</v>
      </c>
      <c r="AT93" s="347"/>
      <c r="AX93" s="347"/>
      <c r="AZ93" s="328">
        <v>156.78</v>
      </c>
      <c r="BA93" s="7">
        <v>15.678000000000001</v>
      </c>
      <c r="BB93" s="8"/>
      <c r="BC93" s="114">
        <v>4.4283871133133541E-3</v>
      </c>
      <c r="BD93">
        <f t="shared" si="13"/>
        <v>7.3806451888555908E-3</v>
      </c>
      <c r="BG93" s="328">
        <v>156.78</v>
      </c>
      <c r="BH93">
        <f>S121+U121</f>
        <v>18.693978219430559</v>
      </c>
      <c r="BI93">
        <f t="shared" si="14"/>
        <v>56.647370287372098</v>
      </c>
      <c r="BJ93">
        <f t="shared" si="12"/>
        <v>15.678000000000001</v>
      </c>
      <c r="BO93" s="7">
        <v>23.271999999999998</v>
      </c>
      <c r="BP93" s="191">
        <f>(0.16/G87/10*47482+10^((-1713.3/(273.15+55.45))+6.694))*0.016*(10^(-7)*55.45^2-1.1*10^(-3)*55.45*H92/29-0.079*(H92/29)^2+0.73*10^(-3)*55.45+0.156*H92/29+0.927)</f>
        <v>1.0017208294428832</v>
      </c>
      <c r="BQ93" s="13">
        <v>1.2316658094122628E-3</v>
      </c>
      <c r="BR93">
        <f t="shared" si="15"/>
        <v>0.92221233649836654</v>
      </c>
      <c r="BS93">
        <f t="shared" ref="BS93:BS102" si="16">(BP93-BR93)/BP93*100</f>
        <v>7.9371907429274575</v>
      </c>
    </row>
    <row r="94" spans="1:71">
      <c r="A94" s="344" t="s">
        <v>208</v>
      </c>
      <c r="B94" s="344" t="s">
        <v>27</v>
      </c>
      <c r="C94" s="13">
        <v>1160.4048089723281</v>
      </c>
      <c r="D94" s="13">
        <v>198.89511965460835</v>
      </c>
      <c r="E94" s="13"/>
      <c r="F94" s="347"/>
      <c r="G94" s="13">
        <v>1159.812648630279</v>
      </c>
      <c r="H94" s="13">
        <v>184.45507502250837</v>
      </c>
      <c r="I94" s="13"/>
      <c r="J94" s="347"/>
      <c r="K94" s="13">
        <v>735.48403381042681</v>
      </c>
      <c r="L94" s="13">
        <v>166.39740349755243</v>
      </c>
      <c r="M94" s="13">
        <v>1159.196116524676</v>
      </c>
      <c r="N94" s="347"/>
      <c r="O94" s="13">
        <v>730.53972571688939</v>
      </c>
      <c r="P94" s="13">
        <v>146.50729954322628</v>
      </c>
      <c r="Q94" s="13">
        <v>1158.5765116342513</v>
      </c>
      <c r="R94" s="347"/>
      <c r="S94" s="13">
        <v>726.41386152301038</v>
      </c>
      <c r="T94" s="13">
        <v>125.45829535773331</v>
      </c>
      <c r="U94" s="13">
        <v>1157.954921326467</v>
      </c>
      <c r="V94" s="347"/>
      <c r="W94" s="13">
        <v>726.46746319796239</v>
      </c>
      <c r="X94" s="13">
        <v>103.65516947358866</v>
      </c>
      <c r="Y94" s="13">
        <v>1157.3342544786983</v>
      </c>
      <c r="Z94" s="347"/>
      <c r="AA94" s="13">
        <v>732.92889842570173</v>
      </c>
      <c r="AB94" s="13">
        <v>81.72910964903312</v>
      </c>
      <c r="AC94" s="13">
        <v>1156.7180061816759</v>
      </c>
      <c r="AD94" s="347"/>
      <c r="AE94" s="13">
        <v>746.01021313607271</v>
      </c>
      <c r="AF94" s="13">
        <v>60.34736061379337</v>
      </c>
      <c r="AG94" s="13">
        <v>1156.1116286844629</v>
      </c>
      <c r="AH94" s="347"/>
      <c r="AI94" s="13">
        <v>765.2863460620282</v>
      </c>
      <c r="AJ94" s="13">
        <v>40.023312496036318</v>
      </c>
      <c r="AK94" s="13">
        <v>1155.5225561137215</v>
      </c>
      <c r="AL94" s="347"/>
      <c r="AM94" s="13">
        <v>793.34129135254545</v>
      </c>
      <c r="AN94" s="13">
        <v>20.050547757820496</v>
      </c>
      <c r="AO94" s="13">
        <v>1154.9322459047919</v>
      </c>
      <c r="AP94" s="347"/>
      <c r="AQ94" s="13">
        <v>843.052633082537</v>
      </c>
      <c r="AR94" s="13">
        <v>3.4789569158063038</v>
      </c>
      <c r="AS94" s="13">
        <v>1154.4468159727817</v>
      </c>
      <c r="AT94" s="347"/>
      <c r="AX94" s="347"/>
      <c r="AZ94" s="328">
        <v>131.47</v>
      </c>
      <c r="BA94" s="7">
        <v>13.147</v>
      </c>
      <c r="BB94" s="8"/>
      <c r="BC94" s="114">
        <v>5.5243528729755614E-3</v>
      </c>
      <c r="BD94">
        <f t="shared" si="13"/>
        <v>9.2072547882926029E-3</v>
      </c>
      <c r="BG94" s="328">
        <v>131.47</v>
      </c>
      <c r="BH94">
        <f>W121+Y121</f>
        <v>23.550115338627119</v>
      </c>
      <c r="BI94">
        <f t="shared" si="14"/>
        <v>51.791233168175538</v>
      </c>
      <c r="BJ94">
        <f t="shared" si="12"/>
        <v>13.147</v>
      </c>
      <c r="BO94" s="7">
        <v>20.741</v>
      </c>
      <c r="BP94" s="191">
        <f>(0.16/K87/10*47482+10^((-1713.3/(273.15+55.45))+6.694))*0.016*(10^(-7)*55.45^2-1.1*10^(-3)*55.45*L92/29-0.079*(L92/29)^2+0.73*10^(-3)*55.45+0.156*L92/29+0.927)</f>
        <v>1.0652507381529455</v>
      </c>
      <c r="BQ94" s="13">
        <v>1.3027099803835721E-3</v>
      </c>
      <c r="BR94">
        <f t="shared" si="15"/>
        <v>0.97540680727555318</v>
      </c>
      <c r="BS94">
        <f t="shared" si="16"/>
        <v>8.434064174710084</v>
      </c>
    </row>
    <row r="95" spans="1:71">
      <c r="F95" s="345"/>
      <c r="J95" s="345"/>
      <c r="N95" s="345"/>
      <c r="R95" s="345"/>
      <c r="V95" s="345"/>
      <c r="Z95" s="345"/>
      <c r="AD95" s="345"/>
      <c r="AH95" s="345"/>
      <c r="AL95" s="345"/>
      <c r="AP95" s="345"/>
      <c r="AT95" s="345"/>
      <c r="AX95" s="347"/>
      <c r="AZ95" s="328">
        <v>106.16</v>
      </c>
      <c r="BA95" s="7">
        <v>10.616</v>
      </c>
      <c r="BB95" s="8"/>
      <c r="BC95" s="114">
        <v>6.2146096261879212E-3</v>
      </c>
      <c r="BD95">
        <f t="shared" si="13"/>
        <v>1.0357682710313202E-2</v>
      </c>
      <c r="BG95" s="328">
        <v>106.16</v>
      </c>
      <c r="BH95">
        <f>AA121+AC121</f>
        <v>27.114022579280768</v>
      </c>
      <c r="BI95">
        <f t="shared" si="14"/>
        <v>48.227325927521889</v>
      </c>
      <c r="BJ95">
        <f t="shared" si="12"/>
        <v>10.616</v>
      </c>
      <c r="BO95" s="7">
        <v>18.21</v>
      </c>
      <c r="BP95" s="191">
        <f>(0.16/O87/10*47482+10^((-1713.3/(273.15+55.45))+6.694))*0.016*(10^(-7)*55.45^2-1.1*10^(-3)*55.45*P92/29-0.079*(P92/29)^2+0.73*10^(-3)*55.45+0.156*P92/29+0.927)</f>
        <v>1.1464409664975879</v>
      </c>
      <c r="BQ95" s="13">
        <v>1.3928966469397251E-3</v>
      </c>
      <c r="BR95">
        <f t="shared" si="15"/>
        <v>1.0429342614357344</v>
      </c>
      <c r="BS95">
        <f t="shared" si="16"/>
        <v>9.0285246328966764</v>
      </c>
    </row>
    <row r="96" spans="1:71">
      <c r="A96" s="344" t="s">
        <v>22</v>
      </c>
      <c r="B96" t="s">
        <v>17</v>
      </c>
      <c r="C96" s="79">
        <v>1.1904511627259572E-6</v>
      </c>
      <c r="D96" s="348">
        <v>1.354835898042454E-3</v>
      </c>
      <c r="E96" s="13"/>
      <c r="F96" s="347"/>
      <c r="G96" s="13">
        <v>1.1492359478193801E-6</v>
      </c>
      <c r="H96" s="13">
        <v>1.3549101851142741E-3</v>
      </c>
      <c r="I96" s="13"/>
      <c r="J96" s="347"/>
      <c r="K96" s="13">
        <v>1.1797106490614502E-3</v>
      </c>
      <c r="L96" s="13">
        <v>1.3553643650725776E-3</v>
      </c>
      <c r="M96" s="13">
        <v>1.103331045142703E-6</v>
      </c>
      <c r="N96" s="347"/>
      <c r="O96" s="13">
        <v>1.1326925971767298E-3</v>
      </c>
      <c r="P96" s="13">
        <v>1.3561650263013178E-3</v>
      </c>
      <c r="Q96" s="13">
        <v>1.050268772364636E-6</v>
      </c>
      <c r="R96" s="347"/>
      <c r="S96" s="13">
        <v>1.0719275590143167E-3</v>
      </c>
      <c r="T96" s="13">
        <v>1.3573390406756659E-3</v>
      </c>
      <c r="U96" s="13">
        <v>9.8643747237394596E-7</v>
      </c>
      <c r="V96" s="347"/>
      <c r="W96" s="13">
        <v>9.9155885074538779E-4</v>
      </c>
      <c r="X96" s="13">
        <v>1.3590246363788267E-3</v>
      </c>
      <c r="Y96" s="13">
        <v>9.0781575616778896E-7</v>
      </c>
      <c r="Z96" s="347"/>
      <c r="AA96" s="13">
        <v>8.8501317594177485E-4</v>
      </c>
      <c r="AB96" s="13">
        <v>1.3613167184703672E-3</v>
      </c>
      <c r="AC96" s="13">
        <v>8.0887239657170184E-7</v>
      </c>
      <c r="AD96" s="347"/>
      <c r="AE96" s="13">
        <v>7.456822332866424E-4</v>
      </c>
      <c r="AF96" s="13">
        <v>1.364232487738138E-3</v>
      </c>
      <c r="AG96" s="13">
        <v>6.8277515318899118E-7</v>
      </c>
      <c r="AH96" s="347"/>
      <c r="AI96" s="13">
        <v>5.6667810923737374E-4</v>
      </c>
      <c r="AJ96" s="13">
        <v>1.3676392419240272E-3</v>
      </c>
      <c r="AK96" s="13">
        <v>5.2156988752200697E-7</v>
      </c>
      <c r="AL96" s="347"/>
      <c r="AM96" s="13">
        <v>3.2647738247462335E-4</v>
      </c>
      <c r="AN96" s="13">
        <v>1.3700890949587914E-3</v>
      </c>
      <c r="AO96" s="13">
        <v>3.0321619886277268E-7</v>
      </c>
      <c r="AP96" s="347"/>
      <c r="AQ96" s="13">
        <v>5.9107279937703872E-5</v>
      </c>
      <c r="AR96" s="13">
        <v>1.3324693598942517E-3</v>
      </c>
      <c r="AS96" s="13">
        <v>5.5682292385333647E-8</v>
      </c>
      <c r="AT96" s="347"/>
      <c r="AX96" s="347"/>
      <c r="AZ96" s="328">
        <v>80.849999999999994</v>
      </c>
      <c r="BA96" s="7">
        <v>8.0849999999999991</v>
      </c>
      <c r="BB96" s="8"/>
      <c r="BC96" s="114">
        <v>6.4628890812883644E-3</v>
      </c>
      <c r="BD96">
        <f t="shared" si="13"/>
        <v>1.0771481802147275E-2</v>
      </c>
      <c r="BG96" s="328">
        <v>80.849999999999994</v>
      </c>
      <c r="BH96">
        <f>AE121+AG121</f>
        <v>29.23837204275701</v>
      </c>
      <c r="BI96">
        <f t="shared" si="14"/>
        <v>46.102976464045653</v>
      </c>
      <c r="BJ96">
        <f t="shared" si="12"/>
        <v>8.0849999999999991</v>
      </c>
      <c r="BO96" s="7">
        <v>15.678000000000001</v>
      </c>
      <c r="BP96" s="191">
        <f>(0.16/S87/10*47482+10^((-1713.3/(273.15+55.45))+6.694))*0.016*(10^(-7)*55.45^2-1.1*10^(-3)*55.45*T92/29-0.079*(T92/29)^2+0.73*10^(-3)*55.45+0.156*T92/29+0.927)</f>
        <v>1.2538785017795275</v>
      </c>
      <c r="BQ96" s="13">
        <v>1.5112918060058451E-3</v>
      </c>
      <c r="BR96">
        <f t="shared" si="15"/>
        <v>1.1315828830326629</v>
      </c>
      <c r="BS96">
        <f t="shared" si="16"/>
        <v>9.7533866776805311</v>
      </c>
    </row>
    <row r="97" spans="1:71">
      <c r="A97" s="344" t="s">
        <v>23</v>
      </c>
      <c r="B97" t="s">
        <v>17</v>
      </c>
      <c r="C97" s="79">
        <v>4.038898923359073E-10</v>
      </c>
      <c r="D97" s="348">
        <v>4.9983529681431649E-5</v>
      </c>
      <c r="E97" s="13"/>
      <c r="F97" s="347"/>
      <c r="G97" s="13">
        <v>3.7103147971111439E-10</v>
      </c>
      <c r="H97" s="13">
        <v>4.9980319403079722E-5</v>
      </c>
      <c r="I97" s="13"/>
      <c r="J97" s="347"/>
      <c r="K97" s="13">
        <v>1.4499850183168357E-5</v>
      </c>
      <c r="L97" s="13">
        <v>5.0050882039820316E-5</v>
      </c>
      <c r="M97" s="13">
        <v>3.3501181194881799E-10</v>
      </c>
      <c r="N97" s="347"/>
      <c r="O97" s="13">
        <v>1.2939080942556917E-5</v>
      </c>
      <c r="P97" s="13">
        <v>5.0146348201869652E-5</v>
      </c>
      <c r="Q97" s="13">
        <v>2.9739711687701317E-10</v>
      </c>
      <c r="R97" s="347"/>
      <c r="S97" s="13">
        <v>1.1268827063114444E-5</v>
      </c>
      <c r="T97" s="13">
        <v>5.0242492501658804E-5</v>
      </c>
      <c r="U97" s="13">
        <v>2.5849351536260971E-10</v>
      </c>
      <c r="V97" s="347"/>
      <c r="W97" s="13">
        <v>9.4798617423998792E-6</v>
      </c>
      <c r="X97" s="13">
        <v>5.0330764281328438E-5</v>
      </c>
      <c r="Y97" s="13">
        <v>2.1857562495305511E-10</v>
      </c>
      <c r="Z97" s="347"/>
      <c r="AA97" s="13">
        <v>7.6050622901529755E-6</v>
      </c>
      <c r="AB97" s="13">
        <v>5.0390252759212598E-5</v>
      </c>
      <c r="AC97" s="13">
        <v>1.7789872623198552E-10</v>
      </c>
      <c r="AD97" s="347"/>
      <c r="AE97" s="13">
        <v>5.7055099473053143E-6</v>
      </c>
      <c r="AF97" s="13">
        <v>5.0392009087224389E-5</v>
      </c>
      <c r="AG97" s="13">
        <v>1.3661142678393914E-10</v>
      </c>
      <c r="AH97" s="347"/>
      <c r="AI97" s="13">
        <v>3.834360930400891E-6</v>
      </c>
      <c r="AJ97" s="13">
        <v>5.0293313296383798E-5</v>
      </c>
      <c r="AK97" s="13">
        <v>9.4686010255743368E-11</v>
      </c>
      <c r="AL97" s="347"/>
      <c r="AM97" s="13">
        <v>1.9278193771501305E-6</v>
      </c>
      <c r="AN97" s="13">
        <v>4.9941794941695371E-5</v>
      </c>
      <c r="AO97" s="13">
        <v>4.9543964134548725E-11</v>
      </c>
      <c r="AP97" s="347"/>
      <c r="AQ97" s="13">
        <v>3.0479688905907575E-7</v>
      </c>
      <c r="AR97" s="13">
        <v>4.7750335071129292E-5</v>
      </c>
      <c r="AS97" s="13">
        <v>8.2190500169517558E-12</v>
      </c>
      <c r="AT97" s="347"/>
      <c r="AX97" s="347"/>
      <c r="AZ97" s="328">
        <v>55.54</v>
      </c>
      <c r="BA97" s="7">
        <v>5.5540000000000003</v>
      </c>
      <c r="BB97" s="8"/>
      <c r="BC97" s="114">
        <v>6.3191644733535364E-3</v>
      </c>
      <c r="BD97">
        <f t="shared" si="13"/>
        <v>1.0531940788922561E-2</v>
      </c>
      <c r="BG97" s="328">
        <v>55.54</v>
      </c>
      <c r="BH97">
        <f>AI121+AK121</f>
        <v>29.990864966918206</v>
      </c>
      <c r="BI97">
        <f t="shared" si="14"/>
        <v>45.350483539884451</v>
      </c>
      <c r="BJ97">
        <f t="shared" si="12"/>
        <v>5.5540000000000003</v>
      </c>
      <c r="BO97" s="7">
        <v>13.147</v>
      </c>
      <c r="BP97" s="191">
        <f>(0.16/W87/10*47482+10^((-1713.3/(273.15+55.45))+6.694))*0.016*(10^(-7)*55.45^2-1.1*10^(-3)*55.45*X92/29-0.079*(X92/29)^2+0.73*10^(-3)*55.45+0.156*X92/29+0.927)</f>
        <v>1.4026172332912401</v>
      </c>
      <c r="BQ97" s="13">
        <v>1.6761571990969127E-3</v>
      </c>
      <c r="BR97">
        <f t="shared" si="15"/>
        <v>1.2550261890076719</v>
      </c>
      <c r="BS97">
        <f t="shared" si="16"/>
        <v>10.522546050375119</v>
      </c>
    </row>
    <row r="98" spans="1:71">
      <c r="A98" s="344" t="s">
        <v>157</v>
      </c>
      <c r="B98" t="s">
        <v>17</v>
      </c>
      <c r="C98" s="79">
        <v>0.99977973078225468</v>
      </c>
      <c r="D98" s="348">
        <v>1.1778568329902683E-3</v>
      </c>
      <c r="E98" s="13"/>
      <c r="F98" s="347"/>
      <c r="G98" s="13">
        <v>0.99978297054559373</v>
      </c>
      <c r="H98" s="13">
        <v>1.2316658094122628E-3</v>
      </c>
      <c r="I98" s="13"/>
      <c r="J98" s="347"/>
      <c r="K98" s="13">
        <v>3.8431706924415753E-5</v>
      </c>
      <c r="L98" s="13">
        <v>1.3027099803835721E-3</v>
      </c>
      <c r="M98" s="13">
        <v>0.99978628542952164</v>
      </c>
      <c r="N98" s="347"/>
      <c r="O98" s="13">
        <v>3.5785847783503173E-5</v>
      </c>
      <c r="P98" s="13">
        <v>1.3928966469397251E-3</v>
      </c>
      <c r="Q98" s="13">
        <v>0.99979022976417364</v>
      </c>
      <c r="R98" s="347"/>
      <c r="S98" s="13">
        <v>3.2448207155134109E-5</v>
      </c>
      <c r="T98" s="13">
        <v>1.5112918060058451E-3</v>
      </c>
      <c r="U98" s="13">
        <v>0.99979535363242478</v>
      </c>
      <c r="V98" s="347"/>
      <c r="W98" s="13">
        <v>2.7824023623771342E-5</v>
      </c>
      <c r="X98" s="13">
        <v>1.6761571990969127E-3</v>
      </c>
      <c r="Y98" s="13">
        <v>0.99980304204223935</v>
      </c>
      <c r="Z98" s="347"/>
      <c r="AA98" s="13">
        <v>2.2043918369085784E-5</v>
      </c>
      <c r="AB98" s="13">
        <v>1.9230238640495676E-3</v>
      </c>
      <c r="AC98" s="13">
        <v>0.99981487089708543</v>
      </c>
      <c r="AD98" s="347"/>
      <c r="AE98" s="13">
        <v>1.591208494298408E-5</v>
      </c>
      <c r="AF98" s="13">
        <v>2.3320231533190947E-3</v>
      </c>
      <c r="AG98" s="13">
        <v>0.99983340665067477</v>
      </c>
      <c r="AH98" s="347"/>
      <c r="AI98" s="13">
        <v>1.0259069325789371E-5</v>
      </c>
      <c r="AJ98" s="13">
        <v>3.1279141111766606E-3</v>
      </c>
      <c r="AK98" s="13">
        <v>0.99986167287585925</v>
      </c>
      <c r="AL98" s="347"/>
      <c r="AM98" s="13">
        <v>5.4305845523455674E-6</v>
      </c>
      <c r="AN98" s="13">
        <v>5.5216711917314473E-3</v>
      </c>
      <c r="AO98" s="13">
        <v>0.99990808350552174</v>
      </c>
      <c r="AP98" s="347"/>
      <c r="AQ98" s="13">
        <v>2.3346036646983708E-6</v>
      </c>
      <c r="AR98" s="13">
        <v>2.9925847848134554E-2</v>
      </c>
      <c r="AS98" s="13">
        <v>0.99997334407037752</v>
      </c>
      <c r="AT98" s="347"/>
      <c r="AX98" s="347"/>
      <c r="AZ98" s="328">
        <v>28.83</v>
      </c>
      <c r="BA98" s="7">
        <v>2.883</v>
      </c>
      <c r="BB98" s="8"/>
      <c r="BC98" s="80">
        <v>5.7781443567210527E-3</v>
      </c>
      <c r="BD98">
        <f t="shared" si="13"/>
        <v>9.6302405945350878E-3</v>
      </c>
      <c r="BG98" s="328">
        <v>28.83</v>
      </c>
      <c r="BH98">
        <f>AM121+AO121</f>
        <v>29.231032947409904</v>
      </c>
      <c r="BI98">
        <f t="shared" si="14"/>
        <v>46.11031555939276</v>
      </c>
      <c r="BJ98">
        <f t="shared" si="12"/>
        <v>2.883</v>
      </c>
      <c r="BO98" s="7">
        <v>10.616</v>
      </c>
      <c r="BP98" s="191">
        <f>(0.16/AA87/10*47482+10^((-1713.3/(273.15+55.45))+6.694))*0.016*(10^(-7)*55.45^2-1.1*10^(-3)*55.45*AB92/29-0.079*(AB92/29)^2+0.73*10^(-3)*55.45+0.156*AB92/29+0.927)</f>
        <v>1.6222612056284724</v>
      </c>
      <c r="BQ98" s="13">
        <v>1.9230238640495676E-3</v>
      </c>
      <c r="BR98">
        <f t="shared" si="15"/>
        <v>1.4398681178407746</v>
      </c>
      <c r="BS98">
        <f t="shared" si="16"/>
        <v>11.243139338774842</v>
      </c>
    </row>
    <row r="99" spans="1:71">
      <c r="A99" s="344" t="s">
        <v>159</v>
      </c>
      <c r="B99" t="s">
        <v>17</v>
      </c>
      <c r="C99" s="79"/>
      <c r="D99" s="348"/>
      <c r="E99" s="13"/>
      <c r="F99" s="347"/>
      <c r="G99" s="13"/>
      <c r="H99" s="13"/>
      <c r="I99" s="13"/>
      <c r="J99" s="347"/>
      <c r="K99" s="13"/>
      <c r="L99" s="13"/>
      <c r="M99" s="13"/>
      <c r="N99" s="347"/>
      <c r="O99" s="13"/>
      <c r="P99" s="13"/>
      <c r="Q99" s="13"/>
      <c r="R99" s="347"/>
      <c r="S99" s="13"/>
      <c r="T99" s="13"/>
      <c r="U99" s="13"/>
      <c r="V99" s="347"/>
      <c r="W99" s="13"/>
      <c r="X99" s="13"/>
      <c r="Y99" s="13"/>
      <c r="Z99" s="347"/>
      <c r="AA99" s="13"/>
      <c r="AB99" s="13"/>
      <c r="AC99" s="13"/>
      <c r="AD99" s="347"/>
      <c r="AE99" s="13"/>
      <c r="AF99" s="13"/>
      <c r="AG99" s="13"/>
      <c r="AH99" s="347"/>
      <c r="AI99" s="13"/>
      <c r="AJ99" s="13"/>
      <c r="AK99" s="13"/>
      <c r="AL99" s="347"/>
      <c r="AM99" s="13"/>
      <c r="AN99" s="13"/>
      <c r="AO99" s="13"/>
      <c r="AP99" s="347"/>
      <c r="AQ99" s="13"/>
      <c r="AR99" s="13"/>
      <c r="AS99" s="13"/>
      <c r="AT99" s="347"/>
      <c r="AX99" s="347"/>
      <c r="AZ99" s="359">
        <v>4.92</v>
      </c>
      <c r="BA99" s="7">
        <v>0.49199999999999999</v>
      </c>
      <c r="BB99" s="8"/>
      <c r="BC99" s="80">
        <v>4.2918820702255271E-3</v>
      </c>
      <c r="BD99">
        <f t="shared" si="13"/>
        <v>7.1531367837092122E-3</v>
      </c>
      <c r="BG99" s="359">
        <v>4.92</v>
      </c>
      <c r="BH99">
        <f>AQ121+AS121</f>
        <v>23.755871879436679</v>
      </c>
      <c r="BI99">
        <f t="shared" si="14"/>
        <v>51.585476627365978</v>
      </c>
      <c r="BJ99">
        <f t="shared" si="12"/>
        <v>0.49199999999999999</v>
      </c>
      <c r="BO99" s="7">
        <v>8.0849999999999991</v>
      </c>
      <c r="BP99" s="191">
        <f>(0.16/AE87/10*47482+10^((-1713.3/(273.15+55.45))+6.694))*0.016*(10^(-7)*55.45^2-1.1*10^(-3)*55.45*AF92/29-0.079*(AF92/29)^2+0.73*10^(-3)*55.45+0.156*AF92/29+0.927)</f>
        <v>1.9794037888421987</v>
      </c>
      <c r="BQ99" s="13">
        <v>2.3320231533190947E-3</v>
      </c>
      <c r="BR99">
        <f t="shared" si="15"/>
        <v>1.7461071863454123</v>
      </c>
      <c r="BS99">
        <f t="shared" si="16"/>
        <v>11.786205715673974</v>
      </c>
    </row>
    <row r="100" spans="1:71">
      <c r="A100" s="344" t="s">
        <v>193</v>
      </c>
      <c r="B100" t="s">
        <v>17</v>
      </c>
      <c r="C100" s="79"/>
      <c r="D100" s="348"/>
      <c r="E100" s="13"/>
      <c r="F100" s="347"/>
      <c r="G100" s="13"/>
      <c r="H100" s="13"/>
      <c r="I100" s="13"/>
      <c r="J100" s="347"/>
      <c r="K100" s="13"/>
      <c r="L100" s="13"/>
      <c r="M100" s="13"/>
      <c r="N100" s="347"/>
      <c r="O100" s="13"/>
      <c r="P100" s="13"/>
      <c r="Q100" s="13"/>
      <c r="R100" s="347"/>
      <c r="S100" s="13"/>
      <c r="T100" s="13"/>
      <c r="U100" s="13"/>
      <c r="V100" s="347"/>
      <c r="W100" s="13"/>
      <c r="X100" s="13"/>
      <c r="Y100" s="13"/>
      <c r="Z100" s="347"/>
      <c r="AA100" s="13"/>
      <c r="AB100" s="13"/>
      <c r="AC100" s="13"/>
      <c r="AD100" s="347"/>
      <c r="AE100" s="13"/>
      <c r="AF100" s="13"/>
      <c r="AG100" s="13"/>
      <c r="AH100" s="347"/>
      <c r="AI100" s="13"/>
      <c r="AJ100" s="13"/>
      <c r="AK100" s="13"/>
      <c r="AL100" s="347"/>
      <c r="AM100" s="13"/>
      <c r="AN100" s="13"/>
      <c r="AO100" s="13"/>
      <c r="AP100" s="347"/>
      <c r="AQ100" s="13"/>
      <c r="AR100" s="13"/>
      <c r="AS100" s="13"/>
      <c r="AT100" s="347"/>
      <c r="AX100" s="347"/>
      <c r="AZ100" s="328"/>
      <c r="BA100" s="7"/>
      <c r="BB100" s="1"/>
      <c r="BC100" s="80"/>
      <c r="BG100" t="s">
        <v>241</v>
      </c>
      <c r="BO100" s="7">
        <v>5.5540000000000003</v>
      </c>
      <c r="BP100" s="191">
        <f>(0.16/AI87/10*47482+10^((-1713.3/(273.15+55.45))+6.694))*0.016*(10^(-7)*55.45^2-1.1*10^(-3)*55.45*AJ92/29-0.079*(AJ92/29)^2+0.73*10^(-3)*55.45+0.156*AJ92/29+0.927)</f>
        <v>2.662027234769234</v>
      </c>
      <c r="BQ100" s="13">
        <v>3.1279141111766606E-3</v>
      </c>
      <c r="BR100">
        <f t="shared" si="15"/>
        <v>2.3420321963885149</v>
      </c>
      <c r="BS100">
        <f t="shared" si="16"/>
        <v>12.020727444152495</v>
      </c>
    </row>
    <row r="101" spans="1:71">
      <c r="A101" s="344" t="s">
        <v>24</v>
      </c>
      <c r="B101" t="s">
        <v>17</v>
      </c>
      <c r="C101" s="79">
        <v>3.9618884305150542E-5</v>
      </c>
      <c r="D101" s="348">
        <v>0.92033801594007414</v>
      </c>
      <c r="E101" s="13"/>
      <c r="F101" s="347"/>
      <c r="G101" s="13">
        <v>3.7439775117512986E-5</v>
      </c>
      <c r="H101" s="13">
        <v>0.92028520130360469</v>
      </c>
      <c r="I101" s="13"/>
      <c r="J101" s="347"/>
      <c r="K101" s="13">
        <v>0.42265629951370998</v>
      </c>
      <c r="L101" s="13">
        <v>0.92126500915222853</v>
      </c>
      <c r="M101" s="13">
        <v>3.500678470604548E-5</v>
      </c>
      <c r="N101" s="347"/>
      <c r="O101" s="13">
        <v>0.39767984800719541</v>
      </c>
      <c r="P101" s="13">
        <v>0.92260614590719836</v>
      </c>
      <c r="Q101" s="13">
        <v>3.2342527043090204E-5</v>
      </c>
      <c r="R101" s="347"/>
      <c r="S101" s="13">
        <v>0.36761449282829761</v>
      </c>
      <c r="T101" s="13">
        <v>0.92399662013355188</v>
      </c>
      <c r="U101" s="13">
        <v>2.93932942439347E-5</v>
      </c>
      <c r="V101" s="347"/>
      <c r="W101" s="13">
        <v>0.32981932678939191</v>
      </c>
      <c r="X101" s="13">
        <v>0.92536841744989595</v>
      </c>
      <c r="Y101" s="13">
        <v>2.6098954638371137E-5</v>
      </c>
      <c r="Z101" s="347"/>
      <c r="AA101" s="13">
        <v>0.28286746299824211</v>
      </c>
      <c r="AB101" s="13">
        <v>0.9264839016691867</v>
      </c>
      <c r="AC101" s="13">
        <v>2.238070132914979E-5</v>
      </c>
      <c r="AD101" s="347"/>
      <c r="AE101" s="13">
        <v>0.22697714386082732</v>
      </c>
      <c r="AF101" s="13">
        <v>0.92694928114802955</v>
      </c>
      <c r="AG101" s="13">
        <v>1.8145643385834379E-5</v>
      </c>
      <c r="AH101" s="347"/>
      <c r="AI101" s="13">
        <v>0.16297971198377334</v>
      </c>
      <c r="AJ101" s="13">
        <v>0.92609153280654855</v>
      </c>
      <c r="AK101" s="13">
        <v>1.3289863138048703E-5</v>
      </c>
      <c r="AL101" s="347"/>
      <c r="AM101" s="13">
        <v>8.7578128979846862E-2</v>
      </c>
      <c r="AN101" s="13">
        <v>0.92136796690170597</v>
      </c>
      <c r="AO101" s="13">
        <v>7.3697110340214756E-6</v>
      </c>
      <c r="AP101" s="347"/>
      <c r="AQ101" s="13">
        <v>1.440758735352876E-2</v>
      </c>
      <c r="AR101" s="13">
        <v>0.88372530930126147</v>
      </c>
      <c r="AS101" s="13">
        <v>1.2876192275279471E-6</v>
      </c>
      <c r="AT101" s="347"/>
      <c r="AX101" s="347"/>
      <c r="BO101">
        <v>2.883</v>
      </c>
      <c r="BP101" s="191">
        <f>(0.16/AM87/10*47482+10^((-1713.3/(273.15+55.45))+6.694))*0.016*(10^(-7)*55.45^2-1.1*10^(-3)*55.45*AN92/29-0.079*(AN92/29)^2+0.73*10^(-3)*55.45+0.156*AN92/29+0.927)</f>
        <v>4.6821738187338067</v>
      </c>
      <c r="BQ101" s="13">
        <v>5.5216711917314473E-3</v>
      </c>
      <c r="BR101">
        <f>BQ101*18/0.02404</f>
        <v>4.1343627891500025</v>
      </c>
      <c r="BS101">
        <f t="shared" si="16"/>
        <v>11.699929365970183</v>
      </c>
    </row>
    <row r="102" spans="1:71">
      <c r="A102" s="344" t="s">
        <v>4</v>
      </c>
      <c r="B102" t="s">
        <v>17</v>
      </c>
      <c r="C102" s="79">
        <v>1.7002382537940455E-4</v>
      </c>
      <c r="D102" s="348">
        <v>4.0108035302041274E-2</v>
      </c>
      <c r="E102" s="13"/>
      <c r="F102" s="347"/>
      <c r="G102" s="13">
        <v>1.681801612549092E-4</v>
      </c>
      <c r="H102" s="13">
        <v>4.0112736523601096E-2</v>
      </c>
      <c r="I102" s="13"/>
      <c r="J102" s="347"/>
      <c r="K102" s="13">
        <v>4.5365778566501973E-2</v>
      </c>
      <c r="L102" s="13">
        <v>4.0105544354082749E-2</v>
      </c>
      <c r="M102" s="13">
        <v>1.6652315406794175E-4</v>
      </c>
      <c r="N102" s="347"/>
      <c r="O102" s="13">
        <v>4.5050121416222548E-2</v>
      </c>
      <c r="P102" s="13">
        <v>4.0099215694433026E-2</v>
      </c>
      <c r="Q102" s="13">
        <v>1.6440914407414242E-4</v>
      </c>
      <c r="R102" s="347"/>
      <c r="S102" s="13">
        <v>4.4353769194306537E-2</v>
      </c>
      <c r="T102" s="13">
        <v>4.0104818590716108E-2</v>
      </c>
      <c r="U102" s="13">
        <v>1.6112140071721716E-4</v>
      </c>
      <c r="V102" s="347"/>
      <c r="W102" s="13">
        <v>4.2956815772994691E-2</v>
      </c>
      <c r="X102" s="13">
        <v>4.0137285541963712E-2</v>
      </c>
      <c r="Y102" s="13">
        <v>1.557279368825164E-4</v>
      </c>
      <c r="Z102" s="347"/>
      <c r="AA102" s="13">
        <v>4.0405782882665414E-2</v>
      </c>
      <c r="AB102" s="13">
        <v>4.0225739940890418E-2</v>
      </c>
      <c r="AC102" s="13">
        <v>1.4671474261291351E-4</v>
      </c>
      <c r="AD102" s="347"/>
      <c r="AE102" s="13">
        <v>3.6115664606017298E-2</v>
      </c>
      <c r="AF102" s="13">
        <v>4.0421425293863701E-2</v>
      </c>
      <c r="AG102" s="13">
        <v>1.3187796077572916E-4</v>
      </c>
      <c r="AH102" s="347"/>
      <c r="AI102" s="13">
        <v>2.9338899341350897E-2</v>
      </c>
      <c r="AJ102" s="13">
        <v>4.0822558094530885E-2</v>
      </c>
      <c r="AK102" s="13">
        <v>1.0818473303682846E-4</v>
      </c>
      <c r="AL102" s="347"/>
      <c r="AM102" s="13">
        <v>1.8376648304516872E-2</v>
      </c>
      <c r="AN102" s="13">
        <v>4.1695145488680259E-2</v>
      </c>
      <c r="AO102" s="13">
        <v>6.879511054066387E-5</v>
      </c>
      <c r="AP102" s="347"/>
      <c r="AQ102" s="13">
        <v>3.7098311871299437E-3</v>
      </c>
      <c r="AR102" s="13">
        <v>4.2678923768109903E-2</v>
      </c>
      <c r="AS102" s="13">
        <v>1.418759301992037E-5</v>
      </c>
      <c r="AT102" s="347"/>
      <c r="AX102" s="347"/>
      <c r="BO102">
        <v>0.49199999999999999</v>
      </c>
      <c r="BP102" s="191">
        <f>(0.16/AQ87/10*47482+10^((-1713.3/(273.15+55.45))+6.694))*0.016*(10^(-7)*55.45^2-1.1*10^(-3)*55.45*AR92/29-0.079*(AR92/29)^2+0.73*10^(-3)*55.45+0.156*AR92/29+0.927)</f>
        <v>25.09071019692864</v>
      </c>
      <c r="BQ102" s="13">
        <v>2.9925847848134554E-2</v>
      </c>
      <c r="BR102">
        <f>BQ102*18/0.02404</f>
        <v>22.407040818070801</v>
      </c>
      <c r="BS102">
        <f t="shared" si="16"/>
        <v>10.695868541761516</v>
      </c>
    </row>
    <row r="103" spans="1:71">
      <c r="A103" s="344" t="s">
        <v>5</v>
      </c>
      <c r="B103" t="s">
        <v>17</v>
      </c>
      <c r="C103" s="79">
        <v>5.7095208634336217E-6</v>
      </c>
      <c r="D103" s="348">
        <v>1.4172951476290765E-2</v>
      </c>
      <c r="E103" s="13"/>
      <c r="F103" s="347"/>
      <c r="G103" s="13">
        <v>5.8531489309978134E-6</v>
      </c>
      <c r="H103" s="13">
        <v>1.417143006582359E-2</v>
      </c>
      <c r="I103" s="13"/>
      <c r="J103" s="347"/>
      <c r="K103" s="13">
        <v>2.7968420052016267E-2</v>
      </c>
      <c r="L103" s="13">
        <v>1.4140380041755838E-2</v>
      </c>
      <c r="M103" s="13">
        <v>6.0575233038277218E-6</v>
      </c>
      <c r="N103" s="347"/>
      <c r="O103" s="13">
        <v>2.9132975957695442E-2</v>
      </c>
      <c r="P103" s="13">
        <v>1.4095879249705805E-2</v>
      </c>
      <c r="Q103" s="13">
        <v>6.2946449584762431E-6</v>
      </c>
      <c r="R103" s="347"/>
      <c r="S103" s="13">
        <v>3.0315405450236393E-2</v>
      </c>
      <c r="T103" s="13">
        <v>1.4046834797485674E-2</v>
      </c>
      <c r="U103" s="13">
        <v>6.5388545676086544E-6</v>
      </c>
      <c r="V103" s="347"/>
      <c r="W103" s="13">
        <v>3.1298135506323592E-2</v>
      </c>
      <c r="X103" s="13">
        <v>1.3998768695700657E-2</v>
      </c>
      <c r="Y103" s="13">
        <v>6.7478722433732091E-6</v>
      </c>
      <c r="Z103" s="347"/>
      <c r="AA103" s="13">
        <v>3.1653225651804923E-2</v>
      </c>
      <c r="AB103" s="13">
        <v>1.3967714424280943E-2</v>
      </c>
      <c r="AC103" s="13">
        <v>6.8349326380845597E-6</v>
      </c>
      <c r="AD103" s="347"/>
      <c r="AE103" s="13">
        <v>3.0655433263777551E-2</v>
      </c>
      <c r="AF103" s="13">
        <v>1.3981426083428129E-2</v>
      </c>
      <c r="AG103" s="13">
        <v>6.6466409467318976E-6</v>
      </c>
      <c r="AH103" s="347"/>
      <c r="AI103" s="13">
        <v>2.7162676743803217E-2</v>
      </c>
      <c r="AJ103" s="13">
        <v>1.4085475692152004E-2</v>
      </c>
      <c r="AK103" s="13">
        <v>5.9313058505651676E-6</v>
      </c>
      <c r="AL103" s="347"/>
      <c r="AM103" s="13">
        <v>1.8767571294676724E-2</v>
      </c>
      <c r="AN103" s="13">
        <v>1.4385122420343215E-2</v>
      </c>
      <c r="AO103" s="13">
        <v>4.1440701046397731E-6</v>
      </c>
      <c r="AP103" s="347"/>
      <c r="AQ103" s="13">
        <v>4.1590119755092513E-3</v>
      </c>
      <c r="AR103" s="13">
        <v>1.4741712410213947E-2</v>
      </c>
      <c r="AS103" s="13">
        <v>9.3259434079628284E-7</v>
      </c>
      <c r="AT103" s="347"/>
      <c r="AX103" s="347"/>
      <c r="BG103" s="328">
        <v>257.2</v>
      </c>
      <c r="BH103">
        <v>0</v>
      </c>
      <c r="BI103">
        <v>0</v>
      </c>
      <c r="BJ103">
        <f>BG103/10</f>
        <v>25.72</v>
      </c>
      <c r="BK103">
        <v>0</v>
      </c>
      <c r="BL103">
        <v>0</v>
      </c>
    </row>
    <row r="104" spans="1:71">
      <c r="A104" s="344" t="s">
        <v>6</v>
      </c>
      <c r="B104" t="s">
        <v>17</v>
      </c>
      <c r="C104" s="79">
        <v>6.3208471066481929E-9</v>
      </c>
      <c r="D104" s="348">
        <v>2.8491279705388783E-3</v>
      </c>
      <c r="E104" s="13"/>
      <c r="F104" s="347"/>
      <c r="G104" s="13">
        <v>6.6336990487067181E-9</v>
      </c>
      <c r="H104" s="13">
        <v>2.8489362399433922E-3</v>
      </c>
      <c r="I104" s="13"/>
      <c r="J104" s="347"/>
      <c r="K104" s="13">
        <v>8.028975561198191E-3</v>
      </c>
      <c r="L104" s="13">
        <v>2.8378132410125261E-3</v>
      </c>
      <c r="M104" s="13">
        <v>7.0670830041635529E-9</v>
      </c>
      <c r="N104" s="347"/>
      <c r="O104" s="13">
        <v>8.6205400795579222E-3</v>
      </c>
      <c r="P104" s="13">
        <v>2.8210292083993512E-3</v>
      </c>
      <c r="Q104" s="13">
        <v>7.5953804370076867E-9</v>
      </c>
      <c r="R104" s="347"/>
      <c r="S104" s="13">
        <v>9.2956831409317202E-3</v>
      </c>
      <c r="T104" s="13">
        <v>2.8012427223885125E-3</v>
      </c>
      <c r="U104" s="13">
        <v>8.2018671664066752E-9</v>
      </c>
      <c r="V104" s="347"/>
      <c r="W104" s="13">
        <v>1.0004766788001081E-2</v>
      </c>
      <c r="X104" s="13">
        <v>2.7795919698531939E-3</v>
      </c>
      <c r="Y104" s="13">
        <v>8.846404066543719E-9</v>
      </c>
      <c r="Z104" s="347"/>
      <c r="AA104" s="13">
        <v>1.0615965861248708E-2</v>
      </c>
      <c r="AB104" s="13">
        <v>2.7611005003951479E-3</v>
      </c>
      <c r="AC104" s="13">
        <v>9.4198777656186151E-9</v>
      </c>
      <c r="AD104" s="347"/>
      <c r="AE104" s="13">
        <v>1.0861930095115529E-2</v>
      </c>
      <c r="AF104" s="13">
        <v>2.7557106840046149E-3</v>
      </c>
      <c r="AG104" s="13">
        <v>9.6940587873972792E-9</v>
      </c>
      <c r="AH104" s="347"/>
      <c r="AI104" s="13">
        <v>1.0257369152039213E-2</v>
      </c>
      <c r="AJ104" s="13">
        <v>2.781524524609716E-3</v>
      </c>
      <c r="AK104" s="13">
        <v>9.2368203521612956E-9</v>
      </c>
      <c r="AL104" s="347"/>
      <c r="AM104" s="13">
        <v>7.70403831577524E-3</v>
      </c>
      <c r="AN104" s="13">
        <v>2.8855405909518853E-3</v>
      </c>
      <c r="AO104" s="13">
        <v>7.0340035794472648E-9</v>
      </c>
      <c r="AP104" s="347"/>
      <c r="AQ104" s="13">
        <v>1.9123665588288569E-3</v>
      </c>
      <c r="AR104" s="13">
        <v>3.1145584247873285E-3</v>
      </c>
      <c r="AS104" s="13">
        <v>1.780078051996214E-9</v>
      </c>
      <c r="AT104" s="347"/>
      <c r="AX104" s="347"/>
      <c r="BG104" s="328">
        <v>232.72</v>
      </c>
      <c r="BH104">
        <f>E121-K121-L121-M121</f>
        <v>5.7237461309466893</v>
      </c>
      <c r="BI104">
        <f t="shared" ref="BI104:BI112" si="17">BH104/$C$40*100</f>
        <v>7.5896271833812783</v>
      </c>
      <c r="BJ104">
        <f t="shared" ref="BJ104:BJ112" si="18">BG104/10</f>
        <v>23.271999999999998</v>
      </c>
      <c r="BK104">
        <f>H123*(G90+H90-K90-L90-M90)/0.2</f>
        <v>5.4950462510979019</v>
      </c>
      <c r="BL104">
        <f t="shared" ref="BL104:BL112" si="19">BK104/$C$40*100</f>
        <v>7.2863735475235156</v>
      </c>
    </row>
    <row r="105" spans="1:71">
      <c r="A105" s="344" t="s">
        <v>7</v>
      </c>
      <c r="B105" t="s">
        <v>17</v>
      </c>
      <c r="C105" s="79">
        <v>9.798733416453165E-9</v>
      </c>
      <c r="D105" s="348">
        <v>3.8188258701957198E-3</v>
      </c>
      <c r="E105" s="13"/>
      <c r="F105" s="347"/>
      <c r="G105" s="13">
        <v>1.0391971645809111E-8</v>
      </c>
      <c r="H105" s="13">
        <v>3.8185681890562343E-3</v>
      </c>
      <c r="I105" s="13"/>
      <c r="J105" s="347"/>
      <c r="K105" s="13">
        <v>1.2617449904138291E-2</v>
      </c>
      <c r="L105" s="13">
        <v>3.7997588928435949E-3</v>
      </c>
      <c r="M105" s="13">
        <v>1.1203078700816496E-8</v>
      </c>
      <c r="N105" s="347"/>
      <c r="O105" s="13">
        <v>1.3719632943039755E-2</v>
      </c>
      <c r="P105" s="13">
        <v>3.7708769488252504E-3</v>
      </c>
      <c r="Q105" s="13">
        <v>1.2197029132091168E-8</v>
      </c>
      <c r="R105" s="347"/>
      <c r="S105" s="13">
        <v>1.5001025755177703E-2</v>
      </c>
      <c r="T105" s="13">
        <v>3.7361031569575391E-3</v>
      </c>
      <c r="U105" s="13">
        <v>1.335521815415222E-8</v>
      </c>
      <c r="V105" s="347"/>
      <c r="W105" s="13">
        <v>1.6393478857455398E-2</v>
      </c>
      <c r="X105" s="13">
        <v>3.6969530266842826E-3</v>
      </c>
      <c r="Y105" s="13">
        <v>1.4617751035895399E-8</v>
      </c>
      <c r="Z105" s="347"/>
      <c r="AA105" s="13">
        <v>1.7689792431716138E-2</v>
      </c>
      <c r="AB105" s="13">
        <v>3.6615821687723009E-3</v>
      </c>
      <c r="AC105" s="13">
        <v>1.5808083164193815E-8</v>
      </c>
      <c r="AD105" s="347"/>
      <c r="AE105" s="13">
        <v>1.8444278629836369E-2</v>
      </c>
      <c r="AF105" s="13">
        <v>3.646887608992237E-3</v>
      </c>
      <c r="AG105" s="13">
        <v>1.6544034534001949E-8</v>
      </c>
      <c r="AH105" s="347"/>
      <c r="AI105" s="13">
        <v>1.7814671944236297E-2</v>
      </c>
      <c r="AJ105" s="13">
        <v>3.6847516337244627E-3</v>
      </c>
      <c r="AK105" s="13">
        <v>1.6080364315620566E-8</v>
      </c>
      <c r="AL105" s="347"/>
      <c r="AM105" s="13">
        <v>1.3831521454985311E-2</v>
      </c>
      <c r="AN105" s="13">
        <v>3.8620174055121271E-3</v>
      </c>
      <c r="AO105" s="13">
        <v>1.2615984176644802E-8</v>
      </c>
      <c r="AP105" s="347"/>
      <c r="AQ105" s="13">
        <v>3.6384318386157299E-3</v>
      </c>
      <c r="AR105" s="13">
        <v>4.3259786905864598E-3</v>
      </c>
      <c r="AS105" s="13">
        <v>3.3699642445856288E-9</v>
      </c>
      <c r="AT105" s="347"/>
      <c r="AX105" s="347"/>
      <c r="BG105" s="358">
        <v>207.41</v>
      </c>
      <c r="BH105">
        <f>D121-O121-P121-Q121</f>
        <v>11.710261374879408</v>
      </c>
      <c r="BI105">
        <f t="shared" si="17"/>
        <v>15.527683447515988</v>
      </c>
      <c r="BJ105">
        <f t="shared" si="18"/>
        <v>20.741</v>
      </c>
      <c r="BK105">
        <f>L123*(K90+L90+M90-O90-P90-Q90)/0.2+BK104</f>
        <v>11.358461622196856</v>
      </c>
      <c r="BL105">
        <f t="shared" si="19"/>
        <v>15.061200674698688</v>
      </c>
    </row>
    <row r="106" spans="1:71" ht="15">
      <c r="A106" s="344" t="s">
        <v>8</v>
      </c>
      <c r="B106" t="s">
        <v>17</v>
      </c>
      <c r="C106" s="79">
        <v>6.7095111042148435E-7</v>
      </c>
      <c r="D106" s="348">
        <v>2.5765506557562908E-3</v>
      </c>
      <c r="E106" s="13"/>
      <c r="F106" s="347"/>
      <c r="G106" s="13">
        <v>7.2767553238647128E-7</v>
      </c>
      <c r="H106" s="13">
        <v>2.5761516492897388E-3</v>
      </c>
      <c r="I106" s="13"/>
      <c r="J106" s="347"/>
      <c r="K106" s="13">
        <v>1.3636170916123125E-2</v>
      </c>
      <c r="L106" s="13">
        <v>2.5523627389438144E-3</v>
      </c>
      <c r="M106" s="13">
        <v>8.0519461216773134E-7</v>
      </c>
      <c r="N106" s="347"/>
      <c r="O106" s="13">
        <v>1.5271184319680218E-2</v>
      </c>
      <c r="P106" s="13">
        <v>2.5146030730541866E-3</v>
      </c>
      <c r="Q106" s="13">
        <v>9.0278087028372482E-7</v>
      </c>
      <c r="R106" s="347"/>
      <c r="S106" s="13">
        <v>1.7269195059778066E-2</v>
      </c>
      <c r="T106" s="13">
        <v>2.4668825127924679E-3</v>
      </c>
      <c r="U106" s="13">
        <v>1.0216713850454757E-6</v>
      </c>
      <c r="V106" s="347"/>
      <c r="W106" s="13">
        <v>1.9610427729385316E-2</v>
      </c>
      <c r="X106" s="13">
        <v>2.4093372074868056E-3</v>
      </c>
      <c r="Y106" s="13">
        <v>1.1597642884993519E-6</v>
      </c>
      <c r="Z106" s="347"/>
      <c r="AA106" s="13">
        <v>2.2114055531660497E-2</v>
      </c>
      <c r="AB106" s="13">
        <v>2.3501982881530114E-3</v>
      </c>
      <c r="AC106" s="13">
        <v>1.3061670179756259E-6</v>
      </c>
      <c r="AD106" s="347"/>
      <c r="AE106" s="13">
        <v>2.4298261869621071E-2</v>
      </c>
      <c r="AF106" s="13">
        <v>2.3092801316469511E-3</v>
      </c>
      <c r="AG106" s="13">
        <v>1.4338228743049531E-6</v>
      </c>
      <c r="AH106" s="347"/>
      <c r="AI106" s="13">
        <v>2.5139566214783065E-2</v>
      </c>
      <c r="AJ106" s="13">
        <v>2.3277928463024591E-3</v>
      </c>
      <c r="AK106" s="13">
        <v>1.484730840071028E-6</v>
      </c>
      <c r="AL106" s="347"/>
      <c r="AM106" s="13">
        <v>2.1950410439868544E-2</v>
      </c>
      <c r="AN106" s="13">
        <v>2.5350373545140171E-3</v>
      </c>
      <c r="AO106" s="13">
        <v>1.3018569440804682E-6</v>
      </c>
      <c r="AP106" s="347"/>
      <c r="AQ106" s="13">
        <v>7.4519916296314007E-3</v>
      </c>
      <c r="AR106" s="13">
        <v>3.4043049154951883E-3</v>
      </c>
      <c r="AS106" s="13">
        <v>4.4605727810663905E-7</v>
      </c>
      <c r="AT106" s="347"/>
      <c r="AX106" s="347"/>
      <c r="BG106" s="365">
        <v>182.1</v>
      </c>
      <c r="BH106">
        <f>D121-S121-T121-U121</f>
        <v>17.52225189383358</v>
      </c>
      <c r="BI106">
        <f t="shared" si="17"/>
        <v>23.234321761489056</v>
      </c>
      <c r="BJ106">
        <f t="shared" si="18"/>
        <v>18.21</v>
      </c>
      <c r="BK106">
        <f>P123*(O90+P90+Q90-S90-T90-U90)/0.2+BK105</f>
        <v>17.053268234433453</v>
      </c>
      <c r="BL106">
        <f t="shared" si="19"/>
        <v>22.612454360574798</v>
      </c>
    </row>
    <row r="107" spans="1:71">
      <c r="A107" s="344" t="s">
        <v>9</v>
      </c>
      <c r="B107" t="s">
        <v>17</v>
      </c>
      <c r="C107" s="79"/>
      <c r="D107" s="348"/>
      <c r="E107" s="13"/>
      <c r="F107" s="347"/>
      <c r="G107" s="13"/>
      <c r="H107" s="13"/>
      <c r="I107" s="13"/>
      <c r="J107" s="347"/>
      <c r="K107" s="13"/>
      <c r="L107" s="13"/>
      <c r="M107" s="13"/>
      <c r="N107" s="347"/>
      <c r="O107" s="13"/>
      <c r="P107" s="13"/>
      <c r="Q107" s="13"/>
      <c r="R107" s="347"/>
      <c r="S107" s="13"/>
      <c r="T107" s="13"/>
      <c r="U107" s="13"/>
      <c r="V107" s="347"/>
      <c r="W107" s="13"/>
      <c r="X107" s="13"/>
      <c r="Y107" s="13"/>
      <c r="Z107" s="347"/>
      <c r="AA107" s="13"/>
      <c r="AB107" s="13"/>
      <c r="AC107" s="13"/>
      <c r="AD107" s="347"/>
      <c r="AE107" s="13"/>
      <c r="AF107" s="13"/>
      <c r="AG107" s="13"/>
      <c r="AH107" s="347"/>
      <c r="AI107" s="13"/>
      <c r="AJ107" s="13"/>
      <c r="AK107" s="13"/>
      <c r="AL107" s="347"/>
      <c r="AM107" s="13"/>
      <c r="AN107" s="13"/>
      <c r="AO107" s="13"/>
      <c r="AP107" s="347"/>
      <c r="AQ107" s="13"/>
      <c r="AR107" s="13"/>
      <c r="AS107" s="13"/>
      <c r="AT107" s="347"/>
      <c r="AX107" s="347"/>
      <c r="BG107" s="328">
        <v>156.78</v>
      </c>
      <c r="BH107">
        <f>D121-W121-X121-Y121</f>
        <v>22.92449382625696</v>
      </c>
      <c r="BI107">
        <f t="shared" si="17"/>
        <v>30.397637758304807</v>
      </c>
      <c r="BJ107">
        <f t="shared" si="18"/>
        <v>15.678000000000001</v>
      </c>
      <c r="BK107">
        <f>T123*(S90+T90+U90-W90-X90-Y90)/0.2+BK106</f>
        <v>22.401120822081367</v>
      </c>
      <c r="BL107">
        <f t="shared" si="19"/>
        <v>29.703650658132354</v>
      </c>
    </row>
    <row r="108" spans="1:71">
      <c r="A108" s="344" t="s">
        <v>10</v>
      </c>
      <c r="B108" t="s">
        <v>17</v>
      </c>
      <c r="C108" s="79">
        <v>3.0161366261102374E-7</v>
      </c>
      <c r="D108" s="348">
        <v>1.9382176054785921E-3</v>
      </c>
      <c r="E108" s="13"/>
      <c r="F108" s="347"/>
      <c r="G108" s="13">
        <v>3.3918575785078448E-7</v>
      </c>
      <c r="H108" s="13">
        <v>1.9379378249183719E-3</v>
      </c>
      <c r="I108" s="13"/>
      <c r="J108" s="347"/>
      <c r="K108" s="13">
        <v>1.4942130897004012E-2</v>
      </c>
      <c r="L108" s="13">
        <v>1.9102275435517286E-3</v>
      </c>
      <c r="M108" s="13">
        <v>3.9102913653315813E-7</v>
      </c>
      <c r="N108" s="347"/>
      <c r="O108" s="13">
        <v>1.7406321380603558E-2</v>
      </c>
      <c r="P108" s="13">
        <v>1.8635006594152485E-3</v>
      </c>
      <c r="Q108" s="13">
        <v>4.582809166895109E-7</v>
      </c>
      <c r="R108" s="347"/>
      <c r="S108" s="13">
        <v>2.052658754620993E-2</v>
      </c>
      <c r="T108" s="13">
        <v>1.8003770835850576E-3</v>
      </c>
      <c r="U108" s="13">
        <v>5.4353001054247493E-7</v>
      </c>
      <c r="V108" s="347"/>
      <c r="W108" s="13">
        <v>2.4329452416378291E-2</v>
      </c>
      <c r="X108" s="13">
        <v>1.7188236637667429E-3</v>
      </c>
      <c r="Y108" s="13">
        <v>6.4709192186648573E-7</v>
      </c>
      <c r="Z108" s="347"/>
      <c r="AA108" s="13">
        <v>2.8648783119734667E-2</v>
      </c>
      <c r="AB108" s="13">
        <v>1.626995610750453E-3</v>
      </c>
      <c r="AC108" s="13">
        <v>7.644555609744935E-7</v>
      </c>
      <c r="AD108" s="347"/>
      <c r="AE108" s="13">
        <v>3.2993512860971123E-2</v>
      </c>
      <c r="AF108" s="13">
        <v>1.5474679377388168E-3</v>
      </c>
      <c r="AG108" s="13">
        <v>8.8336690337422624E-7</v>
      </c>
      <c r="AH108" s="347"/>
      <c r="AI108" s="13">
        <v>3.6336780343101088E-2</v>
      </c>
      <c r="AJ108" s="13">
        <v>1.5266691711262031E-3</v>
      </c>
      <c r="AK108" s="13">
        <v>9.7785686006141856E-7</v>
      </c>
      <c r="AL108" s="347"/>
      <c r="AM108" s="13">
        <v>3.5888064717286255E-2</v>
      </c>
      <c r="AN108" s="13">
        <v>1.7158910587918505E-3</v>
      </c>
      <c r="AO108" s="13">
        <v>9.7422320455394539E-7</v>
      </c>
      <c r="AP108" s="347"/>
      <c r="AQ108" s="13">
        <v>1.737775609862929E-2</v>
      </c>
      <c r="AR108" s="13">
        <v>3.0213903518076092E-3</v>
      </c>
      <c r="AS108" s="13">
        <v>4.7786714252639809E-7</v>
      </c>
      <c r="AT108" s="347"/>
      <c r="AX108" s="347"/>
      <c r="BG108" s="328">
        <v>131.47</v>
      </c>
      <c r="BH108" s="13">
        <f>D121-AA121-AB121-AC121</f>
        <v>27.772609068317269</v>
      </c>
      <c r="BI108">
        <f t="shared" si="17"/>
        <v>36.826187590444235</v>
      </c>
      <c r="BJ108">
        <f t="shared" si="18"/>
        <v>13.147</v>
      </c>
      <c r="BK108">
        <f>X123*(W90+X90+Y90-AA90-AB90-AC90)/0.2+BK107</f>
        <v>27.238538294511386</v>
      </c>
      <c r="BL108">
        <f t="shared" si="19"/>
        <v>36.118015360231048</v>
      </c>
    </row>
    <row r="109" spans="1:71">
      <c r="A109" s="344" t="s">
        <v>35</v>
      </c>
      <c r="B109" t="s">
        <v>17</v>
      </c>
      <c r="C109" s="79">
        <v>5.3642854756644435E-7</v>
      </c>
      <c r="D109" s="348">
        <v>2.5970826040260173E-3</v>
      </c>
      <c r="E109" s="13"/>
      <c r="F109" s="347"/>
      <c r="G109" s="13">
        <v>6.2144350546068358E-7</v>
      </c>
      <c r="H109" s="13">
        <v>2.5965691052269989E-3</v>
      </c>
      <c r="I109" s="13"/>
      <c r="J109" s="347"/>
      <c r="K109" s="13">
        <v>3.4003119275712243E-2</v>
      </c>
      <c r="L109" s="13">
        <v>2.529866097054276E-3</v>
      </c>
      <c r="M109" s="13">
        <v>7.3566916327556296E-7</v>
      </c>
      <c r="N109" s="347"/>
      <c r="O109" s="13">
        <v>4.0484214843454373E-2</v>
      </c>
      <c r="P109" s="13">
        <v>2.4147009975387474E-3</v>
      </c>
      <c r="Q109" s="13">
        <v>8.8181180594836277E-7</v>
      </c>
      <c r="R109" s="347"/>
      <c r="S109" s="13">
        <v>4.8567222444837903E-2</v>
      </c>
      <c r="T109" s="13">
        <v>2.2570273382673035E-3</v>
      </c>
      <c r="U109" s="13">
        <v>1.0638685615879593E-6</v>
      </c>
      <c r="V109" s="347"/>
      <c r="W109" s="13">
        <v>5.8134605115342915E-2</v>
      </c>
      <c r="X109" s="13">
        <v>2.0542401183826324E-3</v>
      </c>
      <c r="Y109" s="13">
        <v>1.2769189902151282E-6</v>
      </c>
      <c r="Z109" s="347"/>
      <c r="AA109" s="13">
        <v>6.8713484884320886E-2</v>
      </c>
      <c r="AB109" s="13">
        <v>1.8296416008505704E-3</v>
      </c>
      <c r="AC109" s="13">
        <v>1.5085746320016495E-6</v>
      </c>
      <c r="AD109" s="347"/>
      <c r="AE109" s="13">
        <v>7.9603492687417926E-2</v>
      </c>
      <c r="AF109" s="13">
        <v>1.6321294863720364E-3</v>
      </c>
      <c r="AG109" s="13">
        <v>1.7441971887758647E-6</v>
      </c>
      <c r="AH109" s="347"/>
      <c r="AI109" s="13">
        <v>8.997794162085368E-2</v>
      </c>
      <c r="AJ109" s="13">
        <v>1.5354739671618446E-3</v>
      </c>
      <c r="AK109" s="13">
        <v>1.9689751400379646E-6</v>
      </c>
      <c r="AL109" s="347"/>
      <c r="AM109" s="13">
        <v>9.7923855420045683E-2</v>
      </c>
      <c r="AN109" s="13">
        <v>1.7561946531368733E-3</v>
      </c>
      <c r="AO109" s="13">
        <v>2.1457953115125082E-6</v>
      </c>
      <c r="AP109" s="347"/>
      <c r="AQ109" s="13">
        <v>7.3422602263856399E-2</v>
      </c>
      <c r="AR109" s="13">
        <v>4.4510382949705662E-3</v>
      </c>
      <c r="AS109" s="13">
        <v>1.6174681626590049E-6</v>
      </c>
      <c r="AT109" s="347"/>
      <c r="AX109" s="347"/>
      <c r="BG109" s="328">
        <v>106.16</v>
      </c>
      <c r="BH109" s="13">
        <f>D121-AE121-AF121-AG121</f>
        <v>31.99568128215197</v>
      </c>
      <c r="BI109">
        <f t="shared" si="17"/>
        <v>42.425936939600078</v>
      </c>
      <c r="BJ109">
        <f t="shared" si="18"/>
        <v>10.616</v>
      </c>
      <c r="BK109">
        <f>AB123*(AA90+AB90+AC90-AE90-AF90-AG90)/0.2+BK108</f>
        <v>31.471707213462814</v>
      </c>
      <c r="BL109">
        <f t="shared" si="19"/>
        <v>41.731152834202938</v>
      </c>
    </row>
    <row r="110" spans="1:71">
      <c r="A110" s="344" t="s">
        <v>163</v>
      </c>
      <c r="B110" t="s">
        <v>17</v>
      </c>
      <c r="C110" s="79">
        <v>8.8653312751417039E-7</v>
      </c>
      <c r="D110" s="348">
        <v>4.2152013921678104E-3</v>
      </c>
      <c r="E110" s="13"/>
      <c r="F110" s="347"/>
      <c r="G110" s="13">
        <v>1.0481790896787165E-6</v>
      </c>
      <c r="H110" s="13">
        <v>4.2142733518911075E-3</v>
      </c>
      <c r="I110" s="13"/>
      <c r="J110" s="347"/>
      <c r="K110" s="13">
        <v>7.5971300042948345E-2</v>
      </c>
      <c r="L110" s="13">
        <v>4.0622237063439271E-3</v>
      </c>
      <c r="M110" s="13">
        <v>1.2606964412144499E-6</v>
      </c>
      <c r="N110" s="347"/>
      <c r="O110" s="13">
        <v>9.1275711439686505E-2</v>
      </c>
      <c r="P110" s="13">
        <v>3.7971519793194705E-3</v>
      </c>
      <c r="Q110" s="13">
        <v>1.5271937280174049E-6</v>
      </c>
      <c r="R110" s="347"/>
      <c r="S110" s="13">
        <v>0.10979025041847314</v>
      </c>
      <c r="T110" s="13">
        <v>3.4360776065968037E-3</v>
      </c>
      <c r="U110" s="13">
        <v>1.8496213127000353E-6</v>
      </c>
      <c r="V110" s="347"/>
      <c r="W110" s="13">
        <v>0.13062126182083603</v>
      </c>
      <c r="X110" s="13">
        <v>2.9844064830762541E-3</v>
      </c>
      <c r="Y110" s="13">
        <v>2.2077222950902769E-6</v>
      </c>
      <c r="Z110" s="347"/>
      <c r="AA110" s="13">
        <v>0.15250563005691414</v>
      </c>
      <c r="AB110" s="13">
        <v>2.5072666011286171E-3</v>
      </c>
      <c r="AC110" s="13">
        <v>2.5756381232177839E-6</v>
      </c>
      <c r="AD110" s="347"/>
      <c r="AE110" s="13">
        <v>0.17487278382876945</v>
      </c>
      <c r="AF110" s="13">
        <v>2.1046322540474384E-3</v>
      </c>
      <c r="AG110" s="13">
        <v>2.9449185145077442E-6</v>
      </c>
      <c r="AH110" s="347"/>
      <c r="AI110" s="13">
        <v>0.1983340076516758</v>
      </c>
      <c r="AJ110" s="13">
        <v>1.8827772513551489E-3</v>
      </c>
      <c r="AK110" s="13">
        <v>3.3318916525768074E-6</v>
      </c>
      <c r="AL110" s="347"/>
      <c r="AM110" s="13">
        <v>0.22496119033316692</v>
      </c>
      <c r="AN110" s="13">
        <v>2.1159551700024818E-3</v>
      </c>
      <c r="AO110" s="13">
        <v>3.7799669041591143E-6</v>
      </c>
      <c r="AP110" s="347"/>
      <c r="AQ110" s="13">
        <v>0.21721911698186661</v>
      </c>
      <c r="AR110" s="13">
        <v>6.5415659863776688E-3</v>
      </c>
      <c r="AS110" s="13">
        <v>3.6655561985392693E-6</v>
      </c>
      <c r="AT110" s="347"/>
      <c r="AX110" s="347"/>
      <c r="BG110" s="328">
        <v>80.849999999999994</v>
      </c>
      <c r="BH110">
        <f>D121-AI121-AJ121-AK121</f>
        <v>35.648303834434621</v>
      </c>
      <c r="BI110">
        <f t="shared" si="17"/>
        <v>47.269276035922083</v>
      </c>
      <c r="BJ110">
        <f t="shared" si="18"/>
        <v>8.0849999999999991</v>
      </c>
      <c r="BK110">
        <f>AF123*(AE90+AF90+AG90-AI90-AJ90-AK90)/0.2+BK109</f>
        <v>35.137408616661659</v>
      </c>
      <c r="BL110">
        <f t="shared" si="19"/>
        <v>46.591834349313274</v>
      </c>
    </row>
    <row r="111" spans="1:71">
      <c r="A111" s="344" t="s">
        <v>37</v>
      </c>
      <c r="B111" t="s">
        <v>17</v>
      </c>
      <c r="C111" s="79">
        <v>4.0170250733725675E-7</v>
      </c>
      <c r="D111" s="348">
        <v>1.607915444154606E-3</v>
      </c>
      <c r="E111" s="13"/>
      <c r="F111" s="347"/>
      <c r="G111" s="13">
        <v>4.870749646828429E-7</v>
      </c>
      <c r="H111" s="13">
        <v>1.6074666383719359E-3</v>
      </c>
      <c r="I111" s="13"/>
      <c r="J111" s="347"/>
      <c r="K111" s="13">
        <v>4.3115005745523974E-2</v>
      </c>
      <c r="L111" s="13">
        <v>1.5196546667018346E-3</v>
      </c>
      <c r="M111" s="13">
        <v>5.9343708131963312E-7</v>
      </c>
      <c r="N111" s="347"/>
      <c r="O111" s="13">
        <v>5.1728157579731059E-2</v>
      </c>
      <c r="P111" s="13">
        <v>1.3677327935996742E-3</v>
      </c>
      <c r="Q111" s="13">
        <v>7.1875832770150298E-7</v>
      </c>
      <c r="R111" s="347"/>
      <c r="S111" s="13">
        <v>6.1290287093911704E-2</v>
      </c>
      <c r="T111" s="13">
        <v>1.168981041949072E-3</v>
      </c>
      <c r="U111" s="13">
        <v>8.5812083866644836E-7</v>
      </c>
      <c r="V111" s="347"/>
      <c r="W111" s="13">
        <v>7.0815142273033635E-2</v>
      </c>
      <c r="X111" s="13">
        <v>9.3958881548244556E-4</v>
      </c>
      <c r="Y111" s="13">
        <v>9.9432599814612867E-7</v>
      </c>
      <c r="Z111" s="347"/>
      <c r="AA111" s="13">
        <v>7.9864115682510964E-2</v>
      </c>
      <c r="AB111" s="13">
        <v>7.2234292478088593E-4</v>
      </c>
      <c r="AC111" s="13">
        <v>1.1185465445692119E-6</v>
      </c>
      <c r="AD111" s="347"/>
      <c r="AE111" s="13">
        <v>8.9176170691117024E-2</v>
      </c>
      <c r="AF111" s="13">
        <v>5.5681104449839406E-4</v>
      </c>
      <c r="AG111" s="13">
        <v>1.2417587035299785E-6</v>
      </c>
      <c r="AH111" s="347"/>
      <c r="AI111" s="13">
        <v>0.10032566209052735</v>
      </c>
      <c r="AJ111" s="13">
        <v>4.6454640053235666E-4</v>
      </c>
      <c r="AK111" s="13">
        <v>1.3885314629572206E-6</v>
      </c>
      <c r="AL111" s="347"/>
      <c r="AM111" s="13">
        <v>0.11674651158821846</v>
      </c>
      <c r="AN111" s="13">
        <v>5.0091831807055887E-4</v>
      </c>
      <c r="AO111" s="13">
        <v>1.6091553657026013E-6</v>
      </c>
      <c r="AP111" s="347"/>
      <c r="AQ111" s="13">
        <v>0.13969042976385568</v>
      </c>
      <c r="AR111" s="13">
        <v>1.8043820534998267E-3</v>
      </c>
      <c r="AS111" s="13">
        <v>1.9246200537759588E-6</v>
      </c>
      <c r="AT111" s="347"/>
      <c r="AX111" s="347"/>
      <c r="BG111" s="328">
        <v>55.54</v>
      </c>
      <c r="BH111">
        <f>D121-AM121-AN121-AO121</f>
        <v>38.93477596939011</v>
      </c>
      <c r="BI111">
        <f t="shared" si="17"/>
        <v>51.627103529007933</v>
      </c>
      <c r="BJ111">
        <f t="shared" si="18"/>
        <v>5.5540000000000003</v>
      </c>
      <c r="BK111">
        <f>AJ123*(AI90+AJ90+AK90-AM90-AN90-AO90)/0.2+BK110</f>
        <v>38.429062838814687</v>
      </c>
      <c r="BL111">
        <f t="shared" si="19"/>
        <v>50.956533235532454</v>
      </c>
    </row>
    <row r="112" spans="1:71">
      <c r="A112" s="344" t="s">
        <v>38</v>
      </c>
      <c r="B112" t="s">
        <v>17</v>
      </c>
      <c r="C112" s="79">
        <v>1.4356642551923269E-7</v>
      </c>
      <c r="D112" s="348">
        <v>1.0891021007449777E-3</v>
      </c>
      <c r="E112" s="13"/>
      <c r="F112" s="347"/>
      <c r="G112" s="13">
        <v>1.8010432753270641E-7</v>
      </c>
      <c r="H112" s="13">
        <v>1.0888832126417787E-3</v>
      </c>
      <c r="I112" s="13"/>
      <c r="J112" s="347"/>
      <c r="K112" s="13">
        <v>3.8427969299990219E-2</v>
      </c>
      <c r="L112" s="13">
        <v>1.0101377014743026E-3</v>
      </c>
      <c r="M112" s="13">
        <v>2.2529133346487899E-7</v>
      </c>
      <c r="N112" s="347"/>
      <c r="O112" s="13">
        <v>4.6423038871883385E-2</v>
      </c>
      <c r="P112" s="13">
        <v>8.7258576103224129E-4</v>
      </c>
      <c r="Q112" s="13">
        <v>2.7672596998954206E-7</v>
      </c>
      <c r="R112" s="347"/>
      <c r="S112" s="13">
        <v>5.4516746010987237E-2</v>
      </c>
      <c r="T112" s="13">
        <v>6.9769013513901179E-4</v>
      </c>
      <c r="U112" s="13">
        <v>3.3001245068819804E-7</v>
      </c>
      <c r="V112" s="347"/>
      <c r="W112" s="13">
        <v>6.1439399194567645E-2</v>
      </c>
      <c r="X112" s="13">
        <v>5.1095831980980564E-4</v>
      </c>
      <c r="Y112" s="13">
        <v>3.7629445669477836E-7</v>
      </c>
      <c r="Z112" s="347"/>
      <c r="AA112" s="13">
        <v>6.7258530292849186E-2</v>
      </c>
      <c r="AB112" s="13">
        <v>3.5264197629541181E-4</v>
      </c>
      <c r="AC112" s="13">
        <v>4.1509290806952744E-7</v>
      </c>
      <c r="AD112" s="347"/>
      <c r="AE112" s="13">
        <v>7.3482312726687801E-2</v>
      </c>
      <c r="AF112" s="13">
        <v>2.438322519056237E-4</v>
      </c>
      <c r="AG112" s="13">
        <v>4.5616734016211806E-7</v>
      </c>
      <c r="AH112" s="347"/>
      <c r="AI112" s="13">
        <v>8.2037200701356061E-2</v>
      </c>
      <c r="AJ112" s="13">
        <v>1.8376151489289127E-4</v>
      </c>
      <c r="AK112" s="13">
        <v>5.1291739312431678E-7</v>
      </c>
      <c r="AL112" s="347"/>
      <c r="AM112" s="13">
        <v>9.6701697243350773E-2</v>
      </c>
      <c r="AN112" s="13">
        <v>1.8074324221889772E-4</v>
      </c>
      <c r="AO112" s="13">
        <v>6.117248627392663E-7</v>
      </c>
      <c r="AP112" s="347"/>
      <c r="AQ112" s="13">
        <v>0.13174638409770348</v>
      </c>
      <c r="AR112" s="13">
        <v>6.7303933529953668E-4</v>
      </c>
      <c r="AS112" s="13">
        <v>8.4730367532918465E-7</v>
      </c>
      <c r="AT112" s="347"/>
      <c r="AX112" s="347"/>
      <c r="BG112" s="328">
        <v>28.83</v>
      </c>
      <c r="BH112">
        <f>D121-AQ121-AR121-AS121</f>
        <v>42.609283704984328</v>
      </c>
      <c r="BI112">
        <f t="shared" si="17"/>
        <v>56.499462148274318</v>
      </c>
      <c r="BJ112">
        <f t="shared" si="18"/>
        <v>2.883</v>
      </c>
      <c r="BK112">
        <f>AN123*(AM90+AN90+AO90-AQ90-AR90-AS90)/0.2+BK111</f>
        <v>42.083838896412459</v>
      </c>
      <c r="BL112">
        <f t="shared" si="19"/>
        <v>55.802727857257807</v>
      </c>
    </row>
    <row r="113" spans="1:59">
      <c r="A113" s="344" t="s">
        <v>39</v>
      </c>
      <c r="B113" t="s">
        <v>17</v>
      </c>
      <c r="C113" s="79">
        <v>7.6921717035589657E-7</v>
      </c>
      <c r="D113" s="348">
        <v>2.1062973778688369E-3</v>
      </c>
      <c r="E113" s="13"/>
      <c r="F113" s="347"/>
      <c r="G113" s="13">
        <v>9.8607326107855538E-7</v>
      </c>
      <c r="H113" s="13">
        <v>2.1052895817591181E-3</v>
      </c>
      <c r="I113" s="13"/>
      <c r="J113" s="347"/>
      <c r="K113" s="13">
        <v>0.2620290106983979</v>
      </c>
      <c r="L113" s="13">
        <v>1.5588030698101133E-3</v>
      </c>
      <c r="M113" s="13">
        <v>1.0182911371280805E-6</v>
      </c>
      <c r="N113" s="347"/>
      <c r="O113" s="13">
        <v>0.2420290755613109</v>
      </c>
      <c r="P113" s="13">
        <v>9.7709183565250751E-4</v>
      </c>
      <c r="Q113" s="13">
        <v>9.459285515684916E-7</v>
      </c>
      <c r="R113" s="347"/>
      <c r="S113" s="13">
        <v>0.22034529060392616</v>
      </c>
      <c r="T113" s="13">
        <v>5.6880552258082304E-4</v>
      </c>
      <c r="U113" s="13">
        <v>8.6183337154483804E-7</v>
      </c>
      <c r="V113" s="347"/>
      <c r="W113" s="13">
        <v>0.20355401291678882</v>
      </c>
      <c r="X113" s="13">
        <v>3.1606048445022912E-4</v>
      </c>
      <c r="Y113" s="13">
        <v>7.8827350953873506E-7</v>
      </c>
      <c r="Z113" s="347"/>
      <c r="AA113" s="13">
        <v>0.19675392223692995</v>
      </c>
      <c r="AB113" s="13">
        <v>1.755549898777269E-4</v>
      </c>
      <c r="AC113" s="13">
        <v>7.453426958550541E-7</v>
      </c>
      <c r="AD113" s="347"/>
      <c r="AE113" s="13">
        <v>0.2017472811965047</v>
      </c>
      <c r="AF113" s="13">
        <v>1.0252684117259948E-4</v>
      </c>
      <c r="AG113" s="13">
        <v>7.4176169634054484E-7</v>
      </c>
      <c r="AH113" s="347"/>
      <c r="AI113" s="13">
        <v>0.21971639428966486</v>
      </c>
      <c r="AJ113" s="13">
        <v>6.7222151058487782E-5</v>
      </c>
      <c r="AK113" s="13">
        <v>7.8254404905088353E-7</v>
      </c>
      <c r="AL113" s="347"/>
      <c r="AM113" s="13">
        <v>0.2592437837297355</v>
      </c>
      <c r="AN113" s="13">
        <v>5.8285854376284851E-5</v>
      </c>
      <c r="AO113" s="13">
        <v>8.9612925310832006E-7</v>
      </c>
      <c r="AP113" s="347"/>
      <c r="AQ113" s="13">
        <v>0.38520511149169195</v>
      </c>
      <c r="AR113" s="13">
        <v>2.1025690567362816E-4</v>
      </c>
      <c r="AS113" s="13">
        <v>1.3050507282437204E-6</v>
      </c>
      <c r="AT113" s="347"/>
      <c r="AX113" s="347"/>
    </row>
    <row r="114" spans="1:59">
      <c r="A114" s="344" t="s">
        <v>40</v>
      </c>
      <c r="B114" t="s">
        <v>17</v>
      </c>
      <c r="C114" s="13"/>
      <c r="D114" s="13"/>
      <c r="E114" s="13"/>
      <c r="F114" s="347"/>
      <c r="G114" s="13"/>
      <c r="H114" s="13"/>
      <c r="I114" s="13"/>
      <c r="J114" s="347"/>
      <c r="K114" s="13"/>
      <c r="L114" s="13"/>
      <c r="M114" s="13"/>
      <c r="N114" s="347"/>
      <c r="O114" s="13"/>
      <c r="P114" s="13"/>
      <c r="Q114" s="13"/>
      <c r="R114" s="347"/>
      <c r="S114" s="13"/>
      <c r="T114" s="13"/>
      <c r="U114" s="13"/>
      <c r="V114" s="347"/>
      <c r="W114" s="13"/>
      <c r="X114" s="13"/>
      <c r="Y114" s="13"/>
      <c r="Z114" s="347"/>
      <c r="AA114" s="13"/>
      <c r="AB114" s="13"/>
      <c r="AC114" s="13"/>
      <c r="AD114" s="347"/>
      <c r="AE114" s="13"/>
      <c r="AF114" s="13"/>
      <c r="AG114" s="13"/>
      <c r="AH114" s="347"/>
      <c r="AI114" s="13"/>
      <c r="AJ114" s="13"/>
      <c r="AK114" s="13"/>
      <c r="AL114" s="347"/>
      <c r="AM114" s="13"/>
      <c r="AN114" s="13"/>
      <c r="AO114" s="13"/>
      <c r="AP114" s="347"/>
      <c r="AQ114" s="13"/>
      <c r="AR114" s="13"/>
      <c r="AS114" s="13"/>
      <c r="AT114" s="347"/>
      <c r="AX114" s="347"/>
      <c r="BG114" s="359">
        <v>4.92</v>
      </c>
    </row>
    <row r="115" spans="1:59">
      <c r="A115" s="344" t="s">
        <v>41</v>
      </c>
      <c r="B115" t="s">
        <v>17</v>
      </c>
      <c r="C115" s="13"/>
      <c r="D115" s="13"/>
      <c r="E115" s="13"/>
      <c r="F115" s="347"/>
      <c r="G115" s="13"/>
      <c r="H115" s="13"/>
      <c r="I115" s="13"/>
      <c r="J115" s="347"/>
      <c r="K115" s="13"/>
      <c r="L115" s="13"/>
      <c r="M115" s="13"/>
      <c r="N115" s="347"/>
      <c r="O115" s="13"/>
      <c r="P115" s="13"/>
      <c r="Q115" s="13"/>
      <c r="R115" s="347"/>
      <c r="S115" s="13"/>
      <c r="T115" s="13"/>
      <c r="U115" s="13"/>
      <c r="V115" s="347"/>
      <c r="W115" s="13"/>
      <c r="X115" s="13"/>
      <c r="Y115" s="13"/>
      <c r="Z115" s="347"/>
      <c r="AA115" s="13"/>
      <c r="AB115" s="13"/>
      <c r="AC115" s="13"/>
      <c r="AD115" s="347"/>
      <c r="AE115" s="13"/>
      <c r="AF115" s="13"/>
      <c r="AG115" s="13"/>
      <c r="AH115" s="347"/>
      <c r="AI115" s="13"/>
      <c r="AJ115" s="13"/>
      <c r="AK115" s="13"/>
      <c r="AL115" s="347"/>
      <c r="AM115" s="13"/>
      <c r="AN115" s="13"/>
      <c r="AO115" s="13"/>
      <c r="AP115" s="347"/>
      <c r="AQ115" s="13"/>
      <c r="AR115" s="13"/>
      <c r="AS115" s="13"/>
      <c r="AT115" s="347"/>
      <c r="AX115" s="347"/>
    </row>
    <row r="116" spans="1:59">
      <c r="A116" s="344" t="s">
        <v>42</v>
      </c>
      <c r="B116" t="s">
        <v>17</v>
      </c>
      <c r="C116" s="13"/>
      <c r="D116" s="13"/>
      <c r="E116" s="13"/>
      <c r="F116" s="347"/>
      <c r="G116" s="13"/>
      <c r="H116" s="13"/>
      <c r="I116" s="13"/>
      <c r="J116" s="347"/>
      <c r="K116" s="13"/>
      <c r="L116" s="13"/>
      <c r="M116" s="13"/>
      <c r="N116" s="347"/>
      <c r="O116" s="13"/>
      <c r="P116" s="13"/>
      <c r="Q116" s="13"/>
      <c r="R116" s="347"/>
      <c r="S116" s="13"/>
      <c r="T116" s="13"/>
      <c r="U116" s="13"/>
      <c r="V116" s="347"/>
      <c r="W116" s="13"/>
      <c r="X116" s="13"/>
      <c r="Y116" s="13"/>
      <c r="Z116" s="347"/>
      <c r="AA116" s="13"/>
      <c r="AB116" s="13"/>
      <c r="AC116" s="13"/>
      <c r="AD116" s="347"/>
      <c r="AE116" s="13"/>
      <c r="AF116" s="13"/>
      <c r="AG116" s="13"/>
      <c r="AH116" s="347"/>
      <c r="AI116" s="13"/>
      <c r="AJ116" s="13"/>
      <c r="AK116" s="13"/>
      <c r="AL116" s="347"/>
      <c r="AM116" s="13"/>
      <c r="AN116" s="13"/>
      <c r="AO116" s="13"/>
      <c r="AP116" s="347"/>
      <c r="AQ116" s="13"/>
      <c r="AR116" s="13"/>
      <c r="AS116" s="13"/>
      <c r="AT116" s="347"/>
      <c r="AX116" s="347"/>
    </row>
    <row r="117" spans="1:59">
      <c r="A117" s="344" t="s">
        <v>43</v>
      </c>
      <c r="B117" t="s">
        <v>17</v>
      </c>
      <c r="C117" s="13"/>
      <c r="D117" s="13"/>
      <c r="E117" s="13"/>
      <c r="F117" s="347"/>
      <c r="G117" s="13"/>
      <c r="H117" s="13"/>
      <c r="I117" s="13"/>
      <c r="J117" s="347"/>
      <c r="K117" s="13"/>
      <c r="L117" s="13"/>
      <c r="M117" s="13"/>
      <c r="N117" s="347"/>
      <c r="O117" s="13"/>
      <c r="P117" s="13"/>
      <c r="Q117" s="13"/>
      <c r="R117" s="347"/>
      <c r="S117" s="13"/>
      <c r="T117" s="13"/>
      <c r="U117" s="13"/>
      <c r="V117" s="347"/>
      <c r="W117" s="13"/>
      <c r="X117" s="13"/>
      <c r="Y117" s="13"/>
      <c r="Z117" s="347"/>
      <c r="AA117" s="13"/>
      <c r="AB117" s="13"/>
      <c r="AC117" s="13"/>
      <c r="AD117" s="347"/>
      <c r="AE117" s="13"/>
      <c r="AF117" s="13"/>
      <c r="AG117" s="13"/>
      <c r="AH117" s="347"/>
      <c r="AI117" s="13"/>
      <c r="AJ117" s="13"/>
      <c r="AK117" s="13"/>
      <c r="AL117" s="347"/>
      <c r="AM117" s="13"/>
      <c r="AN117" s="13"/>
      <c r="AO117" s="13"/>
      <c r="AP117" s="347"/>
      <c r="AQ117" s="13"/>
      <c r="AR117" s="13"/>
      <c r="AS117" s="13"/>
      <c r="AT117" s="347"/>
      <c r="AX117" s="347"/>
    </row>
    <row r="118" spans="1:59">
      <c r="A118" s="344" t="s">
        <v>44</v>
      </c>
      <c r="B118" t="s">
        <v>17</v>
      </c>
      <c r="C118" s="13"/>
      <c r="D118" s="13"/>
      <c r="E118" s="13"/>
      <c r="F118" s="347"/>
      <c r="G118" s="13"/>
      <c r="H118" s="13"/>
      <c r="I118" s="13"/>
      <c r="J118" s="347"/>
      <c r="K118" s="13"/>
      <c r="L118" s="13"/>
      <c r="M118" s="13"/>
      <c r="N118" s="347"/>
      <c r="O118" s="13"/>
      <c r="P118" s="13"/>
      <c r="Q118" s="13"/>
      <c r="R118" s="347"/>
      <c r="S118" s="13"/>
      <c r="T118" s="13"/>
      <c r="U118" s="13"/>
      <c r="V118" s="347"/>
      <c r="W118" s="13"/>
      <c r="X118" s="13"/>
      <c r="Y118" s="13"/>
      <c r="Z118" s="347"/>
      <c r="AA118" s="13"/>
      <c r="AB118" s="13"/>
      <c r="AC118" s="13"/>
      <c r="AD118" s="347"/>
      <c r="AE118" s="13"/>
      <c r="AF118" s="13"/>
      <c r="AG118" s="13"/>
      <c r="AH118" s="347"/>
      <c r="AI118" s="13"/>
      <c r="AJ118" s="13"/>
      <c r="AK118" s="13"/>
      <c r="AL118" s="347"/>
      <c r="AM118" s="13"/>
      <c r="AN118" s="13"/>
      <c r="AO118" s="13"/>
      <c r="AP118" s="347"/>
      <c r="AQ118" s="13"/>
      <c r="AR118" s="13"/>
      <c r="AS118" s="13"/>
      <c r="AT118" s="347"/>
      <c r="AX118" s="347"/>
    </row>
    <row r="119" spans="1:59">
      <c r="A119" s="344" t="s">
        <v>45</v>
      </c>
      <c r="B119" t="s">
        <v>17</v>
      </c>
      <c r="F119" s="345"/>
      <c r="J119" s="345"/>
      <c r="N119" s="345"/>
      <c r="R119" s="345"/>
      <c r="V119" s="345"/>
      <c r="Z119" s="345"/>
      <c r="AD119" s="345"/>
      <c r="AH119" s="345"/>
      <c r="AL119" s="345"/>
      <c r="AP119" s="345"/>
      <c r="AT119" s="347"/>
      <c r="AX119" s="347"/>
    </row>
    <row r="120" spans="1:59">
      <c r="A120" s="344" t="s">
        <v>225</v>
      </c>
      <c r="C120" s="13">
        <f>SUM(C106:C113)*C90/$P$84</f>
        <v>1.4838947606345677E-5</v>
      </c>
      <c r="D120" s="13">
        <f>SUM(D106:D113)*D90/$P$84</f>
        <v>1.6135161052393657E-2</v>
      </c>
      <c r="F120" s="345"/>
      <c r="G120" s="13">
        <f>SUM(G106:G113)*G90/$P$84</f>
        <v>1.7557347559518531E-5</v>
      </c>
      <c r="H120" s="13">
        <f>SUM(H106:H113)*H90/$P$84</f>
        <v>1.6132442652440477E-2</v>
      </c>
      <c r="I120" s="13"/>
      <c r="J120" s="345"/>
      <c r="K120" s="13">
        <f>SUM(K106:K113)*K90/$P$84</f>
        <v>9.3762424529657577E-4</v>
      </c>
      <c r="L120" s="13">
        <f>SUM(L106:L113)*L90/$P$84</f>
        <v>1.40153910619335E-2</v>
      </c>
      <c r="M120" s="13">
        <f>SUM(M106:M113)*M90/$P$84</f>
        <v>2.0116218181886788E-5</v>
      </c>
      <c r="N120" s="345"/>
      <c r="O120" s="13">
        <f>SUM(O106:O113)*O90/$P$84</f>
        <v>2.0866491266701751E-3</v>
      </c>
      <c r="P120" s="13">
        <f>SUM(P106:P113)*P90/$P$84</f>
        <v>1.1575071893401101E-2</v>
      </c>
      <c r="Q120" s="13">
        <f>SUM(Q106:Q113)*Q90/$P$84</f>
        <v>2.2842895809985699E-5</v>
      </c>
      <c r="R120" s="345"/>
      <c r="S120" s="13">
        <f>SUM(S106:S113)*S90/$P$84</f>
        <v>3.1552930036354999E-3</v>
      </c>
      <c r="T120" s="13">
        <f>SUM(T106:T113)*T90/$P$84</f>
        <v>9.208916419342501E-3</v>
      </c>
      <c r="U120" s="13">
        <f>SUM(U106:U113)*U90/$P$84</f>
        <v>2.611048094214781E-5</v>
      </c>
      <c r="V120" s="345"/>
      <c r="W120" s="13">
        <f>SUM(W106:W113)*W90/$P$84</f>
        <v>4.1026465417769659E-3</v>
      </c>
      <c r="X120" s="13">
        <f>SUM(X106:X113)*X90/$P$84</f>
        <v>7.0031971337739651E-3</v>
      </c>
      <c r="Y120" s="13">
        <f>SUM(Y106:Y113)*Y90/$P$84</f>
        <v>2.9795825914987052E-5</v>
      </c>
      <c r="Z120" s="345"/>
      <c r="AA120" s="13">
        <f>SUM(AA106:AA113)*AA90/$P$84</f>
        <v>4.8334550022511788E-3</v>
      </c>
      <c r="AB120" s="13">
        <f>SUM(AB106:AB113)*AB90/$P$84</f>
        <v>5.0995235568237042E-3</v>
      </c>
      <c r="AC120" s="13">
        <f>SUM(AC106:AC113)*AC90/$P$84</f>
        <v>3.3727269687802219E-5</v>
      </c>
      <c r="AD120" s="345"/>
      <c r="AE120" s="13">
        <f>SUM(AE106:AE113)*AE90/$P$84</f>
        <v>5.2790427959126989E-3</v>
      </c>
      <c r="AF120" s="13">
        <f>SUM(AF106:AF113)*AF90/$P$84</f>
        <v>3.5992641642092291E-3</v>
      </c>
      <c r="AG120" s="13">
        <f>SUM(AG106:AG113)*AG90/$P$84</f>
        <v>3.7772670562406122E-5</v>
      </c>
      <c r="AH120" s="345"/>
      <c r="AI120" s="13">
        <f>SUM(AI106:AI113)*AI90/$P$84</f>
        <v>5.4271010754973958E-3</v>
      </c>
      <c r="AJ120" s="13">
        <f>SUM(AJ106:AJ113)*AJ90/$P$84</f>
        <v>2.516553362557314E-3</v>
      </c>
      <c r="AK120" s="13">
        <f>SUM(AK106:AK113)*AK90/$P$84</f>
        <v>4.1773465348826762E-5</v>
      </c>
      <c r="AL120" s="345"/>
      <c r="AM120" s="13">
        <f>SUM(AM106:AM113)*AM90/$P$84</f>
        <v>5.2251539399489066E-3</v>
      </c>
      <c r="AN120" s="13">
        <f>SUM(AN106:AN113)*AN90/$P$84</f>
        <v>1.8659176227322778E-3</v>
      </c>
      <c r="AO120" s="13">
        <f>SUM(AO106:AO113)*AO90/$P$84</f>
        <v>4.5249853288125874E-5</v>
      </c>
      <c r="AP120" s="345"/>
      <c r="AQ120" s="13">
        <f>SUM(AQ106:AQ113)*AQ90/$P$84</f>
        <v>3.9589650352390504E-3</v>
      </c>
      <c r="AR120" s="13">
        <f>SUM(AR106:AR113)*AR90/$P$84</f>
        <v>2.1925535759350417E-3</v>
      </c>
      <c r="AS120" s="13">
        <f>SUM(AS106:AS113)*AS90/$P$84</f>
        <v>4.1082139558635872E-5</v>
      </c>
      <c r="AT120" s="347"/>
      <c r="AU120" s="13"/>
      <c r="AV120" s="13"/>
      <c r="AW120" s="13"/>
      <c r="AX120" s="347"/>
    </row>
    <row r="121" spans="1:59">
      <c r="A121" s="344" t="s">
        <v>226</v>
      </c>
      <c r="C121">
        <f>(C106*$AV$9+$AV$11*C108+C109*$AV$12+$AV$13*C110+C111*$AV$14+$AV$15*C112+C113*$AV$16)/0.02404/(1-C120)*C90/$P$84</f>
        <v>7.1718314541660305E-2</v>
      </c>
      <c r="D121">
        <f>(D106*$AV$9+$AV$11*D108+D109*$AV$12+$AV$13*D110+D111*$AV$14+$AV$15*D112+D113*$AV$16)/0.02404/(1-D120)*D90/$P$84</f>
        <v>75.34134850680266</v>
      </c>
      <c r="E121">
        <f>D121+C121</f>
        <v>75.413066821344316</v>
      </c>
      <c r="F121" s="345"/>
      <c r="G121">
        <f>(G106*$AV$9+$AV$11*G108+G109*$AV$12+$AV$13*G110+G111*$AV$14+$AV$15*G112+G113*$AV$16)/0.02404/(1-G120)*G90/$P$84</f>
        <v>8.6403501241093902E-2</v>
      </c>
      <c r="H121">
        <f>(H106*$AV$9+$AV$11*H108+H109*$AV$12+$AV$13*H110+H111*$AV$14+$AV$15*H112+H113*$AV$16)/0.02404/(1-H120)*H90/$P$84</f>
        <v>75.326214821669438</v>
      </c>
      <c r="I121">
        <f>H121+G121</f>
        <v>75.412618322910532</v>
      </c>
      <c r="J121" s="345"/>
      <c r="K121">
        <f>(K106*$AV$9+$AV$11*K108+K109*$AV$12+$AV$13*K110+K111*$AV$14+$AV$15*K112+K113*$AV$16)/0.02404/(1-K120)*K90/$P$84</f>
        <v>5.8897264389100012</v>
      </c>
      <c r="L121">
        <f>(L106*$AV$9+$AV$11*L108+L109*$AV$12+$AV$13*L110+L111*$AV$14+$AV$15*L112+L113*$AV$16)/0.02404/(1-L120)*L90/$P$84</f>
        <v>63.701783209558485</v>
      </c>
      <c r="M121">
        <f>(M106*$AV$9+$AV$11*M108+M109*$AV$12+$AV$13*M110+M111*$AV$14+$AV$15*M112+M113*$AV$16)/0.02404/(1-M120)*M90/$P$84</f>
        <v>9.7811041929138393E-2</v>
      </c>
      <c r="N121" s="345"/>
      <c r="O121">
        <f>(O106*$AV$9+$AV$11*O108+O109*$AV$12+$AV$13*O110+O111*$AV$14+$AV$15*O112+O113*$AV$16)/0.02404/(1-O120)*O90/$P$84</f>
        <v>12.706177580903869</v>
      </c>
      <c r="P121">
        <f>(P106*$AV$9+$AV$11*P108+P109*$AV$12+$AV$13*P110+P111*$AV$14+$AV$15*P112+P113*$AV$16)/0.02404/(1-P120)*P90/$P$84</f>
        <v>50.816479870385905</v>
      </c>
      <c r="Q121">
        <f>(Q106*$AV$9+$AV$11*Q108+Q109*$AV$12+$AV$13*Q110+Q111*$AV$14+$AV$15*Q112+Q113*$AV$16)/0.02404/(1-Q120)*Q90/$P$84</f>
        <v>0.10842968063347727</v>
      </c>
      <c r="R121" s="345"/>
      <c r="S121">
        <f>(S106*$AV$9+$AV$11*S108+S109*$AV$12+$AV$13*S110+S111*$AV$14+$AV$15*S112+S113*$AV$16)/0.02404/(1-S120)*S90/$P$84</f>
        <v>18.572893248931592</v>
      </c>
      <c r="T121">
        <f>(T106*$AV$9+$AV$11*T108+T109*$AV$12+$AV$13*T110+T111*$AV$14+$AV$15*T112+T113*$AV$16)/0.02404/(1-T120)*T90/$P$84</f>
        <v>39.125118393538521</v>
      </c>
      <c r="U121">
        <f>(U106*$AV$9+$AV$11*U108+U109*$AV$12+$AV$13*U110+U111*$AV$14+$AV$15*U112+U113*$AV$16)/0.02404/(1-U120)*U90/$P$84</f>
        <v>0.12108497049896511</v>
      </c>
      <c r="V121" s="345"/>
      <c r="W121">
        <f>(W106*$AV$9+$AV$11*W108+W109*$AV$12+$AV$13*W110+W111*$AV$14+$AV$15*W112+W113*$AV$16)/0.02404/(1-W120)*W90/$P$84</f>
        <v>23.414653705492711</v>
      </c>
      <c r="X121">
        <f>(X106*$AV$9+$AV$11*X108+X109*$AV$12+$AV$13*X110+X111*$AV$14+$AV$15*X112+X113*$AV$16)/0.02404/(1-X120)*X90/$P$84</f>
        <v>28.866739341918581</v>
      </c>
      <c r="Y121">
        <f>(Y106*$AV$9+$AV$11*Y108+Y109*$AV$12+$AV$13*Y110+Y111*$AV$14+$AV$15*Y112+Y113*$AV$16)/0.02404/(1-Y120)*Y90/$P$84</f>
        <v>0.13546163313440887</v>
      </c>
      <c r="Z121" s="345"/>
      <c r="AA121">
        <f>(AA106*$AV$9+$AV$11*AA108+AA109*$AV$12+$AV$13*AA110+AA111*$AV$14+$AV$15*AA112+AA113*$AV$16)/0.02404/(1-AA120)*AA90/$P$84</f>
        <v>26.962882567372194</v>
      </c>
      <c r="AB121">
        <f>(AB106*$AV$9+$AV$11*AB108+AB109*$AV$12+$AV$13*AB110+AB111*$AV$14+$AV$15*AB112+AB113*$AV$16)/0.02404/(1-AB120)*AB90/$P$84</f>
        <v>20.454716859204627</v>
      </c>
      <c r="AC121">
        <f>(AC106*$AV$9+$AV$11*AC108+AC109*$AV$12+$AV$13*AC110+AC111*$AV$14+$AV$15*AC112+AC113*$AV$16)/0.02404/(1-AC120)*AC90/$P$84</f>
        <v>0.15114001190857512</v>
      </c>
      <c r="AD121" s="345"/>
      <c r="AE121">
        <f>(AE106*$AV$9+$AV$11*AE108+AE109*$AV$12+$AV$13*AE110+AE111*$AV$14+$AV$15*AE112+AE113*$AV$16)/0.02404/(1-AE120)*AE90/$P$84</f>
        <v>29.070425776041095</v>
      </c>
      <c r="AF121">
        <f>(AF106*$AV$9+$AV$11*AF108+AF109*$AV$12+$AV$13*AF110+AF111*$AV$14+$AV$15*AF112+AF113*$AV$16)/0.02404/(1-AF120)*AF90/$P$84</f>
        <v>14.107295181893683</v>
      </c>
      <c r="AG121">
        <f>(AG106*$AV$9+$AV$11*AG108+AG109*$AV$12+$AV$13*AG110+AG111*$AV$14+$AV$15*AG112+AG113*$AV$16)/0.02404/(1-AG120)*AG90/$P$84</f>
        <v>0.16794626671591409</v>
      </c>
      <c r="AH121" s="345"/>
      <c r="AI121">
        <f>(AI106*$AV$9+$AV$11*AI108+AI109*$AV$12+$AV$13*AI110+AI111*$AV$14+$AV$15*AI112+AI113*$AV$16)/0.02404/(1-AI120)*AI90/$P$84</f>
        <v>29.805044958748457</v>
      </c>
      <c r="AJ121">
        <f>(AJ106*$AV$9+$AV$11*AJ108+AJ109*$AV$12+$AV$13*AJ110+AJ111*$AV$14+$AV$15*AJ112+AJ113*$AV$16)/0.02404/(1-AJ120)*AJ90/$P$84</f>
        <v>9.7021797054498347</v>
      </c>
      <c r="AK121">
        <f>(AK106*$AV$9+$AV$11*AK108+AK109*$AV$12+$AV$13*AK110+AK111*$AV$14+$AV$15*AK112+AK113*$AV$16)/0.02404/(1-AK120)*AK90/$P$84</f>
        <v>0.1858200081697487</v>
      </c>
      <c r="AL121" s="345"/>
      <c r="AM121">
        <f>(AM106*$AV$9+$AV$11*AM108+AM109*$AV$12+$AV$13*AM110+AM111*$AV$14+$AV$15*AM112+AM113*$AV$16)/0.02404/(1-AM120)*AM90/$P$84</f>
        <v>29.026540071146243</v>
      </c>
      <c r="AN121">
        <f>(AN106*$AV$9+$AV$11*AN108+AN109*$AV$12+$AV$13*AN110+AN111*$AV$14+$AV$15*AN112+AN113*$AV$16)/0.02404/(1-AN120)*AN90/$P$84</f>
        <v>7.1755395900026402</v>
      </c>
      <c r="AO121">
        <f>(AO106*$AV$9+$AV$11*AO108+AO109*$AV$12+$AV$13*AO110+AO111*$AV$14+$AV$15*AO112+AO113*$AV$16)/0.02404/(1-AO120)*AO90/$P$84</f>
        <v>0.20449287626366208</v>
      </c>
      <c r="AP121" s="345"/>
      <c r="AQ121">
        <f>(AQ106*$AV$9+$AV$11*AQ108+AQ109*$AV$12+$AV$13*AQ110+AQ111*$AV$14+$AV$15*AQ112+AQ113*$AV$16)/0.02404/(1-AQ120)*AQ90/$P$84</f>
        <v>23.554961657135401</v>
      </c>
      <c r="AR121">
        <f>(AR106*$AV$9+$AV$11*AR108+AR109*$AV$12+$AV$13*AR110+AR111*$AV$14+$AV$15*AR112+AR113*$AV$16)/0.02404/(1-AR120)*AR90/$P$84</f>
        <v>8.9761929223816548</v>
      </c>
      <c r="AS121">
        <f>(AS106*$AV$9+$AV$11*AS108+AS109*$AV$12+$AV$13*AS110+AS111*$AV$14+$AV$15*AS112+AS113*$AV$16)/0.02404/(1-AS120)*AS90/$P$84</f>
        <v>0.20091022230127814</v>
      </c>
      <c r="AT121" s="347"/>
      <c r="AX121" s="347"/>
    </row>
    <row r="122" spans="1:59">
      <c r="D122" s="13">
        <f>SUM(D106:D113)</f>
        <v>1.6130367180197135E-2</v>
      </c>
      <c r="H122" s="13">
        <f>SUM(H106:H113)</f>
        <v>1.6126571364099049E-2</v>
      </c>
      <c r="L122" s="13">
        <f>SUM(L106:L113)</f>
        <v>1.514327552388E-2</v>
      </c>
      <c r="P122" s="13">
        <f>SUM(P106:P113)</f>
        <v>1.3807367099612076E-2</v>
      </c>
      <c r="T122" s="13">
        <f>SUM(T106:T113)</f>
        <v>1.2395841240910539E-2</v>
      </c>
      <c r="X122" s="13">
        <f>SUM(X106:X113)</f>
        <v>1.0933415092454917E-2</v>
      </c>
      <c r="AB122" s="13">
        <f>SUM(AB106:AB113)</f>
        <v>9.5646419918366758E-3</v>
      </c>
      <c r="AF122" s="13">
        <f>SUM(AF106:AF113)</f>
        <v>8.4966799473818588E-3</v>
      </c>
      <c r="AJ122" s="13">
        <f>SUM(AJ106:AJ113)</f>
        <v>7.9882433024293913E-3</v>
      </c>
      <c r="AN122" s="13">
        <f>SUM(AN106:AN113)</f>
        <v>8.8630256511109656E-3</v>
      </c>
      <c r="AR122" s="13">
        <f>SUM(AR106:AR113)</f>
        <v>2.0105977843124023E-2</v>
      </c>
    </row>
    <row r="123" spans="1:59">
      <c r="D123">
        <f>(D106*$AV$9+$AV$11*D108+D109*$AV$12+$AV$13*D110+D111*$AV$14+$AV$15*D112+D113*$AV$16)/0.02404/(1-D122)</f>
        <v>75.318597062065052</v>
      </c>
      <c r="H123">
        <f>(H106*$AV$9+$AV$11*H108+H109*$AV$12+$AV$13*H110+H111*$AV$14+$AV$15*H112+H113*$AV$16)/0.02404/(1-H122)</f>
        <v>75.29835103143256</v>
      </c>
      <c r="L123">
        <f>(L106*$AV$9+$AV$11*L108+L109*$AV$12+$AV$13*L110+L111*$AV$14+$AV$15*L112+L113*$AV$16)/0.02404/(1-L122)</f>
        <v>68.906989294763534</v>
      </c>
      <c r="P123">
        <f>(P106*$AV$9+$AV$11*P108+P109*$AV$12+$AV$13*P110+P111*$AV$14+$AV$15*P112+P113*$AV$16)/0.02404/(1-P122)</f>
        <v>60.753833689600178</v>
      </c>
      <c r="T123">
        <f>(T106*$AV$9+$AV$11*T108+T109*$AV$12+$AV$13*T110+T111*$AV$14+$AV$15*T112+T113*$AV$16)/0.02404/(1-T122)</f>
        <v>52.835073797762945</v>
      </c>
      <c r="X123">
        <f>(X106*$AV$9+$AV$11*X108+X109*$AV$12+$AV$13*X110+X111*$AV$14+$AV$15*X112+X113*$AV$16)/0.02404/(1-X122)</f>
        <v>45.245931772383841</v>
      </c>
      <c r="AB123">
        <f>(AB106*$AV$9+$AV$11*AB108+AB109*$AV$12+$AV$13*AB110+AB111*$AV$14+$AV$15*AB112+AB113*$AV$16)/0.02404/(1-AB122)</f>
        <v>38.537726619418471</v>
      </c>
      <c r="AF123">
        <f>(AF106*$AV$9+$AV$11*AF108+AF109*$AV$12+$AV$13*AF110+AF111*$AV$14+$AV$15*AF112+AF113*$AV$16)/0.02404/(1-AF122)</f>
        <v>33.467182934964356</v>
      </c>
      <c r="AJ123">
        <f>(AJ106*$AV$9+$AV$11*AJ108+AJ109*$AV$12+$AV$13*AJ110+AJ111*$AV$14+$AV$15*AJ112+AJ113*$AV$16)/0.02404/(1-AJ122)</f>
        <v>30.967299370757758</v>
      </c>
      <c r="AN123">
        <f>(AN106*$AV$9+$AV$11*AN108+AN109*$AV$12+$AV$13*AN110+AN111*$AV$14+$AV$15*AN112+AN113*$AV$16)/0.02404/(1-AN122)</f>
        <v>34.324112145452148</v>
      </c>
      <c r="AR123">
        <f>(AR106*$AV$9+$AV$11*AR108+AR109*$AV$12+$AV$13*AR110+AR111*$AV$14+$AV$15*AR112+AR113*$AV$16)/0.02404/(1-AR122)</f>
        <v>83.817517898544466</v>
      </c>
    </row>
  </sheetData>
  <mergeCells count="113">
    <mergeCell ref="AZ87:BC87"/>
    <mergeCell ref="AU5:AW5"/>
    <mergeCell ref="AU6:AW6"/>
    <mergeCell ref="AU7:AW7"/>
    <mergeCell ref="AZ45:BC45"/>
    <mergeCell ref="AZ6:BC6"/>
    <mergeCell ref="AU45:AW45"/>
    <mergeCell ref="AU46:AW46"/>
    <mergeCell ref="AU87:AW87"/>
    <mergeCell ref="A1:AU3"/>
    <mergeCell ref="C5:E5"/>
    <mergeCell ref="G5:I5"/>
    <mergeCell ref="K5:M5"/>
    <mergeCell ref="O5:Q5"/>
    <mergeCell ref="S5:U5"/>
    <mergeCell ref="W5:Y5"/>
    <mergeCell ref="AA5:AC5"/>
    <mergeCell ref="AE5:AG5"/>
    <mergeCell ref="AI5:AK5"/>
    <mergeCell ref="AM5:AO5"/>
    <mergeCell ref="AQ5:AS5"/>
    <mergeCell ref="AM6:AO6"/>
    <mergeCell ref="AQ6:AS6"/>
    <mergeCell ref="C7:E7"/>
    <mergeCell ref="G7:I7"/>
    <mergeCell ref="K7:M7"/>
    <mergeCell ref="O7:Q7"/>
    <mergeCell ref="S7:U7"/>
    <mergeCell ref="W7:Y7"/>
    <mergeCell ref="AE7:AG7"/>
    <mergeCell ref="C6:E6"/>
    <mergeCell ref="G6:I6"/>
    <mergeCell ref="K6:M6"/>
    <mergeCell ref="O6:Q6"/>
    <mergeCell ref="S6:U6"/>
    <mergeCell ref="W6:Y6"/>
    <mergeCell ref="AA6:AC6"/>
    <mergeCell ref="AE6:AG6"/>
    <mergeCell ref="AI6:AK6"/>
    <mergeCell ref="AE45:AG45"/>
    <mergeCell ref="AI45:AK45"/>
    <mergeCell ref="AM45:AO45"/>
    <mergeCell ref="C45:E45"/>
    <mergeCell ref="G45:I45"/>
    <mergeCell ref="K45:M45"/>
    <mergeCell ref="O45:Q45"/>
    <mergeCell ref="S45:U45"/>
    <mergeCell ref="W45:Y45"/>
    <mergeCell ref="AE46:AG46"/>
    <mergeCell ref="AI46:AK46"/>
    <mergeCell ref="W47:Y47"/>
    <mergeCell ref="AQ46:AS46"/>
    <mergeCell ref="C47:E47"/>
    <mergeCell ref="G47:I47"/>
    <mergeCell ref="K47:M47"/>
    <mergeCell ref="W46:Y46"/>
    <mergeCell ref="AA7:AC7"/>
    <mergeCell ref="AI7:AK7"/>
    <mergeCell ref="AM7:AO7"/>
    <mergeCell ref="AQ7:AS7"/>
    <mergeCell ref="AM46:AO46"/>
    <mergeCell ref="AE47:AG47"/>
    <mergeCell ref="AI47:AK47"/>
    <mergeCell ref="AM47:AO47"/>
    <mergeCell ref="C46:E46"/>
    <mergeCell ref="G46:I46"/>
    <mergeCell ref="K46:M46"/>
    <mergeCell ref="O46:Q46"/>
    <mergeCell ref="S46:U46"/>
    <mergeCell ref="O47:Q47"/>
    <mergeCell ref="S47:U47"/>
    <mergeCell ref="AA45:AC45"/>
    <mergeCell ref="A43:O44"/>
    <mergeCell ref="A83:O84"/>
    <mergeCell ref="C88:E88"/>
    <mergeCell ref="G88:I88"/>
    <mergeCell ref="K88:M88"/>
    <mergeCell ref="O88:Q88"/>
    <mergeCell ref="C87:E87"/>
    <mergeCell ref="G87:I87"/>
    <mergeCell ref="AQ87:AS87"/>
    <mergeCell ref="AA86:AC86"/>
    <mergeCell ref="AE86:AG86"/>
    <mergeCell ref="AI86:AK86"/>
    <mergeCell ref="AM86:AO86"/>
    <mergeCell ref="AQ86:AS86"/>
    <mergeCell ref="AE87:AG87"/>
    <mergeCell ref="W86:Y86"/>
    <mergeCell ref="AA47:AC47"/>
    <mergeCell ref="C86:E86"/>
    <mergeCell ref="G86:I86"/>
    <mergeCell ref="K86:M86"/>
    <mergeCell ref="O86:Q86"/>
    <mergeCell ref="S86:U86"/>
    <mergeCell ref="AQ45:AS45"/>
    <mergeCell ref="AA46:AC46"/>
    <mergeCell ref="AU88:AW88"/>
    <mergeCell ref="K87:M87"/>
    <mergeCell ref="O87:Q87"/>
    <mergeCell ref="AU47:AW47"/>
    <mergeCell ref="AI88:AK88"/>
    <mergeCell ref="AM88:AO88"/>
    <mergeCell ref="AQ88:AS88"/>
    <mergeCell ref="AI87:AK87"/>
    <mergeCell ref="AM87:AO87"/>
    <mergeCell ref="AQ47:AS47"/>
    <mergeCell ref="S88:U88"/>
    <mergeCell ref="W88:Y88"/>
    <mergeCell ref="W87:Y87"/>
    <mergeCell ref="AA87:AC87"/>
    <mergeCell ref="AA88:AC88"/>
    <mergeCell ref="AE88:AG88"/>
    <mergeCell ref="S87:U87"/>
  </mergeCells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8"/>
  <dimension ref="A1:BM123"/>
  <sheetViews>
    <sheetView topLeftCell="AJ1" workbookViewId="0">
      <selection activeCell="BK10" sqref="BK10:BK24"/>
    </sheetView>
  </sheetViews>
  <sheetFormatPr defaultRowHeight="12.75"/>
  <cols>
    <col min="1" max="1" width="31" customWidth="1"/>
    <col min="4" max="4" width="11.7109375" customWidth="1"/>
    <col min="8" max="8" width="11.7109375" customWidth="1"/>
    <col min="12" max="12" width="10.7109375" customWidth="1"/>
    <col min="16" max="16" width="10.42578125" customWidth="1"/>
    <col min="17" max="17" width="10.28515625" customWidth="1"/>
    <col min="21" max="21" width="11" customWidth="1"/>
    <col min="25" max="25" width="10.28515625" customWidth="1"/>
    <col min="33" max="33" width="10.85546875" customWidth="1"/>
    <col min="37" max="37" width="10.28515625" customWidth="1"/>
    <col min="41" max="41" width="11.42578125" customWidth="1"/>
    <col min="60" max="60" width="11.140625" bestFit="1" customWidth="1"/>
  </cols>
  <sheetData>
    <row r="1" spans="1:63">
      <c r="A1" s="479" t="s">
        <v>203</v>
      </c>
      <c r="B1" s="479"/>
      <c r="C1" s="479"/>
      <c r="D1" s="479"/>
      <c r="E1" s="479"/>
      <c r="F1" s="479"/>
      <c r="G1" s="479"/>
      <c r="H1" s="479"/>
      <c r="I1" s="479"/>
      <c r="J1" s="479"/>
      <c r="K1" s="479"/>
      <c r="L1" s="479"/>
      <c r="M1" s="479"/>
      <c r="N1" s="479"/>
      <c r="O1" s="475"/>
      <c r="P1" s="475"/>
      <c r="Q1" s="475"/>
      <c r="R1" s="475"/>
      <c r="S1" s="475"/>
      <c r="T1" s="475"/>
      <c r="U1" s="475"/>
      <c r="V1" s="475"/>
      <c r="W1" s="475"/>
      <c r="X1" s="475"/>
      <c r="Y1" s="475"/>
      <c r="Z1" s="475"/>
      <c r="AA1" s="475"/>
      <c r="AB1" s="475"/>
      <c r="AC1" s="475"/>
      <c r="AD1" s="475"/>
      <c r="AE1" s="475"/>
      <c r="AF1" s="475"/>
      <c r="AG1" s="475"/>
      <c r="AH1" s="475"/>
      <c r="AI1" s="475"/>
      <c r="AJ1" s="475"/>
      <c r="AK1" s="475"/>
      <c r="AL1" s="475"/>
      <c r="AM1" s="475"/>
      <c r="AN1" s="475"/>
      <c r="AO1" s="475"/>
      <c r="AP1" s="475"/>
      <c r="AQ1" s="475"/>
      <c r="AR1" s="475"/>
      <c r="AS1" s="475"/>
      <c r="AT1" s="475"/>
      <c r="AU1" s="475"/>
    </row>
    <row r="2" spans="1:63">
      <c r="A2" s="479"/>
      <c r="B2" s="479"/>
      <c r="C2" s="479"/>
      <c r="D2" s="479"/>
      <c r="E2" s="479"/>
      <c r="F2" s="479"/>
      <c r="G2" s="479"/>
      <c r="H2" s="479"/>
      <c r="I2" s="479"/>
      <c r="J2" s="479"/>
      <c r="K2" s="479"/>
      <c r="L2" s="479"/>
      <c r="M2" s="479"/>
      <c r="N2" s="479"/>
      <c r="O2" s="475"/>
      <c r="P2" s="475"/>
      <c r="Q2" s="475"/>
      <c r="R2" s="475"/>
      <c r="S2" s="475"/>
      <c r="T2" s="475"/>
      <c r="U2" s="475"/>
      <c r="V2" s="475"/>
      <c r="W2" s="475"/>
      <c r="X2" s="475"/>
      <c r="Y2" s="475"/>
      <c r="Z2" s="475"/>
      <c r="AA2" s="475"/>
      <c r="AB2" s="475"/>
      <c r="AC2" s="475"/>
      <c r="AD2" s="475"/>
      <c r="AE2" s="475"/>
      <c r="AF2" s="475"/>
      <c r="AG2" s="475"/>
      <c r="AH2" s="475"/>
      <c r="AI2" s="475"/>
      <c r="AJ2" s="475"/>
      <c r="AK2" s="475"/>
      <c r="AL2" s="475"/>
      <c r="AM2" s="475"/>
      <c r="AN2" s="475"/>
      <c r="AO2" s="475"/>
      <c r="AP2" s="475"/>
      <c r="AQ2" s="475"/>
      <c r="AR2" s="475"/>
      <c r="AS2" s="475"/>
      <c r="AT2" s="475"/>
      <c r="AU2" s="475"/>
    </row>
    <row r="3" spans="1:63">
      <c r="A3" s="479"/>
      <c r="B3" s="479"/>
      <c r="C3" s="479"/>
      <c r="D3" s="479"/>
      <c r="E3" s="479"/>
      <c r="F3" s="479"/>
      <c r="G3" s="479"/>
      <c r="H3" s="479"/>
      <c r="I3" s="479"/>
      <c r="J3" s="479"/>
      <c r="K3" s="479"/>
      <c r="L3" s="479"/>
      <c r="M3" s="479"/>
      <c r="N3" s="479"/>
      <c r="O3" s="475"/>
      <c r="P3" s="475"/>
      <c r="Q3" s="475"/>
      <c r="R3" s="475"/>
      <c r="S3" s="475"/>
      <c r="T3" s="475"/>
      <c r="U3" s="475"/>
      <c r="V3" s="475"/>
      <c r="W3" s="475"/>
      <c r="X3" s="475"/>
      <c r="Y3" s="475"/>
      <c r="Z3" s="475"/>
      <c r="AA3" s="475"/>
      <c r="AB3" s="475"/>
      <c r="AC3" s="475"/>
      <c r="AD3" s="475"/>
      <c r="AE3" s="475"/>
      <c r="AF3" s="475"/>
      <c r="AG3" s="475"/>
      <c r="AH3" s="475"/>
      <c r="AI3" s="475"/>
      <c r="AJ3" s="475"/>
      <c r="AK3" s="475"/>
      <c r="AL3" s="475"/>
      <c r="AM3" s="475"/>
      <c r="AN3" s="475"/>
      <c r="AO3" s="475"/>
      <c r="AP3" s="475"/>
      <c r="AQ3" s="475"/>
      <c r="AR3" s="475"/>
      <c r="AS3" s="475"/>
      <c r="AT3" s="475"/>
      <c r="AU3" s="475"/>
    </row>
    <row r="4" spans="1:63">
      <c r="A4" s="344" t="s">
        <v>214</v>
      </c>
      <c r="B4" s="344">
        <v>59.046169379532842</v>
      </c>
      <c r="F4" s="345"/>
      <c r="J4" s="345"/>
      <c r="N4" s="345"/>
      <c r="R4" s="345"/>
      <c r="V4" s="345"/>
      <c r="Z4" s="345"/>
      <c r="AD4" s="345"/>
      <c r="AH4" s="345"/>
      <c r="AL4" s="345"/>
      <c r="AP4" s="345"/>
      <c r="AT4" s="345"/>
    </row>
    <row r="5" spans="1:63" ht="15">
      <c r="A5" s="344" t="s">
        <v>204</v>
      </c>
      <c r="B5" s="344"/>
      <c r="C5" s="476" t="s">
        <v>209</v>
      </c>
      <c r="D5" s="476"/>
      <c r="E5" s="476"/>
      <c r="F5" s="345"/>
      <c r="G5" s="476" t="s">
        <v>215</v>
      </c>
      <c r="H5" s="476"/>
      <c r="I5" s="476"/>
      <c r="J5" s="345"/>
      <c r="K5" s="476" t="s">
        <v>216</v>
      </c>
      <c r="L5" s="476"/>
      <c r="M5" s="476"/>
      <c r="N5" s="345"/>
      <c r="O5" s="476" t="s">
        <v>217</v>
      </c>
      <c r="P5" s="476"/>
      <c r="Q5" s="476"/>
      <c r="R5" s="345"/>
      <c r="S5" s="476" t="s">
        <v>218</v>
      </c>
      <c r="T5" s="476"/>
      <c r="U5" s="476"/>
      <c r="V5" s="345"/>
      <c r="W5" s="476" t="s">
        <v>219</v>
      </c>
      <c r="X5" s="476"/>
      <c r="Y5" s="476"/>
      <c r="Z5" s="345"/>
      <c r="AA5" s="476" t="s">
        <v>220</v>
      </c>
      <c r="AB5" s="476"/>
      <c r="AC5" s="476"/>
      <c r="AD5" s="345"/>
      <c r="AE5" s="476" t="s">
        <v>221</v>
      </c>
      <c r="AF5" s="476"/>
      <c r="AG5" s="476"/>
      <c r="AH5" s="345"/>
      <c r="AI5" s="476" t="s">
        <v>222</v>
      </c>
      <c r="AJ5" s="476"/>
      <c r="AK5" s="476"/>
      <c r="AL5" s="345"/>
      <c r="AM5" s="476" t="s">
        <v>223</v>
      </c>
      <c r="AN5" s="476"/>
      <c r="AO5" s="476"/>
      <c r="AP5" s="345"/>
      <c r="AQ5" s="476"/>
      <c r="AR5" s="476"/>
      <c r="AS5" s="476"/>
      <c r="AT5" s="345"/>
      <c r="AU5" s="476"/>
      <c r="AV5" s="476"/>
      <c r="AW5" s="476"/>
    </row>
    <row r="6" spans="1:63" ht="15">
      <c r="A6" s="346" t="s">
        <v>211</v>
      </c>
      <c r="B6" s="344" t="s">
        <v>213</v>
      </c>
      <c r="C6" s="476">
        <v>61.2</v>
      </c>
      <c r="D6" s="476"/>
      <c r="E6" s="476"/>
      <c r="F6" s="345"/>
      <c r="G6" s="476">
        <v>55.08</v>
      </c>
      <c r="H6" s="476"/>
      <c r="I6" s="476"/>
      <c r="J6" s="345"/>
      <c r="K6" s="476">
        <v>48.96</v>
      </c>
      <c r="L6" s="476"/>
      <c r="M6" s="476"/>
      <c r="N6" s="345"/>
      <c r="O6" s="476">
        <v>42.839999999999996</v>
      </c>
      <c r="P6" s="476"/>
      <c r="Q6" s="476"/>
      <c r="R6" s="345"/>
      <c r="S6" s="476">
        <v>36.72</v>
      </c>
      <c r="T6" s="476"/>
      <c r="U6" s="476"/>
      <c r="V6" s="345"/>
      <c r="W6" s="476">
        <v>30.6</v>
      </c>
      <c r="X6" s="476"/>
      <c r="Y6" s="476"/>
      <c r="Z6" s="345"/>
      <c r="AA6" s="476">
        <v>24.48</v>
      </c>
      <c r="AB6" s="476"/>
      <c r="AC6" s="476"/>
      <c r="AD6" s="345"/>
      <c r="AE6" s="476">
        <v>18.36</v>
      </c>
      <c r="AF6" s="476"/>
      <c r="AG6" s="476"/>
      <c r="AH6" s="345"/>
      <c r="AI6" s="476">
        <v>12.24</v>
      </c>
      <c r="AJ6" s="476"/>
      <c r="AK6" s="476"/>
      <c r="AL6" s="345"/>
      <c r="AM6" s="476">
        <v>6.12</v>
      </c>
      <c r="AN6" s="476"/>
      <c r="AO6" s="476"/>
      <c r="AP6" s="345"/>
      <c r="AQ6" s="476"/>
      <c r="AR6" s="476"/>
      <c r="AS6" s="476"/>
      <c r="AT6" s="345"/>
      <c r="AU6" s="476"/>
      <c r="AV6" s="476"/>
      <c r="AW6" s="476"/>
    </row>
    <row r="7" spans="1:63" ht="15">
      <c r="A7" s="346" t="s">
        <v>212</v>
      </c>
      <c r="B7" s="344" t="s">
        <v>29</v>
      </c>
      <c r="C7" s="478">
        <v>383.15</v>
      </c>
      <c r="D7" s="476"/>
      <c r="E7" s="476"/>
      <c r="F7" s="345"/>
      <c r="G7" s="476">
        <v>383.15</v>
      </c>
      <c r="H7" s="476"/>
      <c r="I7" s="476"/>
      <c r="J7" s="345"/>
      <c r="K7" s="476">
        <v>383.15</v>
      </c>
      <c r="L7" s="476"/>
      <c r="M7" s="476"/>
      <c r="N7" s="345"/>
      <c r="O7" s="476">
        <v>383.15</v>
      </c>
      <c r="P7" s="476"/>
      <c r="Q7" s="476"/>
      <c r="R7" s="345"/>
      <c r="S7" s="476">
        <v>383.15</v>
      </c>
      <c r="T7" s="476"/>
      <c r="U7" s="476"/>
      <c r="V7" s="345"/>
      <c r="W7" s="476">
        <v>383.15</v>
      </c>
      <c r="X7" s="476"/>
      <c r="Y7" s="476"/>
      <c r="Z7" s="345"/>
      <c r="AA7" s="476">
        <v>383.15</v>
      </c>
      <c r="AB7" s="476"/>
      <c r="AC7" s="476"/>
      <c r="AD7" s="345"/>
      <c r="AE7" s="476">
        <v>383.15</v>
      </c>
      <c r="AF7" s="476"/>
      <c r="AG7" s="476"/>
      <c r="AH7" s="345"/>
      <c r="AI7" s="476">
        <v>383.15</v>
      </c>
      <c r="AJ7" s="476"/>
      <c r="AK7" s="476"/>
      <c r="AL7" s="345"/>
      <c r="AM7" s="476">
        <v>383.15</v>
      </c>
      <c r="AN7" s="476"/>
      <c r="AO7" s="476"/>
    </row>
    <row r="8" spans="1:63">
      <c r="A8" s="344"/>
      <c r="B8" s="344"/>
      <c r="C8" s="344" t="s">
        <v>160</v>
      </c>
      <c r="D8" s="344" t="s">
        <v>161</v>
      </c>
      <c r="E8" s="344" t="s">
        <v>162</v>
      </c>
      <c r="F8" s="345"/>
      <c r="G8" s="344" t="s">
        <v>160</v>
      </c>
      <c r="H8" s="344" t="s">
        <v>161</v>
      </c>
      <c r="I8" s="344" t="s">
        <v>162</v>
      </c>
      <c r="J8" s="345"/>
      <c r="K8" s="344" t="s">
        <v>160</v>
      </c>
      <c r="L8" s="344" t="s">
        <v>161</v>
      </c>
      <c r="M8" s="344" t="s">
        <v>162</v>
      </c>
      <c r="N8" s="345"/>
      <c r="O8" s="344" t="s">
        <v>160</v>
      </c>
      <c r="P8" s="344" t="s">
        <v>161</v>
      </c>
      <c r="Q8" s="344" t="s">
        <v>162</v>
      </c>
      <c r="R8" s="345"/>
      <c r="S8" s="344" t="s">
        <v>160</v>
      </c>
      <c r="T8" s="344" t="s">
        <v>161</v>
      </c>
      <c r="U8" s="344" t="s">
        <v>162</v>
      </c>
      <c r="V8" s="345"/>
      <c r="W8" s="344" t="s">
        <v>160</v>
      </c>
      <c r="X8" s="344" t="s">
        <v>161</v>
      </c>
      <c r="Y8" s="344" t="s">
        <v>162</v>
      </c>
      <c r="Z8" s="345"/>
      <c r="AA8" s="344" t="s">
        <v>160</v>
      </c>
      <c r="AB8" s="344" t="s">
        <v>161</v>
      </c>
      <c r="AC8" s="344" t="s">
        <v>162</v>
      </c>
      <c r="AD8" s="345"/>
      <c r="AE8" s="344" t="s">
        <v>160</v>
      </c>
      <c r="AF8" s="344" t="s">
        <v>161</v>
      </c>
      <c r="AG8" s="344" t="s">
        <v>162</v>
      </c>
      <c r="AH8" s="345"/>
      <c r="AI8" s="344" t="s">
        <v>160</v>
      </c>
      <c r="AJ8" s="344" t="s">
        <v>161</v>
      </c>
      <c r="AK8" s="344" t="s">
        <v>162</v>
      </c>
      <c r="AL8" s="345"/>
      <c r="AM8" s="344" t="s">
        <v>160</v>
      </c>
      <c r="AN8" s="344" t="s">
        <v>161</v>
      </c>
      <c r="AO8" s="344" t="s">
        <v>162</v>
      </c>
      <c r="AY8" s="345"/>
    </row>
    <row r="9" spans="1:63" ht="15">
      <c r="A9" s="344" t="s">
        <v>205</v>
      </c>
      <c r="B9" s="344"/>
      <c r="C9" s="13">
        <v>1</v>
      </c>
      <c r="D9" s="13"/>
      <c r="E9" s="13"/>
      <c r="F9" s="347"/>
      <c r="G9" s="13">
        <v>1.0000000000000002</v>
      </c>
      <c r="H9" s="13"/>
      <c r="I9" s="13"/>
      <c r="J9" s="347"/>
      <c r="K9" s="13">
        <v>0.95883222504958276</v>
      </c>
      <c r="L9" s="13"/>
      <c r="M9" s="13"/>
      <c r="N9" s="347"/>
      <c r="O9" s="13">
        <v>0.91147530010537803</v>
      </c>
      <c r="P9" s="13"/>
      <c r="Q9" s="13"/>
      <c r="R9" s="347"/>
      <c r="S9" s="13">
        <v>2.7189751773247562E-3</v>
      </c>
      <c r="T9" s="13">
        <v>0.85330883442240091</v>
      </c>
      <c r="U9" s="13"/>
      <c r="V9" s="347"/>
      <c r="W9" s="13">
        <v>1.0157238724010321E-2</v>
      </c>
      <c r="X9" s="13">
        <v>0.77824542352201653</v>
      </c>
      <c r="Y9" s="13"/>
      <c r="Z9" s="347"/>
      <c r="AA9" s="13">
        <v>1.5958995828437645E-2</v>
      </c>
      <c r="AB9" s="13">
        <v>0.68539707341174216</v>
      </c>
      <c r="AC9" s="13"/>
      <c r="AD9" s="347"/>
      <c r="AE9" s="13">
        <v>1.7768601988064601E-2</v>
      </c>
      <c r="AF9" s="13">
        <v>0.57264213727500446</v>
      </c>
      <c r="AG9" s="13"/>
      <c r="AH9" s="347"/>
      <c r="AI9" s="13">
        <v>1.6118331844438619E-2</v>
      </c>
      <c r="AJ9" s="13">
        <v>0.43546327603276785</v>
      </c>
      <c r="AK9" s="13"/>
      <c r="AL9" s="347"/>
      <c r="AM9" s="13">
        <v>1.1706354836159023E-2</v>
      </c>
      <c r="AN9" s="13">
        <v>0.28052325963653035</v>
      </c>
      <c r="AO9" s="13"/>
      <c r="AQ9" s="344" t="s">
        <v>127</v>
      </c>
      <c r="AR9" s="344" t="s">
        <v>246</v>
      </c>
      <c r="AZ9" s="476"/>
      <c r="BA9" s="476"/>
      <c r="BB9" s="476"/>
    </row>
    <row r="10" spans="1:63" ht="15">
      <c r="A10" s="344" t="s">
        <v>206</v>
      </c>
      <c r="B10" s="344" t="s">
        <v>210</v>
      </c>
      <c r="C10" s="13">
        <v>59.158401278728149</v>
      </c>
      <c r="D10" s="13"/>
      <c r="E10" s="13"/>
      <c r="F10" s="347"/>
      <c r="G10" s="13">
        <v>61.698386571925013</v>
      </c>
      <c r="H10" s="13"/>
      <c r="I10" s="13"/>
      <c r="J10" s="347"/>
      <c r="K10" s="13">
        <v>64.904009216584043</v>
      </c>
      <c r="L10" s="13"/>
      <c r="M10" s="13"/>
      <c r="N10" s="347"/>
      <c r="O10" s="13">
        <v>69.108036696132942</v>
      </c>
      <c r="P10" s="13"/>
      <c r="Q10" s="13"/>
      <c r="R10" s="347"/>
      <c r="S10" s="13">
        <v>0.28261527264027225</v>
      </c>
      <c r="T10" s="13">
        <v>63.943326251299034</v>
      </c>
      <c r="U10" s="13"/>
      <c r="V10" s="347"/>
      <c r="W10" s="13">
        <v>1.1024142110761306</v>
      </c>
      <c r="X10" s="13">
        <v>65.367307131745221</v>
      </c>
      <c r="Y10" s="13"/>
      <c r="Z10" s="347"/>
      <c r="AA10" s="13">
        <v>1.8266897904453725</v>
      </c>
      <c r="AB10" s="13">
        <v>68.404331115459243</v>
      </c>
      <c r="AC10" s="13"/>
      <c r="AD10" s="347"/>
      <c r="AE10" s="13">
        <v>2.2122317734526296</v>
      </c>
      <c r="AF10" s="13">
        <v>75.170121163815168</v>
      </c>
      <c r="AG10" s="13"/>
      <c r="AH10" s="347"/>
      <c r="AI10" s="13">
        <v>2.2586382340271571</v>
      </c>
      <c r="AJ10" s="13">
        <v>89.738300387723939</v>
      </c>
      <c r="AK10" s="13"/>
      <c r="AL10" s="347"/>
      <c r="AM10" s="13">
        <v>1.9985760901845382</v>
      </c>
      <c r="AN10" s="13">
        <v>128.0824511678349</v>
      </c>
      <c r="AO10" s="13"/>
      <c r="AQ10" t="s">
        <v>8</v>
      </c>
      <c r="AR10">
        <v>72.2</v>
      </c>
      <c r="AW10" s="476"/>
      <c r="AX10" s="476"/>
      <c r="AY10" s="476"/>
      <c r="AZ10" s="345"/>
      <c r="BA10" s="476"/>
      <c r="BB10" s="476"/>
      <c r="BC10" s="476"/>
      <c r="BE10" t="s">
        <v>239</v>
      </c>
      <c r="BF10" t="s">
        <v>240</v>
      </c>
      <c r="BJ10">
        <v>1.98</v>
      </c>
      <c r="BK10" s="321">
        <f>BJ10/251.82*100</f>
        <v>0.78627591136526087</v>
      </c>
    </row>
    <row r="11" spans="1:63">
      <c r="A11" s="344" t="s">
        <v>207</v>
      </c>
      <c r="B11" s="344"/>
      <c r="C11" s="13">
        <v>30.896878113395999</v>
      </c>
      <c r="D11" s="13"/>
      <c r="E11" s="13"/>
      <c r="F11" s="347"/>
      <c r="G11" s="13">
        <v>30.896878113395999</v>
      </c>
      <c r="H11" s="13"/>
      <c r="I11" s="13"/>
      <c r="J11" s="347"/>
      <c r="K11" s="13">
        <v>30.896878113395999</v>
      </c>
      <c r="L11" s="13"/>
      <c r="M11" s="13"/>
      <c r="N11" s="347"/>
      <c r="O11" s="13">
        <v>30.896878113395999</v>
      </c>
      <c r="P11" s="13"/>
      <c r="Q11" s="13"/>
      <c r="R11" s="347"/>
      <c r="S11" s="13">
        <v>89.539713717510153</v>
      </c>
      <c r="T11" s="13">
        <v>30.710019138188674</v>
      </c>
      <c r="U11" s="13"/>
      <c r="V11" s="347"/>
      <c r="W11" s="13">
        <v>92.241262619519091</v>
      </c>
      <c r="X11" s="13">
        <v>30.112481349055567</v>
      </c>
      <c r="Y11" s="13"/>
      <c r="Z11" s="347"/>
      <c r="AA11" s="13">
        <v>96.173937714836129</v>
      </c>
      <c r="AB11" s="13">
        <v>29.495003306058667</v>
      </c>
      <c r="AC11" s="13"/>
      <c r="AD11" s="347"/>
      <c r="AE11" s="13">
        <v>105.84655366630676</v>
      </c>
      <c r="AF11" s="13">
        <v>28.984158129976052</v>
      </c>
      <c r="AG11" s="13"/>
      <c r="AH11" s="347"/>
      <c r="AI11" s="13">
        <v>123.10244152468574</v>
      </c>
      <c r="AJ11" s="13">
        <v>28.636729498039688</v>
      </c>
      <c r="AK11" s="13"/>
      <c r="AL11" s="347"/>
      <c r="AM11" s="13">
        <v>160.10123167706041</v>
      </c>
      <c r="AN11" s="13">
        <v>28.578479723952757</v>
      </c>
      <c r="AO11" s="13"/>
      <c r="AQ11" t="s">
        <v>9</v>
      </c>
      <c r="AR11">
        <v>72.2</v>
      </c>
      <c r="AW11" s="344"/>
      <c r="AX11" s="344"/>
      <c r="AY11" s="344"/>
      <c r="AZ11" s="345"/>
      <c r="BA11" s="344"/>
      <c r="BC11" t="s">
        <v>237</v>
      </c>
      <c r="BD11" s="7">
        <v>61.2</v>
      </c>
      <c r="BE11">
        <v>0</v>
      </c>
      <c r="BF11">
        <f>C40</f>
        <v>269.53978161749791</v>
      </c>
      <c r="BJ11">
        <v>7.49</v>
      </c>
      <c r="BK11" s="321">
        <f t="shared" ref="BK11:BK24" si="0">BJ11/251.82*100</f>
        <v>2.9743467556190932</v>
      </c>
    </row>
    <row r="12" spans="1:63" ht="16.5" thickBot="1">
      <c r="A12" s="344" t="s">
        <v>16</v>
      </c>
      <c r="B12" s="344"/>
      <c r="C12" s="13">
        <v>1.1620810843602667</v>
      </c>
      <c r="D12" s="13"/>
      <c r="E12" s="13"/>
      <c r="F12" s="347"/>
      <c r="G12" s="13">
        <v>1.0897891734643983</v>
      </c>
      <c r="H12" s="13"/>
      <c r="I12" s="13"/>
      <c r="J12" s="347"/>
      <c r="K12" s="13">
        <v>1.0179681795368696</v>
      </c>
      <c r="L12" s="13"/>
      <c r="M12" s="13"/>
      <c r="N12" s="347"/>
      <c r="O12" s="13">
        <v>0.94725679365586302</v>
      </c>
      <c r="P12" s="13"/>
      <c r="Q12" s="13"/>
      <c r="R12" s="347"/>
      <c r="S12" s="13">
        <v>1.4266261321602967</v>
      </c>
      <c r="T12" s="13">
        <v>0.87847268667352285</v>
      </c>
      <c r="U12" s="13"/>
      <c r="V12" s="347"/>
      <c r="W12" s="13">
        <v>1.2414600198236996</v>
      </c>
      <c r="X12" s="13">
        <v>0.8172527992488704</v>
      </c>
      <c r="Y12" s="13"/>
      <c r="Z12" s="347"/>
      <c r="AA12" s="13">
        <v>1.0470587795347766</v>
      </c>
      <c r="AB12" s="13">
        <v>0.77382304058413598</v>
      </c>
      <c r="AC12" s="13"/>
      <c r="AD12" s="347"/>
      <c r="AE12" s="13">
        <v>0.85728955015880237</v>
      </c>
      <c r="AF12" s="13">
        <v>0.76090843179185208</v>
      </c>
      <c r="AG12" s="13"/>
      <c r="AH12" s="347"/>
      <c r="AI12" s="13">
        <v>0.64834323343783862</v>
      </c>
      <c r="AJ12" s="13">
        <v>0.79443007566902923</v>
      </c>
      <c r="AK12" s="13"/>
      <c r="AL12" s="347"/>
      <c r="AM12" s="13">
        <v>0.40667592407543973</v>
      </c>
      <c r="AN12" s="13">
        <v>0.87834610970411053</v>
      </c>
      <c r="AO12" s="13"/>
      <c r="AQ12" t="s">
        <v>10</v>
      </c>
      <c r="AR12">
        <v>84</v>
      </c>
      <c r="AW12" s="396" t="s">
        <v>149</v>
      </c>
      <c r="AX12" s="397"/>
      <c r="AY12" s="397"/>
      <c r="AZ12" s="398"/>
      <c r="BA12" s="13"/>
      <c r="BB12" t="s">
        <v>238</v>
      </c>
      <c r="BC12">
        <v>38.56</v>
      </c>
      <c r="BD12" s="7">
        <v>55.08</v>
      </c>
      <c r="BE12">
        <v>0</v>
      </c>
      <c r="BF12">
        <f>G40</f>
        <v>269.53978161749797</v>
      </c>
      <c r="BJ12">
        <v>19.37</v>
      </c>
      <c r="BK12" s="321">
        <f t="shared" si="0"/>
        <v>7.6920022238106593</v>
      </c>
    </row>
    <row r="13" spans="1:63" ht="14.25" thickTop="1" thickBot="1">
      <c r="A13" s="344" t="s">
        <v>208</v>
      </c>
      <c r="B13" s="344" t="s">
        <v>27</v>
      </c>
      <c r="C13" s="13">
        <v>522.27371675957932</v>
      </c>
      <c r="D13" s="13"/>
      <c r="E13" s="13"/>
      <c r="F13" s="347"/>
      <c r="G13" s="13">
        <v>500.77286992550285</v>
      </c>
      <c r="H13" s="13"/>
      <c r="I13" s="13"/>
      <c r="J13" s="347"/>
      <c r="K13" s="13">
        <v>476.03959272058864</v>
      </c>
      <c r="L13" s="13"/>
      <c r="M13" s="13"/>
      <c r="N13" s="347"/>
      <c r="O13" s="13">
        <v>447.08082576921026</v>
      </c>
      <c r="P13" s="13"/>
      <c r="Q13" s="13"/>
      <c r="R13" s="347"/>
      <c r="S13" s="13">
        <v>861.4405609018844</v>
      </c>
      <c r="T13" s="13">
        <v>409.81807128566498</v>
      </c>
      <c r="U13" s="13"/>
      <c r="V13" s="347"/>
      <c r="W13" s="13">
        <v>849.87703824681876</v>
      </c>
      <c r="X13" s="13">
        <v>358.51103294744047</v>
      </c>
      <c r="Y13" s="13"/>
      <c r="Z13" s="347"/>
      <c r="AA13" s="13">
        <v>840.22994972850677</v>
      </c>
      <c r="AB13" s="13">
        <v>295.53375665818834</v>
      </c>
      <c r="AC13" s="13"/>
      <c r="AD13" s="347"/>
      <c r="AE13" s="13">
        <v>850.15743217974227</v>
      </c>
      <c r="AF13" s="13">
        <v>220.7998337862968</v>
      </c>
      <c r="AG13" s="13"/>
      <c r="AH13" s="347"/>
      <c r="AI13" s="13">
        <v>878.49659740225036</v>
      </c>
      <c r="AJ13" s="13">
        <v>138.96233813434773</v>
      </c>
      <c r="AK13" s="13"/>
      <c r="AL13" s="347"/>
      <c r="AM13" s="13">
        <v>937.7685627894798</v>
      </c>
      <c r="AN13" s="13">
        <v>62.59193366868508</v>
      </c>
      <c r="AO13" s="13"/>
      <c r="AQ13" t="s">
        <v>247</v>
      </c>
      <c r="AR13">
        <v>112.9729</v>
      </c>
      <c r="AW13" s="125" t="s">
        <v>79</v>
      </c>
      <c r="AX13" s="198" t="s">
        <v>31</v>
      </c>
      <c r="AY13" s="126" t="s">
        <v>52</v>
      </c>
      <c r="AZ13" s="127" t="s">
        <v>54</v>
      </c>
      <c r="BA13" s="13"/>
      <c r="BB13" s="13"/>
      <c r="BC13" s="13"/>
      <c r="BD13" s="7">
        <v>48.96</v>
      </c>
      <c r="BE13">
        <v>0</v>
      </c>
      <c r="BF13">
        <v>269.53978161749797</v>
      </c>
      <c r="BJ13">
        <v>29.82</v>
      </c>
      <c r="BK13" s="321">
        <f t="shared" si="0"/>
        <v>11.841791756016203</v>
      </c>
    </row>
    <row r="14" spans="1:63" ht="13.5" thickTop="1">
      <c r="F14" s="345"/>
      <c r="J14" s="345"/>
      <c r="N14" s="345"/>
      <c r="R14" s="345"/>
      <c r="V14" s="345"/>
      <c r="Z14" s="345"/>
      <c r="AD14" s="345"/>
      <c r="AH14" s="345"/>
      <c r="AL14" s="345"/>
      <c r="AQ14" t="s">
        <v>163</v>
      </c>
      <c r="AR14">
        <v>159.60640000000001</v>
      </c>
      <c r="AW14" s="328">
        <v>612</v>
      </c>
      <c r="AX14" s="7">
        <v>61.2</v>
      </c>
      <c r="AY14" s="252">
        <v>0</v>
      </c>
      <c r="AZ14" s="252">
        <v>0</v>
      </c>
      <c r="BA14" s="13"/>
      <c r="BB14" s="13"/>
      <c r="BC14" s="13"/>
      <c r="BD14" s="7">
        <v>42.839999999999996</v>
      </c>
      <c r="BE14">
        <v>0</v>
      </c>
      <c r="BF14">
        <v>269.53978161749797</v>
      </c>
      <c r="BJ14">
        <v>40.159999999999997</v>
      </c>
      <c r="BK14" s="321">
        <f t="shared" si="0"/>
        <v>15.947899293145898</v>
      </c>
    </row>
    <row r="15" spans="1:63">
      <c r="A15" s="344" t="s">
        <v>22</v>
      </c>
      <c r="B15" t="s">
        <v>17</v>
      </c>
      <c r="C15" s="79">
        <v>0.13339999999999999</v>
      </c>
      <c r="D15" s="348"/>
      <c r="E15" s="13"/>
      <c r="F15" s="347"/>
      <c r="G15" s="13">
        <v>0.13339999999999999</v>
      </c>
      <c r="H15" s="13"/>
      <c r="I15" s="13"/>
      <c r="J15" s="347"/>
      <c r="K15" s="13">
        <v>0.13339999999999999</v>
      </c>
      <c r="L15" s="13"/>
      <c r="M15" s="13"/>
      <c r="N15" s="347"/>
      <c r="O15" s="13">
        <v>0.13339999999999999</v>
      </c>
      <c r="P15" s="13"/>
      <c r="Q15" s="13"/>
      <c r="R15" s="347"/>
      <c r="S15" s="13">
        <v>0.10914753497000639</v>
      </c>
      <c r="T15" s="13">
        <v>0.13347727782456409</v>
      </c>
      <c r="U15" s="13"/>
      <c r="V15" s="347"/>
      <c r="W15" s="13">
        <v>0.10459425501832842</v>
      </c>
      <c r="X15" s="13">
        <v>0.13376924200958099</v>
      </c>
      <c r="Y15" s="13"/>
      <c r="Z15" s="347"/>
      <c r="AA15" s="13">
        <v>9.7942184513482813E-2</v>
      </c>
      <c r="AB15" s="13">
        <v>0.13417109162956017</v>
      </c>
      <c r="AC15" s="13"/>
      <c r="AD15" s="347"/>
      <c r="AE15" s="13">
        <v>8.6923466159312485E-2</v>
      </c>
      <c r="AF15" s="13">
        <v>0.13462748010905856</v>
      </c>
      <c r="AG15" s="13"/>
      <c r="AH15" s="347"/>
      <c r="AI15" s="13">
        <v>6.9282603584751384E-2</v>
      </c>
      <c r="AJ15" s="13">
        <v>0.1350996594600242</v>
      </c>
      <c r="AK15" s="13"/>
      <c r="AL15" s="347"/>
      <c r="AM15" s="13">
        <v>4.1135427743884859E-2</v>
      </c>
      <c r="AN15" s="13">
        <v>0.13523910419200572</v>
      </c>
      <c r="AO15" s="13"/>
      <c r="AQ15" t="s">
        <v>178</v>
      </c>
      <c r="AR15">
        <v>197.18260000000001</v>
      </c>
      <c r="AW15" s="328">
        <v>550.79999999999995</v>
      </c>
      <c r="AX15" s="7">
        <v>55.08</v>
      </c>
      <c r="AY15" s="8">
        <v>0</v>
      </c>
      <c r="AZ15" s="8">
        <v>0</v>
      </c>
      <c r="BA15" s="13"/>
      <c r="BB15" s="13"/>
      <c r="BC15" s="13"/>
      <c r="BD15" s="7">
        <v>38.56</v>
      </c>
      <c r="BE15">
        <v>0</v>
      </c>
      <c r="BF15">
        <f>BF14</f>
        <v>269.53978161749797</v>
      </c>
      <c r="BJ15">
        <v>48.1</v>
      </c>
      <c r="BK15" s="321">
        <f t="shared" si="0"/>
        <v>19.100945119529825</v>
      </c>
    </row>
    <row r="16" spans="1:63">
      <c r="A16" s="344" t="s">
        <v>23</v>
      </c>
      <c r="B16" t="s">
        <v>17</v>
      </c>
      <c r="C16" s="79">
        <v>2.2000000000000001E-3</v>
      </c>
      <c r="D16" s="348"/>
      <c r="E16" s="13"/>
      <c r="F16" s="347"/>
      <c r="G16" s="13">
        <v>2.2000000000000001E-3</v>
      </c>
      <c r="H16" s="13"/>
      <c r="I16" s="13"/>
      <c r="J16" s="347"/>
      <c r="K16" s="13">
        <v>2.2000000000000001E-3</v>
      </c>
      <c r="L16" s="13"/>
      <c r="M16" s="13"/>
      <c r="N16" s="347"/>
      <c r="O16" s="13">
        <v>2.2000000000000001E-3</v>
      </c>
      <c r="P16" s="13"/>
      <c r="Q16" s="13"/>
      <c r="R16" s="347"/>
      <c r="S16" s="13">
        <v>1.1621320845020839E-3</v>
      </c>
      <c r="T16" s="13">
        <v>2.2033070524829276E-3</v>
      </c>
      <c r="U16" s="13"/>
      <c r="V16" s="347"/>
      <c r="W16" s="13">
        <v>1.0249838529263451E-3</v>
      </c>
      <c r="X16" s="13">
        <v>2.2150483115543802E-3</v>
      </c>
      <c r="Y16" s="13"/>
      <c r="Z16" s="347"/>
      <c r="AA16" s="13">
        <v>8.5538661617646486E-4</v>
      </c>
      <c r="AB16" s="13">
        <v>2.229070937115846E-3</v>
      </c>
      <c r="AC16" s="13"/>
      <c r="AD16" s="347"/>
      <c r="AE16" s="13">
        <v>6.4335484278068926E-4</v>
      </c>
      <c r="AF16" s="13">
        <v>2.2399910832102379E-3</v>
      </c>
      <c r="AG16" s="13"/>
      <c r="AH16" s="347"/>
      <c r="AI16" s="13">
        <v>4.1364654543232896E-4</v>
      </c>
      <c r="AJ16" s="13">
        <v>2.2424428018855678E-3</v>
      </c>
      <c r="AK16" s="13"/>
      <c r="AL16" s="347"/>
      <c r="AM16" s="13">
        <v>1.915742237623744E-4</v>
      </c>
      <c r="AN16" s="13">
        <v>2.222947271829959E-3</v>
      </c>
      <c r="AO16" s="13"/>
      <c r="AQ16" t="s">
        <v>249</v>
      </c>
      <c r="AR16">
        <v>257.05349999999999</v>
      </c>
      <c r="AW16" s="358">
        <v>489.6</v>
      </c>
      <c r="AX16" s="7">
        <v>48.96</v>
      </c>
      <c r="AY16" s="8">
        <v>0</v>
      </c>
      <c r="AZ16" s="114">
        <v>0</v>
      </c>
      <c r="BA16" s="13"/>
      <c r="BB16" s="13"/>
      <c r="BC16" s="13"/>
      <c r="BD16" s="7">
        <v>36.72</v>
      </c>
      <c r="BE16">
        <f>S40</f>
        <v>7.728472205405712</v>
      </c>
      <c r="BF16">
        <f t="shared" ref="BF16:BF21" si="1">$BF$11-BE16</f>
        <v>261.81130941209221</v>
      </c>
      <c r="BJ16">
        <v>55.2</v>
      </c>
      <c r="BK16" s="321">
        <f t="shared" si="0"/>
        <v>21.92041934715273</v>
      </c>
    </row>
    <row r="17" spans="1:63" ht="15">
      <c r="A17" s="344" t="s">
        <v>157</v>
      </c>
      <c r="B17" t="s">
        <v>17</v>
      </c>
      <c r="C17" s="79"/>
      <c r="D17" s="348"/>
      <c r="E17" s="13"/>
      <c r="F17" s="347"/>
      <c r="G17" s="13"/>
      <c r="H17" s="13"/>
      <c r="I17" s="13"/>
      <c r="J17" s="347"/>
      <c r="K17" s="13"/>
      <c r="L17" s="13"/>
      <c r="M17" s="13"/>
      <c r="N17" s="347"/>
      <c r="O17" s="13"/>
      <c r="P17" s="13"/>
      <c r="Q17" s="13"/>
      <c r="R17" s="347"/>
      <c r="S17" s="13"/>
      <c r="T17" s="13"/>
      <c r="U17" s="13"/>
      <c r="V17" s="347"/>
      <c r="W17" s="13"/>
      <c r="X17" s="13"/>
      <c r="Y17" s="13"/>
      <c r="Z17" s="347"/>
      <c r="AA17" s="13"/>
      <c r="AB17" s="13"/>
      <c r="AC17" s="13"/>
      <c r="AD17" s="347"/>
      <c r="AE17" s="13"/>
      <c r="AF17" s="13"/>
      <c r="AG17" s="13"/>
      <c r="AH17" s="347"/>
      <c r="AI17" s="13"/>
      <c r="AJ17" s="13"/>
      <c r="AK17" s="13"/>
      <c r="AL17" s="347"/>
      <c r="AM17" s="13"/>
      <c r="AN17" s="13"/>
      <c r="AO17" s="13"/>
      <c r="AQ17" t="s">
        <v>248</v>
      </c>
      <c r="AR17">
        <v>400.78919999999999</v>
      </c>
      <c r="AW17" s="364">
        <v>38.56</v>
      </c>
      <c r="AX17" s="7">
        <v>38.56</v>
      </c>
      <c r="AY17" s="8">
        <v>0</v>
      </c>
      <c r="AZ17">
        <v>0</v>
      </c>
      <c r="BD17" s="7">
        <v>30.6</v>
      </c>
      <c r="BE17">
        <f>W40</f>
        <v>30.290682670453645</v>
      </c>
      <c r="BF17">
        <f t="shared" si="1"/>
        <v>239.24909894704427</v>
      </c>
      <c r="BJ17">
        <v>60.1</v>
      </c>
      <c r="BK17" s="321">
        <f t="shared" si="0"/>
        <v>23.866253673258679</v>
      </c>
    </row>
    <row r="18" spans="1:63">
      <c r="A18" s="344" t="s">
        <v>159</v>
      </c>
      <c r="B18" t="s">
        <v>17</v>
      </c>
      <c r="C18" s="79"/>
      <c r="D18" s="348"/>
      <c r="E18" s="13"/>
      <c r="F18" s="347"/>
      <c r="G18" s="13"/>
      <c r="H18" s="13"/>
      <c r="I18" s="13"/>
      <c r="J18" s="347"/>
      <c r="K18" s="13"/>
      <c r="L18" s="13"/>
      <c r="M18" s="13"/>
      <c r="N18" s="347"/>
      <c r="O18" s="13"/>
      <c r="P18" s="13"/>
      <c r="Q18" s="13"/>
      <c r="R18" s="347"/>
      <c r="S18" s="13"/>
      <c r="T18" s="13"/>
      <c r="U18" s="13"/>
      <c r="V18" s="347"/>
      <c r="W18" s="13"/>
      <c r="X18" s="13"/>
      <c r="Y18" s="13"/>
      <c r="Z18" s="347"/>
      <c r="AA18" s="13"/>
      <c r="AB18" s="13"/>
      <c r="AC18" s="13"/>
      <c r="AD18" s="347"/>
      <c r="AE18" s="13"/>
      <c r="AF18" s="13"/>
      <c r="AG18" s="13"/>
      <c r="AH18" s="347"/>
      <c r="AI18" s="13"/>
      <c r="AJ18" s="13"/>
      <c r="AK18" s="13"/>
      <c r="AL18" s="347"/>
      <c r="AM18" s="13"/>
      <c r="AN18" s="13"/>
      <c r="AO18" s="13"/>
      <c r="AW18" s="328">
        <v>367.2</v>
      </c>
      <c r="AX18" s="7">
        <v>36.72</v>
      </c>
      <c r="AY18" s="8">
        <v>0</v>
      </c>
      <c r="AZ18" s="114">
        <v>4.7772635252381892E-3</v>
      </c>
      <c r="BA18" s="13"/>
      <c r="BB18" s="13"/>
      <c r="BC18" s="13"/>
      <c r="BD18" s="7">
        <v>24.48</v>
      </c>
      <c r="BE18">
        <f>AA40</f>
        <v>50.831541176994371</v>
      </c>
      <c r="BF18">
        <f t="shared" si="1"/>
        <v>218.70824044050354</v>
      </c>
      <c r="BJ18">
        <v>63.31</v>
      </c>
      <c r="BK18" s="321">
        <f t="shared" si="0"/>
        <v>25.140973711381147</v>
      </c>
    </row>
    <row r="19" spans="1:63">
      <c r="A19" s="344" t="s">
        <v>193</v>
      </c>
      <c r="B19" t="s">
        <v>17</v>
      </c>
      <c r="C19" s="79">
        <v>0.25769999999999998</v>
      </c>
      <c r="D19" s="348"/>
      <c r="E19" s="13"/>
      <c r="F19" s="347"/>
      <c r="G19" s="13">
        <v>0.25769999999999998</v>
      </c>
      <c r="H19" s="13"/>
      <c r="I19" s="13"/>
      <c r="J19" s="347"/>
      <c r="K19" s="13">
        <v>0.25769999999999998</v>
      </c>
      <c r="L19" s="13"/>
      <c r="M19" s="13"/>
      <c r="N19" s="347"/>
      <c r="O19" s="13">
        <v>0.25769999999999998</v>
      </c>
      <c r="P19" s="13"/>
      <c r="Q19" s="13"/>
      <c r="R19" s="347"/>
      <c r="S19" s="13">
        <v>0.27906667105589672</v>
      </c>
      <c r="T19" s="13">
        <v>0.25763191744198644</v>
      </c>
      <c r="U19" s="13"/>
      <c r="V19" s="347"/>
      <c r="W19" s="13">
        <v>0.27987563358261724</v>
      </c>
      <c r="X19" s="13">
        <v>0.25741649160474539</v>
      </c>
      <c r="Y19" s="13"/>
      <c r="Z19" s="347"/>
      <c r="AA19" s="13">
        <v>0.27893097168252168</v>
      </c>
      <c r="AB19" s="13">
        <v>0.25724837499661202</v>
      </c>
      <c r="AC19" s="13"/>
      <c r="AD19" s="347"/>
      <c r="AE19" s="13">
        <v>0.27078449563832729</v>
      </c>
      <c r="AF19" s="13">
        <v>0.2574326341054809</v>
      </c>
      <c r="AG19" s="13"/>
      <c r="AH19" s="347"/>
      <c r="AI19" s="13">
        <v>0.24252734476803009</v>
      </c>
      <c r="AJ19" s="13">
        <v>0.25852914979218916</v>
      </c>
      <c r="AK19" s="13"/>
      <c r="AL19" s="347"/>
      <c r="AM19" s="13">
        <v>0.16545368606193922</v>
      </c>
      <c r="AN19" s="13">
        <v>0.26149379522855876</v>
      </c>
      <c r="AO19" s="13"/>
      <c r="AW19" s="328">
        <v>306</v>
      </c>
      <c r="AX19" s="7">
        <v>30.6</v>
      </c>
      <c r="AY19" s="8">
        <v>629.90371989429821</v>
      </c>
      <c r="AZ19" s="114">
        <v>1.8634956105085459E-2</v>
      </c>
      <c r="BA19" s="13"/>
      <c r="BB19" s="13"/>
      <c r="BC19" s="13"/>
      <c r="BD19" s="7">
        <v>18.36</v>
      </c>
      <c r="BE19">
        <f>AE40</f>
        <v>64.954590397819203</v>
      </c>
      <c r="BF19">
        <f t="shared" si="1"/>
        <v>204.58519121967871</v>
      </c>
      <c r="BJ19">
        <v>64.489999999999995</v>
      </c>
      <c r="BK19" s="321">
        <f t="shared" si="0"/>
        <v>25.609562385831147</v>
      </c>
    </row>
    <row r="20" spans="1:63">
      <c r="A20" s="344" t="s">
        <v>24</v>
      </c>
      <c r="B20" t="s">
        <v>17</v>
      </c>
      <c r="C20" s="79">
        <v>0.52339999999999998</v>
      </c>
      <c r="D20" s="348"/>
      <c r="E20" s="13"/>
      <c r="F20" s="347"/>
      <c r="G20" s="13">
        <v>0.52339999999999998</v>
      </c>
      <c r="H20" s="13"/>
      <c r="I20" s="13"/>
      <c r="J20" s="347"/>
      <c r="K20" s="13">
        <v>0.52339999999999998</v>
      </c>
      <c r="L20" s="13"/>
      <c r="M20" s="13"/>
      <c r="N20" s="347"/>
      <c r="O20" s="13">
        <v>0.52339999999999998</v>
      </c>
      <c r="P20" s="13"/>
      <c r="Q20" s="13"/>
      <c r="R20" s="347"/>
      <c r="S20" s="13">
        <v>0.3193650318975213</v>
      </c>
      <c r="T20" s="13">
        <v>0.52405013508731846</v>
      </c>
      <c r="U20" s="13"/>
      <c r="V20" s="347"/>
      <c r="W20" s="13">
        <v>0.29656209868636979</v>
      </c>
      <c r="X20" s="13">
        <v>0.52630407263044099</v>
      </c>
      <c r="Y20" s="13"/>
      <c r="Z20" s="347"/>
      <c r="AA20" s="13">
        <v>0.26569182486035819</v>
      </c>
      <c r="AB20" s="13">
        <v>0.52896758808964772</v>
      </c>
      <c r="AC20" s="13"/>
      <c r="AD20" s="347"/>
      <c r="AE20" s="13">
        <v>0.21967644457305346</v>
      </c>
      <c r="AF20" s="13">
        <v>0.53122738410576464</v>
      </c>
      <c r="AG20" s="13"/>
      <c r="AH20" s="347"/>
      <c r="AI20" s="13">
        <v>0.1592305858718473</v>
      </c>
      <c r="AJ20" s="13">
        <v>0.53228405919357169</v>
      </c>
      <c r="AK20" s="13"/>
      <c r="AL20" s="347"/>
      <c r="AM20" s="13">
        <v>8.4020347658240457E-2</v>
      </c>
      <c r="AN20" s="13">
        <v>0.52955535280285893</v>
      </c>
      <c r="AO20" s="13"/>
      <c r="AW20" s="328">
        <v>244.8</v>
      </c>
      <c r="AX20" s="7">
        <v>24.48</v>
      </c>
      <c r="AY20" s="8">
        <v>1290.5834153757746</v>
      </c>
      <c r="AZ20" s="114">
        <v>3.0877943807825711E-2</v>
      </c>
      <c r="BA20" s="13"/>
      <c r="BB20" s="13"/>
      <c r="BC20" s="13"/>
      <c r="BD20" s="7">
        <v>12.24</v>
      </c>
      <c r="BE20">
        <f>AI40</f>
        <v>72.457570874380565</v>
      </c>
      <c r="BF20">
        <f t="shared" si="1"/>
        <v>197.08221074311734</v>
      </c>
      <c r="BJ20">
        <v>64.430000000000007</v>
      </c>
      <c r="BK20" s="321">
        <f t="shared" si="0"/>
        <v>25.585735843062508</v>
      </c>
    </row>
    <row r="21" spans="1:63">
      <c r="A21" s="344" t="s">
        <v>4</v>
      </c>
      <c r="B21" t="s">
        <v>17</v>
      </c>
      <c r="C21" s="79">
        <v>2.1899999999999999E-2</v>
      </c>
      <c r="D21" s="348"/>
      <c r="E21" s="13"/>
      <c r="F21" s="347"/>
      <c r="G21" s="13">
        <v>2.1899999999999999E-2</v>
      </c>
      <c r="H21" s="13"/>
      <c r="I21" s="13"/>
      <c r="J21" s="347"/>
      <c r="K21" s="13">
        <v>2.1899999999999999E-2</v>
      </c>
      <c r="L21" s="13"/>
      <c r="M21" s="13"/>
      <c r="N21" s="347"/>
      <c r="O21" s="13">
        <v>2.1899999999999999E-2</v>
      </c>
      <c r="P21" s="13"/>
      <c r="Q21" s="13"/>
      <c r="R21" s="347"/>
      <c r="S21" s="13">
        <v>2.0447224008986142E-2</v>
      </c>
      <c r="T21" s="13">
        <v>2.190462911163981E-2</v>
      </c>
      <c r="U21" s="13"/>
      <c r="V21" s="347"/>
      <c r="W21" s="13">
        <v>2.0047981461354957E-2</v>
      </c>
      <c r="X21" s="13">
        <v>2.1923769301434283E-2</v>
      </c>
      <c r="Y21" s="13"/>
      <c r="Z21" s="347"/>
      <c r="AA21" s="13">
        <v>1.9453850947200087E-2</v>
      </c>
      <c r="AB21" s="13">
        <v>2.1953481409370715E-2</v>
      </c>
      <c r="AC21" s="13"/>
      <c r="AD21" s="347"/>
      <c r="AE21" s="13">
        <v>1.8294074183473369E-2</v>
      </c>
      <c r="AF21" s="13">
        <v>2.1997367384144404E-2</v>
      </c>
      <c r="AG21" s="13"/>
      <c r="AH21" s="347"/>
      <c r="AI21" s="13">
        <v>1.5932597453572461E-2</v>
      </c>
      <c r="AJ21" s="13">
        <v>2.2070741266930555E-2</v>
      </c>
      <c r="AK21" s="13"/>
      <c r="AL21" s="347"/>
      <c r="AM21" s="13">
        <v>1.0679187353008676E-2</v>
      </c>
      <c r="AN21" s="13">
        <v>2.2193429608010028E-2</v>
      </c>
      <c r="AO21" s="13"/>
      <c r="AW21" s="328">
        <v>183.6</v>
      </c>
      <c r="AX21" s="7">
        <v>18.36</v>
      </c>
      <c r="AY21" s="8">
        <v>1648.5705820625788</v>
      </c>
      <c r="AZ21" s="114">
        <v>3.7395056756682359E-2</v>
      </c>
      <c r="BA21" s="13"/>
      <c r="BB21" s="13"/>
      <c r="BC21" s="13"/>
      <c r="BD21" s="7">
        <v>6.12</v>
      </c>
      <c r="BE21">
        <f>AM40</f>
        <v>73.43380961707453</v>
      </c>
      <c r="BF21">
        <f t="shared" si="1"/>
        <v>196.10597200042338</v>
      </c>
      <c r="BJ21">
        <v>62.61</v>
      </c>
      <c r="BK21" s="321">
        <f t="shared" si="0"/>
        <v>24.862997379080294</v>
      </c>
    </row>
    <row r="22" spans="1:63">
      <c r="A22" s="344" t="s">
        <v>5</v>
      </c>
      <c r="B22" t="s">
        <v>17</v>
      </c>
      <c r="C22" s="79">
        <v>9.7999999999999997E-3</v>
      </c>
      <c r="D22" s="348"/>
      <c r="E22" s="13"/>
      <c r="F22" s="347"/>
      <c r="G22" s="13">
        <v>9.7999999999999997E-3</v>
      </c>
      <c r="H22" s="13"/>
      <c r="I22" s="13"/>
      <c r="J22" s="347"/>
      <c r="K22" s="13">
        <v>9.7999999999999997E-3</v>
      </c>
      <c r="L22" s="13"/>
      <c r="M22" s="13"/>
      <c r="N22" s="347"/>
      <c r="O22" s="13">
        <v>9.7999999999999997E-3</v>
      </c>
      <c r="P22" s="13"/>
      <c r="Q22" s="13"/>
      <c r="R22" s="347"/>
      <c r="S22" s="13">
        <v>1.1313409105704145E-2</v>
      </c>
      <c r="T22" s="13">
        <v>9.7951776875785743E-3</v>
      </c>
      <c r="U22" s="13"/>
      <c r="V22" s="347"/>
      <c r="W22" s="13">
        <v>1.1564986562545995E-2</v>
      </c>
      <c r="X22" s="13">
        <v>9.7773833809485077E-3</v>
      </c>
      <c r="Y22" s="13"/>
      <c r="Z22" s="347"/>
      <c r="AA22" s="13">
        <v>1.1938741689170217E-2</v>
      </c>
      <c r="AB22" s="13">
        <v>9.7535490276967965E-3</v>
      </c>
      <c r="AC22" s="13"/>
      <c r="AD22" s="347"/>
      <c r="AE22" s="13">
        <v>1.2354490225710408E-2</v>
      </c>
      <c r="AF22" s="13">
        <v>9.7337432753170517E-3</v>
      </c>
      <c r="AG22" s="13"/>
      <c r="AH22" s="347"/>
      <c r="AI22" s="13">
        <v>1.236622761269892E-2</v>
      </c>
      <c r="AJ22" s="13">
        <v>9.7432406395619644E-3</v>
      </c>
      <c r="AK22" s="13"/>
      <c r="AL22" s="347"/>
      <c r="AM22" s="13">
        <v>9.9846435981136641E-3</v>
      </c>
      <c r="AN22" s="13">
        <v>9.8838786237935537E-3</v>
      </c>
      <c r="AO22" s="13"/>
      <c r="AP22" s="347"/>
      <c r="AQ22" s="13"/>
      <c r="AW22" s="360">
        <v>122.4</v>
      </c>
      <c r="AX22" s="7">
        <v>12.24</v>
      </c>
      <c r="AY22" s="8">
        <v>1674.7409433147538</v>
      </c>
      <c r="AZ22" s="114">
        <v>3.8179500885858218E-2</v>
      </c>
      <c r="BA22" s="13"/>
      <c r="BB22" s="13"/>
      <c r="BC22" s="13"/>
      <c r="BJ22">
        <v>57.25</v>
      </c>
      <c r="BK22" s="321">
        <f t="shared" si="0"/>
        <v>22.734492891748076</v>
      </c>
    </row>
    <row r="23" spans="1:63">
      <c r="A23" s="344" t="s">
        <v>6</v>
      </c>
      <c r="B23" t="s">
        <v>17</v>
      </c>
      <c r="C23" s="79">
        <v>2.8999999999999998E-3</v>
      </c>
      <c r="D23" s="348"/>
      <c r="E23" s="13"/>
      <c r="F23" s="347"/>
      <c r="G23" s="13">
        <v>2.8999999999999998E-3</v>
      </c>
      <c r="H23" s="13"/>
      <c r="I23" s="13"/>
      <c r="J23" s="347"/>
      <c r="K23" s="13">
        <v>2.8999999999999998E-3</v>
      </c>
      <c r="L23" s="13"/>
      <c r="M23" s="13"/>
      <c r="N23" s="347"/>
      <c r="O23" s="13">
        <v>2.8999999999999998E-3</v>
      </c>
      <c r="P23" s="13"/>
      <c r="Q23" s="13"/>
      <c r="R23" s="347"/>
      <c r="S23" s="13">
        <v>3.7687236061869195E-3</v>
      </c>
      <c r="T23" s="13">
        <v>2.8972319073401163E-3</v>
      </c>
      <c r="U23" s="13"/>
      <c r="V23" s="347"/>
      <c r="W23" s="13">
        <v>3.9512055453815968E-3</v>
      </c>
      <c r="X23" s="13">
        <v>2.8865207649394755E-3</v>
      </c>
      <c r="Y23" s="13"/>
      <c r="Z23" s="347"/>
      <c r="AA23" s="13">
        <v>4.2416057964981694E-3</v>
      </c>
      <c r="AB23" s="13">
        <v>2.8707466402685968E-3</v>
      </c>
      <c r="AC23" s="13"/>
      <c r="AD23" s="347"/>
      <c r="AE23" s="13">
        <v>4.6709689171589462E-3</v>
      </c>
      <c r="AF23" s="13">
        <v>2.853091813782062E-3</v>
      </c>
      <c r="AG23" s="13"/>
      <c r="AH23" s="347"/>
      <c r="AI23" s="13">
        <v>5.1373966682203747E-3</v>
      </c>
      <c r="AJ23" s="13">
        <v>2.8427165440101992E-3</v>
      </c>
      <c r="AK23" s="13"/>
      <c r="AL23" s="347"/>
      <c r="AM23" s="13">
        <v>4.7342728220520214E-3</v>
      </c>
      <c r="AN23" s="13">
        <v>2.8956290431547175E-3</v>
      </c>
      <c r="AO23" s="13"/>
      <c r="AP23" s="347"/>
      <c r="AQ23" s="13"/>
      <c r="AR23" s="13"/>
      <c r="AS23" s="13"/>
      <c r="AT23" s="347"/>
      <c r="AW23" s="360">
        <v>61.2</v>
      </c>
      <c r="AX23" s="7">
        <v>6.12</v>
      </c>
      <c r="AY23" s="8">
        <v>1466.0820101888103</v>
      </c>
      <c r="AZ23" s="114">
        <v>3.3783470259247439E-2</v>
      </c>
      <c r="BA23" s="13"/>
      <c r="BB23" s="13"/>
      <c r="BC23" s="13"/>
      <c r="BJ23">
        <v>45.15</v>
      </c>
      <c r="BK23" s="321">
        <f t="shared" si="0"/>
        <v>17.929473433404812</v>
      </c>
    </row>
    <row r="24" spans="1:63">
      <c r="A24" s="344" t="s">
        <v>7</v>
      </c>
      <c r="B24" t="s">
        <v>17</v>
      </c>
      <c r="C24" s="79">
        <v>5.5999999999999999E-3</v>
      </c>
      <c r="D24" s="348"/>
      <c r="E24" s="13"/>
      <c r="F24" s="347"/>
      <c r="G24" s="13">
        <v>5.5999999999999999E-3</v>
      </c>
      <c r="H24" s="13"/>
      <c r="I24" s="13"/>
      <c r="J24" s="347"/>
      <c r="K24" s="13">
        <v>5.5999999999999999E-3</v>
      </c>
      <c r="L24" s="13"/>
      <c r="M24" s="13"/>
      <c r="N24" s="347"/>
      <c r="O24" s="13">
        <v>5.5999999999999999E-3</v>
      </c>
      <c r="P24" s="13"/>
      <c r="Q24" s="13"/>
      <c r="R24" s="347"/>
      <c r="S24" s="13">
        <v>7.7621566210259356E-3</v>
      </c>
      <c r="T24" s="13">
        <v>5.5931105246483977E-3</v>
      </c>
      <c r="U24" s="13"/>
      <c r="V24" s="347"/>
      <c r="W24" s="13">
        <v>8.2469385782568353E-3</v>
      </c>
      <c r="X24" s="13">
        <v>5.5660522446483009E-3</v>
      </c>
      <c r="Y24" s="13"/>
      <c r="Z24" s="347"/>
      <c r="AA24" s="13">
        <v>9.0147155644960224E-3</v>
      </c>
      <c r="AB24" s="13">
        <v>5.5254818918828276E-3</v>
      </c>
      <c r="AC24" s="13"/>
      <c r="AD24" s="347"/>
      <c r="AE24" s="13">
        <v>1.0185813312725212E-2</v>
      </c>
      <c r="AF24" s="13">
        <v>5.4781173918605095E-3</v>
      </c>
      <c r="AG24" s="13"/>
      <c r="AH24" s="347"/>
      <c r="AI24" s="13">
        <v>1.1582774289884294E-2</v>
      </c>
      <c r="AJ24" s="13">
        <v>5.4442506770494116E-3</v>
      </c>
      <c r="AK24" s="13"/>
      <c r="AL24" s="347"/>
      <c r="AM24" s="13">
        <v>1.1141026804851784E-2</v>
      </c>
      <c r="AN24" s="13">
        <v>5.559229655598897E-3</v>
      </c>
      <c r="AO24" s="13"/>
      <c r="AP24" s="347"/>
      <c r="AQ24" s="13"/>
      <c r="AR24" s="13"/>
      <c r="AS24" s="13"/>
      <c r="AT24" s="347"/>
      <c r="AW24" s="13"/>
      <c r="AX24" s="13"/>
      <c r="AY24" s="13"/>
      <c r="AZ24" s="347"/>
      <c r="BA24" s="13"/>
      <c r="BB24" s="13"/>
      <c r="BC24" t="s">
        <v>241</v>
      </c>
      <c r="BJ24">
        <v>42.24</v>
      </c>
      <c r="BK24" s="321">
        <f t="shared" si="0"/>
        <v>16.773886109125566</v>
      </c>
    </row>
    <row r="25" spans="1:63">
      <c r="A25" s="344" t="s">
        <v>8</v>
      </c>
      <c r="B25" t="s">
        <v>17</v>
      </c>
      <c r="C25" s="79">
        <v>3.3999999999999998E-3</v>
      </c>
      <c r="D25" s="348"/>
      <c r="E25" s="13"/>
      <c r="F25" s="347"/>
      <c r="G25" s="13">
        <v>3.3999999999999998E-3</v>
      </c>
      <c r="H25" s="13"/>
      <c r="I25" s="13"/>
      <c r="J25" s="347"/>
      <c r="K25" s="13">
        <v>3.3999999999999998E-3</v>
      </c>
      <c r="L25" s="13"/>
      <c r="M25" s="13"/>
      <c r="N25" s="347"/>
      <c r="O25" s="13">
        <v>3.3999999999999998E-3</v>
      </c>
      <c r="P25" s="13"/>
      <c r="Q25" s="13"/>
      <c r="R25" s="347"/>
      <c r="S25" s="13">
        <v>5.6500791744148399E-3</v>
      </c>
      <c r="T25" s="13">
        <v>3.3928303690581255E-3</v>
      </c>
      <c r="U25" s="13"/>
      <c r="V25" s="347"/>
      <c r="W25" s="13">
        <v>6.1819911039602618E-3</v>
      </c>
      <c r="X25" s="13">
        <v>3.3643139560058126E-3</v>
      </c>
      <c r="Y25" s="13"/>
      <c r="Z25" s="347"/>
      <c r="AA25" s="13">
        <v>7.062298622346432E-3</v>
      </c>
      <c r="AB25" s="13">
        <v>3.3199654993170654E-3</v>
      </c>
      <c r="AC25" s="13"/>
      <c r="AD25" s="347"/>
      <c r="AE25" s="13">
        <v>8.550756906369375E-3</v>
      </c>
      <c r="AF25" s="13">
        <v>3.2619537503851188E-3</v>
      </c>
      <c r="AG25" s="13"/>
      <c r="AH25" s="347"/>
      <c r="AI25" s="13">
        <v>1.0766108010499084E-2</v>
      </c>
      <c r="AJ25" s="13">
        <v>3.1999971818536315E-3</v>
      </c>
      <c r="AK25" s="13"/>
      <c r="AL25" s="347"/>
      <c r="AM25" s="13">
        <v>1.2011389391240759E-2</v>
      </c>
      <c r="AN25" s="13">
        <v>3.2670283482838891E-3</v>
      </c>
      <c r="AO25" s="13"/>
      <c r="AP25" s="347"/>
      <c r="AQ25" s="13"/>
      <c r="AR25" s="13"/>
      <c r="AS25" s="13"/>
      <c r="AT25" s="347"/>
    </row>
    <row r="26" spans="1:63">
      <c r="A26" s="344" t="s">
        <v>9</v>
      </c>
      <c r="B26" t="s">
        <v>17</v>
      </c>
      <c r="C26" s="79">
        <v>2.8999999999999998E-3</v>
      </c>
      <c r="D26" s="348"/>
      <c r="E26" s="13"/>
      <c r="F26" s="347"/>
      <c r="G26" s="13">
        <v>2.8999999999999998E-3</v>
      </c>
      <c r="H26" s="13"/>
      <c r="I26" s="13"/>
      <c r="J26" s="347"/>
      <c r="K26" s="13">
        <v>2.8999999999999998E-3</v>
      </c>
      <c r="L26" s="13"/>
      <c r="M26" s="13"/>
      <c r="N26" s="347"/>
      <c r="O26" s="13">
        <v>2.8999999999999998E-3</v>
      </c>
      <c r="P26" s="13"/>
      <c r="Q26" s="13"/>
      <c r="R26" s="347"/>
      <c r="S26" s="13">
        <v>4.8039862426382546E-3</v>
      </c>
      <c r="T26" s="13">
        <v>2.8939331562936347E-3</v>
      </c>
      <c r="U26" s="13"/>
      <c r="V26" s="347"/>
      <c r="W26" s="13">
        <v>5.2894104279292272E-3</v>
      </c>
      <c r="X26" s="13">
        <v>2.8693418808445753E-3</v>
      </c>
      <c r="Y26" s="13"/>
      <c r="Z26" s="347"/>
      <c r="AA26" s="13">
        <v>6.096169914821317E-3</v>
      </c>
      <c r="AB26" s="13">
        <v>2.8300716209963199E-3</v>
      </c>
      <c r="AC26" s="13"/>
      <c r="AD26" s="347"/>
      <c r="AE26" s="13">
        <v>7.4716375992479479E-3</v>
      </c>
      <c r="AF26" s="13">
        <v>2.7770708244309445E-3</v>
      </c>
      <c r="AG26" s="13"/>
      <c r="AH26" s="347"/>
      <c r="AI26" s="13">
        <v>9.5553486835288602E-3</v>
      </c>
      <c r="AJ26" s="13">
        <v>2.717734837309286E-3</v>
      </c>
      <c r="AK26" s="13"/>
      <c r="AL26" s="347"/>
      <c r="AM26" s="13">
        <v>1.0866753107094396E-2</v>
      </c>
      <c r="AN26" s="13">
        <v>2.7705491015676026E-3</v>
      </c>
      <c r="AO26" s="13"/>
      <c r="AP26" s="347"/>
      <c r="AQ26" s="13"/>
      <c r="AR26" s="13"/>
      <c r="AS26" s="13"/>
      <c r="AT26" s="347"/>
    </row>
    <row r="27" spans="1:63">
      <c r="A27" s="344" t="s">
        <v>10</v>
      </c>
      <c r="B27" t="s">
        <v>17</v>
      </c>
      <c r="C27" s="79">
        <v>5.1999999999999998E-3</v>
      </c>
      <c r="D27" s="348"/>
      <c r="E27" s="13"/>
      <c r="F27" s="347"/>
      <c r="G27" s="13">
        <v>5.1999999999999998E-3</v>
      </c>
      <c r="H27" s="13"/>
      <c r="I27" s="13"/>
      <c r="J27" s="347"/>
      <c r="K27" s="13">
        <v>5.1999999999999998E-3</v>
      </c>
      <c r="L27" s="13"/>
      <c r="M27" s="13"/>
      <c r="N27" s="347"/>
      <c r="O27" s="13">
        <v>5.1999999999999998E-3</v>
      </c>
      <c r="P27" s="13"/>
      <c r="Q27" s="13"/>
      <c r="R27" s="347"/>
      <c r="S27" s="13">
        <v>1.0267915098754948E-2</v>
      </c>
      <c r="T27" s="13">
        <v>5.1838516433928266E-3</v>
      </c>
      <c r="U27" s="13"/>
      <c r="V27" s="347"/>
      <c r="W27" s="13">
        <v>1.1779459992896941E-2</v>
      </c>
      <c r="X27" s="13">
        <v>5.1155316448500904E-3</v>
      </c>
      <c r="Y27" s="13"/>
      <c r="Z27" s="347"/>
      <c r="AA27" s="13">
        <v>1.4421733736852368E-2</v>
      </c>
      <c r="AB27" s="13">
        <v>4.9975992339460059E-3</v>
      </c>
      <c r="AC27" s="13"/>
      <c r="AD27" s="347"/>
      <c r="AE27" s="13">
        <v>1.9343273595568113E-2</v>
      </c>
      <c r="AF27" s="13">
        <v>4.8151068046238836E-3</v>
      </c>
      <c r="AG27" s="13"/>
      <c r="AH27" s="347"/>
      <c r="AI27" s="13">
        <v>2.7992346872017373E-2</v>
      </c>
      <c r="AJ27" s="13">
        <v>4.5500253622308513E-3</v>
      </c>
      <c r="AK27" s="13"/>
      <c r="AL27" s="347"/>
      <c r="AM27" s="13">
        <v>3.7871331255451751E-2</v>
      </c>
      <c r="AN27" s="13">
        <v>4.5064642218558479E-3</v>
      </c>
      <c r="AO27" s="13"/>
      <c r="AP27" s="347"/>
      <c r="AQ27" s="13"/>
      <c r="AR27" s="13"/>
      <c r="AS27" s="13"/>
      <c r="AT27" s="347"/>
      <c r="BC27" s="7">
        <v>61.2</v>
      </c>
      <c r="BD27">
        <v>0</v>
      </c>
      <c r="BE27">
        <v>0</v>
      </c>
      <c r="BF27">
        <v>0</v>
      </c>
      <c r="BG27">
        <v>0</v>
      </c>
    </row>
    <row r="28" spans="1:63">
      <c r="A28" s="344" t="s">
        <v>35</v>
      </c>
      <c r="B28" t="s">
        <v>17</v>
      </c>
      <c r="C28" s="79">
        <v>1.500435E-2</v>
      </c>
      <c r="D28" s="348"/>
      <c r="E28" s="13"/>
      <c r="F28" s="347"/>
      <c r="G28" s="13">
        <v>1.500435E-2</v>
      </c>
      <c r="H28" s="13"/>
      <c r="I28" s="13"/>
      <c r="J28" s="347"/>
      <c r="K28" s="13">
        <v>1.500435E-2</v>
      </c>
      <c r="L28" s="13"/>
      <c r="M28" s="13"/>
      <c r="N28" s="347"/>
      <c r="O28" s="13">
        <v>1.500435E-2</v>
      </c>
      <c r="P28" s="13"/>
      <c r="Q28" s="13"/>
      <c r="R28" s="347"/>
      <c r="S28" s="13">
        <v>2.9982348480883322E-2</v>
      </c>
      <c r="T28" s="13">
        <v>1.4956624247690058E-2</v>
      </c>
      <c r="U28" s="13"/>
      <c r="V28" s="347"/>
      <c r="W28" s="13">
        <v>3.4491447407090141E-2</v>
      </c>
      <c r="X28" s="13">
        <v>1.4754162034244719E-2</v>
      </c>
      <c r="Y28" s="13"/>
      <c r="Z28" s="347"/>
      <c r="AA28" s="13">
        <v>4.2431647090833691E-2</v>
      </c>
      <c r="AB28" s="13">
        <v>1.4402207585324968E-2</v>
      </c>
      <c r="AC28" s="13"/>
      <c r="AD28" s="347"/>
      <c r="AE28" s="13">
        <v>5.7365933243588851E-2</v>
      </c>
      <c r="AF28" s="13">
        <v>1.385023347718763E-2</v>
      </c>
      <c r="AG28" s="13"/>
      <c r="AH28" s="347"/>
      <c r="AI28" s="13">
        <v>8.4016548220440634E-2</v>
      </c>
      <c r="AJ28" s="13">
        <v>1.3028692797084771E-2</v>
      </c>
      <c r="AK28" s="13"/>
      <c r="AL28" s="347"/>
      <c r="AM28" s="13">
        <v>0.11563651548601071</v>
      </c>
      <c r="AN28" s="13">
        <v>1.2825651627531232E-2</v>
      </c>
      <c r="AO28" s="13"/>
      <c r="AP28" s="347"/>
      <c r="AQ28" s="13"/>
      <c r="AR28" s="13"/>
      <c r="AS28" s="13"/>
      <c r="AT28" s="347"/>
      <c r="BC28" s="7">
        <v>55.08</v>
      </c>
      <c r="BD28">
        <f>G42*(1-K9)</f>
        <v>11.096353069813762</v>
      </c>
      <c r="BE28">
        <f>G40-K40</f>
        <v>11.574684655504882</v>
      </c>
      <c r="BF28">
        <f>BE28/$C$40*100</f>
        <v>4.2942398283643479</v>
      </c>
      <c r="BG28">
        <f>BD28/$C$40*100</f>
        <v>4.116777495041724</v>
      </c>
    </row>
    <row r="29" spans="1:63">
      <c r="A29" s="344" t="s">
        <v>163</v>
      </c>
      <c r="B29" t="s">
        <v>17</v>
      </c>
      <c r="C29" s="79">
        <v>6.9601300000000001E-3</v>
      </c>
      <c r="D29" s="348"/>
      <c r="E29" s="13"/>
      <c r="F29" s="347"/>
      <c r="G29" s="13">
        <v>6.9601300000000001E-3</v>
      </c>
      <c r="H29" s="13"/>
      <c r="I29" s="13"/>
      <c r="J29" s="347"/>
      <c r="K29" s="13">
        <v>6.9601300000000001E-3</v>
      </c>
      <c r="L29" s="13"/>
      <c r="M29" s="13"/>
      <c r="N29" s="347"/>
      <c r="O29" s="13">
        <v>6.9601300000000001E-3</v>
      </c>
      <c r="P29" s="13"/>
      <c r="Q29" s="13"/>
      <c r="R29" s="347"/>
      <c r="S29" s="13">
        <v>1.5874598449479884E-2</v>
      </c>
      <c r="T29" s="13">
        <v>6.9317250222763289E-3</v>
      </c>
      <c r="U29" s="13"/>
      <c r="V29" s="347"/>
      <c r="W29" s="13">
        <v>1.8746399320377052E-2</v>
      </c>
      <c r="X29" s="13">
        <v>6.808770214528582E-3</v>
      </c>
      <c r="Y29" s="13"/>
      <c r="Z29" s="347"/>
      <c r="AA29" s="13">
        <v>2.3934181478099753E-2</v>
      </c>
      <c r="AB29" s="13">
        <v>6.5869265210153584E-3</v>
      </c>
      <c r="AC29" s="13"/>
      <c r="AD29" s="347"/>
      <c r="AE29" s="13">
        <v>3.4097717487197254E-2</v>
      </c>
      <c r="AF29" s="13">
        <v>6.2167415280479713E-3</v>
      </c>
      <c r="AG29" s="13"/>
      <c r="AH29" s="347"/>
      <c r="AI29" s="13">
        <v>5.3178300022830152E-2</v>
      </c>
      <c r="AJ29" s="13">
        <v>5.6161489332448352E-3</v>
      </c>
      <c r="AK29" s="13"/>
      <c r="AL29" s="347"/>
      <c r="AM29" s="13">
        <v>7.9498618800726215E-2</v>
      </c>
      <c r="AN29" s="13">
        <v>5.2658326205418165E-3</v>
      </c>
      <c r="AO29" s="13"/>
      <c r="AP29" s="347"/>
      <c r="AQ29" s="13"/>
      <c r="AR29" s="13"/>
      <c r="AS29" s="13"/>
      <c r="AT29" s="347"/>
      <c r="BC29" s="7">
        <v>48.96</v>
      </c>
      <c r="BD29">
        <f>K42*(K9-O9)+BD28</f>
        <v>23.860928277350947</v>
      </c>
      <c r="BE29">
        <f>G40-O40</f>
        <v>24.836624785648468</v>
      </c>
      <c r="BF29">
        <f t="shared" ref="BF29:BF35" si="2">BE29/$C$40*100</f>
        <v>9.2144560764295473</v>
      </c>
      <c r="BG29">
        <f t="shared" ref="BG29:BG35" si="3">BD29/$C$40*100</f>
        <v>8.8524699894621968</v>
      </c>
    </row>
    <row r="30" spans="1:63">
      <c r="A30" s="344" t="s">
        <v>37</v>
      </c>
      <c r="B30" t="s">
        <v>17</v>
      </c>
      <c r="C30" s="79">
        <v>3.2265900000000001E-3</v>
      </c>
      <c r="D30" s="348"/>
      <c r="E30" s="13"/>
      <c r="F30" s="347"/>
      <c r="G30" s="13">
        <v>3.2265900000000001E-3</v>
      </c>
      <c r="H30" s="13"/>
      <c r="I30" s="13"/>
      <c r="J30" s="347"/>
      <c r="K30" s="13">
        <v>3.2265900000000001E-3</v>
      </c>
      <c r="L30" s="13"/>
      <c r="M30" s="13"/>
      <c r="N30" s="347"/>
      <c r="O30" s="13">
        <v>3.2265900000000001E-3</v>
      </c>
      <c r="P30" s="13"/>
      <c r="Q30" s="13"/>
      <c r="R30" s="347"/>
      <c r="S30" s="13">
        <v>7.8142396855411279E-3</v>
      </c>
      <c r="T30" s="13">
        <v>3.2119719565507116E-3</v>
      </c>
      <c r="U30" s="13"/>
      <c r="V30" s="347"/>
      <c r="W30" s="13">
        <v>9.2842820887078532E-3</v>
      </c>
      <c r="X30" s="13">
        <v>3.1487985019847714E-3</v>
      </c>
      <c r="Y30" s="13"/>
      <c r="Z30" s="347"/>
      <c r="AA30" s="13">
        <v>1.196499454712581E-2</v>
      </c>
      <c r="AB30" s="13">
        <v>3.0344442576058835E-3</v>
      </c>
      <c r="AC30" s="13"/>
      <c r="AD30" s="347"/>
      <c r="AE30" s="13">
        <v>1.7288320926512453E-2</v>
      </c>
      <c r="AF30" s="13">
        <v>2.841044507060676E-3</v>
      </c>
      <c r="AG30" s="13"/>
      <c r="AH30" s="347"/>
      <c r="AI30" s="13">
        <v>2.7429713744342558E-2</v>
      </c>
      <c r="AJ30" s="13">
        <v>2.5204194772238263E-3</v>
      </c>
      <c r="AK30" s="13"/>
      <c r="AL30" s="347"/>
      <c r="AM30" s="13">
        <v>4.1986951160653846E-2</v>
      </c>
      <c r="AN30" s="13">
        <v>2.3047049118471163E-3</v>
      </c>
      <c r="AO30" s="13"/>
      <c r="AP30" s="347"/>
      <c r="AQ30" s="13"/>
      <c r="AR30" s="13"/>
      <c r="AS30" s="13"/>
      <c r="AT30" s="347"/>
      <c r="BC30" s="7">
        <v>42.839999999999996</v>
      </c>
      <c r="BD30">
        <f>O42*(O9-S9-T9)+BD29</f>
        <v>38.806232759482768</v>
      </c>
      <c r="BE30">
        <f>G40-T40-S40</f>
        <v>40.738242882972955</v>
      </c>
      <c r="BF30">
        <f t="shared" si="2"/>
        <v>15.114000107332698</v>
      </c>
      <c r="BG30">
        <f t="shared" si="3"/>
        <v>14.397219040027432</v>
      </c>
    </row>
    <row r="31" spans="1:63">
      <c r="A31" s="344" t="s">
        <v>38</v>
      </c>
      <c r="B31" t="s">
        <v>17</v>
      </c>
      <c r="C31" s="79">
        <v>4.8841300000000004E-3</v>
      </c>
      <c r="D31" s="348"/>
      <c r="E31" s="13"/>
      <c r="F31" s="347"/>
      <c r="G31" s="13">
        <v>4.8841300000000004E-3</v>
      </c>
      <c r="H31" s="13"/>
      <c r="I31" s="13"/>
      <c r="J31" s="347"/>
      <c r="K31" s="13">
        <v>4.8841300000000004E-3</v>
      </c>
      <c r="L31" s="13"/>
      <c r="M31" s="13"/>
      <c r="N31" s="347"/>
      <c r="O31" s="13">
        <v>4.8841300000000004E-3</v>
      </c>
      <c r="P31" s="13"/>
      <c r="Q31" s="13"/>
      <c r="R31" s="347"/>
      <c r="S31" s="13">
        <v>7.2075582141545899E-2</v>
      </c>
      <c r="T31" s="13">
        <v>4.6700317941318669E-3</v>
      </c>
      <c r="U31" s="13"/>
      <c r="V31" s="347"/>
      <c r="W31" s="13">
        <v>0.10113954444627296</v>
      </c>
      <c r="X31" s="13">
        <v>3.6464602737454606E-3</v>
      </c>
      <c r="Y31" s="13"/>
      <c r="Z31" s="347"/>
      <c r="AA31" s="13">
        <v>0.13577317238090761</v>
      </c>
      <c r="AB31" s="13">
        <v>2.0147796599136636E-3</v>
      </c>
      <c r="AC31" s="13"/>
      <c r="AD31" s="347"/>
      <c r="AE31" s="13">
        <v>0.16658590524740913</v>
      </c>
      <c r="AF31" s="13">
        <v>6.3599674045141004E-4</v>
      </c>
      <c r="AG31" s="13"/>
      <c r="AH31" s="347"/>
      <c r="AI31" s="13">
        <v>0.19778900020239792</v>
      </c>
      <c r="AJ31" s="13">
        <v>1.0993708784755097E-4</v>
      </c>
      <c r="AK31" s="13"/>
      <c r="AL31" s="347"/>
      <c r="AM31" s="13">
        <v>0.27453401978253955</v>
      </c>
      <c r="AN31" s="13">
        <v>1.6365703900753728E-5</v>
      </c>
      <c r="AO31" s="13"/>
      <c r="AP31" s="347"/>
      <c r="AQ31" s="13"/>
      <c r="AR31" s="13"/>
      <c r="AS31" s="13"/>
      <c r="AT31" s="347"/>
      <c r="BC31" s="7">
        <v>36.72</v>
      </c>
      <c r="BD31">
        <f>T42*(S9+T9-W9-X9)+BD30</f>
        <v>56.440310084428909</v>
      </c>
      <c r="BE31">
        <f>G40-W40-X40</f>
        <v>59.950810167221277</v>
      </c>
      <c r="BF31">
        <f t="shared" si="2"/>
        <v>22.241915389060111</v>
      </c>
      <c r="BG31">
        <f t="shared" si="3"/>
        <v>20.939510207262458</v>
      </c>
    </row>
    <row r="32" spans="1:63">
      <c r="A32" s="344" t="s">
        <v>39</v>
      </c>
      <c r="B32" t="s">
        <v>17</v>
      </c>
      <c r="C32" s="79">
        <v>1.5248E-3</v>
      </c>
      <c r="D32" s="348"/>
      <c r="E32" s="13"/>
      <c r="F32" s="347"/>
      <c r="G32" s="13">
        <v>1.5248E-3</v>
      </c>
      <c r="H32" s="13"/>
      <c r="I32" s="13"/>
      <c r="J32" s="347"/>
      <c r="K32" s="13">
        <v>1.5248E-3</v>
      </c>
      <c r="L32" s="13"/>
      <c r="M32" s="13"/>
      <c r="N32" s="347"/>
      <c r="O32" s="13">
        <v>1.5248E-3</v>
      </c>
      <c r="P32" s="13"/>
      <c r="Q32" s="13"/>
      <c r="R32" s="347"/>
      <c r="S32" s="13">
        <v>0.10149836737687754</v>
      </c>
      <c r="T32" s="13">
        <v>1.2062451730476629E-3</v>
      </c>
      <c r="U32" s="13"/>
      <c r="V32" s="347"/>
      <c r="W32" s="13">
        <v>8.7219381925010886E-2</v>
      </c>
      <c r="X32" s="13">
        <v>4.3404124550320877E-4</v>
      </c>
      <c r="Y32" s="13"/>
      <c r="Z32" s="347"/>
      <c r="AA32" s="13">
        <v>7.0246520559045192E-2</v>
      </c>
      <c r="AB32" s="13">
        <v>9.4620999727469034E-5</v>
      </c>
      <c r="AC32" s="13"/>
      <c r="AD32" s="347"/>
      <c r="AE32" s="13">
        <v>6.5763347141571935E-2</v>
      </c>
      <c r="AF32" s="13">
        <v>1.2043099193381446E-5</v>
      </c>
      <c r="AG32" s="13"/>
      <c r="AH32" s="347"/>
      <c r="AI32" s="13">
        <v>7.2799457449471486E-2</v>
      </c>
      <c r="AJ32" s="13">
        <v>7.839479835349333E-7</v>
      </c>
      <c r="AK32" s="13"/>
      <c r="AL32" s="347"/>
      <c r="AM32" s="13">
        <v>0.10025425475045326</v>
      </c>
      <c r="AN32" s="13">
        <v>3.7038659266920059E-8</v>
      </c>
      <c r="AO32" s="13"/>
      <c r="AP32" s="347"/>
      <c r="AQ32" s="13"/>
      <c r="AR32" s="13"/>
      <c r="AS32" s="13"/>
      <c r="AT32" s="347"/>
      <c r="BC32" s="7">
        <v>30.6</v>
      </c>
      <c r="BD32">
        <f>X42*(W9+X9-AA9-AB9)+BD31</f>
        <v>76.680768730296919</v>
      </c>
      <c r="BE32">
        <f>G40-AA40-AB40</f>
        <v>81.300290625103855</v>
      </c>
      <c r="BF32">
        <f t="shared" si="2"/>
        <v>30.162631333016567</v>
      </c>
      <c r="BG32">
        <f t="shared" si="3"/>
        <v>28.448776010034049</v>
      </c>
    </row>
    <row r="33" spans="1:65">
      <c r="A33" s="344" t="s">
        <v>40</v>
      </c>
      <c r="B33" t="s">
        <v>17</v>
      </c>
      <c r="C33" s="13"/>
      <c r="D33" s="13"/>
      <c r="E33" s="13"/>
      <c r="F33" s="347"/>
      <c r="G33" s="13"/>
      <c r="H33" s="13"/>
      <c r="I33" s="13"/>
      <c r="J33" s="347"/>
      <c r="K33" s="13"/>
      <c r="L33" s="13"/>
      <c r="M33" s="13"/>
      <c r="N33" s="347"/>
      <c r="O33" s="13"/>
      <c r="P33" s="13"/>
      <c r="Q33" s="13"/>
      <c r="R33" s="347"/>
      <c r="S33" s="13"/>
      <c r="T33" s="13"/>
      <c r="U33" s="13"/>
      <c r="V33" s="347"/>
      <c r="W33" s="13"/>
      <c r="X33" s="13"/>
      <c r="Y33" s="13"/>
      <c r="Z33" s="347"/>
      <c r="AA33" s="13"/>
      <c r="AB33" s="13"/>
      <c r="AC33" s="13"/>
      <c r="AD33" s="347"/>
      <c r="AE33" s="13"/>
      <c r="AF33" s="13"/>
      <c r="AG33" s="13"/>
      <c r="AH33" s="347"/>
      <c r="AI33" s="13"/>
      <c r="AJ33" s="13"/>
      <c r="AK33" s="13"/>
      <c r="AL33" s="347"/>
      <c r="AM33" s="13"/>
      <c r="AN33" s="13"/>
      <c r="AO33" s="13"/>
      <c r="AP33" s="347"/>
      <c r="AQ33" s="13"/>
      <c r="AR33" s="13"/>
      <c r="AS33" s="13"/>
      <c r="AT33" s="347"/>
      <c r="BC33" s="7">
        <v>24.48</v>
      </c>
      <c r="BD33">
        <f>AB42*(AA9+AB9-AE9-AF9)+BD32</f>
        <v>99.193986969116636</v>
      </c>
      <c r="BE33">
        <f>G40-AE40-AF40</f>
        <v>104.32826276880638</v>
      </c>
      <c r="BF33">
        <f t="shared" si="2"/>
        <v>38.706072306928675</v>
      </c>
      <c r="BG33">
        <f t="shared" si="3"/>
        <v>36.801241870071024</v>
      </c>
    </row>
    <row r="34" spans="1:65">
      <c r="A34" s="344" t="s">
        <v>41</v>
      </c>
      <c r="B34" t="s">
        <v>17</v>
      </c>
      <c r="C34" s="13"/>
      <c r="D34" s="13"/>
      <c r="E34" s="13"/>
      <c r="F34" s="347"/>
      <c r="G34" s="13"/>
      <c r="H34" s="13"/>
      <c r="I34" s="13"/>
      <c r="J34" s="347"/>
      <c r="K34" s="13"/>
      <c r="L34" s="13"/>
      <c r="M34" s="13"/>
      <c r="N34" s="347"/>
      <c r="O34" s="13"/>
      <c r="P34" s="13"/>
      <c r="Q34" s="13"/>
      <c r="R34" s="347"/>
      <c r="S34" s="13"/>
      <c r="T34" s="13"/>
      <c r="U34" s="13"/>
      <c r="V34" s="347"/>
      <c r="W34" s="13"/>
      <c r="X34" s="13"/>
      <c r="Y34" s="13"/>
      <c r="Z34" s="347"/>
      <c r="AA34" s="13"/>
      <c r="AB34" s="13"/>
      <c r="AC34" s="13"/>
      <c r="AD34" s="347"/>
      <c r="AE34" s="13"/>
      <c r="AF34" s="13"/>
      <c r="AG34" s="13"/>
      <c r="AH34" s="347"/>
      <c r="AI34" s="13"/>
      <c r="AJ34" s="13"/>
      <c r="AK34" s="13"/>
      <c r="AL34" s="347"/>
      <c r="AM34" s="13"/>
      <c r="AN34" s="13"/>
      <c r="AO34" s="13"/>
      <c r="AP34" s="347"/>
      <c r="AQ34" s="13"/>
      <c r="AR34" s="13"/>
      <c r="AS34" s="13"/>
      <c r="AT34" s="347"/>
      <c r="BC34" s="7">
        <v>18.36</v>
      </c>
      <c r="BD34">
        <f>AF42*(AE9+AF9-AI9-AJ9)+BD33</f>
        <v>123.87005365344812</v>
      </c>
      <c r="BE34">
        <f>G40-AI40-AJ40</f>
        <v>129.0602647886821</v>
      </c>
      <c r="BF34">
        <f t="shared" si="2"/>
        <v>47.88171304962718</v>
      </c>
      <c r="BG34">
        <f t="shared" si="3"/>
        <v>45.956130449504954</v>
      </c>
    </row>
    <row r="35" spans="1:65">
      <c r="A35" s="344" t="s">
        <v>42</v>
      </c>
      <c r="B35" t="s">
        <v>17</v>
      </c>
      <c r="C35" s="13"/>
      <c r="D35" s="13"/>
      <c r="E35" s="13"/>
      <c r="F35" s="347"/>
      <c r="G35" s="13"/>
      <c r="H35" s="13"/>
      <c r="I35" s="13"/>
      <c r="J35" s="347"/>
      <c r="K35" s="13"/>
      <c r="L35" s="13"/>
      <c r="M35" s="13"/>
      <c r="N35" s="347"/>
      <c r="O35" s="13"/>
      <c r="P35" s="13"/>
      <c r="Q35" s="13"/>
      <c r="R35" s="347"/>
      <c r="S35" s="13"/>
      <c r="T35" s="13"/>
      <c r="U35" s="13"/>
      <c r="V35" s="347"/>
      <c r="W35" s="13"/>
      <c r="X35" s="13"/>
      <c r="Y35" s="13"/>
      <c r="Z35" s="347"/>
      <c r="AA35" s="13"/>
      <c r="AB35" s="13"/>
      <c r="AC35" s="13"/>
      <c r="AD35" s="347"/>
      <c r="AE35" s="13"/>
      <c r="AF35" s="13"/>
      <c r="AG35" s="13"/>
      <c r="AH35" s="347"/>
      <c r="AI35" s="13"/>
      <c r="AJ35" s="13"/>
      <c r="AK35" s="13"/>
      <c r="AL35" s="347"/>
      <c r="AM35" s="13"/>
      <c r="AN35" s="13"/>
      <c r="AO35" s="13"/>
      <c r="AP35" s="347"/>
      <c r="AQ35" s="13"/>
      <c r="AR35" s="13"/>
      <c r="AS35" s="13"/>
      <c r="AT35" s="347"/>
      <c r="BC35" s="7">
        <v>12.24</v>
      </c>
      <c r="BD35">
        <f>AJ42*(AI9+AJ9-AM9-AN9)+BD34</f>
        <v>149.22247654115634</v>
      </c>
      <c r="BE35">
        <f>C40-AM40-AN40</f>
        <v>154.17048187001495</v>
      </c>
      <c r="BF35">
        <f t="shared" si="2"/>
        <v>57.19767261991673</v>
      </c>
      <c r="BG35">
        <f t="shared" si="3"/>
        <v>55.361949039832993</v>
      </c>
    </row>
    <row r="36" spans="1:65">
      <c r="A36" s="344" t="s">
        <v>43</v>
      </c>
      <c r="B36" t="s">
        <v>17</v>
      </c>
      <c r="C36" s="13"/>
      <c r="D36" s="13"/>
      <c r="E36" s="13"/>
      <c r="F36" s="347"/>
      <c r="G36" s="13"/>
      <c r="H36" s="13"/>
      <c r="I36" s="13"/>
      <c r="J36" s="347"/>
      <c r="K36" s="13"/>
      <c r="L36" s="13"/>
      <c r="M36" s="13"/>
      <c r="N36" s="347"/>
      <c r="O36" s="13"/>
      <c r="P36" s="13"/>
      <c r="Q36" s="13"/>
      <c r="R36" s="347"/>
      <c r="S36" s="13"/>
      <c r="T36" s="13"/>
      <c r="U36" s="13"/>
      <c r="V36" s="347"/>
      <c r="W36" s="13"/>
      <c r="X36" s="13"/>
      <c r="Y36" s="13"/>
      <c r="Z36" s="347"/>
      <c r="AA36" s="13"/>
      <c r="AB36" s="13"/>
      <c r="AC36" s="13"/>
      <c r="AD36" s="347"/>
      <c r="AE36" s="13"/>
      <c r="AF36" s="13"/>
      <c r="AG36" s="13"/>
      <c r="AH36" s="347"/>
      <c r="AI36" s="13"/>
      <c r="AJ36" s="13"/>
      <c r="AK36" s="13"/>
      <c r="AL36" s="347"/>
      <c r="AM36" s="13"/>
      <c r="AN36" s="13"/>
      <c r="AO36" s="13"/>
      <c r="AP36" s="347"/>
      <c r="AQ36" s="13"/>
      <c r="AR36" s="13"/>
      <c r="AS36" s="13"/>
      <c r="AT36" s="347"/>
      <c r="BC36" s="7">
        <v>6.12</v>
      </c>
    </row>
    <row r="37" spans="1:65">
      <c r="A37" s="344" t="s">
        <v>44</v>
      </c>
      <c r="B37" t="s">
        <v>17</v>
      </c>
      <c r="C37" s="13"/>
      <c r="D37" s="13"/>
      <c r="E37" s="13"/>
      <c r="F37" s="347"/>
      <c r="G37" s="13"/>
      <c r="H37" s="13"/>
      <c r="I37" s="13"/>
      <c r="J37" s="347"/>
      <c r="K37" s="13"/>
      <c r="L37" s="13"/>
      <c r="M37" s="13"/>
      <c r="N37" s="347"/>
      <c r="O37" s="13"/>
      <c r="P37" s="13"/>
      <c r="Q37" s="13"/>
      <c r="R37" s="347"/>
      <c r="S37" s="13"/>
      <c r="T37" s="13"/>
      <c r="U37" s="13"/>
      <c r="V37" s="347"/>
      <c r="W37" s="13"/>
      <c r="X37" s="13"/>
      <c r="Y37" s="13"/>
      <c r="Z37" s="347"/>
      <c r="AA37" s="13"/>
      <c r="AB37" s="13"/>
      <c r="AC37" s="13"/>
      <c r="AD37" s="347"/>
      <c r="AE37" s="13"/>
      <c r="AF37" s="13"/>
      <c r="AG37" s="13"/>
      <c r="AH37" s="347"/>
      <c r="AI37" s="13"/>
      <c r="AJ37" s="13"/>
      <c r="AK37" s="13"/>
      <c r="AL37" s="347"/>
      <c r="AM37" s="13"/>
      <c r="AN37" s="13"/>
      <c r="AO37" s="13"/>
      <c r="AP37" s="347"/>
      <c r="AQ37" s="13"/>
      <c r="AR37" s="13"/>
      <c r="AS37" s="13"/>
      <c r="AT37" s="347"/>
    </row>
    <row r="38" spans="1:65">
      <c r="A38" s="344" t="s">
        <v>45</v>
      </c>
      <c r="B38" t="s">
        <v>17</v>
      </c>
      <c r="F38" s="345"/>
      <c r="J38" s="345"/>
      <c r="N38" s="345"/>
      <c r="R38" s="345"/>
      <c r="V38" s="345"/>
      <c r="Z38" s="345"/>
      <c r="AD38" s="345"/>
      <c r="AH38" s="345"/>
      <c r="AL38" s="345"/>
      <c r="AP38" s="345"/>
      <c r="AT38" s="345"/>
      <c r="BC38" s="359"/>
    </row>
    <row r="39" spans="1:65">
      <c r="A39" s="344" t="s">
        <v>225</v>
      </c>
      <c r="C39" s="13">
        <f>SUM(C25:C32)*C9</f>
        <v>4.3099999999999999E-2</v>
      </c>
      <c r="D39" s="13"/>
      <c r="F39" s="345"/>
      <c r="G39" s="13">
        <f>SUM(G25:G32)*G9</f>
        <v>4.3100000000000006E-2</v>
      </c>
      <c r="H39" s="13"/>
      <c r="I39" s="13"/>
      <c r="J39" s="345"/>
      <c r="K39" s="13">
        <f>SUM(K25:K32)*K9</f>
        <v>4.1325668899637014E-2</v>
      </c>
      <c r="L39" s="13"/>
      <c r="M39" s="13"/>
      <c r="N39" s="345"/>
      <c r="O39" s="13">
        <f>SUM(O25:O32)*O9</f>
        <v>3.9284585434541795E-2</v>
      </c>
      <c r="P39" s="13"/>
      <c r="Q39" s="13"/>
      <c r="R39" s="345"/>
      <c r="S39" s="13">
        <f>SUM(S25:S32)*S9</f>
        <v>6.7421643496451151E-4</v>
      </c>
      <c r="T39" s="13">
        <f>SUM(T25:T32)*T9</f>
        <v>3.6220582158783682E-2</v>
      </c>
      <c r="U39" s="13"/>
      <c r="V39" s="345"/>
      <c r="W39" s="13">
        <f>SUM(W25:W32)*W9</f>
        <v>2.7844233199167904E-3</v>
      </c>
      <c r="X39" s="13">
        <f>SUM(X25:X32)*X9</f>
        <v>3.1239876215442431E-2</v>
      </c>
      <c r="Y39" s="13"/>
      <c r="Z39" s="345"/>
      <c r="AA39" s="13">
        <f>SUM(AA25:AA32)*AA9</f>
        <v>4.9781010325905418E-3</v>
      </c>
      <c r="AB39" s="13">
        <f>SUM(AB25:AB32)*AB9</f>
        <v>2.5552024674964945E-2</v>
      </c>
      <c r="AC39" s="13"/>
      <c r="AD39" s="345"/>
      <c r="AE39" s="13">
        <f>SUM(AE25:AE32)*AE9</f>
        <v>6.6892903682519503E-3</v>
      </c>
      <c r="AF39" s="13">
        <f>SUM(AF25:AF32)*AF9</f>
        <v>1.9704725164458571E-2</v>
      </c>
      <c r="AG39" s="13"/>
      <c r="AH39" s="345"/>
      <c r="AI39" s="13">
        <f>SUM(AI25:AI32)*AI9</f>
        <v>7.7936457921139049E-3</v>
      </c>
      <c r="AJ39" s="13">
        <f>SUM(AJ25:AJ32)*AJ9</f>
        <v>1.382323285053714E-2</v>
      </c>
      <c r="AK39" s="13"/>
      <c r="AL39" s="345"/>
      <c r="AM39" s="13">
        <f>SUM(AM25:AM32)*AM9</f>
        <v>7.8743946977239306E-3</v>
      </c>
      <c r="AN39" s="13">
        <f>SUM(AN25:AN32)*AN9</f>
        <v>8.6840557576047406E-3</v>
      </c>
      <c r="AO39" s="13"/>
      <c r="AP39" s="345"/>
      <c r="AQ39" s="13"/>
      <c r="AR39" s="13"/>
      <c r="AS39" s="13"/>
      <c r="AT39" s="345"/>
      <c r="AU39" s="13"/>
      <c r="AV39" s="13"/>
      <c r="AW39" s="13"/>
    </row>
    <row r="40" spans="1:65">
      <c r="A40" s="344" t="s">
        <v>226</v>
      </c>
      <c r="C40">
        <f>(C25*$AR$10+C26*$AR$11+$AR$12*C27+C28*$AR$13+$AR$14*C29+C30*$AR$15+$AR$16*C31+C32*$AR$17)/0.02404/(1-C39)*C9</f>
        <v>269.53978161749791</v>
      </c>
      <c r="F40" s="345"/>
      <c r="G40">
        <f>(G25*$AR$10+G26*$AR$11+$AR$12*G27+G28*$AR$13+$AR$14*G29+G30*$AR$15+$AR$16*G31+G32*$AR$17)/0.02404/(1-G39)*G9</f>
        <v>269.53978161749797</v>
      </c>
      <c r="J40" s="345"/>
      <c r="K40">
        <f>(K25*$AR$10+K26*$AR$11+$AR$12*K27+K28*$AR$13+$AR$14*K29+K30*$AR$15+$AR$16*K31+K32*$AR$17)/0.02404/(1-K39)*K9</f>
        <v>257.96509696199308</v>
      </c>
      <c r="N40" s="345"/>
      <c r="O40">
        <f>(O25*$AR$10+O26*$AR$11+$AR$12*O27+O28*$AR$13+$AR$14*O29+O30*$AR$15+$AR$16*O31+O32*$AR$17)/0.02404/(1-O39)*O9</f>
        <v>244.7031568318495</v>
      </c>
      <c r="R40" s="345"/>
      <c r="S40">
        <f>(S25*$AR$10+S26*$AR$11+$AR$12*S27+S28*$AR$13+$AR$14*S29+S30*$AR$15+$AR$16*S31+S32*$AR$17)/0.02404/(1-S39)*S9</f>
        <v>7.728472205405712</v>
      </c>
      <c r="T40">
        <f>(T25*$AR$10+T26*$AR$11+$AR$12*T27+T28*$AR$13+$AR$14*T29+T30*$AR$15+$AR$16*T31+T32*$AR$17)/0.02404/(1-T39)*T9</f>
        <v>221.0730665291193</v>
      </c>
      <c r="V40" s="345"/>
      <c r="W40">
        <f>(W25*$AR$10+W26*$AR$11+$AR$12*W27+W28*$AR$13+$AR$14*W29+W30*$AR$15+$AR$16*W31+W32*$AR$17)/0.02404/(1-W39)*W9</f>
        <v>30.290682670453645</v>
      </c>
      <c r="X40">
        <f>(X25*$AR$10+X26*$AR$11+$AR$12*X27+X28*$AR$13+$AR$14*X29+X30*$AR$15+$AR$16*X31+X32*$AR$17)/0.02404/(1-X39)*X9</f>
        <v>179.29828877982305</v>
      </c>
      <c r="Z40" s="345"/>
      <c r="AA40">
        <f>(AA25*$AR$10+AA26*$AR$11+$AR$12*AA27+AA28*$AR$13+$AR$14*AA29+AA30*$AR$15+$AR$16*AA31+AA32*$AR$17)/0.02404/(1-AA39)*AA9</f>
        <v>50.831541176994371</v>
      </c>
      <c r="AB40">
        <f>(AB25*$AR$10+AB26*$AR$11+$AR$12*AB27+AB28*$AR$13+$AR$14*AB29+AB30*$AR$15+$AR$16*AB31+AB32*$AR$17)/0.02404/(1-AB39)*AB9</f>
        <v>137.40794981539975</v>
      </c>
      <c r="AD40" s="345"/>
      <c r="AE40">
        <f>(AE25*$AR$10+AE26*$AR$11+$AR$12*AE27+AE28*$AR$13+$AR$14*AE29+AE30*$AR$15+$AR$16*AE31+AE32*$AR$17)/0.02404/(1-AE39)*AE9</f>
        <v>64.954590397819203</v>
      </c>
      <c r="AF40">
        <f>(AF25*$AR$10+AF26*$AR$11+$AR$12*AF27+AF28*$AR$13+$AR$14*AF29+AF30*$AR$15+$AR$16*AF31+AF32*$AR$17)/0.02404/(1-AF39)*AF9</f>
        <v>100.25692845087238</v>
      </c>
      <c r="AH40" s="345"/>
      <c r="AI40">
        <f>(AI25*$AR$10+AI26*$AR$11+$AR$12*AI27+AI28*$AR$13+$AR$14*AI29+AI30*$AR$15+$AR$16*AI31+AI32*$AR$17)/0.02404/(1-AI39)*AI9</f>
        <v>72.457570874380565</v>
      </c>
      <c r="AJ40">
        <f>(AJ25*$AR$10+AJ26*$AR$11+$AR$12*AJ27+AJ28*$AR$13+$AR$14*AJ29+AJ30*$AR$15+$AR$16*AJ31+AJ32*$AR$17)/0.02404/(1-AJ39)*AJ9</f>
        <v>68.02194595443531</v>
      </c>
      <c r="AL40" s="345"/>
      <c r="AM40">
        <f>(AM25*$AR$10+AM26*$AR$11+$AR$12*AM27+AM28*$AR$13+$AR$14*AM29+AM30*$AR$15+$AR$16*AM31+AM32*$AR$17)/0.02404/(1-AM39)*AM9</f>
        <v>73.43380961707453</v>
      </c>
      <c r="AN40">
        <f>(AN25*$AR$10+AN26*$AR$11+$AR$12*AN27+AN28*$AR$13+$AR$14*AN29+AN30*$AR$15+$AR$16*AN31+AN32*$AR$17)/0.02404/(1-AN39)*AN9</f>
        <v>41.935490130408432</v>
      </c>
      <c r="AP40" s="345"/>
      <c r="AT40" s="345"/>
      <c r="BH40" t="s">
        <v>257</v>
      </c>
    </row>
    <row r="41" spans="1:65">
      <c r="A41" s="344"/>
      <c r="C41" s="13">
        <f>SUM(C25:C32)</f>
        <v>4.3099999999999999E-2</v>
      </c>
      <c r="F41" s="345"/>
      <c r="G41" s="13">
        <f>SUM(G25:G32)</f>
        <v>4.3099999999999999E-2</v>
      </c>
      <c r="J41" s="345"/>
      <c r="K41" s="13">
        <f>SUM(K25:K32)</f>
        <v>4.3099999999999999E-2</v>
      </c>
      <c r="N41" s="345"/>
      <c r="O41" s="13">
        <f>SUM(O25:O32)</f>
        <v>4.3099999999999999E-2</v>
      </c>
      <c r="R41" s="345"/>
      <c r="T41" s="13">
        <f>SUM(T25:T32)</f>
        <v>4.244721336244122E-2</v>
      </c>
      <c r="V41" s="345"/>
      <c r="X41" s="13">
        <f>SUM(X25:X32)</f>
        <v>4.0141419751707229E-2</v>
      </c>
      <c r="Z41" s="345"/>
      <c r="AB41" s="13">
        <f>SUM(AB25:AB32)</f>
        <v>3.7280615377846736E-2</v>
      </c>
      <c r="AD41" s="345"/>
      <c r="AF41" s="13">
        <f>SUM(AF25:AF32)</f>
        <v>3.4410190731381012E-2</v>
      </c>
      <c r="AH41" s="345"/>
      <c r="AJ41" s="13">
        <f>SUM(AJ25:AJ32)</f>
        <v>3.1743739624778292E-2</v>
      </c>
      <c r="AL41" s="345"/>
      <c r="AN41" s="13">
        <f>SUM(AN25:AN32)</f>
        <v>3.0956633574187528E-2</v>
      </c>
      <c r="AP41" s="345"/>
      <c r="AT41" s="345"/>
      <c r="BH41" t="s">
        <v>258</v>
      </c>
      <c r="BI41" t="s">
        <v>254</v>
      </c>
      <c r="BL41" s="143"/>
      <c r="BM41" s="79"/>
    </row>
    <row r="42" spans="1:65">
      <c r="A42" s="344"/>
      <c r="C42">
        <f>(C25*$AR$10+C26*$AR$11+$AR$12*C27+C28*$AR$13+$AR$14*C29+C30*$AR$15+$AR$16*C31+C32*$AR$17)/0.02404/(1-C41)</f>
        <v>269.53978161749791</v>
      </c>
      <c r="F42" s="345"/>
      <c r="G42">
        <f>(G25*$AR$10+G26*$AR$11+$AR$12*G27+G28*$AR$13+$AR$14*G29+G30*$AR$15+$AR$16*G31+G32*$AR$17)/0.02404/(1-G41)</f>
        <v>269.53978161749791</v>
      </c>
      <c r="J42" s="345"/>
      <c r="K42">
        <f>(K25*$AR$10+K26*$AR$11+$AR$12*K27+K28*$AR$13+$AR$14*K29+K30*$AR$15+$AR$16*K31+K32*$AR$17)/0.02404/(1-K41)</f>
        <v>269.53978161749791</v>
      </c>
      <c r="N42" s="345"/>
      <c r="O42">
        <f>(O25*$AR$10+O26*$AR$11+$AR$12*O27+O28*$AR$13+$AR$14*O29+O30*$AR$15+$AR$16*O31+O32*$AR$17)/0.02404/(1-O41)</f>
        <v>269.53978161749791</v>
      </c>
      <c r="R42" s="345"/>
      <c r="T42">
        <f>(T25*$AR$10+T26*$AR$11+$AR$12*T27+T28*$AR$13+$AR$14*T29+T30*$AR$15+$AR$16*T31+T32*$AR$17)/0.02404/(1-T41)</f>
        <v>260.76212792136153</v>
      </c>
      <c r="V42" s="345"/>
      <c r="X42">
        <f>(X25*$AR$10+X26*$AR$11+$AR$12*X27+X28*$AR$13+$AR$14*X29+X30*$AR$15+$AR$16*X31+X32*$AR$17)/0.02404/(1-X41)</f>
        <v>232.52442108226373</v>
      </c>
      <c r="Z42" s="345"/>
      <c r="AB42">
        <f>(AB25*$AR$10+AB26*$AR$11+$AR$12*AB27+AB28*$AR$13+$AR$14*AB29+AB30*$AR$15+$AR$16*AB31+AB32*$AR$17)/0.02404/(1-AB41)</f>
        <v>202.9217294992448</v>
      </c>
      <c r="AD42" s="345"/>
      <c r="AF42">
        <f>(AF25*$AR$10+AF26*$AR$11+$AR$12*AF27+AF28*$AR$13+$AR$14*AF29+AF30*$AR$15+$AR$16*AF31+AF32*$AR$17)/0.02404/(1-AF41)</f>
        <v>177.74415526483904</v>
      </c>
      <c r="AH42" s="345"/>
      <c r="AJ42">
        <f>(AJ25*$AR$10+AJ26*$AR$11+$AR$12*AJ27+AJ28*$AR$13+$AR$14*AJ29+AJ30*$AR$15+$AR$16*AJ31+AJ32*$AR$17)/0.02404/(1-AJ41)</f>
        <v>159.09699242576005</v>
      </c>
      <c r="AL42" s="345"/>
      <c r="AN42">
        <f>(AN25*$AR$10+AN26*$AR$11+$AR$12*AN27+AN28*$AR$13+$AR$14*AN29+AN30*$AR$15+$AR$16*AN31+AN32*$AR$17)/0.02404/(1-AN41)</f>
        <v>152.92613943354883</v>
      </c>
      <c r="AP42" s="345"/>
      <c r="AT42" s="345"/>
      <c r="BG42" s="7">
        <v>61.2</v>
      </c>
      <c r="BH42" s="191">
        <f>(1.4326/C46/10*47482+10^((-1713.3/(273.15+110))+6.694))*0.016*(10^(-7)*110^2-1.1*10^(-3)*110*C51/29-0.079*(C51/29)^2+0.73*10^(-3)*110+0.156*C51/29+0.927)*(1-0.00492*8.841-0.00017672*8.841^2)*(1-0.25257)+40.4*0.25257</f>
        <v>13.203526046985678</v>
      </c>
      <c r="BI42" s="79">
        <v>1.5104808455322799E-2</v>
      </c>
      <c r="BJ42">
        <f t="shared" ref="BJ42:BJ51" si="4">BI42*18/0.02404</f>
        <v>11.309756746913909</v>
      </c>
      <c r="BL42" s="143"/>
      <c r="BM42" s="79"/>
    </row>
    <row r="43" spans="1:65">
      <c r="A43" s="480" t="s">
        <v>256</v>
      </c>
      <c r="B43" s="480"/>
      <c r="C43" s="480"/>
      <c r="D43" s="480"/>
      <c r="E43" s="480"/>
      <c r="F43" s="480"/>
      <c r="G43" s="480"/>
      <c r="H43" s="480"/>
      <c r="I43" s="480"/>
      <c r="J43" s="480"/>
      <c r="K43" s="480"/>
      <c r="L43" s="480"/>
      <c r="M43" s="480"/>
      <c r="N43" s="480"/>
      <c r="O43" s="480"/>
      <c r="BG43" s="7">
        <v>55.08</v>
      </c>
      <c r="BH43" s="191">
        <f>(1.4326/G46/10*47482+10^((-1713.3/(273.15+110))+6.694))*0.016*(10^(-7)*110^2-1.1*10^(-3)*110*G51/29-0.079*(G51/29)^2+0.73*10^(-3)*110+0.156*G51/29+0.927)*(1-0.00492*8.841-0.00017672*8.841^2)*(1-0.2525)+40.4*0.2525</f>
        <v>13.334285188368611</v>
      </c>
      <c r="BI43" s="13">
        <v>1.5361023507283363E-2</v>
      </c>
      <c r="BJ43">
        <f t="shared" si="4"/>
        <v>11.501598299962584</v>
      </c>
      <c r="BL43" s="143"/>
      <c r="BM43" s="79"/>
    </row>
    <row r="44" spans="1:65">
      <c r="A44" s="480"/>
      <c r="B44" s="480"/>
      <c r="C44" s="480"/>
      <c r="D44" s="480"/>
      <c r="E44" s="480"/>
      <c r="F44" s="480"/>
      <c r="G44" s="480"/>
      <c r="H44" s="480"/>
      <c r="I44" s="480"/>
      <c r="J44" s="480"/>
      <c r="K44" s="480"/>
      <c r="L44" s="480"/>
      <c r="M44" s="480"/>
      <c r="N44" s="480"/>
      <c r="O44" s="480"/>
      <c r="P44">
        <v>0.7</v>
      </c>
      <c r="BG44" s="7">
        <v>48.96</v>
      </c>
      <c r="BH44" s="191">
        <f>(1.4326/K46/10*47482+10^((-1713.3/(273.15+110))+6.694))*0.016*(10^(-7)*110^2-1.1*10^(-3)*110*K51/29-0.079*(K51/29)^2+0.73*10^(-3)*110+0.156*K51/29+0.927)*(1-0.00492*8.841-0.00017672*8.841^2)*(1-0.2525)+40.4*0.2525</f>
        <v>13.500913812331124</v>
      </c>
      <c r="BI44" s="13">
        <v>1.5632257050627367E-2</v>
      </c>
      <c r="BJ44">
        <f t="shared" si="4"/>
        <v>11.704684979671075</v>
      </c>
      <c r="BL44" s="143"/>
      <c r="BM44" s="79"/>
    </row>
    <row r="45" spans="1:65" ht="15">
      <c r="A45" s="344" t="s">
        <v>204</v>
      </c>
      <c r="B45" s="344"/>
      <c r="C45" s="476" t="s">
        <v>209</v>
      </c>
      <c r="D45" s="476"/>
      <c r="E45" s="476"/>
      <c r="F45" s="345"/>
      <c r="G45" s="476" t="s">
        <v>215</v>
      </c>
      <c r="H45" s="476"/>
      <c r="I45" s="476"/>
      <c r="J45" s="345"/>
      <c r="K45" s="476" t="s">
        <v>216</v>
      </c>
      <c r="L45" s="476"/>
      <c r="M45" s="476"/>
      <c r="N45" s="345"/>
      <c r="O45" s="476" t="s">
        <v>217</v>
      </c>
      <c r="P45" s="476"/>
      <c r="Q45" s="476"/>
      <c r="R45" s="345"/>
      <c r="S45" s="476" t="s">
        <v>218</v>
      </c>
      <c r="T45" s="476"/>
      <c r="U45" s="476"/>
      <c r="V45" s="345"/>
      <c r="W45" s="476" t="s">
        <v>219</v>
      </c>
      <c r="X45" s="476"/>
      <c r="Y45" s="476"/>
      <c r="Z45" s="345"/>
      <c r="AA45" s="476" t="s">
        <v>220</v>
      </c>
      <c r="AB45" s="476"/>
      <c r="AC45" s="476"/>
      <c r="AD45" s="345"/>
      <c r="AE45" s="476" t="s">
        <v>221</v>
      </c>
      <c r="AF45" s="476"/>
      <c r="AG45" s="476"/>
      <c r="AH45" s="345"/>
      <c r="AI45" s="476" t="s">
        <v>222</v>
      </c>
      <c r="AJ45" s="476"/>
      <c r="AK45" s="476"/>
      <c r="AL45" s="345"/>
      <c r="AM45" s="476" t="s">
        <v>223</v>
      </c>
      <c r="AN45" s="476"/>
      <c r="AO45" s="476"/>
      <c r="BG45" s="7">
        <v>42.839999999999996</v>
      </c>
      <c r="BH45" s="191">
        <f>(1.4326/O46/10*47482+10^((-1713.3/(273.15+110))+6.694))*0.016*(10^(-7)*110^2-1.1*10^(-3)*110*O51/29-0.079*(O51/29)^2+0.73*10^(-3)*110+0.156*O51/29+0.927)*(1-0.00492*8.841-0.00017672*8.841^2)*(1-0.2524)+40.4*0.2524</f>
        <v>13.711575801318455</v>
      </c>
      <c r="BI45" s="13">
        <v>1.5921216797027019E-2</v>
      </c>
      <c r="BJ45">
        <f t="shared" si="4"/>
        <v>11.921044190785622</v>
      </c>
      <c r="BL45" s="143"/>
      <c r="BM45" s="79"/>
    </row>
    <row r="46" spans="1:65" ht="15">
      <c r="A46" s="346" t="s">
        <v>211</v>
      </c>
      <c r="B46" s="344" t="s">
        <v>213</v>
      </c>
      <c r="C46" s="476">
        <v>61.2</v>
      </c>
      <c r="D46" s="476"/>
      <c r="E46" s="476"/>
      <c r="F46" s="345"/>
      <c r="G46" s="476">
        <v>55.08</v>
      </c>
      <c r="H46" s="476"/>
      <c r="I46" s="476"/>
      <c r="J46" s="345"/>
      <c r="K46" s="476">
        <v>48.96</v>
      </c>
      <c r="L46" s="476"/>
      <c r="M46" s="476"/>
      <c r="N46" s="345"/>
      <c r="O46" s="476">
        <v>42.839999999999996</v>
      </c>
      <c r="P46" s="476"/>
      <c r="Q46" s="476"/>
      <c r="R46" s="345"/>
      <c r="S46" s="476">
        <v>36.72</v>
      </c>
      <c r="T46" s="476"/>
      <c r="U46" s="476"/>
      <c r="V46" s="345"/>
      <c r="W46" s="476">
        <v>30.6</v>
      </c>
      <c r="X46" s="476"/>
      <c r="Y46" s="476"/>
      <c r="Z46" s="345"/>
      <c r="AA46" s="476">
        <v>24.48</v>
      </c>
      <c r="AB46" s="476"/>
      <c r="AC46" s="476"/>
      <c r="AD46" s="345"/>
      <c r="AE46" s="476">
        <v>18.36</v>
      </c>
      <c r="AF46" s="476"/>
      <c r="AG46" s="476"/>
      <c r="AH46" s="345"/>
      <c r="AI46" s="476">
        <v>12.24</v>
      </c>
      <c r="AJ46" s="476"/>
      <c r="AK46" s="476"/>
      <c r="AL46" s="345"/>
      <c r="AM46" s="476">
        <v>6.12</v>
      </c>
      <c r="AN46" s="476"/>
      <c r="AO46" s="476"/>
      <c r="BG46" s="7">
        <v>36.72</v>
      </c>
      <c r="BH46" s="191">
        <f>(1.4326/S46/10*47482+10^((-1713.3/(273.15+110))+6.694))*0.016*(10^(-7)*110^2-1.1*10^(-3)*110*T51/29-0.079*(T51/29)^2+0.73*10^(-3)*110+0.156*T51/29+0.927)*(1-0.00492*8.841-0.00017672*8.841^2)*(1-0.2523)+40.4*0.2523</f>
        <v>13.996655056594122</v>
      </c>
      <c r="BI46" s="13">
        <v>1.6251923510120628E-2</v>
      </c>
      <c r="BJ46">
        <f t="shared" si="4"/>
        <v>12.168661530040403</v>
      </c>
      <c r="BL46" s="143"/>
      <c r="BM46" s="79"/>
    </row>
    <row r="47" spans="1:65" ht="16.5" thickBot="1">
      <c r="A47" s="346" t="s">
        <v>212</v>
      </c>
      <c r="B47" s="344" t="s">
        <v>29</v>
      </c>
      <c r="C47" s="478">
        <v>383.15</v>
      </c>
      <c r="D47" s="476"/>
      <c r="E47" s="476"/>
      <c r="F47" s="345"/>
      <c r="G47" s="476">
        <v>383.15</v>
      </c>
      <c r="H47" s="476"/>
      <c r="I47" s="476"/>
      <c r="J47" s="345"/>
      <c r="K47" s="476">
        <v>383.15</v>
      </c>
      <c r="L47" s="476"/>
      <c r="M47" s="476"/>
      <c r="N47" s="345"/>
      <c r="O47" s="476">
        <v>383.15</v>
      </c>
      <c r="P47" s="476"/>
      <c r="Q47" s="476"/>
      <c r="R47" s="345"/>
      <c r="S47" s="476">
        <v>383.15</v>
      </c>
      <c r="T47" s="476"/>
      <c r="U47" s="476"/>
      <c r="V47" s="345"/>
      <c r="W47" s="476">
        <v>383.15</v>
      </c>
      <c r="X47" s="476"/>
      <c r="Y47" s="476"/>
      <c r="Z47" s="345"/>
      <c r="AA47" s="476">
        <v>383.15</v>
      </c>
      <c r="AB47" s="476"/>
      <c r="AC47" s="476"/>
      <c r="AD47" s="345"/>
      <c r="AE47" s="476">
        <v>383.15</v>
      </c>
      <c r="AF47" s="476"/>
      <c r="AG47" s="476"/>
      <c r="AH47" s="345"/>
      <c r="AI47" s="476">
        <v>383.15</v>
      </c>
      <c r="AJ47" s="476"/>
      <c r="AK47" s="476"/>
      <c r="AL47" s="345"/>
      <c r="AM47" s="476">
        <v>383.15</v>
      </c>
      <c r="AN47" s="476"/>
      <c r="AO47" s="476"/>
      <c r="AR47" s="396" t="s">
        <v>149</v>
      </c>
      <c r="AS47" s="397"/>
      <c r="AT47" s="397"/>
      <c r="AU47" s="398"/>
      <c r="BG47" s="7">
        <v>30.6</v>
      </c>
      <c r="BH47" s="191">
        <f>(1.4326/W46/10*47482+10^((-1713.3/(273.15+110))+6.694))*0.016*(10^(-7)*110^2-1.1*10^(-3)*110*X51/29-0.079*(X51/29)^2+0.73*10^(-3)*110+0.156*X51/29+0.927)*(1-0.00492*8.841-0.00017672*8.841^2)*(1-0.2522)+40.4*0.2522</f>
        <v>14.40448104365035</v>
      </c>
      <c r="BI47" s="13">
        <v>1.662099821236513E-2</v>
      </c>
      <c r="BJ47">
        <f t="shared" si="4"/>
        <v>12.445006980972227</v>
      </c>
      <c r="BL47" s="143"/>
      <c r="BM47" s="79"/>
    </row>
    <row r="48" spans="1:65" ht="14.25" thickTop="1" thickBot="1">
      <c r="A48" s="344"/>
      <c r="B48" s="344"/>
      <c r="C48" s="344" t="s">
        <v>160</v>
      </c>
      <c r="D48" s="344" t="s">
        <v>161</v>
      </c>
      <c r="E48" s="344" t="s">
        <v>162</v>
      </c>
      <c r="F48" s="345"/>
      <c r="G48" s="344" t="s">
        <v>160</v>
      </c>
      <c r="H48" s="344" t="s">
        <v>161</v>
      </c>
      <c r="I48" s="344" t="s">
        <v>162</v>
      </c>
      <c r="J48" s="345"/>
      <c r="K48" s="344" t="s">
        <v>160</v>
      </c>
      <c r="L48" s="344" t="s">
        <v>161</v>
      </c>
      <c r="M48" s="344" t="s">
        <v>162</v>
      </c>
      <c r="N48" s="345"/>
      <c r="O48" s="344" t="s">
        <v>160</v>
      </c>
      <c r="P48" s="344" t="s">
        <v>161</v>
      </c>
      <c r="Q48" s="344" t="s">
        <v>162</v>
      </c>
      <c r="R48" s="345"/>
      <c r="S48" s="344" t="s">
        <v>160</v>
      </c>
      <c r="T48" s="344" t="s">
        <v>161</v>
      </c>
      <c r="U48" s="344" t="s">
        <v>162</v>
      </c>
      <c r="V48" s="345"/>
      <c r="W48" s="344" t="s">
        <v>160</v>
      </c>
      <c r="X48" s="344" t="s">
        <v>161</v>
      </c>
      <c r="Y48" s="344" t="s">
        <v>162</v>
      </c>
      <c r="Z48" s="345"/>
      <c r="AA48" s="344" t="s">
        <v>160</v>
      </c>
      <c r="AB48" s="344" t="s">
        <v>161</v>
      </c>
      <c r="AC48" s="344" t="s">
        <v>162</v>
      </c>
      <c r="AD48" s="345"/>
      <c r="AE48" s="344" t="s">
        <v>160</v>
      </c>
      <c r="AF48" s="344" t="s">
        <v>161</v>
      </c>
      <c r="AG48" s="344" t="s">
        <v>162</v>
      </c>
      <c r="AH48" s="345"/>
      <c r="AI48" s="344" t="s">
        <v>160</v>
      </c>
      <c r="AJ48" s="344" t="s">
        <v>161</v>
      </c>
      <c r="AK48" s="344" t="s">
        <v>162</v>
      </c>
      <c r="AL48" s="345"/>
      <c r="AM48" s="344" t="s">
        <v>160</v>
      </c>
      <c r="AN48" s="344" t="s">
        <v>161</v>
      </c>
      <c r="AO48" s="344" t="s">
        <v>162</v>
      </c>
      <c r="AR48" s="125" t="s">
        <v>79</v>
      </c>
      <c r="AS48" s="198" t="s">
        <v>31</v>
      </c>
      <c r="AT48" s="126" t="s">
        <v>52</v>
      </c>
      <c r="AU48" s="127" t="s">
        <v>54</v>
      </c>
      <c r="AX48" t="s">
        <v>237</v>
      </c>
      <c r="BA48" t="s">
        <v>239</v>
      </c>
      <c r="BB48" t="s">
        <v>240</v>
      </c>
      <c r="BG48" s="7">
        <v>24.48</v>
      </c>
      <c r="BH48" s="191">
        <f>(1.4326/AA46/10*47482+10^((-1713.3/(273.15+110))+6.694))*0.016*(10^(-7)*110^2-1.1*10^(-3)*110*AB51/29-0.079*(AB51/29)^2+0.73*10^(-3)*110+0.156*AB51/29+0.927)*(1-0.00492*8.841-0.00017672*8.841^2)*(1-0.252)+40.4*0.252</f>
        <v>15.012850676450737</v>
      </c>
      <c r="BI48" s="13">
        <v>1.7005495740364602E-2</v>
      </c>
      <c r="BJ48">
        <f t="shared" si="4"/>
        <v>12.73290030476551</v>
      </c>
      <c r="BL48" s="143"/>
      <c r="BM48" s="79"/>
    </row>
    <row r="49" spans="1:65" ht="13.5" thickTop="1">
      <c r="A49" s="344" t="s">
        <v>205</v>
      </c>
      <c r="B49" s="344"/>
      <c r="C49" s="13">
        <v>0.70914961276221566</v>
      </c>
      <c r="D49" s="13">
        <v>0.29085038723778434</v>
      </c>
      <c r="E49" s="13"/>
      <c r="F49" s="347"/>
      <c r="G49" s="13">
        <v>0.70936403583272956</v>
      </c>
      <c r="H49" s="13">
        <v>0.29063596416727044</v>
      </c>
      <c r="I49" s="13"/>
      <c r="J49" s="347"/>
      <c r="K49" s="13">
        <v>0.68023176114257233</v>
      </c>
      <c r="L49" s="13">
        <v>0.29041543694170691</v>
      </c>
      <c r="M49" s="13"/>
      <c r="N49" s="347"/>
      <c r="O49" s="13">
        <v>0.64672835118456529</v>
      </c>
      <c r="P49" s="13">
        <v>0.29018836627796424</v>
      </c>
      <c r="Q49" s="13"/>
      <c r="R49" s="347"/>
      <c r="S49" s="13">
        <v>1.4695751496400606E-3</v>
      </c>
      <c r="T49" s="13">
        <v>0.60601532548313819</v>
      </c>
      <c r="U49" s="13">
        <v>0.28997283555233788</v>
      </c>
      <c r="V49" s="347"/>
      <c r="W49" s="13">
        <v>5.8954198944922882E-3</v>
      </c>
      <c r="X49" s="13">
        <v>0.55377262697062657</v>
      </c>
      <c r="Y49" s="13">
        <v>0.28977769910268508</v>
      </c>
      <c r="Z49" s="347"/>
      <c r="AA49" s="13">
        <v>9.7260794449251717E-3</v>
      </c>
      <c r="AB49" s="13">
        <v>0.48837698965137</v>
      </c>
      <c r="AC49" s="13">
        <v>0.28961852277796807</v>
      </c>
      <c r="AD49" s="347"/>
      <c r="AE49" s="13">
        <v>1.1298907484786245E-2</v>
      </c>
      <c r="AF49" s="13">
        <v>0.40824202892864214</v>
      </c>
      <c r="AG49" s="13">
        <v>0.28927086682511227</v>
      </c>
      <c r="AH49" s="347"/>
      <c r="AI49" s="13">
        <v>1.050986230450373E-2</v>
      </c>
      <c r="AJ49" s="13">
        <v>0.31046997039236807</v>
      </c>
      <c r="AK49" s="13">
        <v>0.28842277614791306</v>
      </c>
      <c r="AL49" s="347"/>
      <c r="AM49" s="13">
        <v>7.766761611427999E-3</v>
      </c>
      <c r="AN49" s="13">
        <v>0.20106001127609915</v>
      </c>
      <c r="AO49" s="13">
        <v>0.28606860176863197</v>
      </c>
      <c r="AR49" s="328">
        <v>612</v>
      </c>
      <c r="AS49" s="7">
        <v>61.2</v>
      </c>
      <c r="AT49" s="252">
        <v>0</v>
      </c>
      <c r="AU49" s="252">
        <v>0</v>
      </c>
      <c r="AV49">
        <v>0</v>
      </c>
      <c r="AW49" t="s">
        <v>238</v>
      </c>
      <c r="AX49">
        <v>38.46</v>
      </c>
      <c r="AZ49" s="7">
        <v>61.2</v>
      </c>
      <c r="BA49">
        <f>D80</f>
        <v>3.3668508690913791E-4</v>
      </c>
      <c r="BB49">
        <f>$C$80-BA49</f>
        <v>269.53907031691642</v>
      </c>
      <c r="BG49" s="7">
        <v>18.36</v>
      </c>
      <c r="BH49" s="191">
        <f>(1.4326/AE46/10*47482+10^((-1713.3/(273.15+110))+6.694))*0.016*(10^(-7)*110^2-1.1*10^(-3)*110*AF51/29-0.079*(AF51/29)^2+0.73*10^(-3)*110+0.156*AF51/29+0.927)*(1-0.00492*8.841-0.00017672*8.841^2)*(1-0.2521)+36.4*0.2521</f>
        <v>15.027580577822341</v>
      </c>
      <c r="BI49" s="13">
        <v>1.7667069306814446E-2</v>
      </c>
      <c r="BJ49">
        <f t="shared" si="4"/>
        <v>13.228254888629785</v>
      </c>
      <c r="BL49" s="143"/>
      <c r="BM49" s="79"/>
    </row>
    <row r="50" spans="1:65">
      <c r="A50" s="344" t="s">
        <v>206</v>
      </c>
      <c r="B50" s="344" t="s">
        <v>210</v>
      </c>
      <c r="C50" s="13">
        <v>41.584049709330877</v>
      </c>
      <c r="D50" s="13">
        <v>4.6949332757661537</v>
      </c>
      <c r="E50" s="13"/>
      <c r="F50" s="347"/>
      <c r="G50" s="13">
        <v>43.371070176259721</v>
      </c>
      <c r="H50" s="13">
        <v>4.7025660016258533</v>
      </c>
      <c r="I50" s="13"/>
      <c r="J50" s="347"/>
      <c r="K50" s="13">
        <v>43.737474407959468</v>
      </c>
      <c r="L50" s="13">
        <v>4.7103076794963625</v>
      </c>
      <c r="M50" s="13"/>
      <c r="N50" s="347"/>
      <c r="O50" s="13">
        <v>44.261369439821124</v>
      </c>
      <c r="P50" s="13">
        <v>4.718142360565392</v>
      </c>
      <c r="Q50" s="13"/>
      <c r="R50" s="347"/>
      <c r="S50" s="13">
        <v>0.1617485054651718</v>
      </c>
      <c r="T50" s="13">
        <v>44.952287683378387</v>
      </c>
      <c r="U50" s="13">
        <v>4.7263233914402827</v>
      </c>
      <c r="V50" s="347"/>
      <c r="W50" s="13">
        <v>0.67299772886900155</v>
      </c>
      <c r="X50" s="13">
        <v>45.99765607622134</v>
      </c>
      <c r="Y50" s="13">
        <v>4.7352825058181018</v>
      </c>
      <c r="Z50" s="347"/>
      <c r="AA50" s="13">
        <v>1.1587661211907032</v>
      </c>
      <c r="AB50" s="13">
        <v>48.156648484862508</v>
      </c>
      <c r="AC50" s="13">
        <v>4.7445061256357732</v>
      </c>
      <c r="AD50" s="347"/>
      <c r="AE50" s="13">
        <v>1.45082511011283</v>
      </c>
      <c r="AF50" s="13">
        <v>52.977756700424059</v>
      </c>
      <c r="AG50" s="13">
        <v>4.750778257729344</v>
      </c>
      <c r="AH50" s="347"/>
      <c r="AI50" s="13">
        <v>1.5077325747569312</v>
      </c>
      <c r="AJ50" s="13">
        <v>63.411098685250323</v>
      </c>
      <c r="AK50" s="13">
        <v>4.7473718099618134</v>
      </c>
      <c r="AL50" s="347"/>
      <c r="AM50" s="13">
        <v>1.3500361265611962</v>
      </c>
      <c r="AN50" s="13">
        <v>91.295282549807624</v>
      </c>
      <c r="AO50" s="13">
        <v>4.7162285963561672</v>
      </c>
      <c r="AR50" s="328">
        <v>550.79999999999995</v>
      </c>
      <c r="AS50" s="7">
        <v>55.08</v>
      </c>
      <c r="AT50" s="8">
        <v>0</v>
      </c>
      <c r="AU50" s="8">
        <v>0</v>
      </c>
      <c r="AV50">
        <v>0</v>
      </c>
      <c r="AZ50" s="7">
        <v>55.08</v>
      </c>
      <c r="BA50">
        <f>H80</f>
        <v>3.5235184818237599E-4</v>
      </c>
      <c r="BB50">
        <f>$C$80-BA50</f>
        <v>269.53905465015515</v>
      </c>
      <c r="BG50" s="7">
        <v>12.24</v>
      </c>
      <c r="BH50" s="191">
        <f>(1.4326/AI46/10*47482+10^((-1713.3/(273.15+110))+6.694))*0.016*(10^(-7)*110^2-1.1*10^(-3)*110*AJ51/29-0.079*(AJ51/29)^2+0.73*10^(-3)*110+0.156*AJ51/29+0.927)*(1-0.00492*8.841-0.00017672*8.841^2)*(1-0.2528)+28.153*0.2528</f>
        <v>14.990406561816386</v>
      </c>
      <c r="BI50" s="13">
        <v>1.9791058416217019E-2</v>
      </c>
      <c r="BJ50">
        <f t="shared" si="4"/>
        <v>14.818596151909583</v>
      </c>
      <c r="BL50" s="143"/>
      <c r="BM50" s="79"/>
    </row>
    <row r="51" spans="1:65">
      <c r="A51" s="344" t="s">
        <v>207</v>
      </c>
      <c r="B51" s="344"/>
      <c r="C51" s="13">
        <v>30.691516605691813</v>
      </c>
      <c r="D51" s="13">
        <v>19.277136319512394</v>
      </c>
      <c r="E51" s="13"/>
      <c r="F51" s="347"/>
      <c r="G51" s="13">
        <v>30.68846651278405</v>
      </c>
      <c r="H51" s="13">
        <v>19.276159564088928</v>
      </c>
      <c r="I51" s="13"/>
      <c r="J51" s="347"/>
      <c r="K51" s="13">
        <v>30.685262963213464</v>
      </c>
      <c r="L51" s="13">
        <v>19.274997200869095</v>
      </c>
      <c r="M51" s="13"/>
      <c r="N51" s="347"/>
      <c r="O51" s="13">
        <v>30.681884690973977</v>
      </c>
      <c r="P51" s="13">
        <v>19.273597723040112</v>
      </c>
      <c r="Q51" s="13"/>
      <c r="R51" s="347"/>
      <c r="S51" s="13">
        <v>98.034107853710452</v>
      </c>
      <c r="T51" s="13">
        <v>30.51548890317364</v>
      </c>
      <c r="U51" s="13">
        <v>19.271529969702666</v>
      </c>
      <c r="V51" s="347"/>
      <c r="W51" s="13">
        <v>100.03848678989148</v>
      </c>
      <c r="X51" s="13">
        <v>29.951143442175553</v>
      </c>
      <c r="Y51" s="13">
        <v>19.270430443790822</v>
      </c>
      <c r="Z51" s="347"/>
      <c r="AA51" s="13">
        <v>102.57389734108271</v>
      </c>
      <c r="AB51" s="13">
        <v>29.349914950880951</v>
      </c>
      <c r="AC51" s="13">
        <v>19.266237647130275</v>
      </c>
      <c r="AD51" s="347"/>
      <c r="AE51" s="13">
        <v>111.08625283166839</v>
      </c>
      <c r="AF51" s="13">
        <v>28.825642205099559</v>
      </c>
      <c r="AG51" s="13">
        <v>19.263387270734192</v>
      </c>
      <c r="AH51" s="347"/>
      <c r="AI51" s="13">
        <v>127.53120886694154</v>
      </c>
      <c r="AJ51" s="13">
        <v>28.458554870015462</v>
      </c>
      <c r="AK51" s="13">
        <v>19.256220879689007</v>
      </c>
      <c r="AL51" s="347"/>
      <c r="AM51" s="13">
        <v>164.15922075584842</v>
      </c>
      <c r="AN51" s="13">
        <v>28.304450056408577</v>
      </c>
      <c r="AO51" s="13">
        <v>19.24435535468908</v>
      </c>
      <c r="AR51" s="358">
        <v>489.6</v>
      </c>
      <c r="AS51" s="7">
        <v>48.96</v>
      </c>
      <c r="AT51" s="8">
        <v>0</v>
      </c>
      <c r="AU51" s="114">
        <v>0</v>
      </c>
      <c r="AV51">
        <v>0</v>
      </c>
      <c r="AZ51" s="7">
        <v>48.96</v>
      </c>
      <c r="BA51">
        <f>L80</f>
        <v>3.7177577813575448E-4</v>
      </c>
      <c r="BB51">
        <f>$C$80-BA51</f>
        <v>269.53903522622517</v>
      </c>
      <c r="BG51" s="7">
        <v>6.12</v>
      </c>
      <c r="BH51" s="191">
        <f>(1.4326/AM46/10*47482+10^((-1713.3/(273.15+110))+6.694))*0.016*(10^(-7)*110^2-1.1*10^(-3)*110*AN51/29-0.079*(AN51/29)^2+0.73*10^(-3)*110+0.156*AN51/29+0.927)*(1-0.00492*8.841-0.00017672*8.841^2)*(1-0.254)+27*0.254</f>
        <v>20.773256088632639</v>
      </c>
      <c r="BI51" s="13">
        <v>2.9145865104495711E-2</v>
      </c>
      <c r="BJ51">
        <f t="shared" si="4"/>
        <v>21.823027116510929</v>
      </c>
      <c r="BL51" s="143"/>
      <c r="BM51" s="79"/>
    </row>
    <row r="52" spans="1:65" ht="15">
      <c r="A52" s="344" t="s">
        <v>16</v>
      </c>
      <c r="B52" s="344"/>
      <c r="C52" s="13">
        <v>1.1541584405539813</v>
      </c>
      <c r="D52" s="13">
        <v>0.50050328911872199</v>
      </c>
      <c r="E52" s="13"/>
      <c r="F52" s="347"/>
      <c r="G52" s="13">
        <v>1.0820195666879455</v>
      </c>
      <c r="H52" s="13">
        <v>0.45116078693336681</v>
      </c>
      <c r="I52" s="13"/>
      <c r="J52" s="347"/>
      <c r="K52" s="13">
        <v>1.0103418492306069</v>
      </c>
      <c r="L52" s="13">
        <v>0.40167543272394479</v>
      </c>
      <c r="M52" s="13"/>
      <c r="N52" s="347"/>
      <c r="O52" s="13">
        <v>0.93975989782791081</v>
      </c>
      <c r="P52" s="13">
        <v>0.35204189334489133</v>
      </c>
      <c r="Q52" s="13"/>
      <c r="R52" s="347"/>
      <c r="S52" s="13">
        <v>1.533114059606282</v>
      </c>
      <c r="T52" s="13">
        <v>0.8710683179509221</v>
      </c>
      <c r="U52" s="13">
        <v>0.30224882400072317</v>
      </c>
      <c r="V52" s="347"/>
      <c r="W52" s="13">
        <v>1.3236204689203868</v>
      </c>
      <c r="X52" s="13">
        <v>0.80953120440536686</v>
      </c>
      <c r="Y52" s="13">
        <v>0.25230833043878464</v>
      </c>
      <c r="Z52" s="347"/>
      <c r="AA52" s="13">
        <v>1.1024096168281421</v>
      </c>
      <c r="AB52" s="13">
        <v>0.76562592310371302</v>
      </c>
      <c r="AC52" s="13">
        <v>0.20217946354818855</v>
      </c>
      <c r="AD52" s="347"/>
      <c r="AE52" s="13">
        <v>0.89221086302238384</v>
      </c>
      <c r="AF52" s="13">
        <v>0.753010623104448</v>
      </c>
      <c r="AG52" s="13">
        <v>0.15190893187141863</v>
      </c>
      <c r="AH52" s="347"/>
      <c r="AI52" s="13">
        <v>0.66832920187864886</v>
      </c>
      <c r="AJ52" s="13">
        <v>0.78792507736445361</v>
      </c>
      <c r="AK52" s="13">
        <v>0.10146248276830305</v>
      </c>
      <c r="AL52" s="347"/>
      <c r="AM52" s="13">
        <v>0.41616136879508014</v>
      </c>
      <c r="AN52" s="13">
        <v>0.87390887072146939</v>
      </c>
      <c r="AO52" s="13">
        <v>5.0846244597295698E-2</v>
      </c>
      <c r="AR52" s="364">
        <v>38.46</v>
      </c>
      <c r="AS52" s="7">
        <v>38.1</v>
      </c>
      <c r="AT52" s="8">
        <v>0</v>
      </c>
      <c r="AU52" s="366">
        <v>0</v>
      </c>
      <c r="AV52">
        <v>0</v>
      </c>
      <c r="AZ52" s="7">
        <v>42.839999999999996</v>
      </c>
      <c r="BA52">
        <f>P80</f>
        <v>3.9710413508481542E-4</v>
      </c>
      <c r="BB52">
        <f>$C$80-BA52</f>
        <v>269.53900989786825</v>
      </c>
      <c r="BL52" s="143"/>
      <c r="BM52" s="79"/>
    </row>
    <row r="53" spans="1:65">
      <c r="A53" s="344" t="s">
        <v>208</v>
      </c>
      <c r="B53" s="344" t="s">
        <v>27</v>
      </c>
      <c r="C53" s="13">
        <v>523.39484172768607</v>
      </c>
      <c r="D53" s="13">
        <v>1194.2156009556456</v>
      </c>
      <c r="E53" s="13"/>
      <c r="F53" s="347"/>
      <c r="G53" s="13">
        <v>501.93122674990053</v>
      </c>
      <c r="H53" s="13">
        <v>1191.3379245318824</v>
      </c>
      <c r="I53" s="13"/>
      <c r="J53" s="347"/>
      <c r="K53" s="13">
        <v>477.23584292720614</v>
      </c>
      <c r="L53" s="13">
        <v>1188.4057507553523</v>
      </c>
      <c r="M53" s="13"/>
      <c r="N53" s="347"/>
      <c r="O53" s="13">
        <v>448.31068149410493</v>
      </c>
      <c r="P53" s="13">
        <v>1185.4186262572787</v>
      </c>
      <c r="Q53" s="13"/>
      <c r="R53" s="347"/>
      <c r="S53" s="13">
        <v>890.69440428287385</v>
      </c>
      <c r="T53" s="13">
        <v>411.38849417827976</v>
      </c>
      <c r="U53" s="13">
        <v>1182.3609448450391</v>
      </c>
      <c r="V53" s="347"/>
      <c r="W53" s="13">
        <v>876.3311671603401</v>
      </c>
      <c r="X53" s="13">
        <v>360.58627329321399</v>
      </c>
      <c r="Y53" s="13">
        <v>1179.2624807197817</v>
      </c>
      <c r="Z53" s="347"/>
      <c r="AA53" s="13">
        <v>860.95188344808628</v>
      </c>
      <c r="AB53" s="13">
        <v>297.6499312393106</v>
      </c>
      <c r="AC53" s="13">
        <v>1176.067463945667</v>
      </c>
      <c r="AD53" s="347"/>
      <c r="AE53" s="13">
        <v>865.13066587259618</v>
      </c>
      <c r="AF53" s="13">
        <v>222.12791541033195</v>
      </c>
      <c r="AG53" s="13">
        <v>1172.9313454542157</v>
      </c>
      <c r="AH53" s="347"/>
      <c r="AI53" s="13">
        <v>888.97425654847484</v>
      </c>
      <c r="AJ53" s="13">
        <v>139.33722756894073</v>
      </c>
      <c r="AK53" s="13">
        <v>1169.8962934782196</v>
      </c>
      <c r="AL53" s="347"/>
      <c r="AM53" s="13">
        <v>944.40845607301878</v>
      </c>
      <c r="AN53" s="13">
        <v>62.335017632488672</v>
      </c>
      <c r="AO53" s="13">
        <v>1167.2898621809807</v>
      </c>
      <c r="AR53" s="328">
        <v>367.2</v>
      </c>
      <c r="AS53" s="7">
        <v>36.72</v>
      </c>
      <c r="AT53" s="8">
        <v>0</v>
      </c>
      <c r="AU53" s="114">
        <v>3.4950747624955111E-3</v>
      </c>
      <c r="AV53">
        <f t="shared" ref="AV53:AV58" si="5">AU53/0.8982</f>
        <v>3.8911988003735372E-3</v>
      </c>
      <c r="AZ53" s="7">
        <v>38.46</v>
      </c>
      <c r="BA53">
        <v>2.4485690818112135E-3</v>
      </c>
      <c r="BB53">
        <f>$C$80-BA53</f>
        <v>269.53695843292149</v>
      </c>
      <c r="BL53" s="143"/>
      <c r="BM53" s="79"/>
    </row>
    <row r="54" spans="1:65">
      <c r="F54" s="345"/>
      <c r="J54" s="345"/>
      <c r="N54" s="345"/>
      <c r="R54" s="345"/>
      <c r="V54" s="345"/>
      <c r="Z54" s="345"/>
      <c r="AD54" s="345"/>
      <c r="AH54" s="345"/>
      <c r="AL54" s="345"/>
      <c r="AR54" s="328">
        <v>306</v>
      </c>
      <c r="AS54" s="7">
        <v>30.6</v>
      </c>
      <c r="AT54" s="8">
        <v>629.90371989429821</v>
      </c>
      <c r="AU54" s="114">
        <v>1.4542189250047334E-2</v>
      </c>
      <c r="AV54">
        <f t="shared" si="5"/>
        <v>1.6190368793194538E-2</v>
      </c>
      <c r="AZ54" s="7">
        <v>36.72</v>
      </c>
      <c r="BA54">
        <f>S80+U80</f>
        <v>6.7754734619141157</v>
      </c>
      <c r="BB54">
        <f t="shared" ref="BB54:BB59" si="6">$C$80-BA54</f>
        <v>262.76393354008923</v>
      </c>
      <c r="BL54" s="143"/>
      <c r="BM54" s="79"/>
    </row>
    <row r="55" spans="1:65">
      <c r="A55" s="344" t="s">
        <v>22</v>
      </c>
      <c r="B55" t="s">
        <v>17</v>
      </c>
      <c r="C55" s="79">
        <v>0.13130523432579264</v>
      </c>
      <c r="D55" s="348">
        <v>9.1092855927870817E-4</v>
      </c>
      <c r="E55" s="13"/>
      <c r="F55" s="347"/>
      <c r="G55" s="13">
        <v>0.13127827882632592</v>
      </c>
      <c r="H55" s="13">
        <v>8.8051840148655088E-4</v>
      </c>
      <c r="I55" s="13"/>
      <c r="J55" s="347"/>
      <c r="K55" s="13">
        <v>0.13125053781683049</v>
      </c>
      <c r="L55" s="13">
        <v>8.4647771589023337E-4</v>
      </c>
      <c r="M55" s="13"/>
      <c r="N55" s="347"/>
      <c r="O55" s="13">
        <v>0.13122207012579026</v>
      </c>
      <c r="P55" s="13">
        <v>8.0788184198594233E-4</v>
      </c>
      <c r="Q55" s="13"/>
      <c r="R55" s="347"/>
      <c r="S55" s="13">
        <v>0.10585761860956455</v>
      </c>
      <c r="T55" s="13">
        <v>0.13125829551476917</v>
      </c>
      <c r="U55" s="13">
        <v>7.6378654640855157E-4</v>
      </c>
      <c r="V55" s="347"/>
      <c r="W55" s="13">
        <v>0.10149789328332255</v>
      </c>
      <c r="X55" s="13">
        <v>0.13148871566565315</v>
      </c>
      <c r="Y55" s="13">
        <v>7.1222031592196769E-4</v>
      </c>
      <c r="Z55" s="347"/>
      <c r="AA55" s="13">
        <v>9.5255321981218555E-2</v>
      </c>
      <c r="AB55" s="13">
        <v>0.13184342316809883</v>
      </c>
      <c r="AC55" s="13">
        <v>6.485257381225538E-4</v>
      </c>
      <c r="AD55" s="347"/>
      <c r="AE55" s="13">
        <v>8.4709979392226145E-2</v>
      </c>
      <c r="AF55" s="13">
        <v>0.13222446905210714</v>
      </c>
      <c r="AG55" s="13">
        <v>5.6392686245120677E-4</v>
      </c>
      <c r="AH55" s="347"/>
      <c r="AI55" s="13">
        <v>6.7517139798678336E-2</v>
      </c>
      <c r="AJ55" s="13">
        <v>0.1324382451427078</v>
      </c>
      <c r="AK55" s="13">
        <v>4.4317413383985072E-4</v>
      </c>
      <c r="AL55" s="347"/>
      <c r="AM55" s="13">
        <v>3.9782003515089571E-2</v>
      </c>
      <c r="AN55" s="13">
        <v>0.13133685909260592</v>
      </c>
      <c r="AO55" s="13">
        <v>2.6151260343875343E-4</v>
      </c>
      <c r="AR55" s="328">
        <v>244.8</v>
      </c>
      <c r="AS55" s="7">
        <v>24.48</v>
      </c>
      <c r="AT55" s="8">
        <v>1290.5834153757746</v>
      </c>
      <c r="AU55" s="114">
        <v>2.5038711882753653E-2</v>
      </c>
      <c r="AV55">
        <f t="shared" si="5"/>
        <v>2.7876544068975342E-2</v>
      </c>
      <c r="AZ55" s="7">
        <v>30.6</v>
      </c>
      <c r="BA55">
        <f>W80+Y80</f>
        <v>28.102913215260241</v>
      </c>
      <c r="BB55">
        <f t="shared" si="6"/>
        <v>241.43649378674309</v>
      </c>
      <c r="BL55" s="145"/>
      <c r="BM55" s="79"/>
    </row>
    <row r="56" spans="1:65">
      <c r="A56" s="344" t="s">
        <v>23</v>
      </c>
      <c r="B56" t="s">
        <v>17</v>
      </c>
      <c r="C56" s="79">
        <v>2.1716150453530334E-3</v>
      </c>
      <c r="D56" s="348">
        <v>1.083694446318225E-10</v>
      </c>
      <c r="E56" s="13"/>
      <c r="F56" s="347"/>
      <c r="G56" s="13">
        <v>2.17095862300715E-3</v>
      </c>
      <c r="H56" s="13">
        <v>1.0170036237229092E-10</v>
      </c>
      <c r="I56" s="13"/>
      <c r="J56" s="347"/>
      <c r="K56" s="13">
        <v>2.1702548138927552E-3</v>
      </c>
      <c r="L56" s="13">
        <v>9.4310518716096393E-11</v>
      </c>
      <c r="M56" s="13"/>
      <c r="N56" s="347"/>
      <c r="O56" s="13">
        <v>2.1694928265956585E-3</v>
      </c>
      <c r="P56" s="13">
        <v>8.6069696052973666E-11</v>
      </c>
      <c r="Q56" s="13"/>
      <c r="R56" s="347"/>
      <c r="S56" s="13">
        <v>1.1485045159945744E-3</v>
      </c>
      <c r="T56" s="13">
        <v>2.1711971224785535E-3</v>
      </c>
      <c r="U56" s="13">
        <v>7.6691346362193927E-11</v>
      </c>
      <c r="V56" s="347"/>
      <c r="W56" s="13">
        <v>1.012533364861867E-3</v>
      </c>
      <c r="X56" s="13">
        <v>2.1800531203838829E-3</v>
      </c>
      <c r="Y56" s="13">
        <v>6.5717344157423106E-11</v>
      </c>
      <c r="Z56" s="347"/>
      <c r="AA56" s="13">
        <v>8.4616589451931687E-4</v>
      </c>
      <c r="AB56" s="13">
        <v>2.1918134302245824E-3</v>
      </c>
      <c r="AC56" s="13">
        <v>5.3235802714964084E-11</v>
      </c>
      <c r="AD56" s="347"/>
      <c r="AE56" s="13">
        <v>6.3623521654741473E-4</v>
      </c>
      <c r="AF56" s="13">
        <v>2.2009415118587642E-3</v>
      </c>
      <c r="AG56" s="13">
        <v>3.9234830250921594E-11</v>
      </c>
      <c r="AH56" s="347"/>
      <c r="AI56" s="13">
        <v>4.0744677909841876E-4</v>
      </c>
      <c r="AJ56" s="13">
        <v>2.1986975502065673E-3</v>
      </c>
      <c r="AK56" s="13">
        <v>2.4594183651406135E-11</v>
      </c>
      <c r="AL56" s="347"/>
      <c r="AM56" s="13">
        <v>1.864303823235989E-4</v>
      </c>
      <c r="AN56" s="13">
        <v>2.1570527052468024E-3</v>
      </c>
      <c r="AO56" s="13">
        <v>1.0782405538214663E-11</v>
      </c>
      <c r="AR56" s="328">
        <v>183.6</v>
      </c>
      <c r="AS56" s="7">
        <v>18.36</v>
      </c>
      <c r="AT56" s="8">
        <v>1648.5705820625788</v>
      </c>
      <c r="AU56" s="114">
        <v>3.1349546090501411E-2</v>
      </c>
      <c r="AV56">
        <f t="shared" si="5"/>
        <v>3.4902634257961938E-2</v>
      </c>
      <c r="AZ56" s="7">
        <v>24.48</v>
      </c>
      <c r="BA56">
        <f>AA80+AC80</f>
        <v>48.335916253260351</v>
      </c>
      <c r="BB56">
        <f t="shared" si="6"/>
        <v>221.20349074874298</v>
      </c>
      <c r="BL56" s="270"/>
      <c r="BM56" s="79"/>
    </row>
    <row r="57" spans="1:65">
      <c r="A57" s="344" t="s">
        <v>157</v>
      </c>
      <c r="B57" t="s">
        <v>17</v>
      </c>
      <c r="C57" s="79">
        <v>1.5104808455322798E-2</v>
      </c>
      <c r="D57" s="348">
        <v>0.96540504415248429</v>
      </c>
      <c r="E57" s="13"/>
      <c r="F57" s="347"/>
      <c r="G57" s="13">
        <v>1.5361023507283363E-2</v>
      </c>
      <c r="H57" s="13">
        <v>0.96548079716953261</v>
      </c>
      <c r="I57" s="13"/>
      <c r="J57" s="347"/>
      <c r="K57" s="13">
        <v>1.5632257050627367E-2</v>
      </c>
      <c r="L57" s="13">
        <v>0.9655669689207057</v>
      </c>
      <c r="M57" s="13"/>
      <c r="N57" s="347"/>
      <c r="O57" s="13">
        <v>1.5921216797027019E-2</v>
      </c>
      <c r="P57" s="13">
        <v>0.96566629697288953</v>
      </c>
      <c r="Q57" s="13"/>
      <c r="R57" s="347"/>
      <c r="S57" s="13">
        <v>1.69639776670796E-3</v>
      </c>
      <c r="T57" s="13">
        <v>1.6251923510120628E-2</v>
      </c>
      <c r="U57" s="13">
        <v>0.96575316838766434</v>
      </c>
      <c r="V57" s="347"/>
      <c r="W57" s="13">
        <v>1.5966746220395685E-3</v>
      </c>
      <c r="X57" s="13">
        <v>1.662099821236513E-2</v>
      </c>
      <c r="Y57" s="13">
        <v>0.96591159065938914</v>
      </c>
      <c r="Z57" s="347"/>
      <c r="AA57" s="13">
        <v>1.4529599984267664E-3</v>
      </c>
      <c r="AB57" s="13">
        <v>1.7005495740364602E-2</v>
      </c>
      <c r="AC57" s="13">
        <v>0.96598850456194074</v>
      </c>
      <c r="AD57" s="347"/>
      <c r="AE57" s="13">
        <v>1.0728781129662314E-3</v>
      </c>
      <c r="AF57" s="13">
        <v>1.7667069306814446E-2</v>
      </c>
      <c r="AG57" s="13">
        <v>0.96629476917981061</v>
      </c>
      <c r="AH57" s="347"/>
      <c r="AI57" s="13">
        <v>5.733866557300338E-4</v>
      </c>
      <c r="AJ57" s="13">
        <v>1.9791058416217019E-2</v>
      </c>
      <c r="AK57" s="13">
        <v>0.96677061056159719</v>
      </c>
      <c r="AL57" s="347"/>
      <c r="AM57" s="13">
        <v>1.487920605665113E-4</v>
      </c>
      <c r="AN57" s="13">
        <v>2.9145865104495711E-2</v>
      </c>
      <c r="AO57" s="13">
        <v>0.96781602126224864</v>
      </c>
      <c r="AR57" s="360">
        <v>122.4</v>
      </c>
      <c r="AS57" s="7">
        <v>12.24</v>
      </c>
      <c r="AT57" s="8">
        <v>1674.7409433147538</v>
      </c>
      <c r="AU57" s="114">
        <v>3.257920718012447E-2</v>
      </c>
      <c r="AV57">
        <f t="shared" si="5"/>
        <v>3.6271662413854898E-2</v>
      </c>
      <c r="AZ57" s="7">
        <v>18.36</v>
      </c>
      <c r="BA57">
        <f>AE80+AG80</f>
        <v>62.912127044867191</v>
      </c>
      <c r="BB57">
        <f t="shared" si="6"/>
        <v>206.62727995713612</v>
      </c>
      <c r="BL57" s="227"/>
      <c r="BM57" s="79"/>
    </row>
    <row r="58" spans="1:65">
      <c r="A58" s="344" t="s">
        <v>159</v>
      </c>
      <c r="B58" t="s">
        <v>17</v>
      </c>
      <c r="C58" s="79"/>
      <c r="D58" s="348"/>
      <c r="E58" s="13"/>
      <c r="F58" s="347"/>
      <c r="G58" s="13"/>
      <c r="H58" s="13"/>
      <c r="I58" s="13"/>
      <c r="J58" s="347"/>
      <c r="K58" s="13"/>
      <c r="L58" s="13"/>
      <c r="M58" s="13"/>
      <c r="N58" s="347"/>
      <c r="O58" s="13"/>
      <c r="P58" s="13"/>
      <c r="Q58" s="13"/>
      <c r="R58" s="347"/>
      <c r="S58" s="13"/>
      <c r="T58" s="13"/>
      <c r="U58" s="13"/>
      <c r="V58" s="347"/>
      <c r="W58" s="13"/>
      <c r="X58" s="13"/>
      <c r="Y58" s="13"/>
      <c r="Z58" s="347"/>
      <c r="AA58" s="13"/>
      <c r="AB58" s="13"/>
      <c r="AC58" s="13"/>
      <c r="AD58" s="347"/>
      <c r="AE58" s="13"/>
      <c r="AF58" s="13"/>
      <c r="AG58" s="13"/>
      <c r="AH58" s="347"/>
      <c r="AI58" s="13"/>
      <c r="AJ58" s="13"/>
      <c r="AK58" s="13"/>
      <c r="AL58" s="347"/>
      <c r="AM58" s="13"/>
      <c r="AN58" s="13"/>
      <c r="AO58" s="13"/>
      <c r="AR58" s="360">
        <v>61.2</v>
      </c>
      <c r="AS58" s="7">
        <v>6.12</v>
      </c>
      <c r="AT58" s="8">
        <v>1466.0820101888103</v>
      </c>
      <c r="AU58" s="114">
        <v>2.917168959819063E-2</v>
      </c>
      <c r="AV58">
        <f t="shared" si="5"/>
        <v>3.2477944331096228E-2</v>
      </c>
      <c r="AZ58" s="7">
        <v>12.24</v>
      </c>
      <c r="BA58">
        <f>AI80+AK80</f>
        <v>70.561991595086681</v>
      </c>
      <c r="BB58">
        <f t="shared" si="6"/>
        <v>198.97741540691663</v>
      </c>
      <c r="BL58" s="227"/>
      <c r="BM58" s="79"/>
    </row>
    <row r="59" spans="1:65">
      <c r="A59" s="344" t="s">
        <v>193</v>
      </c>
      <c r="B59" t="s">
        <v>17</v>
      </c>
      <c r="C59" s="79">
        <v>0.25256997034448098</v>
      </c>
      <c r="D59" s="348">
        <v>4.4012433574669024E-3</v>
      </c>
      <c r="E59" s="13"/>
      <c r="F59" s="347"/>
      <c r="G59" s="13">
        <v>0.25252165839432106</v>
      </c>
      <c r="H59" s="13">
        <v>4.3360678704760271E-3</v>
      </c>
      <c r="I59" s="13"/>
      <c r="J59" s="347"/>
      <c r="K59" s="13">
        <v>0.25247210689304489</v>
      </c>
      <c r="L59" s="13">
        <v>4.2636709795113139E-3</v>
      </c>
      <c r="M59" s="13"/>
      <c r="N59" s="347"/>
      <c r="O59" s="13">
        <v>0.252421498624952</v>
      </c>
      <c r="P59" s="13">
        <v>4.1822374857690605E-3</v>
      </c>
      <c r="Q59" s="13"/>
      <c r="R59" s="347"/>
      <c r="S59" s="13">
        <v>0.26616298954009887</v>
      </c>
      <c r="T59" s="13">
        <v>0.2523406788894027</v>
      </c>
      <c r="U59" s="13">
        <v>4.0969903857821944E-3</v>
      </c>
      <c r="V59" s="347"/>
      <c r="W59" s="13">
        <v>0.26739857389309807</v>
      </c>
      <c r="X59" s="13">
        <v>0.2521721471083937</v>
      </c>
      <c r="Y59" s="13">
        <v>4.0156425300637696E-3</v>
      </c>
      <c r="Z59" s="347"/>
      <c r="AA59" s="13">
        <v>0.26739198138894854</v>
      </c>
      <c r="AB59" s="13">
        <v>0.2520353899917947</v>
      </c>
      <c r="AC59" s="13">
        <v>3.9086923629923741E-3</v>
      </c>
      <c r="AD59" s="347"/>
      <c r="AE59" s="13">
        <v>0.26052243736600617</v>
      </c>
      <c r="AF59" s="13">
        <v>0.25209250600952893</v>
      </c>
      <c r="AG59" s="13">
        <v>3.7147052593432626E-3</v>
      </c>
      <c r="AH59" s="347"/>
      <c r="AI59" s="13">
        <v>0.23393152781414439</v>
      </c>
      <c r="AJ59" s="13">
        <v>0.25275330554098435</v>
      </c>
      <c r="AK59" s="13">
        <v>3.2650635379464247E-3</v>
      </c>
      <c r="AL59" s="347"/>
      <c r="AM59" s="13">
        <v>0.15915069985795408</v>
      </c>
      <c r="AN59" s="13">
        <v>0.25399019759244529</v>
      </c>
      <c r="AO59" s="13">
        <v>2.1924064100448935E-3</v>
      </c>
      <c r="AZ59" s="7">
        <v>6.12</v>
      </c>
      <c r="BA59">
        <f>AM80+AO80</f>
        <v>71.645734230603694</v>
      </c>
      <c r="BB59">
        <f t="shared" si="6"/>
        <v>197.89367277139962</v>
      </c>
      <c r="BL59" s="227"/>
      <c r="BM59" s="13"/>
    </row>
    <row r="60" spans="1:65">
      <c r="A60" s="344" t="s">
        <v>24</v>
      </c>
      <c r="B60" t="s">
        <v>17</v>
      </c>
      <c r="C60" s="79">
        <v>0.51664029090215713</v>
      </c>
      <c r="D60" s="348">
        <v>1.6289369327910325E-5</v>
      </c>
      <c r="E60" s="13"/>
      <c r="F60" s="347"/>
      <c r="G60" s="13">
        <v>0.51648444251863201</v>
      </c>
      <c r="H60" s="13">
        <v>1.5522546147177767E-5</v>
      </c>
      <c r="I60" s="13"/>
      <c r="J60" s="347"/>
      <c r="K60" s="13">
        <v>0.51631737274646794</v>
      </c>
      <c r="L60" s="13">
        <v>1.4664145984197504E-5</v>
      </c>
      <c r="M60" s="13"/>
      <c r="N60" s="347"/>
      <c r="O60" s="13">
        <v>0.51613653065824305</v>
      </c>
      <c r="P60" s="13">
        <v>1.3694109882607055E-5</v>
      </c>
      <c r="Q60" s="13"/>
      <c r="R60" s="347"/>
      <c r="S60" s="13">
        <v>0.30784055595824039</v>
      </c>
      <c r="T60" s="13">
        <v>0.51645861845359819</v>
      </c>
      <c r="U60" s="13">
        <v>1.2577172773136425E-5</v>
      </c>
      <c r="V60" s="347"/>
      <c r="W60" s="13">
        <v>0.28602122955676379</v>
      </c>
      <c r="X60" s="13">
        <v>0.51817692582193076</v>
      </c>
      <c r="Y60" s="13">
        <v>1.1252758539454781E-5</v>
      </c>
      <c r="Z60" s="347"/>
      <c r="AA60" s="13">
        <v>0.25708980542044252</v>
      </c>
      <c r="AB60" s="13">
        <v>0.5204060912578643</v>
      </c>
      <c r="AC60" s="13">
        <v>9.685014272848941E-6</v>
      </c>
      <c r="AD60" s="347"/>
      <c r="AE60" s="13">
        <v>0.21308369675721961</v>
      </c>
      <c r="AF60" s="13">
        <v>0.52219670277555097</v>
      </c>
      <c r="AG60" s="13">
        <v>7.7850676368145765E-6</v>
      </c>
      <c r="AH60" s="347"/>
      <c r="AI60" s="13">
        <v>0.15433315254686786</v>
      </c>
      <c r="AJ60" s="13">
        <v>0.52197559476245392</v>
      </c>
      <c r="AK60" s="13">
        <v>5.4962325806667301E-6</v>
      </c>
      <c r="AL60" s="347"/>
      <c r="AM60" s="13">
        <v>8.0640996505403337E-2</v>
      </c>
      <c r="AN60" s="13">
        <v>0.51369860337036699</v>
      </c>
      <c r="AO60" s="13">
        <v>2.8133812668123305E-6</v>
      </c>
    </row>
    <row r="61" spans="1:65">
      <c r="A61" s="344" t="s">
        <v>4</v>
      </c>
      <c r="B61" t="s">
        <v>17</v>
      </c>
      <c r="C61" s="79">
        <v>2.1601670033141653E-2</v>
      </c>
      <c r="D61" s="348">
        <v>3.8452969193721945E-5</v>
      </c>
      <c r="E61" s="13"/>
      <c r="F61" s="347"/>
      <c r="G61" s="13">
        <v>2.1595539262810614E-2</v>
      </c>
      <c r="H61" s="13">
        <v>3.7507789442797752E-5</v>
      </c>
      <c r="I61" s="13"/>
      <c r="J61" s="347"/>
      <c r="K61" s="13">
        <v>2.158900493476457E-2</v>
      </c>
      <c r="L61" s="13">
        <v>3.6442848136487116E-5</v>
      </c>
      <c r="M61" s="13"/>
      <c r="N61" s="347"/>
      <c r="O61" s="13">
        <v>2.1581980921400828E-2</v>
      </c>
      <c r="P61" s="13">
        <v>3.5232165566960625E-5</v>
      </c>
      <c r="Q61" s="13"/>
      <c r="R61" s="347"/>
      <c r="S61" s="13">
        <v>2.0064988179077186E-2</v>
      </c>
      <c r="T61" s="13">
        <v>2.1578640485644892E-2</v>
      </c>
      <c r="U61" s="13">
        <v>3.3886190192063718E-5</v>
      </c>
      <c r="V61" s="347"/>
      <c r="W61" s="13">
        <v>1.9640993779918771E-2</v>
      </c>
      <c r="X61" s="13">
        <v>2.1588428592780474E-2</v>
      </c>
      <c r="Y61" s="13">
        <v>3.2417003494102351E-5</v>
      </c>
      <c r="Z61" s="347"/>
      <c r="AA61" s="13">
        <v>1.9048288111105743E-2</v>
      </c>
      <c r="AB61" s="13">
        <v>2.1609530409744369E-2</v>
      </c>
      <c r="AC61" s="13">
        <v>3.0648517302810209E-5</v>
      </c>
      <c r="AD61" s="347"/>
      <c r="AE61" s="13">
        <v>1.7907041530972966E-2</v>
      </c>
      <c r="AF61" s="13">
        <v>2.1634342643325487E-2</v>
      </c>
      <c r="AG61" s="13">
        <v>2.8200327125098813E-5</v>
      </c>
      <c r="AH61" s="347"/>
      <c r="AI61" s="13">
        <v>1.5567970098288317E-2</v>
      </c>
      <c r="AJ61" s="13">
        <v>2.1648878311116559E-2</v>
      </c>
      <c r="AK61" s="13">
        <v>2.405867599220308E-5</v>
      </c>
      <c r="AL61" s="347"/>
      <c r="AM61" s="13">
        <v>1.033330649945737E-2</v>
      </c>
      <c r="AN61" s="13">
        <v>2.1526772661443691E-2</v>
      </c>
      <c r="AO61" s="13">
        <v>1.5731329783105537E-5</v>
      </c>
      <c r="BC61" t="s">
        <v>241</v>
      </c>
    </row>
    <row r="62" spans="1:65">
      <c r="A62" s="344" t="s">
        <v>5</v>
      </c>
      <c r="B62" t="s">
        <v>17</v>
      </c>
      <c r="C62" s="79">
        <v>9.6723158720532654E-3</v>
      </c>
      <c r="D62" s="348">
        <v>3.0288590225373062E-6</v>
      </c>
      <c r="E62" s="13"/>
      <c r="F62" s="347"/>
      <c r="G62" s="13">
        <v>9.6693996765416547E-3</v>
      </c>
      <c r="H62" s="13">
        <v>3.0127770705508698E-6</v>
      </c>
      <c r="I62" s="13"/>
      <c r="J62" s="347"/>
      <c r="K62" s="13">
        <v>9.66627369344885E-3</v>
      </c>
      <c r="L62" s="13">
        <v>2.994498084765438E-6</v>
      </c>
      <c r="M62" s="13"/>
      <c r="N62" s="347"/>
      <c r="O62" s="13">
        <v>9.6628897478722841E-3</v>
      </c>
      <c r="P62" s="13">
        <v>2.9746706958724738E-6</v>
      </c>
      <c r="Q62" s="13"/>
      <c r="R62" s="347"/>
      <c r="S62" s="13">
        <v>1.1205236484314873E-2</v>
      </c>
      <c r="T62" s="13">
        <v>9.6557197501530388E-3</v>
      </c>
      <c r="U62" s="13">
        <v>2.9626887440841267E-6</v>
      </c>
      <c r="V62" s="347"/>
      <c r="W62" s="13">
        <v>1.1415810636001155E-2</v>
      </c>
      <c r="X62" s="13">
        <v>9.6376851728905179E-3</v>
      </c>
      <c r="Y62" s="13">
        <v>2.9768614930273052E-6</v>
      </c>
      <c r="Z62" s="347"/>
      <c r="AA62" s="13">
        <v>1.1751224637816275E-2</v>
      </c>
      <c r="AB62" s="13">
        <v>9.6138954424915841E-3</v>
      </c>
      <c r="AC62" s="13">
        <v>3.0151288741562963E-6</v>
      </c>
      <c r="AD62" s="347"/>
      <c r="AE62" s="13">
        <v>1.2135380234129862E-2</v>
      </c>
      <c r="AF62" s="13">
        <v>9.5868093283094646E-3</v>
      </c>
      <c r="AG62" s="13">
        <v>3.0642891131888653E-6</v>
      </c>
      <c r="AH62" s="347"/>
      <c r="AI62" s="13">
        <v>1.2113356524227114E-2</v>
      </c>
      <c r="AJ62" s="13">
        <v>9.5679058255592492E-3</v>
      </c>
      <c r="AK62" s="13">
        <v>3.0070428267213221E-6</v>
      </c>
      <c r="AL62" s="347"/>
      <c r="AM62" s="13">
        <v>9.671912623791086E-3</v>
      </c>
      <c r="AN62" s="13">
        <v>9.5858777998523263E-3</v>
      </c>
      <c r="AO62" s="13">
        <v>2.3556442827156436E-6</v>
      </c>
    </row>
    <row r="63" spans="1:65">
      <c r="A63" s="344" t="s">
        <v>6</v>
      </c>
      <c r="B63" t="s">
        <v>17</v>
      </c>
      <c r="C63" s="79">
        <v>2.8625479211419652E-3</v>
      </c>
      <c r="D63" s="348">
        <v>8.6815111814997333E-8</v>
      </c>
      <c r="E63" s="13"/>
      <c r="F63" s="347"/>
      <c r="G63" s="13">
        <v>2.861682401954183E-3</v>
      </c>
      <c r="H63" s="13">
        <v>8.7470517813802188E-8</v>
      </c>
      <c r="I63" s="13"/>
      <c r="J63" s="347"/>
      <c r="K63" s="13">
        <v>2.8607543656424673E-3</v>
      </c>
      <c r="L63" s="13">
        <v>8.8228686210910795E-8</v>
      </c>
      <c r="M63" s="13"/>
      <c r="N63" s="347"/>
      <c r="O63" s="13">
        <v>2.8597495379240174E-3</v>
      </c>
      <c r="P63" s="13">
        <v>8.9183979893436671E-8</v>
      </c>
      <c r="Q63" s="13"/>
      <c r="R63" s="347"/>
      <c r="S63" s="13">
        <v>3.7639589196685518E-3</v>
      </c>
      <c r="T63" s="13">
        <v>2.8565390174863587E-3</v>
      </c>
      <c r="U63" s="13">
        <v>9.0826476452001558E-8</v>
      </c>
      <c r="V63" s="347"/>
      <c r="W63" s="13">
        <v>3.9263503555234574E-3</v>
      </c>
      <c r="X63" s="13">
        <v>2.846549664931542E-3</v>
      </c>
      <c r="Y63" s="13">
        <v>9.4165381851070875E-8</v>
      </c>
      <c r="Z63" s="347"/>
      <c r="AA63" s="13">
        <v>4.1946902486747137E-3</v>
      </c>
      <c r="AB63" s="13">
        <v>2.831805012212463E-3</v>
      </c>
      <c r="AC63" s="13">
        <v>9.974802374230163E-8</v>
      </c>
      <c r="AD63" s="347"/>
      <c r="AE63" s="13">
        <v>4.6030696984796565E-3</v>
      </c>
      <c r="AF63" s="13">
        <v>2.8128339572288303E-3</v>
      </c>
      <c r="AG63" s="13">
        <v>1.0838023956182155E-7</v>
      </c>
      <c r="AH63" s="347"/>
      <c r="AI63" s="13">
        <v>5.0451799594768264E-3</v>
      </c>
      <c r="AJ63" s="13">
        <v>2.7947260246526892E-3</v>
      </c>
      <c r="AK63" s="13">
        <v>1.1733191864453985E-7</v>
      </c>
      <c r="AL63" s="347"/>
      <c r="AM63" s="13">
        <v>4.5945222156836569E-3</v>
      </c>
      <c r="AN63" s="13">
        <v>2.8101336576680652E-3</v>
      </c>
      <c r="AO63" s="13">
        <v>1.0515987458928711E-7</v>
      </c>
    </row>
    <row r="64" spans="1:65">
      <c r="A64" s="344" t="s">
        <v>7</v>
      </c>
      <c r="B64" t="s">
        <v>17</v>
      </c>
      <c r="C64" s="79">
        <v>5.527676568781629E-3</v>
      </c>
      <c r="D64" s="348">
        <v>1.7294724690796592E-7</v>
      </c>
      <c r="E64" s="13"/>
      <c r="F64" s="347"/>
      <c r="G64" s="13">
        <v>5.5260047566499148E-3</v>
      </c>
      <c r="H64" s="13">
        <v>1.7535266876449724E-7</v>
      </c>
      <c r="I64" s="13"/>
      <c r="J64" s="347"/>
      <c r="K64" s="13">
        <v>5.5242121055466085E-3</v>
      </c>
      <c r="L64" s="13">
        <v>1.7818443875283235E-7</v>
      </c>
      <c r="M64" s="13"/>
      <c r="N64" s="347"/>
      <c r="O64" s="13">
        <v>5.522270994682949E-3</v>
      </c>
      <c r="P64" s="13">
        <v>1.8171793436330952E-7</v>
      </c>
      <c r="Q64" s="13"/>
      <c r="R64" s="347"/>
      <c r="S64" s="13">
        <v>7.7628331807679122E-3</v>
      </c>
      <c r="T64" s="13">
        <v>5.5148711335282746E-3</v>
      </c>
      <c r="U64" s="13">
        <v>1.8714895169360469E-7</v>
      </c>
      <c r="V64" s="347"/>
      <c r="W64" s="13">
        <v>8.2057152951744566E-3</v>
      </c>
      <c r="X64" s="13">
        <v>5.4902417663807634E-3</v>
      </c>
      <c r="Y64" s="13">
        <v>1.9697182837551743E-7</v>
      </c>
      <c r="Z64" s="347"/>
      <c r="AA64" s="13">
        <v>8.9249062951899244E-3</v>
      </c>
      <c r="AB64" s="13">
        <v>5.4528209976285906E-3</v>
      </c>
      <c r="AC64" s="13">
        <v>2.1283349152600647E-7</v>
      </c>
      <c r="AD64" s="347"/>
      <c r="AE64" s="13">
        <v>1.0048200553089456E-2</v>
      </c>
      <c r="AF64" s="13">
        <v>5.4036939603767931E-3</v>
      </c>
      <c r="AG64" s="13">
        <v>2.3737334637101412E-7</v>
      </c>
      <c r="AH64" s="347"/>
      <c r="AI64" s="13">
        <v>1.1387313702046003E-2</v>
      </c>
      <c r="AJ64" s="13">
        <v>5.3553804672477551E-3</v>
      </c>
      <c r="AK64" s="13">
        <v>2.654514385644427E-7</v>
      </c>
      <c r="AL64" s="347"/>
      <c r="AM64" s="13">
        <v>1.0821318476308151E-2</v>
      </c>
      <c r="AN64" s="13">
        <v>5.3968627726743504E-3</v>
      </c>
      <c r="AO64" s="13">
        <v>2.4742381636018668E-7</v>
      </c>
      <c r="BC64" s="7">
        <v>61.2</v>
      </c>
      <c r="BD64">
        <v>0</v>
      </c>
      <c r="BE64">
        <v>0</v>
      </c>
      <c r="BF64">
        <v>0</v>
      </c>
      <c r="BG64">
        <v>0</v>
      </c>
    </row>
    <row r="65" spans="1:59">
      <c r="A65" s="344" t="s">
        <v>8</v>
      </c>
      <c r="B65" t="s">
        <v>17</v>
      </c>
      <c r="C65" s="79">
        <v>3.356114391348905E-3</v>
      </c>
      <c r="D65" s="348">
        <v>4.3936641604223124E-8</v>
      </c>
      <c r="E65" s="13"/>
      <c r="F65" s="347"/>
      <c r="G65" s="13">
        <v>3.3550994674990328E-3</v>
      </c>
      <c r="H65" s="13">
        <v>4.5077403553603536E-8</v>
      </c>
      <c r="I65" s="13"/>
      <c r="J65" s="347"/>
      <c r="K65" s="13">
        <v>3.3540111923046575E-3</v>
      </c>
      <c r="L65" s="13">
        <v>4.6449630246988306E-8</v>
      </c>
      <c r="M65" s="13"/>
      <c r="N65" s="347"/>
      <c r="O65" s="13">
        <v>3.3528328135549331E-3</v>
      </c>
      <c r="P65" s="13">
        <v>4.8186245668030415E-8</v>
      </c>
      <c r="Q65" s="13"/>
      <c r="R65" s="347"/>
      <c r="S65" s="13">
        <v>5.7170616820983863E-3</v>
      </c>
      <c r="T65" s="13">
        <v>3.3459059400781175E-3</v>
      </c>
      <c r="U65" s="13">
        <v>5.0777480690816791E-8</v>
      </c>
      <c r="V65" s="347"/>
      <c r="W65" s="13">
        <v>6.2157431124445382E-3</v>
      </c>
      <c r="X65" s="13">
        <v>3.3204649825511997E-3</v>
      </c>
      <c r="Y65" s="13">
        <v>5.5277410562995726E-8</v>
      </c>
      <c r="Z65" s="347"/>
      <c r="AA65" s="13">
        <v>7.0526184904709122E-3</v>
      </c>
      <c r="AB65" s="13">
        <v>3.2800023684995006E-3</v>
      </c>
      <c r="AC65" s="13">
        <v>6.2658840911481984E-8</v>
      </c>
      <c r="AD65" s="347"/>
      <c r="AE65" s="13">
        <v>8.4943057817250204E-3</v>
      </c>
      <c r="AF65" s="13">
        <v>3.2227642706729649E-3</v>
      </c>
      <c r="AG65" s="13">
        <v>7.4892625628845331E-8</v>
      </c>
      <c r="AH65" s="347"/>
      <c r="AI65" s="13">
        <v>1.0648120960547867E-2</v>
      </c>
      <c r="AJ65" s="13">
        <v>3.1544324934414765E-3</v>
      </c>
      <c r="AK65" s="13">
        <v>9.2282029234970478E-8</v>
      </c>
      <c r="AL65" s="347"/>
      <c r="AM65" s="13">
        <v>1.1726212585202376E-2</v>
      </c>
      <c r="AN65" s="13">
        <v>3.1780828385101424E-3</v>
      </c>
      <c r="AO65" s="13">
        <v>9.8070250668870404E-8</v>
      </c>
      <c r="BC65" s="7">
        <v>55.08</v>
      </c>
      <c r="BD65">
        <f>C80-K80-L80</f>
        <v>11.633621898303671</v>
      </c>
      <c r="BE65">
        <f t="shared" ref="BE65:BE72" si="7">BD65/$C$80*100</f>
        <v>4.316111706151081</v>
      </c>
      <c r="BF65">
        <f>G82*(G49+H49-K49-L49)/0.7</f>
        <v>11.146653368618402</v>
      </c>
      <c r="BG65">
        <f>BF65/($C$82+$D$80)*100</f>
        <v>4.1919280188252639</v>
      </c>
    </row>
    <row r="66" spans="1:59">
      <c r="A66" s="344" t="s">
        <v>9</v>
      </c>
      <c r="B66" t="s">
        <v>17</v>
      </c>
      <c r="C66" s="79">
        <v>2.8625681397572355E-3</v>
      </c>
      <c r="D66" s="348">
        <v>3.7518209288303661E-8</v>
      </c>
      <c r="E66" s="13"/>
      <c r="F66" s="347"/>
      <c r="G66" s="13">
        <v>2.8617024143789754E-3</v>
      </c>
      <c r="H66" s="13">
        <v>3.8625584054964171E-8</v>
      </c>
      <c r="I66" s="13"/>
      <c r="J66" s="347"/>
      <c r="K66" s="13">
        <v>2.8607741083678316E-3</v>
      </c>
      <c r="L66" s="13">
        <v>3.9963174799691264E-8</v>
      </c>
      <c r="M66" s="13"/>
      <c r="N66" s="347"/>
      <c r="O66" s="13">
        <v>2.8597689242351489E-3</v>
      </c>
      <c r="P66" s="13">
        <v>4.1659575084130612E-8</v>
      </c>
      <c r="Q66" s="13"/>
      <c r="R66" s="347"/>
      <c r="S66" s="13">
        <v>4.8575209137545249E-3</v>
      </c>
      <c r="T66" s="13">
        <v>2.8539061462989073E-3</v>
      </c>
      <c r="U66" s="13">
        <v>4.4168457952949096E-8</v>
      </c>
      <c r="V66" s="347"/>
      <c r="W66" s="13">
        <v>5.3153245769466213E-3</v>
      </c>
      <c r="X66" s="13">
        <v>2.8320112871522874E-3</v>
      </c>
      <c r="Y66" s="13">
        <v>4.8476793681482655E-8</v>
      </c>
      <c r="Z66" s="347"/>
      <c r="AA66" s="13">
        <v>6.0855833461220402E-3</v>
      </c>
      <c r="AB66" s="13">
        <v>2.7962660364315647E-3</v>
      </c>
      <c r="AC66" s="13">
        <v>5.5557684066661306E-8</v>
      </c>
      <c r="AD66" s="347"/>
      <c r="AE66" s="13">
        <v>7.4217683584993314E-3</v>
      </c>
      <c r="AF66" s="13">
        <v>2.7442221477007238E-3</v>
      </c>
      <c r="AG66" s="13">
        <v>6.7388036663716177E-8</v>
      </c>
      <c r="AH66" s="347"/>
      <c r="AI66" s="13">
        <v>9.453275862222707E-3</v>
      </c>
      <c r="AJ66" s="13">
        <v>2.6798284399341043E-3</v>
      </c>
      <c r="AK66" s="13">
        <v>8.4556007379401957E-8</v>
      </c>
      <c r="AL66" s="347"/>
      <c r="AM66" s="13">
        <v>1.0614097094552638E-2</v>
      </c>
      <c r="AN66" s="13">
        <v>2.6960115387759625E-3</v>
      </c>
      <c r="AO66" s="13">
        <v>9.1785404057995347E-8</v>
      </c>
      <c r="BC66" s="7">
        <v>48.96</v>
      </c>
      <c r="BD66">
        <f>C80-O80-P80</f>
        <v>24.945023356785956</v>
      </c>
      <c r="BE66">
        <f t="shared" si="7"/>
        <v>9.2546851068053861</v>
      </c>
      <c r="BF66">
        <f>K82*(K49+L49-O49-P49)/0.7+BF65</f>
        <v>23.951381227406543</v>
      </c>
      <c r="BG66">
        <f t="shared" ref="BG66:BG72" si="8">BF66/($C$82+$D$80)*100</f>
        <v>9.0074090165392438</v>
      </c>
    </row>
    <row r="67" spans="1:59">
      <c r="A67" s="344" t="s">
        <v>10</v>
      </c>
      <c r="B67" t="s">
        <v>17</v>
      </c>
      <c r="C67" s="79">
        <v>5.1328983363069444E-3</v>
      </c>
      <c r="D67" s="348">
        <v>2.4522780170304322E-8</v>
      </c>
      <c r="E67" s="13"/>
      <c r="F67" s="347"/>
      <c r="G67" s="13">
        <v>5.1313462957101718E-3</v>
      </c>
      <c r="H67" s="13">
        <v>2.5744989015089114E-8</v>
      </c>
      <c r="I67" s="13"/>
      <c r="J67" s="347"/>
      <c r="K67" s="13">
        <v>5.1296821069414036E-3</v>
      </c>
      <c r="L67" s="13">
        <v>2.7253767369563518E-8</v>
      </c>
      <c r="M67" s="13"/>
      <c r="N67" s="347"/>
      <c r="O67" s="13">
        <v>5.1278801736404176E-3</v>
      </c>
      <c r="P67" s="13">
        <v>2.9208430190774462E-8</v>
      </c>
      <c r="Q67" s="13"/>
      <c r="R67" s="347"/>
      <c r="S67" s="13">
        <v>1.0430438686767541E-2</v>
      </c>
      <c r="T67" s="13">
        <v>5.1131964593660682E-3</v>
      </c>
      <c r="U67" s="13">
        <v>3.2099133487226117E-8</v>
      </c>
      <c r="V67" s="347"/>
      <c r="W67" s="13">
        <v>1.1879047865909877E-2</v>
      </c>
      <c r="X67" s="13">
        <v>5.053474032282069E-3</v>
      </c>
      <c r="Y67" s="13">
        <v>3.70431036910173E-8</v>
      </c>
      <c r="Z67" s="347"/>
      <c r="AA67" s="13">
        <v>1.443231903700321E-2</v>
      </c>
      <c r="AB67" s="13">
        <v>4.9474358396267102E-3</v>
      </c>
      <c r="AC67" s="13">
        <v>4.5529931411537839E-8</v>
      </c>
      <c r="AD67" s="347"/>
      <c r="AE67" s="13">
        <v>1.9260973269627071E-2</v>
      </c>
      <c r="AF67" s="13">
        <v>4.773026900962647E-3</v>
      </c>
      <c r="AG67" s="13">
        <v>6.0953514202304742E-8</v>
      </c>
      <c r="AH67" s="347"/>
      <c r="AI67" s="13">
        <v>2.7802331610631212E-2</v>
      </c>
      <c r="AJ67" s="13">
        <v>4.5076474679595297E-3</v>
      </c>
      <c r="AK67" s="13">
        <v>8.7237782420219656E-8</v>
      </c>
      <c r="AL67" s="347"/>
      <c r="AM67" s="13">
        <v>3.7192718385159571E-2</v>
      </c>
      <c r="AN67" s="13">
        <v>4.409904390359415E-3</v>
      </c>
      <c r="AO67" s="13">
        <v>1.1314128011124238E-7</v>
      </c>
      <c r="BC67" s="7">
        <v>42.839999999999996</v>
      </c>
      <c r="BD67">
        <f>C80-S80-T80-U80</f>
        <v>40.827923775143759</v>
      </c>
      <c r="BE67">
        <f t="shared" si="7"/>
        <v>15.147293017098725</v>
      </c>
      <c r="BF67">
        <f>O82*(O49+P49-S49-T49-U49)/0.7+BF66</f>
        <v>38.925261665560875</v>
      </c>
      <c r="BG67">
        <f t="shared" si="8"/>
        <v>14.63864440921377</v>
      </c>
    </row>
    <row r="68" spans="1:59">
      <c r="A68" s="344" t="s">
        <v>35</v>
      </c>
      <c r="B68" t="s">
        <v>17</v>
      </c>
      <c r="C68" s="79">
        <v>1.481073510645437E-2</v>
      </c>
      <c r="D68" s="348">
        <v>6.1662404165577414E-8</v>
      </c>
      <c r="E68" s="13"/>
      <c r="F68" s="347"/>
      <c r="G68" s="13">
        <v>1.4806256920099599E-2</v>
      </c>
      <c r="H68" s="13">
        <v>6.4808159314048253E-8</v>
      </c>
      <c r="I68" s="13"/>
      <c r="J68" s="347"/>
      <c r="K68" s="13">
        <v>1.4801455177531106E-2</v>
      </c>
      <c r="L68" s="13">
        <v>6.8696851746621928E-8</v>
      </c>
      <c r="M68" s="13"/>
      <c r="N68" s="347"/>
      <c r="O68" s="13">
        <v>1.4796256046322443E-2</v>
      </c>
      <c r="P68" s="13">
        <v>7.3744957947124653E-8</v>
      </c>
      <c r="Q68" s="13"/>
      <c r="R68" s="347"/>
      <c r="S68" s="13">
        <v>3.0457970127839049E-2</v>
      </c>
      <c r="T68" s="13">
        <v>1.4753010822378879E-2</v>
      </c>
      <c r="U68" s="13">
        <v>8.1230972518570007E-8</v>
      </c>
      <c r="V68" s="347"/>
      <c r="W68" s="13">
        <v>3.4776946469317518E-2</v>
      </c>
      <c r="X68" s="13">
        <v>1.4576309330047756E-2</v>
      </c>
      <c r="Y68" s="13">
        <v>9.4084404028285547E-8</v>
      </c>
      <c r="Z68" s="347"/>
      <c r="AA68" s="13">
        <v>4.2448998025282597E-2</v>
      </c>
      <c r="AB68" s="13">
        <v>1.4260308835579825E-2</v>
      </c>
      <c r="AC68" s="13">
        <v>1.163044063643662E-7</v>
      </c>
      <c r="AD68" s="347"/>
      <c r="AE68" s="13">
        <v>5.7104196268566998E-2</v>
      </c>
      <c r="AF68" s="13">
        <v>1.3733922211277581E-2</v>
      </c>
      <c r="AG68" s="13">
        <v>1.5714086280800127E-7</v>
      </c>
      <c r="AH68" s="347"/>
      <c r="AI68" s="13">
        <v>8.3443393664310805E-2</v>
      </c>
      <c r="AJ68" s="13">
        <v>1.2914943978256923E-2</v>
      </c>
      <c r="AK68" s="13">
        <v>2.2800042234439264E-7</v>
      </c>
      <c r="AL68" s="347"/>
      <c r="AM68" s="13">
        <v>0.11360408015274581</v>
      </c>
      <c r="AN68" s="13">
        <v>1.2560777372469635E-2</v>
      </c>
      <c r="AO68" s="13">
        <v>3.0149854499553636E-7</v>
      </c>
      <c r="BC68" s="7">
        <v>36.72</v>
      </c>
      <c r="BD68">
        <f>C80-W80-X80-Y80</f>
        <v>60.051937105162139</v>
      </c>
      <c r="BE68">
        <f t="shared" si="7"/>
        <v>22.279464725807539</v>
      </c>
      <c r="BF68">
        <f>T82*(S49+T49+U49-W49-X49-Y49)/0.7+BF67</f>
        <v>56.611603134719047</v>
      </c>
      <c r="BG68">
        <f t="shared" si="8"/>
        <v>21.289956502922909</v>
      </c>
    </row>
    <row r="69" spans="1:59">
      <c r="A69" s="344" t="s">
        <v>163</v>
      </c>
      <c r="B69" t="s">
        <v>17</v>
      </c>
      <c r="C69" s="79">
        <v>6.8703208021964456E-3</v>
      </c>
      <c r="D69" s="348">
        <v>1.9472451964775677E-8</v>
      </c>
      <c r="E69" s="13"/>
      <c r="F69" s="347"/>
      <c r="G69" s="13">
        <v>6.8682435692780505E-3</v>
      </c>
      <c r="H69" s="13">
        <v>2.0722193642613676E-8</v>
      </c>
      <c r="I69" s="13"/>
      <c r="J69" s="347"/>
      <c r="K69" s="13">
        <v>6.8660162618556942E-3</v>
      </c>
      <c r="L69" s="13">
        <v>2.228933311649342E-8</v>
      </c>
      <c r="M69" s="13"/>
      <c r="N69" s="347"/>
      <c r="O69" s="13">
        <v>6.8636046382242483E-3</v>
      </c>
      <c r="P69" s="13">
        <v>2.4355460911881783E-8</v>
      </c>
      <c r="Q69" s="13"/>
      <c r="R69" s="347"/>
      <c r="S69" s="13">
        <v>1.6183133773441796E-2</v>
      </c>
      <c r="T69" s="13">
        <v>6.838562436095404E-3</v>
      </c>
      <c r="U69" s="13">
        <v>2.7450273994790703E-8</v>
      </c>
      <c r="V69" s="347"/>
      <c r="W69" s="13">
        <v>1.8955633766743855E-2</v>
      </c>
      <c r="X69" s="13">
        <v>6.7319506754958142E-3</v>
      </c>
      <c r="Y69" s="13">
        <v>3.2812077058829923E-8</v>
      </c>
      <c r="Z69" s="347"/>
      <c r="AA69" s="13">
        <v>2.3999604900850027E-2</v>
      </c>
      <c r="AB69" s="13">
        <v>6.5334213548842585E-3</v>
      </c>
      <c r="AC69" s="13">
        <v>4.2333812062873747E-8</v>
      </c>
      <c r="AD69" s="347"/>
      <c r="AE69" s="13">
        <v>3.4031807136075509E-2</v>
      </c>
      <c r="AF69" s="13">
        <v>6.1828918665129485E-3</v>
      </c>
      <c r="AG69" s="13">
        <v>6.0563328950361341E-8</v>
      </c>
      <c r="AH69" s="347"/>
      <c r="AI69" s="13">
        <v>5.3039719525314839E-2</v>
      </c>
      <c r="AJ69" s="13">
        <v>5.5933026806761869E-3</v>
      </c>
      <c r="AK69" s="13">
        <v>9.4007102600013207E-8</v>
      </c>
      <c r="AL69" s="347"/>
      <c r="AM69" s="13">
        <v>7.8571461016887334E-2</v>
      </c>
      <c r="AN69" s="13">
        <v>5.1888071633946183E-3</v>
      </c>
      <c r="AO69" s="13">
        <v>1.3537462504481733E-7</v>
      </c>
      <c r="BC69" s="7">
        <v>30.6</v>
      </c>
      <c r="BD69">
        <f>C80-AA80-AB80-AC80</f>
        <v>81.579780112235312</v>
      </c>
      <c r="BE69">
        <f t="shared" si="7"/>
        <v>30.266364766332288</v>
      </c>
      <c r="BF69">
        <f>X82*(W49+X49+Y49-AA49-AB49-AC49)/0.7+BF68</f>
        <v>77.003937430226841</v>
      </c>
      <c r="BG69">
        <f t="shared" si="8"/>
        <v>28.95891279641048</v>
      </c>
    </row>
    <row r="70" spans="1:59">
      <c r="A70" s="344" t="s">
        <v>37</v>
      </c>
      <c r="B70" t="s">
        <v>17</v>
      </c>
      <c r="C70" s="79">
        <v>3.184956784131397E-3</v>
      </c>
      <c r="D70" s="348">
        <v>7.3229018124919226E-9</v>
      </c>
      <c r="E70" s="13"/>
      <c r="F70" s="347"/>
      <c r="G70" s="13">
        <v>3.1839938530747289E-3</v>
      </c>
      <c r="H70" s="13">
        <v>7.8115463569174791E-9</v>
      </c>
      <c r="I70" s="13"/>
      <c r="J70" s="347"/>
      <c r="K70" s="13">
        <v>3.1829613607344234E-3</v>
      </c>
      <c r="L70" s="13">
        <v>8.4260971622333933E-9</v>
      </c>
      <c r="M70" s="13"/>
      <c r="N70" s="347"/>
      <c r="O70" s="13">
        <v>3.1818434395814734E-3</v>
      </c>
      <c r="P70" s="13">
        <v>9.2395979760835131E-9</v>
      </c>
      <c r="Q70" s="13"/>
      <c r="R70" s="347"/>
      <c r="S70" s="13">
        <v>7.9806308156983915E-3</v>
      </c>
      <c r="T70" s="13">
        <v>3.16907426283237E-3</v>
      </c>
      <c r="U70" s="13">
        <v>1.0464172911605735E-8</v>
      </c>
      <c r="V70" s="347"/>
      <c r="W70" s="13">
        <v>9.4002462875152158E-3</v>
      </c>
      <c r="X70" s="13">
        <v>3.1143885522715731E-3</v>
      </c>
      <c r="Y70" s="13">
        <v>1.259738563335163E-8</v>
      </c>
      <c r="Z70" s="347"/>
      <c r="AA70" s="13">
        <v>1.2008240555302438E-2</v>
      </c>
      <c r="AB70" s="13">
        <v>3.0121286510195271E-3</v>
      </c>
      <c r="AC70" s="13">
        <v>1.6421072882926357E-8</v>
      </c>
      <c r="AD70" s="347"/>
      <c r="AE70" s="13">
        <v>1.7268962813774911E-2</v>
      </c>
      <c r="AF70" s="13">
        <v>2.8292981944536486E-3</v>
      </c>
      <c r="AG70" s="13">
        <v>2.3841925863811123E-8</v>
      </c>
      <c r="AH70" s="347"/>
      <c r="AI70" s="13">
        <v>2.7396035416069532E-2</v>
      </c>
      <c r="AJ70" s="13">
        <v>2.515438323332266E-3</v>
      </c>
      <c r="AK70" s="13">
        <v>3.7685727611423884E-8</v>
      </c>
      <c r="AL70" s="347"/>
      <c r="AM70" s="13">
        <v>4.1586584257045145E-2</v>
      </c>
      <c r="AN70" s="13">
        <v>2.2772435017625429E-3</v>
      </c>
      <c r="AO70" s="13">
        <v>5.5635695037073145E-8</v>
      </c>
      <c r="BC70" s="7">
        <v>24.48</v>
      </c>
      <c r="BD70">
        <f>C80-AE80-AF80-AG80</f>
        <v>104.96191143846316</v>
      </c>
      <c r="BE70">
        <f t="shared" si="7"/>
        <v>38.941211827212726</v>
      </c>
      <c r="BF70">
        <f>AB82*(AA49+AB49+AC49-AE49-AF49-AG49)/0.7+BF69</f>
        <v>99.826108335482104</v>
      </c>
      <c r="BG70">
        <f t="shared" si="8"/>
        <v>37.541659070507286</v>
      </c>
    </row>
    <row r="71" spans="1:59">
      <c r="A71" s="344" t="s">
        <v>38</v>
      </c>
      <c r="B71" t="s">
        <v>17</v>
      </c>
      <c r="C71" s="79">
        <v>4.8211137902310127E-3</v>
      </c>
      <c r="D71" s="348">
        <v>7.7617568957789308E-11</v>
      </c>
      <c r="E71" s="13"/>
      <c r="F71" s="347"/>
      <c r="G71" s="13">
        <v>4.819656479828547E-3</v>
      </c>
      <c r="H71" s="13">
        <v>9.6827162853073518E-11</v>
      </c>
      <c r="I71" s="13"/>
      <c r="J71" s="347"/>
      <c r="K71" s="13">
        <v>4.8180939626789095E-3</v>
      </c>
      <c r="L71" s="13">
        <v>1.2555222004033024E-10</v>
      </c>
      <c r="M71" s="13"/>
      <c r="N71" s="347"/>
      <c r="O71" s="13">
        <v>4.8164022767013034E-3</v>
      </c>
      <c r="P71" s="13">
        <v>1.7213385644555645E-10</v>
      </c>
      <c r="Q71" s="13"/>
      <c r="R71" s="347"/>
      <c r="S71" s="13">
        <v>7.9336588419198953E-2</v>
      </c>
      <c r="T71" s="13">
        <v>4.6339792991376477E-3</v>
      </c>
      <c r="U71" s="13">
        <v>2.5414764173483879E-10</v>
      </c>
      <c r="V71" s="347"/>
      <c r="W71" s="13">
        <v>0.11054874157047891</v>
      </c>
      <c r="X71" s="13">
        <v>3.7030282714594818E-3</v>
      </c>
      <c r="Y71" s="13">
        <v>3.8984120187601698E-10</v>
      </c>
      <c r="Z71" s="347"/>
      <c r="AA71" s="13">
        <v>0.14810180178753357</v>
      </c>
      <c r="AB71" s="13">
        <v>2.1158873874668107E-3</v>
      </c>
      <c r="AC71" s="13">
        <v>5.7479342833910923E-10</v>
      </c>
      <c r="AD71" s="347"/>
      <c r="AE71" s="13">
        <v>0.17971006834624292</v>
      </c>
      <c r="AF71" s="13">
        <v>6.768261780748956E-4</v>
      </c>
      <c r="AG71" s="13">
        <v>7.408460248521407E-10</v>
      </c>
      <c r="AH71" s="347"/>
      <c r="AI71" s="13">
        <v>0.20966320264869304</v>
      </c>
      <c r="AJ71" s="13">
        <v>1.160245914677826E-4</v>
      </c>
      <c r="AK71" s="13">
        <v>8.8779203889320399E-10</v>
      </c>
      <c r="AL71" s="347"/>
      <c r="AM71" s="13">
        <v>0.28620092344547754</v>
      </c>
      <c r="AN71" s="13">
        <v>1.6977315618762401E-5</v>
      </c>
      <c r="AO71" s="13">
        <v>1.1814931582936015E-9</v>
      </c>
      <c r="BC71" s="7">
        <v>18.36</v>
      </c>
      <c r="BD71">
        <f>C80-AI80-AJ80-AK80</f>
        <v>130.16256663367616</v>
      </c>
      <c r="BE71">
        <f t="shared" si="7"/>
        <v>48.29073718067086</v>
      </c>
      <c r="BF71">
        <f>AF82*(AE49+AF49+AG49-AI49-AJ49-AK49)/0.7+BF70</f>
        <v>124.94730208455142</v>
      </c>
      <c r="BG71">
        <f t="shared" si="8"/>
        <v>46.989000120829573</v>
      </c>
    </row>
    <row r="72" spans="1:59">
      <c r="A72" s="344" t="s">
        <v>39</v>
      </c>
      <c r="B72" t="s">
        <v>17</v>
      </c>
      <c r="C72" s="79">
        <v>1.5051266758269054E-3</v>
      </c>
      <c r="D72" s="348">
        <v>2.3354583863484322E-12</v>
      </c>
      <c r="E72" s="13"/>
      <c r="F72" s="347"/>
      <c r="G72" s="13">
        <v>1.5046717131698463E-3</v>
      </c>
      <c r="H72" s="13">
        <v>3.242855714246743E-12</v>
      </c>
      <c r="I72" s="13"/>
      <c r="J72" s="347"/>
      <c r="K72" s="13">
        <v>1.5041839066016779E-3</v>
      </c>
      <c r="L72" s="13">
        <v>4.7695922032577528E-12</v>
      </c>
      <c r="M72" s="13"/>
      <c r="N72" s="347"/>
      <c r="O72" s="13">
        <v>1.5036557762620301E-3</v>
      </c>
      <c r="P72" s="13">
        <v>7.618744940798129E-12</v>
      </c>
      <c r="Q72" s="13"/>
      <c r="R72" s="347"/>
      <c r="S72" s="13">
        <v>0.11952639162983195</v>
      </c>
      <c r="T72" s="13">
        <v>1.2169182011907472E-3</v>
      </c>
      <c r="U72" s="13">
        <v>1.1630230550243157E-11</v>
      </c>
      <c r="V72" s="347"/>
      <c r="W72" s="13">
        <v>0.10219510221402157</v>
      </c>
      <c r="X72" s="13">
        <v>4.5544755906850323E-4</v>
      </c>
      <c r="Y72" s="13">
        <v>1.139833334468404E-11</v>
      </c>
      <c r="Z72" s="347"/>
      <c r="AA72" s="13">
        <v>7.9883491645077839E-2</v>
      </c>
      <c r="AB72" s="13">
        <v>1.0162667355234928E-4</v>
      </c>
      <c r="AC72" s="13">
        <v>1.0201770233810261E-11</v>
      </c>
      <c r="AD72" s="347"/>
      <c r="AE72" s="13">
        <v>7.1979911424782106E-2</v>
      </c>
      <c r="AF72" s="13">
        <v>1.2912966868704307E-5</v>
      </c>
      <c r="AG72" s="13">
        <v>9.8696256682436923E-12</v>
      </c>
      <c r="AH72" s="347"/>
      <c r="AI72" s="13">
        <v>7.7738807325100009E-2</v>
      </c>
      <c r="AJ72" s="13">
        <v>8.3147218046805928E-7</v>
      </c>
      <c r="AK72" s="13">
        <v>1.0819643758170658E-11</v>
      </c>
      <c r="AL72" s="347"/>
      <c r="AM72" s="13">
        <v>0.10521493761690695</v>
      </c>
      <c r="AN72" s="13">
        <v>3.8590638850030499E-8</v>
      </c>
      <c r="AO72" s="13">
        <v>1.3707462305946227E-11</v>
      </c>
      <c r="BC72" s="7">
        <v>12.24</v>
      </c>
      <c r="BD72">
        <f>C80-AM80-AN80-AO80</f>
        <v>155.76686822035145</v>
      </c>
      <c r="BE72">
        <f t="shared" si="7"/>
        <v>57.790016663201214</v>
      </c>
      <c r="BF72">
        <f>AJ82*(AI49+AJ49+AK49-AM49-AN49-AO49)/0.7+BF71</f>
        <v>150.78661971516951</v>
      </c>
      <c r="BG72">
        <f t="shared" si="8"/>
        <v>56.706406411408352</v>
      </c>
    </row>
    <row r="73" spans="1:59">
      <c r="A73" s="344" t="s">
        <v>251</v>
      </c>
      <c r="B73" t="s">
        <v>17</v>
      </c>
      <c r="C73" s="13">
        <v>3.6505520660023096E-8</v>
      </c>
      <c r="D73" s="13">
        <v>2.9224558347158116E-2</v>
      </c>
      <c r="E73" s="13"/>
      <c r="F73" s="347"/>
      <c r="G73" s="13">
        <v>4.1319429184826932E-8</v>
      </c>
      <c r="H73" s="13">
        <v>2.9246107631025826E-2</v>
      </c>
      <c r="I73" s="13"/>
      <c r="J73" s="347"/>
      <c r="K73" s="13">
        <v>4.7502701144742525E-8</v>
      </c>
      <c r="L73" s="13">
        <v>2.9268301175116467E-2</v>
      </c>
      <c r="M73" s="13"/>
      <c r="N73" s="347"/>
      <c r="O73" s="13">
        <v>5.5677012440831534E-8</v>
      </c>
      <c r="P73" s="13">
        <v>2.92911851911585E-2</v>
      </c>
      <c r="Q73" s="13"/>
      <c r="R73" s="347"/>
      <c r="S73" s="13">
        <v>2.2616961429775752E-6</v>
      </c>
      <c r="T73" s="13">
        <v>6.5320850911768517E-8</v>
      </c>
      <c r="U73" s="13">
        <v>2.9312925338513294E-2</v>
      </c>
      <c r="V73" s="347"/>
      <c r="W73" s="13">
        <v>2.0925424873263435E-6</v>
      </c>
      <c r="X73" s="13">
        <v>7.5545967800686421E-8</v>
      </c>
      <c r="Y73" s="13">
        <v>2.9332614988464366E-2</v>
      </c>
      <c r="Z73" s="347"/>
      <c r="AA73" s="13">
        <v>1.8076295757843759E-6</v>
      </c>
      <c r="AB73" s="13">
        <v>9.2509401160226629E-8</v>
      </c>
      <c r="AC73" s="13">
        <v>2.9348690638207102E-2</v>
      </c>
      <c r="AD73" s="347"/>
      <c r="AE73" s="13">
        <v>1.588007808207255E-6</v>
      </c>
      <c r="AF73" s="13">
        <v>1.2325890902361172E-7</v>
      </c>
      <c r="AG73" s="13">
        <v>2.9383918677638621E-2</v>
      </c>
      <c r="AH73" s="347"/>
      <c r="AI73" s="13">
        <v>1.3447769174988874E-6</v>
      </c>
      <c r="AJ73" s="13">
        <v>1.7907894056220616E-7</v>
      </c>
      <c r="AK73" s="13">
        <v>2.9470272830804636E-2</v>
      </c>
      <c r="AL73" s="347"/>
      <c r="AM73" s="13">
        <v>1.536443767481872E-6</v>
      </c>
      <c r="AN73" s="13">
        <v>3.0745282435208448E-7</v>
      </c>
      <c r="AO73" s="13">
        <v>2.9712709915400922E-2</v>
      </c>
      <c r="BC73" s="7">
        <v>6.12</v>
      </c>
    </row>
    <row r="74" spans="1:59">
      <c r="A74" s="344" t="s">
        <v>41</v>
      </c>
      <c r="B74" t="s">
        <v>17</v>
      </c>
      <c r="C74" s="13"/>
      <c r="D74" s="13"/>
      <c r="E74" s="13"/>
      <c r="F74" s="347"/>
      <c r="G74" s="13"/>
      <c r="H74" s="13"/>
      <c r="I74" s="13"/>
      <c r="J74" s="347"/>
      <c r="K74" s="13"/>
      <c r="L74" s="13"/>
      <c r="M74" s="13"/>
      <c r="N74" s="347"/>
      <c r="O74" s="13"/>
      <c r="P74" s="13"/>
      <c r="Q74" s="13"/>
      <c r="R74" s="347"/>
      <c r="S74" s="13"/>
      <c r="T74" s="13"/>
      <c r="U74" s="13"/>
      <c r="V74" s="347"/>
      <c r="W74" s="13"/>
      <c r="X74" s="13"/>
      <c r="Y74" s="13"/>
      <c r="Z74" s="347"/>
      <c r="AA74" s="13"/>
      <c r="AB74" s="13"/>
      <c r="AC74" s="13"/>
      <c r="AD74" s="347"/>
      <c r="AE74" s="13"/>
      <c r="AF74" s="13"/>
      <c r="AG74" s="13"/>
      <c r="AH74" s="347"/>
      <c r="AI74" s="13"/>
      <c r="AJ74" s="13"/>
      <c r="AK74" s="13"/>
    </row>
    <row r="75" spans="1:59">
      <c r="A75" s="344" t="s">
        <v>42</v>
      </c>
      <c r="B75" t="s">
        <v>17</v>
      </c>
      <c r="C75" s="13"/>
      <c r="D75" s="13"/>
      <c r="E75" s="13"/>
      <c r="F75" s="347"/>
      <c r="G75" s="13"/>
      <c r="H75" s="13"/>
      <c r="I75" s="13"/>
      <c r="J75" s="347"/>
      <c r="K75" s="13"/>
      <c r="L75" s="13"/>
      <c r="M75" s="13"/>
      <c r="N75" s="347"/>
      <c r="O75" s="13"/>
      <c r="P75" s="13"/>
      <c r="Q75" s="13"/>
      <c r="R75" s="347"/>
      <c r="S75" s="13"/>
      <c r="T75" s="13"/>
      <c r="U75" s="13"/>
      <c r="V75" s="347"/>
      <c r="W75" s="13"/>
      <c r="X75" s="13"/>
      <c r="Y75" s="13"/>
      <c r="Z75" s="347"/>
      <c r="AA75" s="13"/>
      <c r="AB75" s="13"/>
      <c r="AC75" s="13"/>
      <c r="AD75" s="347"/>
      <c r="AE75" s="13"/>
      <c r="AF75" s="13"/>
      <c r="AG75" s="13"/>
      <c r="AH75" s="347"/>
      <c r="AI75" s="13"/>
      <c r="AJ75" s="13"/>
      <c r="AK75" s="13"/>
    </row>
    <row r="76" spans="1:59">
      <c r="A76" s="344" t="s">
        <v>43</v>
      </c>
      <c r="B76" t="s">
        <v>17</v>
      </c>
      <c r="C76" s="13"/>
      <c r="D76" s="13"/>
      <c r="E76" s="13"/>
      <c r="F76" s="347"/>
      <c r="G76" s="13"/>
      <c r="H76" s="13"/>
      <c r="I76" s="13"/>
      <c r="J76" s="347"/>
      <c r="K76" s="13"/>
      <c r="L76" s="13"/>
      <c r="M76" s="13"/>
      <c r="N76" s="347"/>
      <c r="O76" s="13"/>
      <c r="P76" s="13"/>
      <c r="Q76" s="13"/>
      <c r="R76" s="347"/>
      <c r="S76" s="13"/>
      <c r="T76" s="13"/>
      <c r="U76" s="13"/>
      <c r="V76" s="347"/>
      <c r="W76" s="13"/>
      <c r="X76" s="13"/>
      <c r="Y76" s="13"/>
      <c r="Z76" s="347"/>
      <c r="AA76" s="13"/>
      <c r="AB76" s="13"/>
      <c r="AC76" s="13"/>
      <c r="AD76" s="347"/>
      <c r="AE76" s="13"/>
      <c r="AF76" s="13"/>
      <c r="AG76" s="13"/>
      <c r="AH76" s="347"/>
      <c r="AI76" s="13"/>
      <c r="AJ76" s="13"/>
      <c r="AK76" s="13"/>
    </row>
    <row r="77" spans="1:59">
      <c r="A77" s="344" t="s">
        <v>44</v>
      </c>
      <c r="B77" t="s">
        <v>17</v>
      </c>
      <c r="C77" s="13"/>
      <c r="D77" s="13"/>
      <c r="E77" s="13"/>
      <c r="F77" s="347"/>
      <c r="G77" s="13"/>
      <c r="H77" s="13"/>
      <c r="I77" s="13"/>
      <c r="J77" s="347"/>
      <c r="K77" s="13"/>
      <c r="L77" s="13"/>
      <c r="M77" s="13"/>
      <c r="N77" s="347"/>
      <c r="O77" s="13"/>
      <c r="P77" s="13"/>
      <c r="Q77" s="13"/>
      <c r="R77" s="347"/>
      <c r="S77" s="13"/>
      <c r="T77" s="13"/>
      <c r="U77" s="13"/>
      <c r="V77" s="347"/>
      <c r="W77" s="13"/>
      <c r="X77" s="13"/>
      <c r="Y77" s="13"/>
      <c r="Z77" s="347"/>
      <c r="AA77" s="13"/>
      <c r="AB77" s="13"/>
      <c r="AC77" s="13"/>
      <c r="AD77" s="347"/>
      <c r="AE77" s="13"/>
      <c r="AF77" s="13"/>
      <c r="AG77" s="13"/>
      <c r="AH77" s="347"/>
      <c r="AI77" s="13"/>
      <c r="AJ77" s="13"/>
      <c r="AK77" s="13"/>
    </row>
    <row r="78" spans="1:59">
      <c r="A78" s="344" t="s">
        <v>45</v>
      </c>
      <c r="B78" t="s">
        <v>17</v>
      </c>
      <c r="F78" s="345"/>
      <c r="J78" s="345"/>
      <c r="N78" s="345"/>
      <c r="R78" s="345"/>
      <c r="V78" s="345"/>
      <c r="Z78" s="345"/>
      <c r="AD78" s="345"/>
      <c r="AH78" s="345"/>
    </row>
    <row r="79" spans="1:59">
      <c r="A79" s="344" t="s">
        <v>225</v>
      </c>
      <c r="C79" s="13">
        <f>SUM(C65:C72)*C49/$P$44</f>
        <v>4.3099919178767779E-2</v>
      </c>
      <c r="D79" s="13">
        <f>SUM(D65:D72)*D49/$P$44</f>
        <v>8.0821232219991464E-8</v>
      </c>
      <c r="F79" s="345"/>
      <c r="G79" s="13">
        <f>SUM(G65:G72)*G49/$P$44</f>
        <v>4.30999157612642E-2</v>
      </c>
      <c r="H79" s="13">
        <f>SUM(H65:H72)*H49/$P$44</f>
        <v>8.4238735803871942E-8</v>
      </c>
      <c r="I79" s="13"/>
      <c r="J79" s="345"/>
      <c r="K79" s="13">
        <f>SUM(K65:K72)*K49/$P$44</f>
        <v>4.1316478460201089E-2</v>
      </c>
      <c r="L79" s="13">
        <f>SUM(L65:L72)*L49/$P$44</f>
        <v>8.8456051545341445E-8</v>
      </c>
      <c r="M79" s="13"/>
      <c r="N79" s="345"/>
      <c r="O79" s="13">
        <f>SUM(O65:O72)*O49/$P$44</f>
        <v>3.9267723201448251E-2</v>
      </c>
      <c r="P79" s="13">
        <f>SUM(P65:P72)*P49/$P$44</f>
        <v>9.3927349735616682E-8</v>
      </c>
      <c r="Q79" s="13"/>
      <c r="R79" s="345"/>
      <c r="S79" s="13">
        <f>SUM(S65:S72)*S49/$P$44</f>
        <v>5.7626184989761008E-4</v>
      </c>
      <c r="T79" s="13">
        <f>SUM(T65:T72)*T49/$P$44</f>
        <v>3.6295602822671323E-2</v>
      </c>
      <c r="U79" s="13">
        <f>SUM(U65:U72)*U49/$P$44</f>
        <v>1.0209374755108393E-7</v>
      </c>
      <c r="V79" s="345"/>
      <c r="W79" s="13">
        <f>SUM(W65:W72)*W49/$P$44</f>
        <v>2.5206018164823036E-3</v>
      </c>
      <c r="X79" s="13">
        <f>SUM(X65:X72)*X49/$P$44</f>
        <v>3.1475704101056927E-2</v>
      </c>
      <c r="Y79" s="13">
        <f>SUM(Y65:Y72)*Y49/$P$44</f>
        <v>1.1619771705699861E-7</v>
      </c>
      <c r="Z79" s="345"/>
      <c r="AA79" s="13">
        <f>SUM(AA65:AA72)*AA49/$P$44</f>
        <v>4.640905207504595E-3</v>
      </c>
      <c r="AB79" s="13">
        <f>SUM(AB65:AB72)*AB49/$P$44</f>
        <v>2.5847057160662136E-2</v>
      </c>
      <c r="AC79" s="13">
        <f>SUM(AC65:AC72)*AC49/$P$44</f>
        <v>1.4041977943251096E-7</v>
      </c>
      <c r="AD79" s="345"/>
      <c r="AE79" s="13">
        <f>SUM(AE65:AE72)*AE49/$P$44</f>
        <v>6.3802024067795152E-3</v>
      </c>
      <c r="AF79" s="13">
        <f>SUM(AF65:AF72)*AF49/$P$44</f>
        <v>1.9931463372042057E-2</v>
      </c>
      <c r="AG79" s="13">
        <f>SUM(AG65:AG72)*AG49/$P$44</f>
        <v>1.841130591327568E-7</v>
      </c>
      <c r="AH79" s="345"/>
      <c r="AI79" s="13">
        <f>SUM(AI65:AI72)*AI49/$P$44</f>
        <v>7.4948063242781813E-3</v>
      </c>
      <c r="AJ79" s="13">
        <f>SUM(AJ65:AJ72)*AJ49/$P$44</f>
        <v>1.3963364496809344E-2</v>
      </c>
      <c r="AK79" s="13">
        <f>SUM(AK65:AK72)*AK49/$P$44</f>
        <v>2.5738341054215014E-7</v>
      </c>
      <c r="AM79" s="13">
        <f>SUM(AM65:AM72)*AM49/$P$44</f>
        <v>7.5971246039424995E-3</v>
      </c>
      <c r="AN79" s="13">
        <f>SUM(AN65:AN72)*AN49/$P$44</f>
        <v>8.7110234250856698E-3</v>
      </c>
      <c r="AO79" s="13">
        <f>SUM(AO65:AO72)*AO49/$P$44</f>
        <v>3.255873446443459E-7</v>
      </c>
    </row>
    <row r="80" spans="1:59">
      <c r="A80" s="344" t="s">
        <v>226</v>
      </c>
      <c r="C80">
        <f>(C65*$AR$10+C66*$AR$11+$AR$12*C67+C68*$AR$13+$AR$14*C69+C70*$AR$15+$AR$16*C71+C72*$AR$17)/0.02404/(1-C79)*C49/$P$44</f>
        <v>269.53940700200332</v>
      </c>
      <c r="D80">
        <f>(D65*$AR$10+D66*$AR$11+$AR$12*D67+D68*$AR$13+$AR$14*D69+D70*$AR$15+$AR$16*D71+D72*$AR$17)/0.02404/(1-D79)*D49/$P$44</f>
        <v>3.3668508690913791E-4</v>
      </c>
      <c r="F80" s="345"/>
      <c r="G80">
        <f>(G65*$AR$10+G66*$AR$11+$AR$12*G67+G68*$AR$13+$AR$14*G69+G70*$AR$15+$AR$16*G71+G72*$AR$17)/0.02404/(1-G79)*G49/$P$44</f>
        <v>269.53938966695347</v>
      </c>
      <c r="H80">
        <f>(H65*$AR$10+H66*$AR$11+$AR$12*H67+H68*$AR$13+$AR$14*H69+H70*$AR$15+$AR$16*H71+H72*$AR$17)/0.02404/(1-H79)*H49/$P$44</f>
        <v>3.5235184818237599E-4</v>
      </c>
      <c r="J80" s="345"/>
      <c r="K80">
        <f>(K65*$AR$10+K66*$AR$11+$AR$12*K67+K68*$AR$13+$AR$14*K69+K70*$AR$15+$AR$16*K71+K72*$AR$17)/0.02404/(1-K79)*K49/$P$44</f>
        <v>257.90541332792151</v>
      </c>
      <c r="L80">
        <f>(L65*$AR$10+L66*$AR$11+$AR$12*L67+L68*$AR$13+$AR$14*L69+L70*$AR$15+$AR$16*L71+L72*$AR$17)/0.02404/(1-L79)*L49/$P$44</f>
        <v>3.7177577813575448E-4</v>
      </c>
      <c r="N80" s="345"/>
      <c r="O80">
        <f>(O65*$AR$10+O66*$AR$11+$AR$12*O67+O68*$AR$13+$AR$14*O69+O70*$AR$15+$AR$16*O71+O72*$AR$17)/0.02404/(1-O79)*O49/$P$44</f>
        <v>244.59398654108227</v>
      </c>
      <c r="P80">
        <f>(P65*$AR$10+P66*$AR$11+$AR$12*P67+P68*$AR$13+$AR$14*P69+P70*$AR$15+$AR$16*P71+P72*$AR$17)/0.02404/(1-P79)*P49/$P$44</f>
        <v>3.9710413508481542E-4</v>
      </c>
      <c r="R80" s="345"/>
      <c r="S80">
        <f>(S65*$AR$10+S66*$AR$11+$AR$12*S67+S68*$AR$13+$AR$14*S69+S70*$AR$15+$AR$16*S71+S72*$AR$17)/0.02404/(1-S79)*S49/$P$44</f>
        <v>6.7750384870121119</v>
      </c>
      <c r="T80">
        <f>(T65*$AR$10+T66*$AR$11+$AR$12*T67+T68*$AR$13+$AR$14*T69+T70*$AR$15+$AR$16*T71+T72*$AR$17)/0.02404/(1-T79)*T49/$P$44</f>
        <v>221.93600976494542</v>
      </c>
      <c r="U80">
        <f>(U65*$AR$10+U66*$AR$11+$AR$12*U67+U68*$AR$13+$AR$14*U69+U70*$AR$15+$AR$16*U71+U72*$AR$17)/0.02404/(1-U79)*U49/$P$44</f>
        <v>4.3497490200341242E-4</v>
      </c>
      <c r="V80" s="345"/>
      <c r="W80">
        <f>(W65*$AR$10+W66*$AR$11+$AR$12*W67+W68*$AR$13+$AR$14*W69+W70*$AR$15+$AR$16*W71+W72*$AR$17)/0.02404/(1-W79)*W49/$P$44</f>
        <v>28.102412846823512</v>
      </c>
      <c r="X80">
        <f>(X65*$AR$10+X66*$AR$11+$AR$12*X67+X68*$AR$13+$AR$14*X69+X70*$AR$15+$AR$16*X71+X72*$AR$17)/0.02404/(1-X79)*X49/$P$44</f>
        <v>181.38455668158093</v>
      </c>
      <c r="Y80">
        <f>(Y65*$AR$10+Y66*$AR$11+$AR$12*Y67+Y68*$AR$13+$AR$14*Y69+Y70*$AR$15+$AR$16*Y71+Y72*$AR$17)/0.02404/(1-Y79)*Y49/$P$44</f>
        <v>5.0036843672925948E-4</v>
      </c>
      <c r="Z80" s="345"/>
      <c r="AA80">
        <f>(AA65*$AR$10+AA66*$AR$11+$AR$12*AA67+AA68*$AR$13+$AR$14*AA69+AA70*$AR$15+$AR$16*AA71+AA72*$AR$17)/0.02404/(1-AA79)*AA49/$P$44</f>
        <v>48.33530277526075</v>
      </c>
      <c r="AB80">
        <f>(AB65*$AR$10+AB66*$AR$11+$AR$12*AB67+AB68*$AR$13+$AR$14*AB69+AB70*$AR$15+$AR$16*AB71+AB72*$AR$17)/0.02404/(1-AB79)*AB49/$P$44</f>
        <v>139.62371063650767</v>
      </c>
      <c r="AC80">
        <f>(AC65*$AR$10+AC66*$AR$11+$AR$12*AC67+AC68*$AR$13+$AR$14*AC69+AC70*$AR$15+$AR$16*AC71+AC72*$AR$17)/0.02404/(1-AC79)*AC49/$P$44</f>
        <v>6.1347799959720999E-4</v>
      </c>
      <c r="AD80" s="345"/>
      <c r="AE80">
        <f>(AE65*$AR$10+AE66*$AR$11+$AR$12*AE67+AE68*$AR$13+$AR$14*AE69+AE70*$AR$15+$AR$16*AE71+AE72*$AR$17)/0.02404/(1-AE79)*AE49/$P$44</f>
        <v>62.91130696286541</v>
      </c>
      <c r="AF80">
        <f>(AF65*$AR$10+AF66*$AR$11+$AR$12*AF67+AF68*$AR$13+$AR$14*AF69+AF70*$AR$15+$AR$16*AF71+AF72*$AR$17)/0.02404/(1-AF79)*AF49/$P$44</f>
        <v>101.66536851867296</v>
      </c>
      <c r="AG80">
        <f>(AG65*$AR$10+AG66*$AR$11+$AR$12*AG67+AG68*$AR$13+$AR$14*AG69+AG70*$AR$15+$AR$16*AG71+AG72*$AR$17)/0.02404/(1-AG79)*AG49/$P$44</f>
        <v>8.2008200177804025E-4</v>
      </c>
      <c r="AH80" s="345"/>
      <c r="AI80">
        <f>(AI65*$AR$10+AI66*$AR$11+$AR$12*AI67+AI68*$AR$13+$AR$14*AI69+AI70*$AR$15+$AR$16*AI71+AI72*$AR$17)/0.02404/(1-AI79)*AI49/$P$44</f>
        <v>70.560817178643688</v>
      </c>
      <c r="AJ80">
        <f>(AJ65*$AR$10+AJ66*$AR$11+$AR$12*AJ67+AJ68*$AR$13+$AR$14*AJ69+AJ70*$AR$15+$AR$16*AJ71+AJ72*$AR$17)/0.02404/(1-AJ79)*AJ49/$P$44</f>
        <v>68.814848773240513</v>
      </c>
      <c r="AK80">
        <f>(AK65*$AR$10+AK66*$AR$11+$AR$12*AK67+AK68*$AR$13+$AR$14*AK69+AK70*$AR$15+$AR$16*AK71+AK72*$AR$17)/0.02404/(1-AK79)*AK49/$P$44</f>
        <v>1.1744164429864092E-3</v>
      </c>
      <c r="AM80">
        <f>(AM65*$AR$10+AM66*$AR$11+$AR$12*AM67+AM68*$AR$13+$AR$14*AM69+AM70*$AR$15+$AR$16*AM71+AM72*$AR$17)/0.02404/(1-AM79)*AM49/$P$44</f>
        <v>71.644201569137522</v>
      </c>
      <c r="AN80">
        <f>(AN65*$AR$10+AN66*$AR$11+$AR$12*AN67+AN68*$AR$13+$AR$14*AN69+AN70*$AR$15+$AR$16*AN71+AN72*$AR$17)/0.02404/(1-AN79)*AN49/$P$44</f>
        <v>42.126804551048174</v>
      </c>
      <c r="AO80">
        <f>(AO65*$AR$10+AO66*$AR$11+$AR$12*AO67+AO68*$AR$13+$AR$14*AO69+AO70*$AR$15+$AR$16*AO71+AO72*$AR$17)/0.02404/(1-AO79)*AO49/$P$44</f>
        <v>1.5326614661649973E-3</v>
      </c>
    </row>
    <row r="81" spans="1:62">
      <c r="A81" s="344"/>
      <c r="C81" s="13">
        <f>SUM(C65:C72)</f>
        <v>4.2543834026253217E-2</v>
      </c>
      <c r="F81" s="345"/>
      <c r="G81" s="13">
        <f>SUM(G65:G72)</f>
        <v>4.2530970713038956E-2</v>
      </c>
      <c r="J81" s="345"/>
      <c r="K81" s="13">
        <f>SUM(K65:K72)</f>
        <v>4.2517178077015702E-2</v>
      </c>
      <c r="N81" s="345"/>
      <c r="O81" s="13">
        <f>SUM(O65:O72)</f>
        <v>4.2502244088522004E-2</v>
      </c>
      <c r="R81" s="345"/>
      <c r="S81" s="13"/>
      <c r="T81" s="13">
        <f>SUM(T65:T72)</f>
        <v>4.1924553567378141E-2</v>
      </c>
      <c r="U81" s="13"/>
      <c r="V81" s="345"/>
      <c r="X81" s="13">
        <f>SUM(X65:X72)</f>
        <v>3.9787074690328689E-2</v>
      </c>
      <c r="Z81" s="345"/>
      <c r="AB81" s="13">
        <f>SUM(AB65:AB72)</f>
        <v>3.7047077147060542E-2</v>
      </c>
      <c r="AD81" s="345"/>
      <c r="AF81" s="13">
        <f>SUM(AF65:AF72)</f>
        <v>3.4175864736524113E-2</v>
      </c>
      <c r="AH81" s="345"/>
      <c r="AJ81" s="13">
        <f>SUM(AJ65:AJ72)</f>
        <v>3.1482449447248741E-2</v>
      </c>
      <c r="AN81" s="13">
        <f>SUM(AN65:AN72)</f>
        <v>3.0327842711529926E-2</v>
      </c>
      <c r="BH81" t="s">
        <v>257</v>
      </c>
    </row>
    <row r="82" spans="1:62">
      <c r="A82" s="344"/>
      <c r="C82">
        <f>(C65*$AR$10+C66*$AR$11+$AR$12*C67+C68*$AR$13+$AR$14*C69+C70*$AR$15+$AR$16*C71+C72*$AR$17)/0.02404/(1-C81)</f>
        <v>265.9072198989146</v>
      </c>
      <c r="F82" s="345"/>
      <c r="G82">
        <f>(G65*$AR$10+G66*$AR$11+$AR$12*G67+G68*$AR$13+$AR$14*G69+G70*$AR$15+$AR$16*G71+G72*$AR$17)/0.02404/(1-G81)</f>
        <v>265.82325532111935</v>
      </c>
      <c r="J82" s="345"/>
      <c r="K82">
        <f>(K65*$AR$10+K66*$AR$11+$AR$12*K67+K68*$AR$13+$AR$14*K69+K70*$AR$15+$AR$16*K71+K72*$AR$17)/0.02404/(1-K81)</f>
        <v>265.73322810502964</v>
      </c>
      <c r="N82" s="345"/>
      <c r="O82">
        <f>(O65*$AR$10+O66*$AR$11+$AR$12*O67+O68*$AR$13+$AR$14*O69+O70*$AR$15+$AR$16*O71+O72*$AR$17)/0.02404/(1-O81)</f>
        <v>265.63575559685984</v>
      </c>
      <c r="R82" s="345"/>
      <c r="T82">
        <f>(T65*$AR$10+T66*$AR$11+$AR$12*T67+T68*$AR$13+$AR$14*T69+T70*$AR$15+$AR$16*T71+T72*$AR$17)/0.02404/(1-T81)</f>
        <v>257.86140029551552</v>
      </c>
      <c r="V82" s="345"/>
      <c r="X82">
        <f>(X65*$AR$10+X66*$AR$11+$AR$12*X67+X68*$AR$13+$AR$14*X69+X70*$AR$15+$AR$16*X71+X72*$AR$17)/0.02404/(1-X81)</f>
        <v>231.26495966591568</v>
      </c>
      <c r="Z82" s="345"/>
      <c r="AB82">
        <f>(AB65*$AR$10+AB66*$AR$11+$AR$12*AB67+AB68*$AR$13+$AR$14*AB69+AB70*$AR$15+$AR$16*AB71+AB72*$AR$17)/0.02404/(1-AB81)</f>
        <v>202.45295178051629</v>
      </c>
      <c r="AD82" s="345"/>
      <c r="AF82">
        <f>(AF65*$AR$10+AF66*$AR$11+$AR$12*AF67+AF68*$AR$13+$AR$14*AF69+AF70*$AR$15+$AR$16*AF71+AF72*$AR$17)/0.02404/(1-AF81)</f>
        <v>176.89345267899159</v>
      </c>
      <c r="AH82" s="345"/>
      <c r="AJ82">
        <f>(AJ65*$AR$10+AJ66*$AR$11+$AR$12*AJ67+AJ68*$AR$13+$AR$14*AJ69+AJ70*$AR$15+$AR$16*AJ71+AJ72*$AR$17)/0.02404/(1-AJ81)</f>
        <v>157.95964743709911</v>
      </c>
      <c r="AN82">
        <f>(AN65*$AR$10+AN66*$AR$11+$AR$12*AN67+AN68*$AR$13+$AR$14*AN69+AN70*$AR$15+$AR$16*AN71+AN72*$AR$17)/0.02404/(1-AN81)</f>
        <v>149.93609865465191</v>
      </c>
      <c r="BH82" t="s">
        <v>258</v>
      </c>
      <c r="BI82" t="s">
        <v>254</v>
      </c>
    </row>
    <row r="83" spans="1:62">
      <c r="A83" s="480" t="s">
        <v>255</v>
      </c>
      <c r="B83" s="480"/>
      <c r="C83" s="480"/>
      <c r="D83" s="480"/>
      <c r="E83" s="480"/>
      <c r="F83" s="480"/>
      <c r="G83" s="480"/>
      <c r="H83" s="480"/>
      <c r="I83" s="480"/>
      <c r="J83" s="480"/>
      <c r="K83" s="480"/>
      <c r="L83" s="480"/>
      <c r="M83" s="480"/>
      <c r="N83" s="480"/>
      <c r="O83" s="480"/>
      <c r="BG83" s="7">
        <v>61.2</v>
      </c>
      <c r="BH83" s="191">
        <f>(1.4326/C87/10*47482+10^((-1713.3/(273.15+110))+6.694))*0.016*(10^(-7)*110^2-1.1*10^(-3)*110*1.058328-0.079*(1.058328)^2+0.73*10^(-3)*110+0.156*1.058328+0.927)</f>
        <v>4.2573412524441947</v>
      </c>
      <c r="BI83" s="79">
        <v>1.4836374151585084E-2</v>
      </c>
      <c r="BJ83">
        <f t="shared" ref="BJ83:BJ92" si="9">BI83*18/0.02404</f>
        <v>11.108766003682677</v>
      </c>
    </row>
    <row r="84" spans="1:62">
      <c r="A84" s="480"/>
      <c r="B84" s="480"/>
      <c r="C84" s="480"/>
      <c r="D84" s="480"/>
      <c r="E84" s="480"/>
      <c r="F84" s="480"/>
      <c r="G84" s="480"/>
      <c r="H84" s="480"/>
      <c r="I84" s="480"/>
      <c r="J84" s="480"/>
      <c r="K84" s="480"/>
      <c r="L84" s="480"/>
      <c r="M84" s="480"/>
      <c r="N84" s="480"/>
      <c r="O84" s="480"/>
      <c r="P84">
        <v>0.28999999999999998</v>
      </c>
      <c r="BG84" s="7">
        <v>55.08</v>
      </c>
      <c r="BH84" s="191">
        <f>(1.4326/G87/10*47482+10^((-1713.3/(273.15+110))+6.694))*0.016*(10^(-7)*110^2-1.1*10^(-3)*110*G92/29-0.079*(G92/29)^2+0.73*10^(-3)*110+0.156*G92/29+0.927)</f>
        <v>4.4474871358849724</v>
      </c>
      <c r="BI84" s="13">
        <v>1.5102728212191191E-2</v>
      </c>
      <c r="BJ84">
        <f t="shared" si="9"/>
        <v>11.30819916054249</v>
      </c>
    </row>
    <row r="85" spans="1:62" ht="16.5" thickBot="1">
      <c r="A85" s="344" t="s">
        <v>214</v>
      </c>
      <c r="B85" s="344">
        <v>29.925755484020669</v>
      </c>
      <c r="F85" s="345"/>
      <c r="J85" s="345"/>
      <c r="N85" s="345"/>
      <c r="R85" s="345"/>
      <c r="V85" s="345"/>
      <c r="Z85" s="345"/>
      <c r="AD85" s="345"/>
      <c r="AH85" s="345"/>
      <c r="AM85" s="396"/>
      <c r="AN85" s="397"/>
      <c r="AO85" s="397"/>
      <c r="AP85" s="398"/>
      <c r="AS85" t="s">
        <v>237</v>
      </c>
      <c r="AW85" t="s">
        <v>239</v>
      </c>
      <c r="AX85" t="s">
        <v>240</v>
      </c>
      <c r="BA85" t="s">
        <v>241</v>
      </c>
      <c r="BG85" s="7">
        <v>48.96</v>
      </c>
      <c r="BH85" s="191">
        <f>(1.4326/K87/10*47482+10^((-1713.3/(273.15+110))+6.694))*0.016*(10^(-7)*110^2-1.1*10^(-3)*110*K92/29-0.079*(K92/29)^2+0.73*10^(-3)*110+0.156*K92/29+0.927)</f>
        <v>4.6839776540589826</v>
      </c>
      <c r="BI85" s="13">
        <v>1.5386363343160753E-2</v>
      </c>
      <c r="BJ85">
        <f t="shared" si="9"/>
        <v>11.520571554779268</v>
      </c>
    </row>
    <row r="86" spans="1:62" ht="16.5" thickTop="1" thickBot="1">
      <c r="A86" s="344" t="s">
        <v>204</v>
      </c>
      <c r="B86" s="344"/>
      <c r="C86" s="476" t="s">
        <v>209</v>
      </c>
      <c r="D86" s="476"/>
      <c r="E86" s="476"/>
      <c r="F86" s="345"/>
      <c r="G86" s="476" t="s">
        <v>215</v>
      </c>
      <c r="H86" s="476"/>
      <c r="I86" s="476"/>
      <c r="J86" s="345"/>
      <c r="K86" s="476" t="s">
        <v>216</v>
      </c>
      <c r="L86" s="476"/>
      <c r="M86" s="476"/>
      <c r="N86" s="345"/>
      <c r="O86" s="476" t="s">
        <v>217</v>
      </c>
      <c r="P86" s="476"/>
      <c r="Q86" s="476"/>
      <c r="R86" s="345"/>
      <c r="S86" s="476" t="s">
        <v>218</v>
      </c>
      <c r="T86" s="476"/>
      <c r="U86" s="476"/>
      <c r="V86" s="345"/>
      <c r="W86" s="476" t="s">
        <v>219</v>
      </c>
      <c r="X86" s="476"/>
      <c r="Y86" s="476"/>
      <c r="Z86" s="345"/>
      <c r="AA86" s="476" t="s">
        <v>220</v>
      </c>
      <c r="AB86" s="476"/>
      <c r="AC86" s="476"/>
      <c r="AD86" s="345"/>
      <c r="AE86" s="476" t="s">
        <v>221</v>
      </c>
      <c r="AF86" s="476"/>
      <c r="AG86" s="476"/>
      <c r="AH86" s="345"/>
      <c r="AI86" s="476" t="s">
        <v>222</v>
      </c>
      <c r="AJ86" s="476"/>
      <c r="AK86" s="476"/>
      <c r="AL86" s="345"/>
      <c r="AM86" s="476" t="s">
        <v>223</v>
      </c>
      <c r="AN86" s="476"/>
      <c r="AO86" s="476"/>
      <c r="AP86" s="127"/>
      <c r="AR86" t="s">
        <v>238</v>
      </c>
      <c r="AS86">
        <v>39.01</v>
      </c>
      <c r="AV86" s="7">
        <v>61.2</v>
      </c>
      <c r="AW86">
        <f>D121</f>
        <v>2.0890380914748933E-3</v>
      </c>
      <c r="AX86">
        <f>C121</f>
        <v>269.53745712778397</v>
      </c>
      <c r="BG86" s="7">
        <v>42.839999999999996</v>
      </c>
      <c r="BH86" s="191">
        <f>(1.4326/O87/10*47482+10^((-1713.3/(273.15+110))+6.694))*0.016*(10^(-7)*110^2-1.1*10^(-3)*110*O92/29-0.079*(O92/29)^2+0.73*10^(-3)*110+0.156*O92/29+0.927)</f>
        <v>4.9880289516376335</v>
      </c>
      <c r="BI86" s="13">
        <v>1.569071886654615E-2</v>
      </c>
      <c r="BJ86">
        <f t="shared" si="9"/>
        <v>11.748458385933059</v>
      </c>
    </row>
    <row r="87" spans="1:62" ht="15.75" thickTop="1">
      <c r="A87" s="346" t="s">
        <v>211</v>
      </c>
      <c r="B87" s="344" t="s">
        <v>213</v>
      </c>
      <c r="C87" s="476">
        <v>61.2</v>
      </c>
      <c r="D87" s="476"/>
      <c r="E87" s="476"/>
      <c r="F87" s="345"/>
      <c r="G87" s="476">
        <v>55.08</v>
      </c>
      <c r="H87" s="476"/>
      <c r="I87" s="476"/>
      <c r="J87" s="345"/>
      <c r="K87" s="476">
        <v>48.96</v>
      </c>
      <c r="L87" s="476"/>
      <c r="M87" s="476"/>
      <c r="N87" s="345"/>
      <c r="O87" s="476">
        <v>42.839999999999996</v>
      </c>
      <c r="P87" s="476"/>
      <c r="Q87" s="476"/>
      <c r="R87" s="345"/>
      <c r="S87" s="476">
        <v>36.72</v>
      </c>
      <c r="T87" s="476"/>
      <c r="U87" s="476"/>
      <c r="V87" s="345"/>
      <c r="W87" s="476">
        <v>30.6</v>
      </c>
      <c r="X87" s="476"/>
      <c r="Y87" s="476"/>
      <c r="Z87" s="345"/>
      <c r="AA87" s="476">
        <v>24.48</v>
      </c>
      <c r="AB87" s="476"/>
      <c r="AC87" s="476"/>
      <c r="AD87" s="345"/>
      <c r="AE87" s="476">
        <v>18.36</v>
      </c>
      <c r="AF87" s="476"/>
      <c r="AG87" s="476"/>
      <c r="AH87" s="345"/>
      <c r="AI87" s="476">
        <v>12.24</v>
      </c>
      <c r="AJ87" s="476"/>
      <c r="AK87" s="476"/>
      <c r="AL87" s="345"/>
      <c r="AM87" s="476">
        <v>6.12</v>
      </c>
      <c r="AN87" s="476"/>
      <c r="AO87" s="476"/>
      <c r="AP87" s="252"/>
      <c r="AV87" s="7">
        <v>55.08</v>
      </c>
      <c r="AW87">
        <f>H121</f>
        <v>2.1893165447988364E-3</v>
      </c>
      <c r="AX87">
        <f>G121</f>
        <v>269.53734615085364</v>
      </c>
      <c r="BG87" s="7">
        <v>36.72</v>
      </c>
      <c r="BH87" s="191">
        <f>(1.4326/S87/10*47482+10^((-1713.3/(273.15+110))+6.694))*0.016*(10^(-7)*110^2-1.1*10^(-3)*110*T92/29-0.079*(T92/29)^2+0.73*10^(-3)*110+0.156*T92/29+0.927)</f>
        <v>5.398807910817073</v>
      </c>
      <c r="BI87" s="13">
        <v>1.6046195073793495E-2</v>
      </c>
      <c r="BJ87">
        <f t="shared" si="9"/>
        <v>12.0146219354527</v>
      </c>
    </row>
    <row r="88" spans="1:62" ht="15">
      <c r="A88" s="346" t="s">
        <v>212</v>
      </c>
      <c r="B88" s="344" t="s">
        <v>29</v>
      </c>
      <c r="C88" s="478">
        <v>383.15</v>
      </c>
      <c r="D88" s="476"/>
      <c r="E88" s="476"/>
      <c r="F88" s="345"/>
      <c r="G88" s="476">
        <v>383.15</v>
      </c>
      <c r="H88" s="476"/>
      <c r="I88" s="476"/>
      <c r="J88" s="345"/>
      <c r="K88" s="476">
        <v>383.15</v>
      </c>
      <c r="L88" s="476"/>
      <c r="M88" s="476"/>
      <c r="N88" s="345"/>
      <c r="O88" s="476">
        <v>383.15</v>
      </c>
      <c r="P88" s="476"/>
      <c r="Q88" s="476"/>
      <c r="R88" s="345"/>
      <c r="S88" s="476">
        <v>383.15</v>
      </c>
      <c r="T88" s="476"/>
      <c r="U88" s="476"/>
      <c r="V88" s="345"/>
      <c r="W88" s="476">
        <v>383.15</v>
      </c>
      <c r="X88" s="476"/>
      <c r="Y88" s="476"/>
      <c r="Z88" s="345"/>
      <c r="AA88" s="476">
        <v>383.15</v>
      </c>
      <c r="AB88" s="476"/>
      <c r="AC88" s="476"/>
      <c r="AD88" s="345"/>
      <c r="AE88" s="476">
        <v>383.15</v>
      </c>
      <c r="AF88" s="476"/>
      <c r="AG88" s="476"/>
      <c r="AH88" s="345"/>
      <c r="AI88" s="476">
        <v>383.15</v>
      </c>
      <c r="AJ88" s="476"/>
      <c r="AK88" s="476"/>
      <c r="AL88" s="345"/>
      <c r="AM88" s="476">
        <v>383.15</v>
      </c>
      <c r="AN88" s="476"/>
      <c r="AO88" s="476"/>
      <c r="AP88" s="8"/>
      <c r="AV88" s="7">
        <v>48.96</v>
      </c>
      <c r="AW88">
        <f>L121</f>
        <v>2.3133104722735678E-3</v>
      </c>
      <c r="AX88">
        <f t="shared" ref="AX88:AX96" si="10">$C$80-AW88</f>
        <v>269.53709369153103</v>
      </c>
      <c r="BA88" s="7">
        <v>61.2</v>
      </c>
      <c r="BB88">
        <v>0</v>
      </c>
      <c r="BC88">
        <v>0</v>
      </c>
      <c r="BD88" s="7">
        <v>0</v>
      </c>
      <c r="BE88">
        <v>0</v>
      </c>
      <c r="BG88" s="7">
        <v>30.6</v>
      </c>
      <c r="BH88" s="191">
        <f>(1.4326/W87/10*47482+10^((-1713.3/(273.15+110))+6.694))*0.016*(10^(-7)*110^2-1.1*10^(-3)*110*X92/29-0.079*(X92/29)^2+0.73*10^(-3)*110+0.156*X92/29+0.927)</f>
        <v>5.9822297040609884</v>
      </c>
      <c r="BI88" s="13">
        <v>1.6442087697138355E-2</v>
      </c>
      <c r="BJ88">
        <f t="shared" si="9"/>
        <v>12.311047360586123</v>
      </c>
    </row>
    <row r="89" spans="1:62" ht="16.5" thickBot="1">
      <c r="A89" s="344"/>
      <c r="B89" s="344"/>
      <c r="C89" s="344" t="s">
        <v>160</v>
      </c>
      <c r="D89" s="344" t="s">
        <v>161</v>
      </c>
      <c r="E89" s="344" t="s">
        <v>162</v>
      </c>
      <c r="F89" s="345"/>
      <c r="G89" s="344" t="s">
        <v>160</v>
      </c>
      <c r="H89" s="344" t="s">
        <v>161</v>
      </c>
      <c r="I89" s="344" t="s">
        <v>162</v>
      </c>
      <c r="J89" s="345"/>
      <c r="K89" s="344" t="s">
        <v>160</v>
      </c>
      <c r="L89" s="344" t="s">
        <v>161</v>
      </c>
      <c r="M89" s="344" t="s">
        <v>162</v>
      </c>
      <c r="N89" s="345"/>
      <c r="O89" s="344" t="s">
        <v>160</v>
      </c>
      <c r="P89" s="344" t="s">
        <v>161</v>
      </c>
      <c r="Q89" s="344" t="s">
        <v>162</v>
      </c>
      <c r="R89" s="345"/>
      <c r="S89" s="344" t="s">
        <v>160</v>
      </c>
      <c r="T89" s="344" t="s">
        <v>161</v>
      </c>
      <c r="U89" s="344" t="s">
        <v>162</v>
      </c>
      <c r="V89" s="345"/>
      <c r="W89" s="344" t="s">
        <v>160</v>
      </c>
      <c r="X89" s="344" t="s">
        <v>161</v>
      </c>
      <c r="Y89" s="344" t="s">
        <v>162</v>
      </c>
      <c r="Z89" s="345"/>
      <c r="AA89" s="344" t="s">
        <v>160</v>
      </c>
      <c r="AB89" s="344" t="s">
        <v>161</v>
      </c>
      <c r="AC89" s="344" t="s">
        <v>162</v>
      </c>
      <c r="AD89" s="345"/>
      <c r="AE89" s="344" t="s">
        <v>160</v>
      </c>
      <c r="AF89" s="344" t="s">
        <v>161</v>
      </c>
      <c r="AG89" s="344" t="s">
        <v>162</v>
      </c>
      <c r="AH89" s="345"/>
      <c r="AI89" s="344" t="s">
        <v>160</v>
      </c>
      <c r="AJ89" s="344" t="s">
        <v>161</v>
      </c>
      <c r="AK89" s="344" t="s">
        <v>162</v>
      </c>
      <c r="AL89" s="345"/>
      <c r="AM89" s="344" t="s">
        <v>160</v>
      </c>
      <c r="AN89" s="344" t="s">
        <v>161</v>
      </c>
      <c r="AO89" s="344" t="s">
        <v>162</v>
      </c>
      <c r="AP89" s="114"/>
      <c r="AQ89" s="396" t="s">
        <v>149</v>
      </c>
      <c r="AR89" s="397"/>
      <c r="AS89" s="397"/>
      <c r="AT89" s="398"/>
      <c r="AV89" s="7">
        <v>42.839999999999996</v>
      </c>
      <c r="AW89">
        <f>P121</f>
        <v>2.4744765203254366E-3</v>
      </c>
      <c r="AX89">
        <f t="shared" si="10"/>
        <v>269.536932525483</v>
      </c>
      <c r="BA89" s="7">
        <v>55.08</v>
      </c>
      <c r="BB89">
        <f>C121+D121-K121-L121</f>
        <v>12.043897951692161</v>
      </c>
      <c r="BC89">
        <f>BB89/$C$80*100</f>
        <v>4.4683254614426922</v>
      </c>
      <c r="BD89" s="7">
        <f>G123*(G90+H90-K90-L90)/0.29</f>
        <v>11.545629491985885</v>
      </c>
      <c r="BE89">
        <f>BD89/$C$80*100</f>
        <v>4.2834662361263094</v>
      </c>
      <c r="BG89" s="7">
        <v>24.48</v>
      </c>
      <c r="BH89" s="191">
        <f>(1.4326/AA87/10*47482+10^((-1713.3/(273.15+110))+6.694))*0.016*(10^(-7)*110^2-1.1*10^(-3)*110*AB92/29-0.079*(AB92/29)^2+0.73*10^(-3)*110+0.156*AB92/29+0.927)</f>
        <v>6.8549663991620919</v>
      </c>
      <c r="BI89" s="13">
        <v>1.6860613226795187E-2</v>
      </c>
      <c r="BJ89">
        <f t="shared" si="9"/>
        <v>12.624419221394067</v>
      </c>
    </row>
    <row r="90" spans="1:62" ht="14.25" thickTop="1" thickBot="1">
      <c r="A90" s="344" t="s">
        <v>205</v>
      </c>
      <c r="B90" s="344"/>
      <c r="C90" s="13">
        <v>0.29063436886823535</v>
      </c>
      <c r="D90" s="13">
        <v>0.70936563113176465</v>
      </c>
      <c r="E90" s="13"/>
      <c r="F90" s="347"/>
      <c r="G90" s="13">
        <v>0.29078181293493977</v>
      </c>
      <c r="H90" s="13">
        <v>0.70921818706506023</v>
      </c>
      <c r="I90" s="13"/>
      <c r="J90" s="347"/>
      <c r="K90" s="13">
        <v>0.2784813328031287</v>
      </c>
      <c r="L90" s="13">
        <v>0.70906152281944412</v>
      </c>
      <c r="M90" s="13"/>
      <c r="N90" s="347"/>
      <c r="O90" s="13">
        <v>0.26441844748487026</v>
      </c>
      <c r="P90" s="13">
        <v>0.70889376936730175</v>
      </c>
      <c r="Q90" s="13"/>
      <c r="R90" s="347"/>
      <c r="S90" s="13">
        <v>7.719356633127982E-4</v>
      </c>
      <c r="T90" s="13">
        <v>0.24727043679242272</v>
      </c>
      <c r="U90" s="13">
        <v>0.70872161889305663</v>
      </c>
      <c r="V90" s="347"/>
      <c r="W90" s="13">
        <v>2.5451524986231555E-3</v>
      </c>
      <c r="X90" s="13">
        <v>0.2255385872957533</v>
      </c>
      <c r="Y90" s="13">
        <v>0.70857201136649006</v>
      </c>
      <c r="Z90" s="347"/>
      <c r="AA90" s="13">
        <v>4.0692670808520478E-3</v>
      </c>
      <c r="AB90" s="13">
        <v>0.1986737283705067</v>
      </c>
      <c r="AC90" s="13">
        <v>0.70837758157548147</v>
      </c>
      <c r="AD90" s="347"/>
      <c r="AE90" s="13">
        <v>4.6719977540828177E-3</v>
      </c>
      <c r="AF90" s="13">
        <v>0.16589222603635839</v>
      </c>
      <c r="AG90" s="13">
        <v>0.70807539175279077</v>
      </c>
      <c r="AH90" s="347"/>
      <c r="AI90" s="13">
        <v>4.3413441151447041E-3</v>
      </c>
      <c r="AJ90" s="13">
        <v>0.12628143570633402</v>
      </c>
      <c r="AK90" s="13">
        <v>0.70739800757100724</v>
      </c>
      <c r="AL90" s="347"/>
      <c r="AM90" s="13">
        <v>3.2101954630062578E-3</v>
      </c>
      <c r="AN90" s="13">
        <v>8.2347162885745923E-2</v>
      </c>
      <c r="AO90" s="13">
        <v>0.7057134355203557</v>
      </c>
      <c r="AP90" s="114"/>
      <c r="AQ90" s="125" t="s">
        <v>79</v>
      </c>
      <c r="AR90" s="198" t="s">
        <v>31</v>
      </c>
      <c r="AS90" s="126" t="s">
        <v>52</v>
      </c>
      <c r="AT90" s="127" t="s">
        <v>54</v>
      </c>
      <c r="AV90" s="7">
        <v>39.01</v>
      </c>
      <c r="AW90">
        <v>1.4564881977508904E-2</v>
      </c>
      <c r="AX90">
        <f t="shared" si="10"/>
        <v>269.52484212002582</v>
      </c>
      <c r="BA90" s="7">
        <v>48.96</v>
      </c>
      <c r="BB90">
        <f>C121+D121-O121-P121</f>
        <v>25.738106241901924</v>
      </c>
      <c r="BC90">
        <f t="shared" ref="BC90:BC96" si="11">BB90/$C$80*100</f>
        <v>9.5489214464698406</v>
      </c>
      <c r="BD90" s="7">
        <f>K123*(K90+L90-O90-P90)/0.29+BD89</f>
        <v>24.727223185651862</v>
      </c>
      <c r="BE90">
        <f t="shared" ref="BE90:BE96" si="12">BD90/$C$80*100</f>
        <v>9.1738805322325572</v>
      </c>
      <c r="BG90" s="7">
        <v>18.36</v>
      </c>
      <c r="BH90" s="191">
        <f>(1.4326/AE87/10*47482+10^((-1713.3/(273.15+110))+6.694))*0.016*(10^(-7)*110^2-1.1*10^(-3)*110*AF92/29-0.079*(AF92/29)^2+0.73*10^(-3)*110+0.156*AF92/29+0.927)</f>
        <v>8.3011260268584852</v>
      </c>
      <c r="BI90" s="13">
        <v>1.7574417033130542E-2</v>
      </c>
      <c r="BJ90">
        <f t="shared" si="9"/>
        <v>13.158881306004565</v>
      </c>
    </row>
    <row r="91" spans="1:62" ht="13.5" thickTop="1">
      <c r="A91" s="344" t="s">
        <v>206</v>
      </c>
      <c r="B91" s="344" t="s">
        <v>210</v>
      </c>
      <c r="C91" s="13">
        <v>17.07809999449325</v>
      </c>
      <c r="D91" s="13">
        <v>11.41675584209437</v>
      </c>
      <c r="E91" s="13"/>
      <c r="F91" s="347"/>
      <c r="G91" s="13">
        <v>17.817357158473399</v>
      </c>
      <c r="H91" s="13">
        <v>11.440797415084917</v>
      </c>
      <c r="I91" s="13"/>
      <c r="J91" s="347"/>
      <c r="K91" s="13">
        <v>17.946737911531066</v>
      </c>
      <c r="L91" s="13">
        <v>11.465211870834985</v>
      </c>
      <c r="M91" s="13"/>
      <c r="N91" s="347"/>
      <c r="O91" s="13">
        <v>18.140180028263362</v>
      </c>
      <c r="P91" s="13">
        <v>11.48995132572848</v>
      </c>
      <c r="Q91" s="13"/>
      <c r="R91" s="347"/>
      <c r="S91" s="13">
        <v>8.5180809118363884E-2</v>
      </c>
      <c r="T91" s="13">
        <v>18.38987118344884</v>
      </c>
      <c r="U91" s="13">
        <v>11.515283657857719</v>
      </c>
      <c r="V91" s="347"/>
      <c r="W91" s="13">
        <v>0.29107719829939854</v>
      </c>
      <c r="X91" s="13">
        <v>18.789560508552402</v>
      </c>
      <c r="Y91" s="13">
        <v>11.541546784404323</v>
      </c>
      <c r="Z91" s="347"/>
      <c r="AA91" s="13">
        <v>0.48624552969563045</v>
      </c>
      <c r="AB91" s="13">
        <v>19.654430863780536</v>
      </c>
      <c r="AC91" s="13">
        <v>11.567461929450833</v>
      </c>
      <c r="AD91" s="347"/>
      <c r="AE91" s="13">
        <v>0.60161667177130129</v>
      </c>
      <c r="AF91" s="13">
        <v>21.588653349717255</v>
      </c>
      <c r="AG91" s="13">
        <v>11.590582762454538</v>
      </c>
      <c r="AH91" s="347"/>
      <c r="AI91" s="13">
        <v>0.6238844787574398</v>
      </c>
      <c r="AJ91" s="13">
        <v>25.829451237026525</v>
      </c>
      <c r="AK91" s="13">
        <v>11.603706924345284</v>
      </c>
      <c r="AL91" s="347"/>
      <c r="AM91" s="13">
        <v>0.55798733354955166</v>
      </c>
      <c r="AN91" s="13">
        <v>37.379612176366443</v>
      </c>
      <c r="AO91" s="13">
        <v>11.590174358738761</v>
      </c>
      <c r="AP91" s="114"/>
      <c r="AQ91" s="328">
        <v>612</v>
      </c>
      <c r="AR91" s="7">
        <v>61.2</v>
      </c>
      <c r="AS91" s="252">
        <v>0</v>
      </c>
      <c r="AT91" s="252">
        <v>0</v>
      </c>
      <c r="AU91" s="367">
        <v>0</v>
      </c>
      <c r="AV91" s="7">
        <v>36.72</v>
      </c>
      <c r="AW91">
        <f>S121+U121</f>
        <v>8.6277399630483327</v>
      </c>
      <c r="AX91">
        <f t="shared" si="10"/>
        <v>260.91166703895499</v>
      </c>
      <c r="BA91" s="7">
        <v>42.839999999999996</v>
      </c>
      <c r="BB91">
        <f>C121+D121-S121-T121-U121</f>
        <v>42.066540102945631</v>
      </c>
      <c r="BC91">
        <f t="shared" si="11"/>
        <v>15.606823718593763</v>
      </c>
      <c r="BD91" s="7">
        <f>O123*(O90+P90-S90-T90-U90)/0.29+BD90</f>
        <v>40.045385198233603</v>
      </c>
      <c r="BE91">
        <f t="shared" si="12"/>
        <v>14.856968650204076</v>
      </c>
      <c r="BG91" s="7">
        <v>12.24</v>
      </c>
      <c r="BH91" s="191">
        <f>(1.4326/AI87/10*47482+10^((-1713.3/(273.15+110))+6.694))*0.016*(10^(-7)*110^2-1.1*10^(-3)*110*AJ92/29-0.079*(AJ92/29)^2+0.73*10^(-3)*110+0.156*AJ92/29+0.927)</f>
        <v>11.17947371910531</v>
      </c>
      <c r="BI91" s="13">
        <v>1.9763850526689081E-2</v>
      </c>
      <c r="BJ91">
        <f t="shared" si="9"/>
        <v>14.79822418803675</v>
      </c>
    </row>
    <row r="92" spans="1:62">
      <c r="A92" s="344" t="s">
        <v>207</v>
      </c>
      <c r="B92" s="344"/>
      <c r="C92" s="13">
        <v>30.64470040408051</v>
      </c>
      <c r="D92" s="13">
        <v>19.232242010403535</v>
      </c>
      <c r="E92" s="13"/>
      <c r="F92" s="347"/>
      <c r="G92" s="13">
        <v>30.64271816518297</v>
      </c>
      <c r="H92" s="13">
        <v>19.230682123366606</v>
      </c>
      <c r="I92" s="13"/>
      <c r="J92" s="347"/>
      <c r="K92" s="13">
        <v>30.640746948584468</v>
      </c>
      <c r="L92" s="13">
        <v>19.228934868788592</v>
      </c>
      <c r="M92" s="13"/>
      <c r="N92" s="347"/>
      <c r="O92" s="13">
        <v>30.638821909499004</v>
      </c>
      <c r="P92" s="13">
        <v>19.226952406696249</v>
      </c>
      <c r="Q92" s="13"/>
      <c r="R92" s="347"/>
      <c r="S92" s="13">
        <v>98.212427580183615</v>
      </c>
      <c r="T92" s="13">
        <v>30.425855082172749</v>
      </c>
      <c r="U92" s="13">
        <v>19.22488299832996</v>
      </c>
      <c r="V92" s="347"/>
      <c r="W92" s="13">
        <v>100.10797391020084</v>
      </c>
      <c r="X92" s="13">
        <v>29.872146572534049</v>
      </c>
      <c r="Y92" s="13">
        <v>19.222317471183175</v>
      </c>
      <c r="Z92" s="347"/>
      <c r="AA92" s="13">
        <v>102.8844991998224</v>
      </c>
      <c r="AB92" s="13">
        <v>29.275642358135343</v>
      </c>
      <c r="AC92" s="13">
        <v>19.219625687262866</v>
      </c>
      <c r="AD92" s="347"/>
      <c r="AE92" s="13">
        <v>111.46899966057077</v>
      </c>
      <c r="AF92" s="13">
        <v>28.768226137974633</v>
      </c>
      <c r="AG92" s="13">
        <v>19.214915027414129</v>
      </c>
      <c r="AH92" s="347"/>
      <c r="AI92" s="13">
        <v>127.80350344574636</v>
      </c>
      <c r="AJ92" s="13">
        <v>28.421722697603428</v>
      </c>
      <c r="AK92" s="13">
        <v>19.206033605627823</v>
      </c>
      <c r="AL92" s="347"/>
      <c r="AM92" s="13">
        <v>164.18569764187757</v>
      </c>
      <c r="AN92" s="13">
        <v>28.334262705991314</v>
      </c>
      <c r="AO92" s="13">
        <v>19.188036502470133</v>
      </c>
      <c r="AP92" s="114"/>
      <c r="AQ92" s="328">
        <v>550.79999999999995</v>
      </c>
      <c r="AR92" s="7">
        <v>55.08</v>
      </c>
      <c r="AS92" s="8">
        <v>0</v>
      </c>
      <c r="AT92" s="8">
        <v>0</v>
      </c>
      <c r="AU92" s="367">
        <v>0</v>
      </c>
      <c r="AV92" s="7">
        <v>30.6</v>
      </c>
      <c r="AW92">
        <f>W121+Y121</f>
        <v>29.360117415424785</v>
      </c>
      <c r="AX92">
        <f t="shared" si="10"/>
        <v>240.17928958657853</v>
      </c>
      <c r="BA92" s="7">
        <v>36.72</v>
      </c>
      <c r="BB92">
        <f>C121+D121-W121-X121-Y121</f>
        <v>61.458633296730675</v>
      </c>
      <c r="BC92">
        <f t="shared" si="11"/>
        <v>22.801353605513384</v>
      </c>
      <c r="BD92" s="7">
        <f>T123*(S90+T90+U90-W90-X90-Y90)/0.29+BD91</f>
        <v>57.957518889941298</v>
      </c>
      <c r="BE92">
        <f t="shared" si="12"/>
        <v>21.502428730026306</v>
      </c>
      <c r="BG92" s="7">
        <v>6.12</v>
      </c>
      <c r="BH92" s="191">
        <f>(1.4326/AM87/10*47482+10^((-1713.3/(273.15+110))+6.694))*0.016*(10^(-7)*110^2-1.1*10^(-3)*110*AN92/29-0.079*(AN92/29)^2+0.73*10^(-3)*110+0.156*AN92/29+0.927)</f>
        <v>19.784667564768988</v>
      </c>
      <c r="BI92" s="13">
        <v>2.9218680166354635E-2</v>
      </c>
      <c r="BJ92">
        <f t="shared" si="9"/>
        <v>21.877547545523438</v>
      </c>
    </row>
    <row r="93" spans="1:62">
      <c r="A93" s="344" t="s">
        <v>16</v>
      </c>
      <c r="B93" s="344"/>
      <c r="C93" s="13">
        <v>1.1573323905775488</v>
      </c>
      <c r="D93" s="13">
        <v>0.49800264786290915</v>
      </c>
      <c r="E93" s="13"/>
      <c r="F93" s="347"/>
      <c r="G93" s="13">
        <v>1.0850542748959671</v>
      </c>
      <c r="H93" s="13">
        <v>0.4488715611119598</v>
      </c>
      <c r="I93" s="13"/>
      <c r="J93" s="347"/>
      <c r="K93" s="13">
        <v>1.0132402606340307</v>
      </c>
      <c r="L93" s="13">
        <v>0.39960547316682604</v>
      </c>
      <c r="M93" s="13"/>
      <c r="N93" s="347"/>
      <c r="O93" s="13">
        <v>0.9425249925265754</v>
      </c>
      <c r="P93" s="13">
        <v>0.35019938606649548</v>
      </c>
      <c r="Q93" s="13"/>
      <c r="R93" s="347"/>
      <c r="S93" s="13">
        <v>1.5374324705839111</v>
      </c>
      <c r="T93" s="13">
        <v>0.87359026819024388</v>
      </c>
      <c r="U93" s="13">
        <v>0.30065002183043721</v>
      </c>
      <c r="V93" s="347"/>
      <c r="W93" s="13">
        <v>1.3260766175440202</v>
      </c>
      <c r="X93" s="13">
        <v>0.81215101847001259</v>
      </c>
      <c r="Y93" s="13">
        <v>0.25094725706728099</v>
      </c>
      <c r="Z93" s="347"/>
      <c r="AA93" s="13">
        <v>1.1059204542535161</v>
      </c>
      <c r="AB93" s="13">
        <v>0.76830301085939579</v>
      </c>
      <c r="AC93" s="13">
        <v>0.20109236051154383</v>
      </c>
      <c r="AD93" s="347"/>
      <c r="AE93" s="13">
        <v>0.8949313894962373</v>
      </c>
      <c r="AF93" s="13">
        <v>0.75527287067685811</v>
      </c>
      <c r="AG93" s="13">
        <v>0.15106917185033825</v>
      </c>
      <c r="AH93" s="347"/>
      <c r="AI93" s="13">
        <v>0.66953093605547431</v>
      </c>
      <c r="AJ93" s="13">
        <v>0.78913731495654171</v>
      </c>
      <c r="AK93" s="13">
        <v>0.10087448306198549</v>
      </c>
      <c r="AL93" s="347"/>
      <c r="AM93" s="13">
        <v>0.41621023311860716</v>
      </c>
      <c r="AN93" s="13">
        <v>0.87361319064968002</v>
      </c>
      <c r="AO93" s="13">
        <v>5.0510457220170613E-2</v>
      </c>
      <c r="AP93" s="114"/>
      <c r="AQ93" s="358">
        <v>489.6</v>
      </c>
      <c r="AR93" s="7">
        <v>48.96</v>
      </c>
      <c r="AS93" s="8">
        <v>0</v>
      </c>
      <c r="AT93" s="8">
        <v>0</v>
      </c>
      <c r="AU93" s="366">
        <v>0</v>
      </c>
      <c r="AV93" s="7">
        <v>24.48</v>
      </c>
      <c r="AW93">
        <f>AA121+AC121</f>
        <v>49.077922897984735</v>
      </c>
      <c r="AX93">
        <f t="shared" si="10"/>
        <v>220.46148410401858</v>
      </c>
      <c r="BA93" s="7">
        <v>30.6</v>
      </c>
      <c r="BB93">
        <f>C121+D121-AA121-AB121-AC121</f>
        <v>82.962702256654126</v>
      </c>
      <c r="BC93">
        <f t="shared" si="11"/>
        <v>30.779433396927196</v>
      </c>
      <c r="BD93" s="7">
        <f>X123*(W90+X90+Y90-AA90-AB90-AC90)/0.29+BD92</f>
        <v>78.379548928973492</v>
      </c>
      <c r="BE93">
        <f t="shared" si="12"/>
        <v>29.079068549108644</v>
      </c>
    </row>
    <row r="94" spans="1:62" ht="15">
      <c r="A94" s="344" t="s">
        <v>208</v>
      </c>
      <c r="B94" s="344" t="s">
        <v>27</v>
      </c>
      <c r="C94" s="13">
        <v>521.51018930489465</v>
      </c>
      <c r="D94" s="13">
        <v>1194.9709427512844</v>
      </c>
      <c r="E94" s="13"/>
      <c r="F94" s="347"/>
      <c r="G94" s="13">
        <v>500.09353587486595</v>
      </c>
      <c r="H94" s="13">
        <v>1192.1152885353574</v>
      </c>
      <c r="I94" s="13"/>
      <c r="J94" s="347"/>
      <c r="K94" s="13">
        <v>475.45554464484002</v>
      </c>
      <c r="L94" s="13">
        <v>1189.2059208205612</v>
      </c>
      <c r="M94" s="13"/>
      <c r="N94" s="347"/>
      <c r="O94" s="13">
        <v>446.60360092637649</v>
      </c>
      <c r="P94" s="13">
        <v>1186.242341558785</v>
      </c>
      <c r="Q94" s="13"/>
      <c r="R94" s="347"/>
      <c r="S94" s="13">
        <v>890.03234665594118</v>
      </c>
      <c r="T94" s="13">
        <v>409.106426081059</v>
      </c>
      <c r="U94" s="13">
        <v>1183.2179394303168</v>
      </c>
      <c r="V94" s="347"/>
      <c r="W94" s="13">
        <v>875.33500191098892</v>
      </c>
      <c r="X94" s="13">
        <v>358.56728710575197</v>
      </c>
      <c r="Y94" s="13">
        <v>1180.1187837393024</v>
      </c>
      <c r="Z94" s="347"/>
      <c r="AA94" s="13">
        <v>861.01461125175342</v>
      </c>
      <c r="AB94" s="13">
        <v>295.9282340986349</v>
      </c>
      <c r="AC94" s="13">
        <v>1176.9869696710241</v>
      </c>
      <c r="AD94" s="347"/>
      <c r="AE94" s="13">
        <v>865.63910293698711</v>
      </c>
      <c r="AF94" s="13">
        <v>221.06173070811133</v>
      </c>
      <c r="AG94" s="13">
        <v>1173.8502510508442</v>
      </c>
      <c r="AH94" s="347"/>
      <c r="AI94" s="13">
        <v>889.32968597666127</v>
      </c>
      <c r="AJ94" s="13">
        <v>138.9551761887854</v>
      </c>
      <c r="AK94" s="13">
        <v>1170.8594498761447</v>
      </c>
      <c r="AL94" s="347"/>
      <c r="AM94" s="13">
        <v>944.58807569628584</v>
      </c>
      <c r="AN94" s="13">
        <v>62.420287703599989</v>
      </c>
      <c r="AO94" s="13">
        <v>1168.3392106037086</v>
      </c>
      <c r="AP94" s="114"/>
      <c r="AQ94" s="364">
        <v>39.01</v>
      </c>
      <c r="AR94" s="7">
        <v>38.409999999999997</v>
      </c>
      <c r="AS94" s="8">
        <v>0</v>
      </c>
      <c r="AT94" s="8">
        <v>0</v>
      </c>
      <c r="AU94" s="366">
        <v>0</v>
      </c>
      <c r="AV94" s="7">
        <v>18.36</v>
      </c>
      <c r="AW94">
        <f>AE121+AG121</f>
        <v>63.135793390802284</v>
      </c>
      <c r="AX94">
        <f t="shared" si="10"/>
        <v>206.40361361120102</v>
      </c>
      <c r="BA94" s="7">
        <v>24.48</v>
      </c>
      <c r="BB94">
        <f>C121+D121-AE121-AF121-AG121</f>
        <v>106.23523429827792</v>
      </c>
      <c r="BC94">
        <f t="shared" si="11"/>
        <v>39.413618765395718</v>
      </c>
      <c r="BD94" s="7">
        <f>AB123*(AA90+AB90+AC90-AE90-AF90-AG90)/0.29+BD93</f>
        <v>101.13301371183893</v>
      </c>
      <c r="BE94">
        <f t="shared" si="12"/>
        <v>37.520678269907769</v>
      </c>
    </row>
    <row r="95" spans="1:62">
      <c r="F95" s="345"/>
      <c r="J95" s="345"/>
      <c r="N95" s="345"/>
      <c r="R95" s="345"/>
      <c r="V95" s="345"/>
      <c r="Z95" s="345"/>
      <c r="AD95" s="345"/>
      <c r="AH95" s="345"/>
      <c r="AL95" s="345"/>
      <c r="AP95" s="114"/>
      <c r="AQ95" s="328">
        <v>367.2</v>
      </c>
      <c r="AR95" s="7">
        <v>36.72</v>
      </c>
      <c r="AS95" s="114">
        <v>2.9893398867100445E-3</v>
      </c>
      <c r="AT95" s="114">
        <v>2.9893398867100445E-3</v>
      </c>
      <c r="AU95">
        <f t="shared" ref="AU95:AU100" si="13">AT95/0.6</f>
        <v>4.9822331445167414E-3</v>
      </c>
      <c r="AV95" s="7">
        <v>12.24</v>
      </c>
      <c r="AW95">
        <f>AI121+AK121</f>
        <v>70.581323432791606</v>
      </c>
      <c r="AX95">
        <f t="shared" si="10"/>
        <v>198.95808356921171</v>
      </c>
      <c r="BA95" s="7">
        <v>18.36</v>
      </c>
      <c r="BB95">
        <f>C121+D121-AI121-AJ121-AK121</f>
        <v>131.19185535284925</v>
      </c>
      <c r="BC95">
        <f t="shared" si="11"/>
        <v>48.672606655944072</v>
      </c>
      <c r="BD95" s="7">
        <f>AF123*(AE90+AF90+AG90-AI90-AJ90-AK90)/0.29+BD94</f>
        <v>126.03292615867591</v>
      </c>
      <c r="BE95">
        <f t="shared" si="12"/>
        <v>46.758627081842313</v>
      </c>
    </row>
    <row r="96" spans="1:62">
      <c r="A96" s="344" t="s">
        <v>22</v>
      </c>
      <c r="B96" t="s">
        <v>17</v>
      </c>
      <c r="C96" s="79">
        <v>0.13093746643594811</v>
      </c>
      <c r="D96" s="348">
        <v>8.8962878026049472E-4</v>
      </c>
      <c r="E96" s="13"/>
      <c r="F96" s="347"/>
      <c r="G96" s="13">
        <v>0.13094411288887159</v>
      </c>
      <c r="H96" s="13">
        <v>8.5986720608528279E-4</v>
      </c>
      <c r="I96" s="13"/>
      <c r="J96" s="347"/>
      <c r="K96" s="13">
        <v>0.13095564804303148</v>
      </c>
      <c r="L96" s="13">
        <v>8.2659523382094379E-4</v>
      </c>
      <c r="M96" s="13"/>
      <c r="N96" s="347"/>
      <c r="O96" s="13">
        <v>0.13097409841961774</v>
      </c>
      <c r="P96" s="13">
        <v>7.8891932394651633E-4</v>
      </c>
      <c r="Q96" s="13"/>
      <c r="R96" s="347"/>
      <c r="S96" s="13">
        <v>0.10568945993812803</v>
      </c>
      <c r="T96" s="13">
        <v>0.1310853661145101</v>
      </c>
      <c r="U96" s="13">
        <v>7.4601596549165455E-4</v>
      </c>
      <c r="V96" s="347"/>
      <c r="W96" s="13">
        <v>0.10142699573427733</v>
      </c>
      <c r="X96" s="13">
        <v>0.13140371398749495</v>
      </c>
      <c r="Y96" s="13">
        <v>6.9603035081186127E-4</v>
      </c>
      <c r="Z96" s="347"/>
      <c r="AA96" s="13">
        <v>9.5210796125555386E-2</v>
      </c>
      <c r="AB96" s="13">
        <v>0.13185422833841473</v>
      </c>
      <c r="AC96" s="13">
        <v>6.3400763201863048E-4</v>
      </c>
      <c r="AD96" s="347"/>
      <c r="AE96" s="13">
        <v>8.4762896513169123E-2</v>
      </c>
      <c r="AF96" s="13">
        <v>0.13239319290309878</v>
      </c>
      <c r="AG96" s="13">
        <v>5.518627598691011E-4</v>
      </c>
      <c r="AH96" s="347"/>
      <c r="AI96" s="13">
        <v>6.7679582373456573E-2</v>
      </c>
      <c r="AJ96" s="13">
        <v>0.13280870928763733</v>
      </c>
      <c r="AK96" s="13">
        <v>4.3401704675062803E-4</v>
      </c>
      <c r="AL96" s="347"/>
      <c r="AM96" s="13">
        <v>3.9923530239294382E-2</v>
      </c>
      <c r="AN96" s="13">
        <v>0.13181602116109853</v>
      </c>
      <c r="AO96" s="13">
        <v>2.5573217775013872E-4</v>
      </c>
      <c r="AQ96" s="328">
        <v>306</v>
      </c>
      <c r="AR96" s="7">
        <v>30.6</v>
      </c>
      <c r="AS96" s="114">
        <v>1.0215078818740789E-2</v>
      </c>
      <c r="AT96" s="114">
        <v>1.0215078818740789E-2</v>
      </c>
      <c r="AU96">
        <f t="shared" si="13"/>
        <v>1.7025131364567982E-2</v>
      </c>
      <c r="AV96" s="7">
        <v>6.12</v>
      </c>
      <c r="AW96">
        <f>AM121+AO121</f>
        <v>71.486241934917757</v>
      </c>
      <c r="AX96">
        <f t="shared" si="10"/>
        <v>198.05316506708556</v>
      </c>
      <c r="BA96" s="7">
        <v>12.24</v>
      </c>
      <c r="BB96">
        <f>C121+D121-AM121-AN121-AO121</f>
        <v>156.49752730937126</v>
      </c>
      <c r="BC96">
        <f t="shared" si="11"/>
        <v>58.061093570710462</v>
      </c>
      <c r="BD96" s="7">
        <f>AJ123*(AI90+AJ90+AK90-AM90-AN90-AO90)/0.29+BD95</f>
        <v>151.58241121515891</v>
      </c>
      <c r="BE96">
        <f t="shared" si="12"/>
        <v>56.237569452704292</v>
      </c>
    </row>
    <row r="97" spans="1:56">
      <c r="A97" s="344" t="s">
        <v>23</v>
      </c>
      <c r="B97" t="s">
        <v>17</v>
      </c>
      <c r="C97" s="79">
        <v>2.195197702702309E-3</v>
      </c>
      <c r="D97" s="348">
        <v>1.4256979745335723E-10</v>
      </c>
      <c r="E97" s="13"/>
      <c r="F97" s="347"/>
      <c r="G97" s="13">
        <v>2.1940846242028797E-3</v>
      </c>
      <c r="H97" s="13">
        <v>1.3429098744116116E-10</v>
      </c>
      <c r="I97" s="13"/>
      <c r="J97" s="347"/>
      <c r="K97" s="13">
        <v>2.1928503296097428E-3</v>
      </c>
      <c r="L97" s="13">
        <v>1.2499974654575079E-10</v>
      </c>
      <c r="M97" s="13"/>
      <c r="N97" s="347"/>
      <c r="O97" s="13">
        <v>2.1914591605781946E-3</v>
      </c>
      <c r="P97" s="13">
        <v>1.1450967877565416E-10</v>
      </c>
      <c r="Q97" s="13"/>
      <c r="R97" s="347"/>
      <c r="S97" s="13">
        <v>1.1548508150908878E-3</v>
      </c>
      <c r="T97" s="13">
        <v>2.1931696071366309E-3</v>
      </c>
      <c r="U97" s="13">
        <v>1.0233153380822056E-10</v>
      </c>
      <c r="V97" s="347"/>
      <c r="W97" s="13">
        <v>1.0185834603779764E-3</v>
      </c>
      <c r="X97" s="13">
        <v>2.2014160056837329E-3</v>
      </c>
      <c r="Y97" s="13">
        <v>8.7960738529774233E-11</v>
      </c>
      <c r="Z97" s="347"/>
      <c r="AA97" s="13">
        <v>8.5020010862505325E-4</v>
      </c>
      <c r="AB97" s="13">
        <v>2.2117845635979943E-3</v>
      </c>
      <c r="AC97" s="13">
        <v>7.1395320504354631E-11</v>
      </c>
      <c r="AD97" s="347"/>
      <c r="AE97" s="13">
        <v>6.3925163700105214E-4</v>
      </c>
      <c r="AF97" s="13">
        <v>2.2186435577592391E-3</v>
      </c>
      <c r="AG97" s="13">
        <v>5.2933378134240528E-11</v>
      </c>
      <c r="AH97" s="347"/>
      <c r="AI97" s="13">
        <v>4.09059209916552E-4</v>
      </c>
      <c r="AJ97" s="13">
        <v>2.2105208472853835E-3</v>
      </c>
      <c r="AK97" s="13">
        <v>3.3676956011172813E-11</v>
      </c>
      <c r="AL97" s="347"/>
      <c r="AM97" s="13">
        <v>1.8575991056530143E-4</v>
      </c>
      <c r="AN97" s="13">
        <v>2.149260022062908E-3</v>
      </c>
      <c r="AO97" s="13">
        <v>1.5351958857915322E-11</v>
      </c>
      <c r="AQ97" s="328">
        <v>244.8</v>
      </c>
      <c r="AR97" s="7">
        <v>24.48</v>
      </c>
      <c r="AS97" s="114">
        <v>1.7064326715114923E-2</v>
      </c>
      <c r="AT97" s="114">
        <v>1.7064326715114923E-2</v>
      </c>
      <c r="AU97">
        <f t="shared" si="13"/>
        <v>2.8440544525191541E-2</v>
      </c>
      <c r="BA97" s="7">
        <v>6.12</v>
      </c>
      <c r="BD97" s="7"/>
    </row>
    <row r="98" spans="1:56">
      <c r="A98" s="344" t="s">
        <v>157</v>
      </c>
      <c r="B98" t="s">
        <v>17</v>
      </c>
      <c r="C98" s="79">
        <v>1.4836374151585084E-2</v>
      </c>
      <c r="D98" s="348">
        <v>0.96662145679115152</v>
      </c>
      <c r="E98" s="13"/>
      <c r="F98" s="347"/>
      <c r="G98" s="13">
        <v>1.5102728212191191E-2</v>
      </c>
      <c r="H98" s="13">
        <v>0.96671012364676001</v>
      </c>
      <c r="I98" s="13"/>
      <c r="J98" s="347"/>
      <c r="K98" s="13">
        <v>1.5386363343160753E-2</v>
      </c>
      <c r="L98" s="13">
        <v>0.96680898074613775</v>
      </c>
      <c r="M98" s="13"/>
      <c r="N98" s="347"/>
      <c r="O98" s="13">
        <v>1.569071886654615E-2</v>
      </c>
      <c r="P98" s="13">
        <v>0.96692060143876879</v>
      </c>
      <c r="Q98" s="13"/>
      <c r="R98" s="347"/>
      <c r="S98" s="13">
        <v>1.6419505140224037E-3</v>
      </c>
      <c r="T98" s="13">
        <v>1.6046195073793495E-2</v>
      </c>
      <c r="U98" s="13">
        <v>0.96704293531623364</v>
      </c>
      <c r="V98" s="347"/>
      <c r="W98" s="13">
        <v>1.5515066912272502E-3</v>
      </c>
      <c r="X98" s="13">
        <v>1.6442087697138355E-2</v>
      </c>
      <c r="Y98" s="13">
        <v>0.96715408739125486</v>
      </c>
      <c r="Z98" s="347"/>
      <c r="AA98" s="13">
        <v>1.403239404879234E-3</v>
      </c>
      <c r="AB98" s="13">
        <v>1.6860613226795187E-2</v>
      </c>
      <c r="AC98" s="13">
        <v>0.96733053989639117</v>
      </c>
      <c r="AD98" s="347"/>
      <c r="AE98" s="13">
        <v>1.037362592514143E-3</v>
      </c>
      <c r="AF98" s="13">
        <v>1.7574417033130542E-2</v>
      </c>
      <c r="AG98" s="13">
        <v>0.96758451545788815</v>
      </c>
      <c r="AH98" s="347"/>
      <c r="AI98" s="13">
        <v>5.6103594978055139E-4</v>
      </c>
      <c r="AJ98" s="13">
        <v>1.9763850526689081E-2</v>
      </c>
      <c r="AK98" s="13">
        <v>0.96809856393555549</v>
      </c>
      <c r="AL98" s="347"/>
      <c r="AM98" s="13">
        <v>1.4988421020870033E-4</v>
      </c>
      <c r="AN98" s="13">
        <v>2.9218680166354635E-2</v>
      </c>
      <c r="AO98" s="13">
        <v>0.9692301257790833</v>
      </c>
      <c r="AQ98" s="328">
        <v>183.6</v>
      </c>
      <c r="AR98" s="7">
        <v>18.36</v>
      </c>
      <c r="AS98" s="114">
        <v>2.1113167766892885E-2</v>
      </c>
      <c r="AT98" s="114">
        <v>2.1113167766892885E-2</v>
      </c>
      <c r="AU98">
        <f t="shared" si="13"/>
        <v>3.5188612944821479E-2</v>
      </c>
    </row>
    <row r="99" spans="1:56">
      <c r="A99" s="344" t="s">
        <v>159</v>
      </c>
      <c r="B99" t="s">
        <v>17</v>
      </c>
      <c r="C99" s="79"/>
      <c r="D99" s="348"/>
      <c r="E99" s="13"/>
      <c r="F99" s="347"/>
      <c r="G99" s="13"/>
      <c r="H99" s="13"/>
      <c r="I99" s="13"/>
      <c r="J99" s="347"/>
      <c r="K99" s="13"/>
      <c r="L99" s="13"/>
      <c r="M99" s="13"/>
      <c r="N99" s="347"/>
      <c r="O99" s="13"/>
      <c r="P99" s="13"/>
      <c r="Q99" s="13"/>
      <c r="R99" s="347"/>
      <c r="S99" s="13"/>
      <c r="T99" s="13"/>
      <c r="U99" s="13"/>
      <c r="V99" s="347"/>
      <c r="W99" s="13"/>
      <c r="X99" s="13"/>
      <c r="Y99" s="13"/>
      <c r="Z99" s="347"/>
      <c r="AA99" s="13"/>
      <c r="AB99" s="13"/>
      <c r="AC99" s="13"/>
      <c r="AD99" s="347"/>
      <c r="AE99" s="13"/>
      <c r="AF99" s="13"/>
      <c r="AG99" s="13"/>
      <c r="AH99" s="347"/>
      <c r="AI99" s="13"/>
      <c r="AJ99" s="13"/>
      <c r="AK99" s="13"/>
      <c r="AL99" s="347"/>
      <c r="AM99" s="13"/>
      <c r="AN99" s="13"/>
      <c r="AO99" s="13"/>
      <c r="AQ99" s="360">
        <v>122.4</v>
      </c>
      <c r="AR99" s="7">
        <v>12.24</v>
      </c>
      <c r="AS99" s="114">
        <v>2.1894635380340026E-2</v>
      </c>
      <c r="AT99" s="114">
        <v>2.1894635380340026E-2</v>
      </c>
      <c r="AU99">
        <f t="shared" si="13"/>
        <v>3.6491058967233377E-2</v>
      </c>
    </row>
    <row r="100" spans="1:56">
      <c r="A100" s="344" t="s">
        <v>193</v>
      </c>
      <c r="B100" t="s">
        <v>17</v>
      </c>
      <c r="C100" s="79">
        <v>0.24680240101301992</v>
      </c>
      <c r="D100" s="348">
        <v>4.2344029856979052E-3</v>
      </c>
      <c r="E100" s="13"/>
      <c r="F100" s="347"/>
      <c r="G100" s="13">
        <v>0.24683309082465929</v>
      </c>
      <c r="H100" s="13">
        <v>4.1713909931070598E-3</v>
      </c>
      <c r="I100" s="13"/>
      <c r="J100" s="347"/>
      <c r="K100" s="13">
        <v>0.24687440420914747</v>
      </c>
      <c r="L100" s="13">
        <v>4.101550200841267E-3</v>
      </c>
      <c r="M100" s="13"/>
      <c r="N100" s="347"/>
      <c r="O100" s="13">
        <v>0.24693051152265891</v>
      </c>
      <c r="P100" s="13">
        <v>4.0231720354820429E-3</v>
      </c>
      <c r="Q100" s="13"/>
      <c r="R100" s="347"/>
      <c r="S100" s="13">
        <v>0.26102558043458735</v>
      </c>
      <c r="T100" s="13">
        <v>0.24694666218020023</v>
      </c>
      <c r="U100" s="13">
        <v>3.9431819819917124E-3</v>
      </c>
      <c r="V100" s="347"/>
      <c r="W100" s="13">
        <v>0.26233500735203835</v>
      </c>
      <c r="X100" s="13">
        <v>0.24690452733387444</v>
      </c>
      <c r="Y100" s="13">
        <v>3.8653496924277017E-3</v>
      </c>
      <c r="Z100" s="347"/>
      <c r="AA100" s="13">
        <v>0.26235363265634115</v>
      </c>
      <c r="AB100" s="13">
        <v>0.2469161006531988</v>
      </c>
      <c r="AC100" s="13">
        <v>3.7620898154042152E-3</v>
      </c>
      <c r="AD100" s="347"/>
      <c r="AE100" s="13">
        <v>0.2558547110338652</v>
      </c>
      <c r="AF100" s="13">
        <v>0.24738663032553723</v>
      </c>
      <c r="AG100" s="13">
        <v>3.5778190293624971E-3</v>
      </c>
      <c r="AH100" s="347"/>
      <c r="AI100" s="13">
        <v>0.23079904008784238</v>
      </c>
      <c r="AJ100" s="13">
        <v>0.24932633684656039</v>
      </c>
      <c r="AK100" s="13">
        <v>3.155813507765485E-3</v>
      </c>
      <c r="AL100" s="347"/>
      <c r="AM100" s="13">
        <v>0.16001014281288239</v>
      </c>
      <c r="AN100" s="13">
        <v>0.25538264787266995</v>
      </c>
      <c r="AO100" s="13">
        <v>2.1538162264805082E-3</v>
      </c>
      <c r="AQ100" s="360">
        <v>61.2</v>
      </c>
      <c r="AR100" s="7">
        <v>6.12</v>
      </c>
      <c r="AS100" s="114">
        <v>1.9582037429825897E-2</v>
      </c>
      <c r="AT100" s="114">
        <v>1.9582037429825897E-2</v>
      </c>
      <c r="AU100">
        <f t="shared" si="13"/>
        <v>3.263672904970983E-2</v>
      </c>
    </row>
    <row r="101" spans="1:56">
      <c r="A101" s="344" t="s">
        <v>24</v>
      </c>
      <c r="B101" t="s">
        <v>17</v>
      </c>
      <c r="C101" s="79">
        <v>0.52221672708897882</v>
      </c>
      <c r="D101" s="348">
        <v>1.6734825509078839E-5</v>
      </c>
      <c r="E101" s="13"/>
      <c r="F101" s="347"/>
      <c r="G101" s="13">
        <v>0.5219538517925465</v>
      </c>
      <c r="H101" s="13">
        <v>1.5950955001983182E-5</v>
      </c>
      <c r="I101" s="13"/>
      <c r="J101" s="347"/>
      <c r="K101" s="13">
        <v>0.52166246374740866</v>
      </c>
      <c r="L101" s="13">
        <v>1.5072503273531924E-5</v>
      </c>
      <c r="M101" s="13"/>
      <c r="N101" s="347"/>
      <c r="O101" s="13">
        <v>0.52133418221818828</v>
      </c>
      <c r="P101" s="13">
        <v>1.4078760038225315E-5</v>
      </c>
      <c r="Q101" s="13"/>
      <c r="R101" s="347"/>
      <c r="S101" s="13">
        <v>0.31037507017080612</v>
      </c>
      <c r="T101" s="13">
        <v>0.52163311062929585</v>
      </c>
      <c r="U101" s="13">
        <v>1.2929084741008157E-5</v>
      </c>
      <c r="V101" s="347"/>
      <c r="W101" s="13">
        <v>0.28847465422819685</v>
      </c>
      <c r="X101" s="13">
        <v>0.52319944480510294</v>
      </c>
      <c r="Y101" s="13">
        <v>1.1572990929337482E-5</v>
      </c>
      <c r="Z101" s="347"/>
      <c r="AA101" s="13">
        <v>0.25890975900187868</v>
      </c>
      <c r="AB101" s="13">
        <v>0.52509942337504678</v>
      </c>
      <c r="AC101" s="13">
        <v>9.9577451939057987E-6</v>
      </c>
      <c r="AD101" s="347"/>
      <c r="AE101" s="13">
        <v>0.2144226840082985</v>
      </c>
      <c r="AF101" s="13">
        <v>0.52637125176494881</v>
      </c>
      <c r="AG101" s="13">
        <v>8.0102898831477878E-6</v>
      </c>
      <c r="AH101" s="347"/>
      <c r="AI101" s="13">
        <v>0.15504546936841143</v>
      </c>
      <c r="AJ101" s="13">
        <v>0.52478545121746123</v>
      </c>
      <c r="AK101" s="13">
        <v>5.659461228215022E-6</v>
      </c>
      <c r="AL101" s="347"/>
      <c r="AM101" s="13">
        <v>8.0344558586356432E-2</v>
      </c>
      <c r="AN101" s="13">
        <v>0.51190700269787914</v>
      </c>
      <c r="AO101" s="13">
        <v>2.8934245927428936E-6</v>
      </c>
      <c r="AQ101" s="360"/>
      <c r="AR101" s="7"/>
      <c r="AS101" s="8"/>
      <c r="AT101" s="80"/>
    </row>
    <row r="102" spans="1:56">
      <c r="A102" s="344" t="s">
        <v>4</v>
      </c>
      <c r="B102" t="s">
        <v>17</v>
      </c>
      <c r="C102" s="79">
        <v>2.1754529577938372E-2</v>
      </c>
      <c r="D102" s="348">
        <v>4.0016071888391891E-5</v>
      </c>
      <c r="E102" s="13"/>
      <c r="F102" s="347"/>
      <c r="G102" s="13">
        <v>2.1745873553211038E-2</v>
      </c>
      <c r="H102" s="13">
        <v>3.9050696736847376E-5</v>
      </c>
      <c r="I102" s="13"/>
      <c r="J102" s="347"/>
      <c r="K102" s="13">
        <v>2.1736439750103316E-2</v>
      </c>
      <c r="L102" s="13">
        <v>3.7959754780762705E-5</v>
      </c>
      <c r="M102" s="13"/>
      <c r="N102" s="347"/>
      <c r="O102" s="13">
        <v>2.1726008606899969E-2</v>
      </c>
      <c r="P102" s="13">
        <v>3.6715833233922401E-5</v>
      </c>
      <c r="Q102" s="13"/>
      <c r="R102" s="347"/>
      <c r="S102" s="13">
        <v>2.0205652970698817E-2</v>
      </c>
      <c r="T102" s="13">
        <v>2.1719599515673232E-2</v>
      </c>
      <c r="U102" s="13">
        <v>3.5339514962482245E-5</v>
      </c>
      <c r="V102" s="347"/>
      <c r="W102" s="13">
        <v>1.9782902064169171E-2</v>
      </c>
      <c r="X102" s="13">
        <v>2.1726640389106211E-2</v>
      </c>
      <c r="Y102" s="13">
        <v>3.3827182966599709E-5</v>
      </c>
      <c r="Z102" s="347"/>
      <c r="AA102" s="13">
        <v>1.9174837997156371E-2</v>
      </c>
      <c r="AB102" s="13">
        <v>2.1739366276737011E-2</v>
      </c>
      <c r="AC102" s="13">
        <v>3.1979053242386784E-5</v>
      </c>
      <c r="AD102" s="347"/>
      <c r="AE102" s="13">
        <v>1.8012930314645962E-2</v>
      </c>
      <c r="AF102" s="13">
        <v>2.1752719011409356E-2</v>
      </c>
      <c r="AG102" s="13">
        <v>2.9435939252017422E-5</v>
      </c>
      <c r="AH102" s="347"/>
      <c r="AI102" s="13">
        <v>1.5631601516516012E-2</v>
      </c>
      <c r="AJ102" s="13">
        <v>2.1732427129960274E-2</v>
      </c>
      <c r="AK102" s="13">
        <v>2.5123052656747689E-5</v>
      </c>
      <c r="AL102" s="347"/>
      <c r="AM102" s="13">
        <v>1.0312206654401501E-2</v>
      </c>
      <c r="AN102" s="13">
        <v>2.1486371624952295E-2</v>
      </c>
      <c r="AO102" s="13">
        <v>1.643654039479402E-5</v>
      </c>
      <c r="AQ102" s="360"/>
      <c r="AR102" s="7"/>
      <c r="AS102" s="1"/>
      <c r="AT102" s="80"/>
    </row>
    <row r="103" spans="1:56">
      <c r="A103" s="344" t="s">
        <v>5</v>
      </c>
      <c r="B103" t="s">
        <v>17</v>
      </c>
      <c r="C103" s="79">
        <v>9.7710361396996515E-3</v>
      </c>
      <c r="D103" s="348">
        <v>3.102882706849561E-6</v>
      </c>
      <c r="E103" s="13"/>
      <c r="F103" s="347"/>
      <c r="G103" s="13">
        <v>9.7661217420643882E-3</v>
      </c>
      <c r="H103" s="13">
        <v>3.0870817177489615E-6</v>
      </c>
      <c r="I103" s="13"/>
      <c r="J103" s="347"/>
      <c r="K103" s="13">
        <v>9.7606754381950565E-3</v>
      </c>
      <c r="L103" s="13">
        <v>3.0689951354260576E-6</v>
      </c>
      <c r="M103" s="13"/>
      <c r="N103" s="347"/>
      <c r="O103" s="13">
        <v>9.7545378890340553E-3</v>
      </c>
      <c r="P103" s="13">
        <v>3.0492588285750302E-6</v>
      </c>
      <c r="Q103" s="13"/>
      <c r="R103" s="347"/>
      <c r="S103" s="13">
        <v>1.1331981464532842E-2</v>
      </c>
      <c r="T103" s="13">
        <v>9.7428525210818111E-3</v>
      </c>
      <c r="U103" s="13">
        <v>3.0394350737198524E-6</v>
      </c>
      <c r="V103" s="347"/>
      <c r="W103" s="13">
        <v>1.1545243541029825E-2</v>
      </c>
      <c r="X103" s="13">
        <v>9.7214418502827651E-3</v>
      </c>
      <c r="Y103" s="13">
        <v>3.0551404600611232E-6</v>
      </c>
      <c r="Z103" s="347"/>
      <c r="AA103" s="13">
        <v>1.1877466770399142E-2</v>
      </c>
      <c r="AB103" s="13">
        <v>9.6910006787794302E-3</v>
      </c>
      <c r="AC103" s="13">
        <v>3.0928736401741107E-6</v>
      </c>
      <c r="AD103" s="347"/>
      <c r="AE103" s="13">
        <v>1.2247336552940127E-2</v>
      </c>
      <c r="AF103" s="13">
        <v>9.6547859396218395E-3</v>
      </c>
      <c r="AG103" s="13">
        <v>3.1412803211101901E-6</v>
      </c>
      <c r="AH103" s="347"/>
      <c r="AI103" s="13">
        <v>1.2182411216862914E-2</v>
      </c>
      <c r="AJ103" s="13">
        <v>9.6123987407539541E-3</v>
      </c>
      <c r="AK103" s="13">
        <v>3.0761747211790856E-6</v>
      </c>
      <c r="AL103" s="347"/>
      <c r="AM103" s="13">
        <v>9.6390045150993604E-3</v>
      </c>
      <c r="AN103" s="13">
        <v>9.5560893605584653E-3</v>
      </c>
      <c r="AO103" s="13">
        <v>2.3977411099260559E-6</v>
      </c>
    </row>
    <row r="104" spans="1:56">
      <c r="A104" s="344" t="s">
        <v>6</v>
      </c>
      <c r="B104" t="s">
        <v>17</v>
      </c>
      <c r="C104" s="79">
        <v>2.893457527755835E-3</v>
      </c>
      <c r="D104" s="348">
        <v>8.71166728780809E-8</v>
      </c>
      <c r="E104" s="13"/>
      <c r="F104" s="347"/>
      <c r="G104" s="13">
        <v>2.8919888052055102E-3</v>
      </c>
      <c r="H104" s="13">
        <v>8.777585787699359E-8</v>
      </c>
      <c r="I104" s="13"/>
      <c r="J104" s="347"/>
      <c r="K104" s="13">
        <v>2.8903599789379003E-3</v>
      </c>
      <c r="L104" s="13">
        <v>8.8537733584982307E-8</v>
      </c>
      <c r="M104" s="13"/>
      <c r="N104" s="347"/>
      <c r="O104" s="13">
        <v>2.8885237511161285E-3</v>
      </c>
      <c r="P104" s="13">
        <v>8.9496266443087999E-8</v>
      </c>
      <c r="Q104" s="13"/>
      <c r="R104" s="347"/>
      <c r="S104" s="13">
        <v>3.813349965116166E-3</v>
      </c>
      <c r="T104" s="13">
        <v>2.8836207231217117E-3</v>
      </c>
      <c r="U104" s="13">
        <v>9.1220794101209241E-8</v>
      </c>
      <c r="V104" s="347"/>
      <c r="W104" s="13">
        <v>3.9782384764784342E-3</v>
      </c>
      <c r="X104" s="13">
        <v>2.8725269399935104E-3</v>
      </c>
      <c r="Y104" s="13">
        <v>9.4608603616502051E-8</v>
      </c>
      <c r="Z104" s="347"/>
      <c r="AA104" s="13">
        <v>4.2482416068530147E-3</v>
      </c>
      <c r="AB104" s="13">
        <v>2.8556834543511573E-3</v>
      </c>
      <c r="AC104" s="13">
        <v>1.0015048818364478E-7</v>
      </c>
      <c r="AD104" s="347"/>
      <c r="AE104" s="13">
        <v>4.6536735101357692E-3</v>
      </c>
      <c r="AF104" s="13">
        <v>2.8339675952159865E-3</v>
      </c>
      <c r="AG104" s="13">
        <v>1.0869413435783271E-7</v>
      </c>
      <c r="AH104" s="347"/>
      <c r="AI104" s="13">
        <v>5.0794280124289532E-3</v>
      </c>
      <c r="AJ104" s="13">
        <v>2.8088466440129222E-3</v>
      </c>
      <c r="AK104" s="13">
        <v>1.1723836364046045E-7</v>
      </c>
      <c r="AL104" s="347"/>
      <c r="AM104" s="13">
        <v>4.579464521067265E-3</v>
      </c>
      <c r="AN104" s="13">
        <v>2.8021806897283734E-3</v>
      </c>
      <c r="AO104" s="13">
        <v>1.041465833457301E-7</v>
      </c>
    </row>
    <row r="105" spans="1:56">
      <c r="A105" s="344" t="s">
        <v>7</v>
      </c>
      <c r="B105" t="s">
        <v>17</v>
      </c>
      <c r="C105" s="79">
        <v>5.5873531269922628E-3</v>
      </c>
      <c r="D105" s="348">
        <v>1.7360622961901298E-7</v>
      </c>
      <c r="E105" s="13"/>
      <c r="F105" s="347"/>
      <c r="G105" s="13">
        <v>5.5845141929336721E-3</v>
      </c>
      <c r="H105" s="13">
        <v>1.7602286591267845E-7</v>
      </c>
      <c r="I105" s="13"/>
      <c r="J105" s="347"/>
      <c r="K105" s="13">
        <v>5.5813653917645405E-3</v>
      </c>
      <c r="L105" s="13">
        <v>1.7886637041543729E-7</v>
      </c>
      <c r="M105" s="13"/>
      <c r="N105" s="347"/>
      <c r="O105" s="13">
        <v>5.5778150479786062E-3</v>
      </c>
      <c r="P105" s="13">
        <v>1.8241145056364936E-7</v>
      </c>
      <c r="Q105" s="13"/>
      <c r="R105" s="347"/>
      <c r="S105" s="13">
        <v>7.8678937946786154E-3</v>
      </c>
      <c r="T105" s="13">
        <v>5.5667665387907897E-3</v>
      </c>
      <c r="U105" s="13">
        <v>1.8803302715291398E-7</v>
      </c>
      <c r="V105" s="347"/>
      <c r="W105" s="13">
        <v>8.3169766432199307E-3</v>
      </c>
      <c r="X105" s="13">
        <v>5.5398832369859532E-3</v>
      </c>
      <c r="Y105" s="13">
        <v>1.9796560242258656E-7</v>
      </c>
      <c r="Z105" s="347"/>
      <c r="AA105" s="13">
        <v>9.0421733674561616E-3</v>
      </c>
      <c r="AB105" s="13">
        <v>5.4982476818827555E-3</v>
      </c>
      <c r="AC105" s="13">
        <v>2.1375294821220784E-7</v>
      </c>
      <c r="AD105" s="347"/>
      <c r="AE105" s="13">
        <v>1.0161055721521066E-2</v>
      </c>
      <c r="AF105" s="13">
        <v>5.4437416374237182E-3</v>
      </c>
      <c r="AG105" s="13">
        <v>2.380873484686741E-7</v>
      </c>
      <c r="AH105" s="347"/>
      <c r="AI105" s="13">
        <v>1.1465007822611471E-2</v>
      </c>
      <c r="AJ105" s="13">
        <v>5.3819143314923368E-3</v>
      </c>
      <c r="AK105" s="13">
        <v>2.6521500189932089E-7</v>
      </c>
      <c r="AL105" s="347"/>
      <c r="AM105" s="13">
        <v>1.0786712379111892E-2</v>
      </c>
      <c r="AN105" s="13">
        <v>5.3819971274680608E-3</v>
      </c>
      <c r="AO105" s="13">
        <v>2.4502303385102554E-7</v>
      </c>
    </row>
    <row r="106" spans="1:56">
      <c r="A106" s="344" t="s">
        <v>8</v>
      </c>
      <c r="B106" t="s">
        <v>17</v>
      </c>
      <c r="C106" s="79">
        <v>3.3924653559814499E-3</v>
      </c>
      <c r="D106" s="348">
        <v>4.6481469542338294E-8</v>
      </c>
      <c r="E106" s="13"/>
      <c r="F106" s="347"/>
      <c r="G106" s="13">
        <v>3.3907421547459699E-3</v>
      </c>
      <c r="H106" s="13">
        <v>4.7727270196748781E-8</v>
      </c>
      <c r="I106" s="13"/>
      <c r="J106" s="347"/>
      <c r="K106" s="13">
        <v>3.3888308610044017E-3</v>
      </c>
      <c r="L106" s="13">
        <v>4.9220855592481724E-8</v>
      </c>
      <c r="M106" s="13"/>
      <c r="N106" s="347"/>
      <c r="O106" s="13">
        <v>3.3866758893228406E-3</v>
      </c>
      <c r="P106" s="13">
        <v>5.110329239490358E-8</v>
      </c>
      <c r="Q106" s="13"/>
      <c r="R106" s="347"/>
      <c r="S106" s="13">
        <v>5.8039016648380954E-3</v>
      </c>
      <c r="T106" s="13">
        <v>3.3767637622508003E-3</v>
      </c>
      <c r="U106" s="13">
        <v>5.3959343610320796E-8</v>
      </c>
      <c r="V106" s="347"/>
      <c r="W106" s="13">
        <v>6.3100675108420864E-3</v>
      </c>
      <c r="X106" s="13">
        <v>3.3497142015278809E-3</v>
      </c>
      <c r="Y106" s="13">
        <v>5.8796470472025525E-8</v>
      </c>
      <c r="Z106" s="347"/>
      <c r="AA106" s="13">
        <v>7.1575038506956849E-3</v>
      </c>
      <c r="AB106" s="13">
        <v>3.3063406690455269E-3</v>
      </c>
      <c r="AC106" s="13">
        <v>6.6625857647849154E-8</v>
      </c>
      <c r="AD106" s="347"/>
      <c r="AE106" s="13">
        <v>8.6012730176944288E-3</v>
      </c>
      <c r="AF106" s="13">
        <v>3.2456096792164973E-3</v>
      </c>
      <c r="AG106" s="13">
        <v>7.9585272038802938E-8</v>
      </c>
      <c r="AH106" s="347"/>
      <c r="AI106" s="13">
        <v>1.0726648590333943E-2</v>
      </c>
      <c r="AJ106" s="13">
        <v>3.1690541361938359E-3</v>
      </c>
      <c r="AK106" s="13">
        <v>9.790024316485587E-8</v>
      </c>
      <c r="AL106" s="347"/>
      <c r="AM106" s="13">
        <v>1.1690931275676129E-2</v>
      </c>
      <c r="AN106" s="13">
        <v>3.170397074824324E-3</v>
      </c>
      <c r="AO106" s="13">
        <v>1.0399986870774279E-7</v>
      </c>
    </row>
    <row r="107" spans="1:56">
      <c r="A107" s="344" t="s">
        <v>9</v>
      </c>
      <c r="B107" t="s">
        <v>17</v>
      </c>
      <c r="C107" s="79">
        <v>2.8935732908321236E-3</v>
      </c>
      <c r="D107" s="348">
        <v>3.9687354147735553E-8</v>
      </c>
      <c r="E107" s="13"/>
      <c r="F107" s="347"/>
      <c r="G107" s="13">
        <v>2.8921031523484473E-3</v>
      </c>
      <c r="H107" s="13">
        <v>4.0893149376326004E-8</v>
      </c>
      <c r="I107" s="13"/>
      <c r="J107" s="347"/>
      <c r="K107" s="13">
        <v>2.8904724774846823E-3</v>
      </c>
      <c r="L107" s="13">
        <v>4.2345431420477844E-8</v>
      </c>
      <c r="M107" s="13"/>
      <c r="N107" s="347"/>
      <c r="O107" s="13">
        <v>2.8886337982570137E-3</v>
      </c>
      <c r="P107" s="13">
        <v>4.4180789595025186E-8</v>
      </c>
      <c r="Q107" s="13"/>
      <c r="R107" s="347"/>
      <c r="S107" s="13">
        <v>4.9310402786935156E-3</v>
      </c>
      <c r="T107" s="13">
        <v>2.8802388085651461E-3</v>
      </c>
      <c r="U107" s="13">
        <v>4.6938281602366217E-8</v>
      </c>
      <c r="V107" s="347"/>
      <c r="W107" s="13">
        <v>5.3958628278093579E-3</v>
      </c>
      <c r="X107" s="13">
        <v>2.8569446214680824E-3</v>
      </c>
      <c r="Y107" s="13">
        <v>5.1566891344909205E-8</v>
      </c>
      <c r="Z107" s="347"/>
      <c r="AA107" s="13">
        <v>6.1761039247876228E-3</v>
      </c>
      <c r="AB107" s="13">
        <v>2.818663766525193E-3</v>
      </c>
      <c r="AC107" s="13">
        <v>5.9081788604137182E-8</v>
      </c>
      <c r="AD107" s="347"/>
      <c r="AE107" s="13">
        <v>7.5150937594595209E-3</v>
      </c>
      <c r="AF107" s="13">
        <v>2.7635676378623278E-3</v>
      </c>
      <c r="AG107" s="13">
        <v>7.1617336100500036E-8</v>
      </c>
      <c r="AH107" s="347"/>
      <c r="AI107" s="13">
        <v>9.5223997464304148E-3</v>
      </c>
      <c r="AJ107" s="13">
        <v>2.6920761818817144E-3</v>
      </c>
      <c r="AK107" s="13">
        <v>8.9709810053381895E-8</v>
      </c>
      <c r="AL107" s="347"/>
      <c r="AM107" s="13">
        <v>1.0582164279223347E-2</v>
      </c>
      <c r="AN107" s="13">
        <v>2.6894509873260268E-3</v>
      </c>
      <c r="AO107" s="13">
        <v>9.7350518746085845E-8</v>
      </c>
    </row>
    <row r="108" spans="1:56">
      <c r="A108" s="344" t="s">
        <v>10</v>
      </c>
      <c r="B108" t="s">
        <v>17</v>
      </c>
      <c r="C108" s="79">
        <v>5.1885868880049294E-3</v>
      </c>
      <c r="D108" s="348">
        <v>2.5832216676072345E-8</v>
      </c>
      <c r="E108" s="13"/>
      <c r="F108" s="347"/>
      <c r="G108" s="13">
        <v>5.1859527712472039E-3</v>
      </c>
      <c r="H108" s="13">
        <v>2.7144512244842261E-8</v>
      </c>
      <c r="I108" s="13"/>
      <c r="J108" s="347"/>
      <c r="K108" s="13">
        <v>5.1830312245103333E-3</v>
      </c>
      <c r="L108" s="13">
        <v>2.8762288643539924E-8</v>
      </c>
      <c r="M108" s="13"/>
      <c r="N108" s="347"/>
      <c r="O108" s="13">
        <v>5.1797373934150143E-3</v>
      </c>
      <c r="P108" s="13">
        <v>3.0854490699248618E-8</v>
      </c>
      <c r="Q108" s="13"/>
      <c r="R108" s="347"/>
      <c r="S108" s="13">
        <v>1.0605971740457397E-2</v>
      </c>
      <c r="T108" s="13">
        <v>5.1591825076334258E-3</v>
      </c>
      <c r="U108" s="13">
        <v>3.3990896125279968E-8</v>
      </c>
      <c r="V108" s="347"/>
      <c r="W108" s="13">
        <v>1.2079453459228239E-2</v>
      </c>
      <c r="X108" s="13">
        <v>5.0962923313675502E-3</v>
      </c>
      <c r="Y108" s="13">
        <v>3.9269141260764811E-8</v>
      </c>
      <c r="Z108" s="347"/>
      <c r="AA108" s="13">
        <v>1.4673014365876501E-2</v>
      </c>
      <c r="AB108" s="13">
        <v>4.9845802673915644E-3</v>
      </c>
      <c r="AC108" s="13">
        <v>4.8246149834133362E-8</v>
      </c>
      <c r="AD108" s="347"/>
      <c r="AE108" s="13">
        <v>1.9527132563449789E-2</v>
      </c>
      <c r="AF108" s="13">
        <v>4.8035245212752729E-3</v>
      </c>
      <c r="AG108" s="13">
        <v>6.4515869835368491E-8</v>
      </c>
      <c r="AH108" s="347"/>
      <c r="AI108" s="13">
        <v>2.8009346089837728E-2</v>
      </c>
      <c r="AJ108" s="13">
        <v>4.5245518224812887E-3</v>
      </c>
      <c r="AK108" s="13">
        <v>9.2070234043854289E-8</v>
      </c>
      <c r="AL108" s="347"/>
      <c r="AM108" s="13">
        <v>3.7085639289108484E-2</v>
      </c>
      <c r="AN108" s="13">
        <v>4.4005293835146786E-3</v>
      </c>
      <c r="AO108" s="13">
        <v>1.1932729225304016E-7</v>
      </c>
    </row>
    <row r="109" spans="1:56">
      <c r="A109" s="344" t="s">
        <v>35</v>
      </c>
      <c r="B109" t="s">
        <v>17</v>
      </c>
      <c r="C109" s="79">
        <v>1.4971441499079155E-2</v>
      </c>
      <c r="D109" s="348">
        <v>6.4915560327330075E-8</v>
      </c>
      <c r="E109" s="13"/>
      <c r="F109" s="347"/>
      <c r="G109" s="13">
        <v>1.4963841868170744E-2</v>
      </c>
      <c r="H109" s="13">
        <v>6.8290834101132471E-8</v>
      </c>
      <c r="I109" s="13"/>
      <c r="J109" s="347"/>
      <c r="K109" s="13">
        <v>1.4955413141911324E-2</v>
      </c>
      <c r="L109" s="13">
        <v>7.2457783509884591E-8</v>
      </c>
      <c r="M109" s="13"/>
      <c r="N109" s="347"/>
      <c r="O109" s="13">
        <v>1.494591063490837E-2</v>
      </c>
      <c r="P109" s="13">
        <v>7.7857917312642652E-8</v>
      </c>
      <c r="Q109" s="13"/>
      <c r="R109" s="347"/>
      <c r="S109" s="13">
        <v>3.0977148455035675E-2</v>
      </c>
      <c r="T109" s="13">
        <v>1.4885435272190375E-2</v>
      </c>
      <c r="U109" s="13">
        <v>8.5975284349659593E-8</v>
      </c>
      <c r="V109" s="347"/>
      <c r="W109" s="13">
        <v>3.5372180835677766E-2</v>
      </c>
      <c r="X109" s="13">
        <v>1.4699405889687744E-2</v>
      </c>
      <c r="Y109" s="13">
        <v>9.9692259721439326E-8</v>
      </c>
      <c r="Z109" s="347"/>
      <c r="AA109" s="13">
        <v>4.3167571968230879E-2</v>
      </c>
      <c r="AB109" s="13">
        <v>1.4366680309267179E-2</v>
      </c>
      <c r="AC109" s="13">
        <v>1.2318578422766683E-7</v>
      </c>
      <c r="AD109" s="347"/>
      <c r="AE109" s="13">
        <v>5.790414665845791E-2</v>
      </c>
      <c r="AF109" s="13">
        <v>1.3820661118563508E-2</v>
      </c>
      <c r="AG109" s="13">
        <v>1.6624190518487827E-7</v>
      </c>
      <c r="AH109" s="347"/>
      <c r="AI109" s="13">
        <v>8.4068388789136417E-2</v>
      </c>
      <c r="AJ109" s="13">
        <v>1.2962055816443102E-2</v>
      </c>
      <c r="AK109" s="13">
        <v>2.4047444754676953E-7</v>
      </c>
      <c r="AL109" s="347"/>
      <c r="AM109" s="13">
        <v>0.11327512073083901</v>
      </c>
      <c r="AN109" s="13">
        <v>1.2534389229359441E-2</v>
      </c>
      <c r="AO109" s="13">
        <v>3.1774743947651964E-7</v>
      </c>
    </row>
    <row r="110" spans="1:56">
      <c r="A110" s="344" t="s">
        <v>163</v>
      </c>
      <c r="B110" t="s">
        <v>17</v>
      </c>
      <c r="C110" s="79">
        <v>6.9448881282341722E-3</v>
      </c>
      <c r="D110" s="348">
        <v>2.0471798355393238E-8</v>
      </c>
      <c r="E110" s="13"/>
      <c r="F110" s="347"/>
      <c r="G110" s="13">
        <v>6.9413634012917922E-3</v>
      </c>
      <c r="H110" s="13">
        <v>2.1807015689742145E-8</v>
      </c>
      <c r="I110" s="13"/>
      <c r="J110" s="347"/>
      <c r="K110" s="13">
        <v>6.9374541761945538E-3</v>
      </c>
      <c r="L110" s="13">
        <v>2.3479890098480739E-8</v>
      </c>
      <c r="M110" s="13"/>
      <c r="N110" s="347"/>
      <c r="O110" s="13">
        <v>6.9330469965922332E-3</v>
      </c>
      <c r="P110" s="13">
        <v>2.5682815270614122E-8</v>
      </c>
      <c r="Q110" s="13"/>
      <c r="R110" s="347"/>
      <c r="S110" s="13">
        <v>1.6478084204496684E-2</v>
      </c>
      <c r="T110" s="13">
        <v>6.8984126675299155E-3</v>
      </c>
      <c r="U110" s="13">
        <v>2.9024239663305455E-8</v>
      </c>
      <c r="V110" s="347"/>
      <c r="W110" s="13">
        <v>1.9301461548769848E-2</v>
      </c>
      <c r="X110" s="13">
        <v>6.786640856591271E-3</v>
      </c>
      <c r="Y110" s="13">
        <v>3.4733576074684267E-8</v>
      </c>
      <c r="Z110" s="347"/>
      <c r="AA110" s="13">
        <v>2.4432315879195952E-2</v>
      </c>
      <c r="AB110" s="13">
        <v>6.5788656384326979E-3</v>
      </c>
      <c r="AC110" s="13">
        <v>4.4786844570189836E-8</v>
      </c>
      <c r="AD110" s="347"/>
      <c r="AE110" s="13">
        <v>3.4529099261029969E-2</v>
      </c>
      <c r="AF110" s="13">
        <v>6.2175792387771708E-3</v>
      </c>
      <c r="AG110" s="13">
        <v>6.396700889100016E-8</v>
      </c>
      <c r="AH110" s="347"/>
      <c r="AI110" s="13">
        <v>5.3423133605452977E-2</v>
      </c>
      <c r="AJ110" s="13">
        <v>5.6086175415106E-3</v>
      </c>
      <c r="AK110" s="13">
        <v>9.8902409264487066E-8</v>
      </c>
      <c r="AL110" s="347"/>
      <c r="AM110" s="13">
        <v>7.8346506830411722E-2</v>
      </c>
      <c r="AN110" s="13">
        <v>5.1787037707719547E-3</v>
      </c>
      <c r="AO110" s="13">
        <v>1.4233549146465275E-7</v>
      </c>
    </row>
    <row r="111" spans="1:56">
      <c r="A111" s="344" t="s">
        <v>37</v>
      </c>
      <c r="B111" t="s">
        <v>17</v>
      </c>
      <c r="C111" s="79">
        <v>3.219528531630299E-3</v>
      </c>
      <c r="D111" s="348">
        <v>7.693009235335395E-9</v>
      </c>
      <c r="E111" s="13"/>
      <c r="F111" s="347"/>
      <c r="G111" s="13">
        <v>3.2178947668605584E-3</v>
      </c>
      <c r="H111" s="13">
        <v>8.2144797432671285E-9</v>
      </c>
      <c r="I111" s="13"/>
      <c r="J111" s="347"/>
      <c r="K111" s="13">
        <v>3.2160828234165089E-3</v>
      </c>
      <c r="L111" s="13">
        <v>8.8697910818933032E-9</v>
      </c>
      <c r="M111" s="13"/>
      <c r="N111" s="347"/>
      <c r="O111" s="13">
        <v>3.2140401453666853E-3</v>
      </c>
      <c r="P111" s="13">
        <v>9.7362827992822499E-9</v>
      </c>
      <c r="Q111" s="13"/>
      <c r="R111" s="347"/>
      <c r="S111" s="13">
        <v>8.1311762761518448E-3</v>
      </c>
      <c r="T111" s="13">
        <v>3.1964482907810145E-3</v>
      </c>
      <c r="U111" s="13">
        <v>1.1056924760880229E-8</v>
      </c>
      <c r="V111" s="347"/>
      <c r="W111" s="13">
        <v>9.5774752412517705E-3</v>
      </c>
      <c r="X111" s="13">
        <v>3.1392021516010874E-3</v>
      </c>
      <c r="Y111" s="13">
        <v>1.3326453124656074E-8</v>
      </c>
      <c r="Z111" s="347"/>
      <c r="AA111" s="13">
        <v>1.2231585765092531E-2</v>
      </c>
      <c r="AB111" s="13">
        <v>3.0323628657639157E-3</v>
      </c>
      <c r="AC111" s="13">
        <v>1.7359531895860437E-8</v>
      </c>
      <c r="AD111" s="347"/>
      <c r="AE111" s="13">
        <v>1.7527252009480219E-2</v>
      </c>
      <c r="AF111" s="13">
        <v>2.844241570282994E-3</v>
      </c>
      <c r="AG111" s="13">
        <v>2.5158009161290097E-8</v>
      </c>
      <c r="AH111" s="347"/>
      <c r="AI111" s="13">
        <v>2.7592742544940298E-2</v>
      </c>
      <c r="AJ111" s="13">
        <v>2.5213151910754542E-3</v>
      </c>
      <c r="AK111" s="13">
        <v>3.9594460134168204E-8</v>
      </c>
      <c r="AL111" s="347"/>
      <c r="AM111" s="13">
        <v>4.1468133190210636E-2</v>
      </c>
      <c r="AN111" s="13">
        <v>2.2730521418742279E-3</v>
      </c>
      <c r="AO111" s="13">
        <v>5.8415854189835401E-8</v>
      </c>
    </row>
    <row r="112" spans="1:56">
      <c r="A112" s="344" t="s">
        <v>38</v>
      </c>
      <c r="B112" t="s">
        <v>17</v>
      </c>
      <c r="C112" s="79">
        <v>4.8734691930846256E-3</v>
      </c>
      <c r="D112" s="348">
        <v>8.0168898990836413E-11</v>
      </c>
      <c r="E112" s="13"/>
      <c r="F112" s="347"/>
      <c r="G112" s="13">
        <v>4.8709979990367728E-3</v>
      </c>
      <c r="H112" s="13">
        <v>1.0016328432420981E-10</v>
      </c>
      <c r="I112" s="13"/>
      <c r="J112" s="347"/>
      <c r="K112" s="13">
        <v>4.8682576630060389E-3</v>
      </c>
      <c r="L112" s="13">
        <v>1.3008867392282235E-10</v>
      </c>
      <c r="M112" s="13"/>
      <c r="N112" s="347"/>
      <c r="O112" s="13">
        <v>4.8651689925924366E-3</v>
      </c>
      <c r="P112" s="13">
        <v>1.7865517772023253E-10</v>
      </c>
      <c r="Q112" s="13"/>
      <c r="R112" s="347"/>
      <c r="S112" s="13">
        <v>8.1505454584468492E-2</v>
      </c>
      <c r="T112" s="13">
        <v>4.6225238490554248E-3</v>
      </c>
      <c r="U112" s="13">
        <v>2.630529259419728E-10</v>
      </c>
      <c r="V112" s="347"/>
      <c r="W112" s="13">
        <v>0.11272923319009537</v>
      </c>
      <c r="X112" s="13">
        <v>3.6626391118278036E-3</v>
      </c>
      <c r="Y112" s="13">
        <v>4.0138505374967219E-10</v>
      </c>
      <c r="Z112" s="347"/>
      <c r="AA112" s="13">
        <v>0.14960528366604212</v>
      </c>
      <c r="AB112" s="13">
        <v>2.0670545151266731E-3</v>
      </c>
      <c r="AC112" s="13">
        <v>5.8481239657186091E-10</v>
      </c>
      <c r="AD112" s="347"/>
      <c r="AE112" s="13">
        <v>0.18036445877500659</v>
      </c>
      <c r="AF112" s="13">
        <v>6.60976733976016E-4</v>
      </c>
      <c r="AG112" s="13">
        <v>7.5036641457393283E-10</v>
      </c>
      <c r="AH112" s="347"/>
      <c r="AI112" s="13">
        <v>0.20984292212297775</v>
      </c>
      <c r="AJ112" s="13">
        <v>1.1454342158836E-4</v>
      </c>
      <c r="AK112" s="13">
        <v>8.9938822646501698E-10</v>
      </c>
      <c r="AL112" s="347"/>
      <c r="AM112" s="13">
        <v>0.28618448813293085</v>
      </c>
      <c r="AN112" s="13">
        <v>1.7022799471833005E-5</v>
      </c>
      <c r="AO112" s="13">
        <v>1.2046990313869513E-9</v>
      </c>
    </row>
    <row r="113" spans="1:41">
      <c r="A113" s="344" t="s">
        <v>39</v>
      </c>
      <c r="B113" t="s">
        <v>17</v>
      </c>
      <c r="C113" s="79">
        <v>1.5214718067177873E-3</v>
      </c>
      <c r="D113" s="348">
        <v>2.4018109073765414E-12</v>
      </c>
      <c r="E113" s="13"/>
      <c r="F113" s="347"/>
      <c r="G113" s="13">
        <v>1.5207003256764516E-3</v>
      </c>
      <c r="H113" s="13">
        <v>3.3403657875728975E-12</v>
      </c>
      <c r="I113" s="13"/>
      <c r="J113" s="347"/>
      <c r="K113" s="13">
        <v>1.5198448267191938E-3</v>
      </c>
      <c r="L113" s="13">
        <v>4.9213598173749649E-12</v>
      </c>
      <c r="M113" s="13"/>
      <c r="N113" s="347"/>
      <c r="O113" s="13">
        <v>1.5188805925222867E-3</v>
      </c>
      <c r="P113" s="13">
        <v>7.8749485441549314E-12</v>
      </c>
      <c r="Q113" s="13"/>
      <c r="R113" s="347"/>
      <c r="S113" s="13">
        <v>0.11848572154601364</v>
      </c>
      <c r="T113" s="13">
        <v>1.1526728255801559E-3</v>
      </c>
      <c r="U113" s="13">
        <v>1.1428605864532753E-11</v>
      </c>
      <c r="V113" s="347"/>
      <c r="W113" s="13">
        <v>0.10079701742522695</v>
      </c>
      <c r="X113" s="13">
        <v>4.2903197038628404E-4</v>
      </c>
      <c r="Y113" s="13">
        <v>1.1177839728092532E-11</v>
      </c>
      <c r="Z113" s="347"/>
      <c r="AA113" s="13">
        <v>7.9438068600742984E-2</v>
      </c>
      <c r="AB113" s="13">
        <v>9.6122031968121698E-5</v>
      </c>
      <c r="AC113" s="13">
        <v>1.0041980867872363E-11</v>
      </c>
      <c r="AD113" s="347"/>
      <c r="AE113" s="13">
        <v>7.2167666757991217E-2</v>
      </c>
      <c r="AF113" s="13">
        <v>1.2431728593996166E-5</v>
      </c>
      <c r="AG113" s="13">
        <v>9.8123572785498351E-12</v>
      </c>
      <c r="AH113" s="347"/>
      <c r="AI113" s="13">
        <v>7.7999182725340233E-2</v>
      </c>
      <c r="AJ113" s="13">
        <v>8.1760469884796279E-7</v>
      </c>
      <c r="AK113" s="13">
        <v>1.0793382774090823E-11</v>
      </c>
      <c r="AL113" s="347"/>
      <c r="AM113" s="13">
        <v>0.10550233499182585</v>
      </c>
      <c r="AN113" s="13">
        <v>3.8847703200880447E-8</v>
      </c>
      <c r="AO113" s="13">
        <v>1.3746839852908715E-11</v>
      </c>
    </row>
    <row r="114" spans="1:41">
      <c r="A114" s="344" t="s">
        <v>251</v>
      </c>
      <c r="B114" t="s">
        <v>17</v>
      </c>
      <c r="C114" s="13">
        <v>3.2541824123865232E-8</v>
      </c>
      <c r="D114" s="13">
        <v>2.8194191633330607E-2</v>
      </c>
      <c r="E114" s="13"/>
      <c r="F114" s="347"/>
      <c r="G114" s="13">
        <v>3.6924738639758649E-8</v>
      </c>
      <c r="H114" s="13">
        <v>2.8200051306810119E-2</v>
      </c>
      <c r="I114" s="13"/>
      <c r="J114" s="347"/>
      <c r="K114" s="13">
        <v>4.2574464054744822E-8</v>
      </c>
      <c r="L114" s="13">
        <v>2.8206279765828606E-2</v>
      </c>
      <c r="M114" s="13"/>
      <c r="N114" s="347"/>
      <c r="O114" s="13">
        <v>5.0074408077280977E-8</v>
      </c>
      <c r="P114" s="13">
        <v>2.8212951725354308E-2</v>
      </c>
      <c r="Q114" s="13"/>
      <c r="R114" s="347"/>
      <c r="S114" s="13">
        <v>2.0874291447416273E-6</v>
      </c>
      <c r="T114" s="13">
        <v>5.8599521700216427E-8</v>
      </c>
      <c r="U114" s="13">
        <v>2.8219799525046479E-2</v>
      </c>
      <c r="V114" s="347"/>
      <c r="W114" s="13">
        <v>1.9237168768224573E-6</v>
      </c>
      <c r="X114" s="13">
        <v>6.8198927734353518E-8</v>
      </c>
      <c r="Y114" s="13">
        <v>2.8225750281855873E-2</v>
      </c>
      <c r="Z114" s="347"/>
      <c r="AA114" s="13">
        <v>1.6732148880421491E-6</v>
      </c>
      <c r="AB114" s="13">
        <v>8.4263062490736126E-8</v>
      </c>
      <c r="AC114" s="13">
        <v>2.8233490381806885E-2</v>
      </c>
      <c r="AD114" s="347"/>
      <c r="AE114" s="13">
        <v>1.4761540438464036E-6</v>
      </c>
      <c r="AF114" s="13">
        <v>1.13475143357407E-7</v>
      </c>
      <c r="AG114" s="13">
        <v>2.8245532835179773E-2</v>
      </c>
      <c r="AH114" s="347"/>
      <c r="AI114" s="13">
        <v>1.2569447807519264E-6</v>
      </c>
      <c r="AJ114" s="13">
        <v>1.670281322470689E-7</v>
      </c>
      <c r="AK114" s="13">
        <v>2.8272572266400776E-2</v>
      </c>
      <c r="AL114" s="347"/>
      <c r="AM114" s="13">
        <v>1.4518393114188051E-6</v>
      </c>
      <c r="AN114" s="13">
        <v>2.8969130395288058E-7</v>
      </c>
      <c r="AO114" s="13">
        <v>2.8340046410318696E-2</v>
      </c>
    </row>
    <row r="115" spans="1:41">
      <c r="A115" s="344" t="s">
        <v>41</v>
      </c>
      <c r="B115" t="s">
        <v>17</v>
      </c>
      <c r="C115" s="13"/>
      <c r="D115" s="13"/>
      <c r="E115" s="13"/>
      <c r="F115" s="347"/>
      <c r="G115" s="13"/>
      <c r="H115" s="13"/>
      <c r="I115" s="13"/>
      <c r="J115" s="347"/>
      <c r="K115" s="13"/>
      <c r="L115" s="13"/>
      <c r="M115" s="13"/>
      <c r="N115" s="347"/>
      <c r="O115" s="13"/>
      <c r="P115" s="13"/>
      <c r="Q115" s="13"/>
      <c r="R115" s="347"/>
      <c r="S115" s="13"/>
      <c r="T115" s="13"/>
      <c r="U115" s="13"/>
      <c r="V115" s="347"/>
      <c r="W115" s="13"/>
      <c r="X115" s="13"/>
      <c r="Y115" s="13"/>
      <c r="Z115" s="347"/>
      <c r="AA115" s="13"/>
      <c r="AB115" s="13"/>
      <c r="AC115" s="13"/>
      <c r="AD115" s="347"/>
      <c r="AE115" s="13"/>
      <c r="AF115" s="13"/>
      <c r="AG115" s="13"/>
      <c r="AH115" s="347"/>
      <c r="AI115" s="13"/>
      <c r="AJ115" s="13"/>
      <c r="AK115" s="13"/>
    </row>
    <row r="116" spans="1:41">
      <c r="A116" s="344" t="s">
        <v>42</v>
      </c>
      <c r="B116" t="s">
        <v>17</v>
      </c>
      <c r="C116" s="13"/>
      <c r="D116" s="13"/>
      <c r="E116" s="13"/>
      <c r="F116" s="347"/>
      <c r="G116" s="13"/>
      <c r="H116" s="13"/>
      <c r="I116" s="13"/>
      <c r="J116" s="347"/>
      <c r="K116" s="13"/>
      <c r="L116" s="13"/>
      <c r="M116" s="13"/>
      <c r="N116" s="347"/>
      <c r="O116" s="13"/>
      <c r="P116" s="13"/>
      <c r="Q116" s="13"/>
      <c r="R116" s="347"/>
      <c r="S116" s="13"/>
      <c r="T116" s="13"/>
      <c r="U116" s="13"/>
      <c r="V116" s="347"/>
      <c r="W116" s="13"/>
      <c r="X116" s="13"/>
      <c r="Y116" s="13"/>
      <c r="Z116" s="347"/>
      <c r="AA116" s="13"/>
      <c r="AB116" s="13"/>
      <c r="AC116" s="13"/>
      <c r="AD116" s="347"/>
      <c r="AE116" s="13"/>
      <c r="AF116" s="13"/>
      <c r="AG116" s="13"/>
      <c r="AH116" s="347"/>
      <c r="AI116" s="13"/>
      <c r="AJ116" s="13"/>
      <c r="AK116" s="13"/>
    </row>
    <row r="117" spans="1:41">
      <c r="A117" s="344" t="s">
        <v>43</v>
      </c>
      <c r="B117" t="s">
        <v>17</v>
      </c>
      <c r="C117" s="13"/>
      <c r="D117" s="13"/>
      <c r="E117" s="13"/>
      <c r="F117" s="347"/>
      <c r="G117" s="13"/>
      <c r="H117" s="13"/>
      <c r="I117" s="13"/>
      <c r="J117" s="347"/>
      <c r="K117" s="13"/>
      <c r="L117" s="13"/>
      <c r="M117" s="13"/>
      <c r="N117" s="347"/>
      <c r="O117" s="13"/>
      <c r="P117" s="13"/>
      <c r="Q117" s="13"/>
      <c r="R117" s="347"/>
      <c r="S117" s="13"/>
      <c r="T117" s="13"/>
      <c r="U117" s="13"/>
      <c r="V117" s="347"/>
      <c r="W117" s="13"/>
      <c r="X117" s="13"/>
      <c r="Y117" s="13"/>
      <c r="Z117" s="347"/>
      <c r="AA117" s="13"/>
      <c r="AB117" s="13"/>
      <c r="AC117" s="13"/>
      <c r="AD117" s="347"/>
      <c r="AE117" s="13"/>
      <c r="AF117" s="13"/>
      <c r="AG117" s="13"/>
      <c r="AH117" s="347"/>
      <c r="AI117" s="13"/>
      <c r="AJ117" s="13"/>
      <c r="AK117" s="13"/>
    </row>
    <row r="118" spans="1:41">
      <c r="A118" s="344" t="s">
        <v>44</v>
      </c>
      <c r="B118" t="s">
        <v>17</v>
      </c>
      <c r="C118" s="13"/>
      <c r="D118" s="13"/>
      <c r="E118" s="13"/>
      <c r="F118" s="347"/>
      <c r="G118" s="13"/>
      <c r="H118" s="13"/>
      <c r="I118" s="13"/>
      <c r="J118" s="347"/>
      <c r="K118" s="13"/>
      <c r="L118" s="13"/>
      <c r="M118" s="13"/>
      <c r="N118" s="347"/>
      <c r="O118" s="13"/>
      <c r="P118" s="13"/>
      <c r="Q118" s="13"/>
      <c r="R118" s="347"/>
      <c r="S118" s="13"/>
      <c r="T118" s="13"/>
      <c r="U118" s="13"/>
      <c r="V118" s="347"/>
      <c r="W118" s="13"/>
      <c r="X118" s="13"/>
      <c r="Y118" s="13"/>
      <c r="Z118" s="347"/>
      <c r="AA118" s="13"/>
      <c r="AB118" s="13"/>
      <c r="AC118" s="13"/>
      <c r="AD118" s="347"/>
      <c r="AE118" s="13"/>
      <c r="AF118" s="13"/>
      <c r="AG118" s="13"/>
      <c r="AH118" s="347"/>
      <c r="AI118" s="13"/>
      <c r="AJ118" s="13"/>
      <c r="AK118" s="13"/>
    </row>
    <row r="119" spans="1:41">
      <c r="A119" s="344" t="s">
        <v>45</v>
      </c>
      <c r="B119" t="s">
        <v>17</v>
      </c>
      <c r="F119" s="345"/>
      <c r="J119" s="345"/>
      <c r="N119" s="345"/>
      <c r="R119" s="345"/>
      <c r="V119" s="345"/>
      <c r="Z119" s="345"/>
      <c r="AD119" s="345"/>
      <c r="AH119" s="345"/>
    </row>
    <row r="120" spans="1:41">
      <c r="A120" s="344" t="s">
        <v>225</v>
      </c>
      <c r="C120" s="13">
        <f>SUM(C106:C113)*C90/$P$84</f>
        <v>4.3099498150774324E-2</v>
      </c>
      <c r="D120" s="13">
        <f>SUM(D106:D113)*D90/$P$84</f>
        <v>5.0184922567122782E-7</v>
      </c>
      <c r="F120" s="345"/>
      <c r="G120" s="13">
        <f>SUM(G106:G113)*G90/$P$84</f>
        <v>4.3099476203814276E-2</v>
      </c>
      <c r="H120" s="13">
        <f>SUM(H106:H113)*H90/$P$84</f>
        <v>5.2379618572085203E-7</v>
      </c>
      <c r="I120" s="13"/>
      <c r="J120" s="345"/>
      <c r="K120" s="13">
        <f>SUM(K106:K113)*K90/$P$84</f>
        <v>4.1253060007791637E-2</v>
      </c>
      <c r="L120" s="13">
        <f>SUM(L106:L113)*L90/$P$84</f>
        <v>5.5079666906873055E-7</v>
      </c>
      <c r="M120" s="13"/>
      <c r="N120" s="345"/>
      <c r="O120" s="13">
        <f>SUM(O106:O113)*O90/$P$84</f>
        <v>3.9144957792709566E-2</v>
      </c>
      <c r="P120" s="13">
        <f>SUM(P106:P113)*P90/$P$84</f>
        <v>5.8569809902674617E-7</v>
      </c>
      <c r="Q120" s="13"/>
      <c r="R120" s="345"/>
      <c r="S120" s="13">
        <f>SUM(S106:S113)*S90/$P$84</f>
        <v>7.3711470695270848E-4</v>
      </c>
      <c r="T120" s="13">
        <f>SUM(T106:T113)*T90/$P$84</f>
        <v>3.5957962880244033E-2</v>
      </c>
      <c r="U120" s="13">
        <f>SUM(U106:U113)*U90/$P$84</f>
        <v>6.3838576777662761E-7</v>
      </c>
      <c r="V120" s="345"/>
      <c r="W120" s="13">
        <f>SUM(W106:W113)*W90/$P$84</f>
        <v>2.6466316960120171E-3</v>
      </c>
      <c r="X120" s="13">
        <f>SUM(X106:X113)*X90/$P$84</f>
        <v>3.1124224825598925E-2</v>
      </c>
      <c r="Y120" s="13">
        <f>SUM(Y106:Y113)*Y90/$P$84</f>
        <v>7.2762369219108417E-7</v>
      </c>
      <c r="Z120" s="345"/>
      <c r="AA120" s="13">
        <f>SUM(AA106:AA113)*AA90/$P$84</f>
        <v>4.7271054709664122E-3</v>
      </c>
      <c r="AB120" s="13">
        <f>SUM(AB106:AB113)*AB90/$P$84</f>
        <v>2.5519756916618317E-2</v>
      </c>
      <c r="AC120" s="13">
        <f>SUM(AC106:AC113)*AC90/$P$84</f>
        <v>8.790741333207383E-7</v>
      </c>
      <c r="AD120" s="345"/>
      <c r="AE120" s="13">
        <f>SUM(AE106:AE113)*AE90/$P$84</f>
        <v>6.4141071432856763E-3</v>
      </c>
      <c r="AF120" s="13">
        <f>SUM(AF106:AF113)*AF90/$P$84</f>
        <v>1.9660283691481654E-2</v>
      </c>
      <c r="AG120" s="13">
        <f>SUM(AG106:AG113)*AG90/$P$84</f>
        <v>1.1520767030819856E-6</v>
      </c>
      <c r="AH120" s="345"/>
      <c r="AI120" s="13">
        <f>SUM(AI106:AI113)*AI90/$P$84</f>
        <v>7.5028121611123719E-3</v>
      </c>
      <c r="AJ120" s="13">
        <f>SUM(AJ106:AJ113)*AJ90/$P$84</f>
        <v>1.3757287597917981E-2</v>
      </c>
      <c r="AK120" s="13">
        <f>SUM(AK106:AK113)*AK90/$P$84</f>
        <v>1.6088713557129264E-6</v>
      </c>
      <c r="AM120" s="13">
        <f>SUM(AM106:AM113)*AM90/$P$84</f>
        <v>7.5731313663379646E-3</v>
      </c>
      <c r="AN120" s="13">
        <f>SUM(AN106:AN113)*AN90/$P$84</f>
        <v>8.5935182775632082E-3</v>
      </c>
      <c r="AO120" s="13">
        <f>SUM(AO106:AO113)*AO90/$P$84</f>
        <v>2.0450964814839768E-6</v>
      </c>
    </row>
    <row r="121" spans="1:41">
      <c r="A121" s="344" t="s">
        <v>226</v>
      </c>
      <c r="C121">
        <f>(C106*$AR$10+C107*$AR$11+$AR$12*C108+C109*$AR$13+$AR$14*C110+C111*$AR$15+$AR$16*C112+C113*$AR$17)/0.02404/(1-C120)*C90/$P$84</f>
        <v>269.53745712778397</v>
      </c>
      <c r="D121">
        <f>(D106*$AR$10+D107*$AR$11+$AR$12*D108+D109*$AR$13+$AR$14*D110+D111*$AR$15+$AR$16*D112+D113*$AR$17)/0.02404/(1-D120)*D90/$P$84</f>
        <v>2.0890380914748933E-3</v>
      </c>
      <c r="F121" s="345"/>
      <c r="G121">
        <f>(G106*$AR$10+G107*$AR$11+$AR$12*G108+G109*$AR$13+$AR$14*G110+G111*$AR$15+$AR$16*G112+G113*$AR$17)/0.02404/(1-G120)*G90/$P$84</f>
        <v>269.53734615085364</v>
      </c>
      <c r="H121">
        <f>(H106*$AR$10+H107*$AR$11+$AR$12*H108+H109*$AR$13+$AR$14*H110+H111*$AR$15+$AR$16*H112+H113*$AR$17)/0.02404/(1-H120)*H90/$P$84</f>
        <v>2.1893165447988364E-3</v>
      </c>
      <c r="J121" s="345"/>
      <c r="K121">
        <f>(K106*$AR$10+K107*$AR$11+$AR$12*K108+K109*$AR$13+$AR$14*K110+K111*$AR$15+$AR$16*K112+K113*$AR$17)/0.02404/(1-K120)*K90/$P$84</f>
        <v>257.493334903711</v>
      </c>
      <c r="L121">
        <f>(L106*$AR$10+L107*$AR$11+$AR$12*L108+L109*$AR$13+$AR$14*L110+L111*$AR$15+$AR$16*L112+L113*$AR$17)/0.02404/(1-L120)*L90/$P$84</f>
        <v>2.3133104722735678E-3</v>
      </c>
      <c r="N121" s="345"/>
      <c r="O121">
        <f>(O106*$AR$10+O107*$AR$11+$AR$12*O108+O109*$AR$13+$AR$14*O110+O111*$AR$15+$AR$16*O112+O113*$AR$17)/0.02404/(1-O120)*O90/$P$84</f>
        <v>243.79896544745318</v>
      </c>
      <c r="P121">
        <f>(P106*$AR$10+P107*$AR$11+$AR$12*P108+P109*$AR$13+$AR$14*P110+P111*$AR$15+$AR$16*P112+P113*$AR$17)/0.02404/(1-P120)*P90/$P$84</f>
        <v>2.4744765203254366E-3</v>
      </c>
      <c r="R121" s="345"/>
      <c r="S121">
        <f>(S106*$AR$10+S107*$AR$11+$AR$12*S108+S109*$AR$13+$AR$14*S110+S111*$AR$15+$AR$16*S112+S113*$AR$17)/0.02404/(1-S120)*S90/$P$84</f>
        <v>8.6250218388762647</v>
      </c>
      <c r="T121">
        <f>(T106*$AR$10+T107*$AR$11+$AR$12*T108+T109*$AR$13+$AR$14*T110+T111*$AR$15+$AR$16*T112+T113*$AR$17)/0.02404/(1-T120)*T90/$P$84</f>
        <v>218.84526609988148</v>
      </c>
      <c r="U121">
        <f>(U106*$AR$10+U107*$AR$11+$AR$12*U108+U109*$AR$13+$AR$14*U110+U111*$AR$15+$AR$16*U112+U113*$AR$17)/0.02404/(1-U120)*U90/$P$84</f>
        <v>2.718124172068776E-3</v>
      </c>
      <c r="V121" s="345"/>
      <c r="W121">
        <f>(W106*$AR$10+W107*$AR$11+$AR$12*W108+W109*$AR$13+$AR$14*W110+W111*$AR$15+$AR$16*W112+W113*$AR$17)/0.02404/(1-W120)*W90/$P$84</f>
        <v>29.356986134944009</v>
      </c>
      <c r="X121">
        <f>(X106*$AR$10+X107*$AR$11+$AR$12*X108+X109*$AR$13+$AR$14*X110+X111*$AR$15+$AR$16*X112+X113*$AR$17)/0.02404/(1-X120)*X90/$P$84</f>
        <v>178.72079545371997</v>
      </c>
      <c r="Y121">
        <f>(Y106*$AR$10+Y107*$AR$11+$AR$12*Y108+Y109*$AR$13+$AR$14*Y110+Y111*$AR$15+$AR$16*Y112+Y113*$AR$17)/0.02404/(1-Y120)*Y90/$P$84</f>
        <v>3.1312804807766843E-3</v>
      </c>
      <c r="Z121" s="345"/>
      <c r="AA121">
        <f>(AA106*$AR$10+AA107*$AR$11+$AR$12*AA108+AA109*$AR$13+$AR$14*AA110+AA111*$AR$15+$AR$16*AA112+AA113*$AR$17)/0.02404/(1-AA120)*AA90/$P$84</f>
        <v>49.074085015365419</v>
      </c>
      <c r="AB121">
        <f>(AB106*$AR$10+AB107*$AR$11+$AR$12*AB108+AB109*$AR$13+$AR$14*AB110+AB111*$AR$15+$AR$16*AB112+AB113*$AR$17)/0.02404/(1-AB120)*AB90/$P$84</f>
        <v>137.49892101123658</v>
      </c>
      <c r="AC121">
        <f>(AC106*$AR$10+AC107*$AR$11+$AR$12*AC108+AC109*$AR$13+$AR$14*AC110+AC111*$AR$15+$AR$16*AC112+AC113*$AR$17)/0.02404/(1-AC120)*AC90/$P$84</f>
        <v>3.8378826193124519E-3</v>
      </c>
      <c r="AD121" s="345"/>
      <c r="AE121">
        <f>(AE106*$AR$10+AE107*$AR$11+$AR$12*AE108+AE109*$AR$13+$AR$14*AE110+AE111*$AR$15+$AR$16*AE112+AE113*$AR$17)/0.02404/(1-AE120)*AE90/$P$84</f>
        <v>63.130665934870017</v>
      </c>
      <c r="AF121">
        <f>(AF106*$AR$10+AF107*$AR$11+$AR$12*AF108+AF109*$AR$13+$AR$14*AF110+AF111*$AR$15+$AR$16*AF112+AF113*$AR$17)/0.02404/(1-AF120)*AF90/$P$84</f>
        <v>100.16851847679523</v>
      </c>
      <c r="AG121">
        <f>(AG106*$AR$10+AG107*$AR$11+$AR$12*AG108+AG109*$AR$13+$AR$14*AG110+AG111*$AR$15+$AR$16*AG112+AG113*$AR$17)/0.02404/(1-AG120)*AG90/$P$84</f>
        <v>5.1274559322686472E-3</v>
      </c>
      <c r="AH121" s="345"/>
      <c r="AI121">
        <f>(AI106*$AR$10+AI107*$AR$11+$AR$12*AI108+AI109*$AR$13+$AR$14*AI110+AI111*$AR$15+$AR$16*AI112+AI113*$AR$17)/0.02404/(1-AI120)*AI90/$P$84</f>
        <v>70.573989807901626</v>
      </c>
      <c r="AJ121">
        <f>(AJ106*$AR$10+AJ107*$AR$11+$AR$12*AJ108+AJ109*$AR$13+$AR$14*AJ110+AJ111*$AR$15+$AR$16*AJ112+AJ113*$AR$17)/0.02404/(1-AJ120)*AJ90/$P$84</f>
        <v>67.766367380234584</v>
      </c>
      <c r="AK121">
        <f>(AK106*$AR$10+AK107*$AR$11+$AR$12*AK108+AK109*$AR$13+$AR$14*AK110+AK111*$AR$15+$AR$16*AK112+AK113*$AR$17)/0.02404/(1-AK120)*AK90/$P$84</f>
        <v>7.3336248899749309E-3</v>
      </c>
      <c r="AM121">
        <f>(AM106*$AR$10+AM107*$AR$11+$AR$12*AM108+AM109*$AR$13+$AR$14*AM110+AM111*$AR$15+$AR$16*AM112+AM113*$AR$17)/0.02404/(1-AM120)*AM90/$P$84</f>
        <v>71.476624421927454</v>
      </c>
      <c r="AN121">
        <f>(AN106*$AR$10+AN107*$AR$11+$AR$12*AN108+AN109*$AR$13+$AR$14*AN110+AN111*$AR$15+$AR$16*AN112+AN113*$AR$17)/0.02404/(1-AN120)*AN90/$P$84</f>
        <v>41.555776921586414</v>
      </c>
      <c r="AO121">
        <f>(AO106*$AR$10+AO107*$AR$11+$AR$12*AO108+AO109*$AR$13+$AR$14*AO110+AO111*$AR$15+$AR$16*AO112+AO113*$AR$17)/0.02404/(1-AO120)*AO90/$P$84</f>
        <v>9.6175129902983797E-3</v>
      </c>
    </row>
    <row r="122" spans="1:41">
      <c r="C122" s="13">
        <f>SUM(C106:C113)</f>
        <v>4.300542469356454E-2</v>
      </c>
      <c r="G122" s="13">
        <f>SUM(G106:G113)</f>
        <v>4.2983596439377936E-2</v>
      </c>
      <c r="K122" s="13">
        <f>SUM(K106:K113)</f>
        <v>4.2959387194247037E-2</v>
      </c>
      <c r="O122" s="13">
        <f>SUM(O106:O113)</f>
        <v>4.2932094442976881E-2</v>
      </c>
      <c r="T122" s="13">
        <f>SUM(T106:T113)</f>
        <v>4.2171677983586252E-2</v>
      </c>
      <c r="X122" s="13">
        <f>SUM(X106:X113)</f>
        <v>4.0019871134457707E-2</v>
      </c>
      <c r="AB122" s="13">
        <f>SUM(AB106:AB113)</f>
        <v>3.7250670063520876E-2</v>
      </c>
      <c r="AF122" s="13">
        <f>SUM(AF106:AF113)</f>
        <v>3.4368592228547781E-2</v>
      </c>
      <c r="AJ122" s="13">
        <f>SUM(AJ106:AJ113)</f>
        <v>3.1593031715873209E-2</v>
      </c>
      <c r="AN122" s="13">
        <f>SUM(AN106:AN113)</f>
        <v>3.0263584234845691E-2</v>
      </c>
    </row>
    <row r="123" spans="1:41">
      <c r="C123">
        <f>(C106*$AR$10+C107*$AR$11+$AR$12*C108+C109*$AR$13+$AR$14*C110+C111*$AR$15+$AR$16*C112+C113*$AR$17)/0.02404/(1-C122)</f>
        <v>268.92269862780859</v>
      </c>
      <c r="G123">
        <f>(G106*$AR$10+G107*$AR$11+$AR$12*G108+G109*$AR$13+$AR$14*G110+G111*$AR$15+$AR$16*G112+G113*$AR$17)/0.02404/(1-G122)</f>
        <v>268.78010330706547</v>
      </c>
      <c r="K123">
        <f>(K106*$AR$10+K107*$AR$11+$AR$12*K108+K109*$AR$13+$AR$14*K110+K111*$AR$15+$AR$16*K112+K113*$AR$17)/0.02404/(1-K122)</f>
        <v>268.62196650751258</v>
      </c>
      <c r="O123">
        <f>(O106*$AR$10+O107*$AR$11+$AR$12*O108+O109*$AR$13+$AR$14*O110+O111*$AR$15+$AR$16*O112+O113*$AR$17)/0.02404/(1-O122)</f>
        <v>268.44370610863382</v>
      </c>
      <c r="T123">
        <f>(T106*$AR$10+T107*$AR$11+$AR$12*T108+T109*$AR$13+$AR$14*T110+T111*$AR$15+$AR$16*T112+T113*$AR$17)/0.02404/(1-T122)</f>
        <v>258.3278656933075</v>
      </c>
      <c r="X123">
        <f>(X106*$AR$10+X107*$AR$11+$AR$12*X108+X109*$AR$13+$AR$14*X110+X111*$AR$15+$AR$16*X112+X113*$AR$17)/0.02404/(1-X122)</f>
        <v>231.93061775238093</v>
      </c>
      <c r="AB123">
        <f>(AB106*$AR$10+AB107*$AR$11+$AR$12*AB108+AB109*$AR$13+$AR$14*AB110+AB111*$AR$15+$AR$16*AB112+AB113*$AR$17)/0.02404/(1-AB122)</f>
        <v>203.14992185071125</v>
      </c>
      <c r="AF123">
        <f>(AF106*$AR$10+AF107*$AR$11+$AR$12*AF108+AF109*$AR$13+$AR$14*AF110+AF111*$AR$15+$AR$16*AF112+AF113*$AR$17)/0.02404/(1-AF122)</f>
        <v>177.77407518464068</v>
      </c>
      <c r="AJ123">
        <f>(AJ106*$AR$10+AJ107*$AR$11+$AR$12*AJ108+AJ109*$AR$13+$AR$14*AJ110+AJ111*$AR$15+$AR$16*AJ112+AJ113*$AR$17)/0.02404/(1-AJ122)</f>
        <v>158.48880626421712</v>
      </c>
      <c r="AN123">
        <f>(AN106*$AR$10+AN107*$AR$11+$AR$12*AN108+AN109*$AR$13+$AR$14*AN110+AN111*$AR$15+$AR$16*AN112+AN113*$AR$17)/0.02404/(1-AN122)</f>
        <v>149.61626623936527</v>
      </c>
    </row>
  </sheetData>
  <mergeCells count="104">
    <mergeCell ref="AQ89:AT89"/>
    <mergeCell ref="AM86:AO86"/>
    <mergeCell ref="AM87:AO87"/>
    <mergeCell ref="AM88:AO88"/>
    <mergeCell ref="AM7:AO7"/>
    <mergeCell ref="AM45:AO45"/>
    <mergeCell ref="AM46:AO46"/>
    <mergeCell ref="AM47:AO47"/>
    <mergeCell ref="AR47:AU47"/>
    <mergeCell ref="AM85:AP85"/>
    <mergeCell ref="A83:O84"/>
    <mergeCell ref="C86:E86"/>
    <mergeCell ref="G86:I86"/>
    <mergeCell ref="K86:M86"/>
    <mergeCell ref="O86:Q86"/>
    <mergeCell ref="S86:U86"/>
    <mergeCell ref="W86:Y86"/>
    <mergeCell ref="AA86:AC86"/>
    <mergeCell ref="AI46:AK46"/>
    <mergeCell ref="C47:E47"/>
    <mergeCell ref="G47:I47"/>
    <mergeCell ref="K47:M47"/>
    <mergeCell ref="O47:Q47"/>
    <mergeCell ref="S47:U47"/>
    <mergeCell ref="W47:Y47"/>
    <mergeCell ref="AA47:AC47"/>
    <mergeCell ref="AE47:AG47"/>
    <mergeCell ref="AI47:AK47"/>
    <mergeCell ref="AE86:AG86"/>
    <mergeCell ref="AI86:AK86"/>
    <mergeCell ref="G46:I46"/>
    <mergeCell ref="K46:M46"/>
    <mergeCell ref="O46:Q46"/>
    <mergeCell ref="S46:U46"/>
    <mergeCell ref="W46:Y46"/>
    <mergeCell ref="AE46:AG46"/>
    <mergeCell ref="C45:E45"/>
    <mergeCell ref="G45:I45"/>
    <mergeCell ref="K45:M45"/>
    <mergeCell ref="O45:Q45"/>
    <mergeCell ref="S45:U45"/>
    <mergeCell ref="W45:Y45"/>
    <mergeCell ref="AA45:AC45"/>
    <mergeCell ref="AW10:AY10"/>
    <mergeCell ref="BA10:BC10"/>
    <mergeCell ref="AA46:AC46"/>
    <mergeCell ref="C88:E88"/>
    <mergeCell ref="G88:I88"/>
    <mergeCell ref="K88:M88"/>
    <mergeCell ref="O88:Q88"/>
    <mergeCell ref="S88:U88"/>
    <mergeCell ref="W88:Y88"/>
    <mergeCell ref="AA88:AC88"/>
    <mergeCell ref="AE88:AG88"/>
    <mergeCell ref="AI88:AK88"/>
    <mergeCell ref="C87:E87"/>
    <mergeCell ref="G87:I87"/>
    <mergeCell ref="K87:M87"/>
    <mergeCell ref="O87:Q87"/>
    <mergeCell ref="S87:U87"/>
    <mergeCell ref="W87:Y87"/>
    <mergeCell ref="AA87:AC87"/>
    <mergeCell ref="AE87:AG87"/>
    <mergeCell ref="AI87:AK87"/>
    <mergeCell ref="AE45:AG45"/>
    <mergeCell ref="AI45:AK45"/>
    <mergeCell ref="C46:E46"/>
    <mergeCell ref="AM6:AO6"/>
    <mergeCell ref="AQ6:AS6"/>
    <mergeCell ref="AU6:AW6"/>
    <mergeCell ref="C7:E7"/>
    <mergeCell ref="G7:I7"/>
    <mergeCell ref="K7:M7"/>
    <mergeCell ref="O7:Q7"/>
    <mergeCell ref="S7:U7"/>
    <mergeCell ref="A43:O44"/>
    <mergeCell ref="AW12:AZ12"/>
    <mergeCell ref="AZ9:BB9"/>
    <mergeCell ref="C6:E6"/>
    <mergeCell ref="G6:I6"/>
    <mergeCell ref="K6:M6"/>
    <mergeCell ref="O6:Q6"/>
    <mergeCell ref="S6:U6"/>
    <mergeCell ref="W6:Y6"/>
    <mergeCell ref="AA6:AC6"/>
    <mergeCell ref="AE6:AG6"/>
    <mergeCell ref="AI6:AK6"/>
    <mergeCell ref="W7:Y7"/>
    <mergeCell ref="AA7:AC7"/>
    <mergeCell ref="AE7:AG7"/>
    <mergeCell ref="AI7:AK7"/>
    <mergeCell ref="A1:AU3"/>
    <mergeCell ref="C5:E5"/>
    <mergeCell ref="G5:I5"/>
    <mergeCell ref="K5:M5"/>
    <mergeCell ref="O5:Q5"/>
    <mergeCell ref="S5:U5"/>
    <mergeCell ref="W5:Y5"/>
    <mergeCell ref="AA5:AC5"/>
    <mergeCell ref="AE5:AG5"/>
    <mergeCell ref="AI5:AK5"/>
    <mergeCell ref="AM5:AO5"/>
    <mergeCell ref="AQ5:AS5"/>
    <mergeCell ref="AU5:AW5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7"/>
  <dimension ref="A1:CK126"/>
  <sheetViews>
    <sheetView topLeftCell="AZ19" workbookViewId="0">
      <selection activeCell="BN72" sqref="BN72"/>
    </sheetView>
  </sheetViews>
  <sheetFormatPr defaultRowHeight="12.75"/>
  <cols>
    <col min="1" max="1" width="11.5703125" customWidth="1"/>
    <col min="4" max="4" width="10.5703125" customWidth="1"/>
    <col min="8" max="8" width="10.140625" customWidth="1"/>
    <col min="13" max="13" width="10.140625" customWidth="1"/>
    <col min="17" max="17" width="11.42578125" customWidth="1"/>
  </cols>
  <sheetData>
    <row r="1" spans="1:88">
      <c r="A1" s="479" t="s">
        <v>203</v>
      </c>
      <c r="B1" s="479"/>
      <c r="C1" s="479"/>
      <c r="D1" s="479"/>
      <c r="E1" s="479"/>
      <c r="F1" s="479"/>
      <c r="G1" s="479"/>
      <c r="H1" s="479"/>
      <c r="I1" s="479"/>
      <c r="J1" s="479"/>
      <c r="K1" s="479"/>
      <c r="L1" s="479"/>
      <c r="M1" s="479"/>
      <c r="N1" s="479"/>
      <c r="O1" s="475"/>
      <c r="P1" s="475"/>
      <c r="Q1" s="475"/>
      <c r="R1" s="475"/>
      <c r="S1" s="475"/>
      <c r="T1" s="475"/>
      <c r="U1" s="475"/>
      <c r="V1" s="475"/>
      <c r="W1" s="475"/>
      <c r="X1" s="475"/>
      <c r="Y1" s="475"/>
      <c r="Z1" s="475"/>
      <c r="AA1" s="475"/>
      <c r="AB1" s="475"/>
      <c r="AC1" s="475"/>
      <c r="AD1" s="475"/>
      <c r="AE1" s="475"/>
      <c r="AF1" s="475"/>
      <c r="AG1" s="475"/>
      <c r="AH1" s="475"/>
      <c r="AI1" s="475"/>
      <c r="AJ1" s="475"/>
      <c r="AK1" s="475"/>
      <c r="AL1" s="475"/>
      <c r="AM1" s="475"/>
      <c r="AN1" s="475"/>
      <c r="AO1" s="475"/>
      <c r="AP1" s="475"/>
      <c r="AQ1" s="475"/>
      <c r="AR1" s="475"/>
      <c r="AS1" s="475"/>
      <c r="AT1" s="475"/>
      <c r="AU1" s="475"/>
    </row>
    <row r="2" spans="1:88">
      <c r="A2" s="479"/>
      <c r="B2" s="479"/>
      <c r="C2" s="479"/>
      <c r="D2" s="479"/>
      <c r="E2" s="479"/>
      <c r="F2" s="479"/>
      <c r="G2" s="479"/>
      <c r="H2" s="479"/>
      <c r="I2" s="479"/>
      <c r="J2" s="479"/>
      <c r="K2" s="479"/>
      <c r="L2" s="479"/>
      <c r="M2" s="479"/>
      <c r="N2" s="479"/>
      <c r="O2" s="475"/>
      <c r="P2" s="475"/>
      <c r="Q2" s="475"/>
      <c r="R2" s="475"/>
      <c r="S2" s="475"/>
      <c r="T2" s="475"/>
      <c r="U2" s="475"/>
      <c r="V2" s="475"/>
      <c r="W2" s="475"/>
      <c r="X2" s="475"/>
      <c r="Y2" s="475"/>
      <c r="Z2" s="475"/>
      <c r="AA2" s="475"/>
      <c r="AB2" s="475"/>
      <c r="AC2" s="475"/>
      <c r="AD2" s="475"/>
      <c r="AE2" s="475"/>
      <c r="AF2" s="475"/>
      <c r="AG2" s="475"/>
      <c r="AH2" s="475"/>
      <c r="AI2" s="475"/>
      <c r="AJ2" s="475"/>
      <c r="AK2" s="475"/>
      <c r="AL2" s="475"/>
      <c r="AM2" s="475"/>
      <c r="AN2" s="475"/>
      <c r="AO2" s="475"/>
      <c r="AP2" s="475"/>
      <c r="AQ2" s="475"/>
      <c r="AR2" s="475"/>
      <c r="AS2" s="475"/>
      <c r="AT2" s="475"/>
      <c r="AU2" s="475"/>
    </row>
    <row r="3" spans="1:88">
      <c r="A3" s="479"/>
      <c r="B3" s="479"/>
      <c r="C3" s="479"/>
      <c r="D3" s="479"/>
      <c r="E3" s="479"/>
      <c r="F3" s="479"/>
      <c r="G3" s="479"/>
      <c r="H3" s="479"/>
      <c r="I3" s="479"/>
      <c r="J3" s="479"/>
      <c r="K3" s="479"/>
      <c r="L3" s="479"/>
      <c r="M3" s="479"/>
      <c r="N3" s="479"/>
      <c r="O3" s="475"/>
      <c r="P3" s="475"/>
      <c r="Q3" s="475"/>
      <c r="R3" s="475"/>
      <c r="S3" s="475"/>
      <c r="T3" s="475"/>
      <c r="U3" s="475"/>
      <c r="V3" s="475"/>
      <c r="W3" s="475"/>
      <c r="X3" s="475"/>
      <c r="Y3" s="475"/>
      <c r="Z3" s="475"/>
      <c r="AA3" s="475"/>
      <c r="AB3" s="475"/>
      <c r="AC3" s="475"/>
      <c r="AD3" s="475"/>
      <c r="AE3" s="475"/>
      <c r="AF3" s="475"/>
      <c r="AG3" s="475"/>
      <c r="AH3" s="475"/>
      <c r="AI3" s="475"/>
      <c r="AJ3" s="475"/>
      <c r="AK3" s="475"/>
      <c r="AL3" s="475"/>
      <c r="AM3" s="475"/>
      <c r="AN3" s="475"/>
      <c r="AO3" s="475"/>
      <c r="AP3" s="475"/>
      <c r="AQ3" s="475"/>
      <c r="AR3" s="475"/>
      <c r="AS3" s="475"/>
      <c r="AT3" s="475"/>
      <c r="AU3" s="475"/>
    </row>
    <row r="4" spans="1:88">
      <c r="A4" s="344" t="s">
        <v>214</v>
      </c>
      <c r="B4" s="344">
        <v>72.101318347817212</v>
      </c>
      <c r="F4" s="345"/>
      <c r="J4" s="345"/>
      <c r="N4" s="345"/>
      <c r="R4" s="345"/>
      <c r="V4" s="345"/>
      <c r="Z4" s="345"/>
      <c r="AD4" s="345"/>
      <c r="AH4" s="345"/>
      <c r="AL4" s="345"/>
      <c r="AP4" s="345"/>
      <c r="AT4" s="345"/>
    </row>
    <row r="5" spans="1:88" ht="15">
      <c r="A5" s="344" t="s">
        <v>204</v>
      </c>
      <c r="B5" s="344"/>
      <c r="C5" s="476" t="s">
        <v>209</v>
      </c>
      <c r="D5" s="476"/>
      <c r="E5" s="476"/>
      <c r="F5" s="345"/>
      <c r="G5" s="476" t="s">
        <v>215</v>
      </c>
      <c r="H5" s="476"/>
      <c r="I5" s="476"/>
      <c r="J5" s="345"/>
      <c r="K5" s="476" t="s">
        <v>216</v>
      </c>
      <c r="L5" s="476"/>
      <c r="M5" s="476"/>
      <c r="N5" s="345"/>
      <c r="O5" s="476" t="s">
        <v>217</v>
      </c>
      <c r="P5" s="476"/>
      <c r="Q5" s="476"/>
      <c r="R5" s="345"/>
      <c r="S5" s="476" t="s">
        <v>218</v>
      </c>
      <c r="T5" s="476"/>
      <c r="U5" s="476"/>
      <c r="V5" s="345"/>
      <c r="W5" s="476" t="s">
        <v>219</v>
      </c>
      <c r="X5" s="476"/>
      <c r="Y5" s="476"/>
      <c r="Z5" s="345"/>
      <c r="AA5" s="476" t="s">
        <v>220</v>
      </c>
      <c r="AB5" s="476"/>
      <c r="AC5" s="476"/>
      <c r="AD5" s="345"/>
      <c r="AE5" s="476" t="s">
        <v>221</v>
      </c>
      <c r="AF5" s="476"/>
      <c r="AG5" s="476"/>
      <c r="AH5" s="345"/>
      <c r="AI5" s="476" t="s">
        <v>222</v>
      </c>
      <c r="AJ5" s="476"/>
      <c r="AK5" s="476"/>
      <c r="AL5" s="345"/>
      <c r="AM5" s="476" t="s">
        <v>223</v>
      </c>
      <c r="AN5" s="476"/>
      <c r="AO5" s="476"/>
      <c r="AP5" s="345"/>
      <c r="AQ5" s="476" t="s">
        <v>224</v>
      </c>
      <c r="AR5" s="476"/>
      <c r="AS5" s="476"/>
      <c r="AT5" s="345"/>
      <c r="AU5" s="476" t="s">
        <v>229</v>
      </c>
      <c r="AV5" s="476"/>
      <c r="AW5" s="476"/>
      <c r="AX5" s="345"/>
      <c r="AY5" s="476" t="s">
        <v>230</v>
      </c>
      <c r="AZ5" s="476"/>
      <c r="BA5" s="476"/>
      <c r="BB5" s="345"/>
      <c r="BC5" s="476" t="s">
        <v>231</v>
      </c>
      <c r="BD5" s="476"/>
      <c r="BE5" s="476"/>
      <c r="BF5" s="345"/>
      <c r="BG5" s="476" t="s">
        <v>232</v>
      </c>
      <c r="BH5" s="476"/>
      <c r="BI5" s="476"/>
      <c r="BQ5" t="s">
        <v>237</v>
      </c>
    </row>
    <row r="6" spans="1:88" ht="15">
      <c r="A6" s="346" t="s">
        <v>211</v>
      </c>
      <c r="B6" s="344" t="s">
        <v>213</v>
      </c>
      <c r="C6" s="476">
        <v>65.400000000000006</v>
      </c>
      <c r="D6" s="476"/>
      <c r="E6" s="476"/>
      <c r="F6" s="345"/>
      <c r="G6" s="476">
        <v>50.64</v>
      </c>
      <c r="H6" s="476"/>
      <c r="I6" s="476"/>
      <c r="J6" s="345"/>
      <c r="K6" s="476">
        <v>47.06</v>
      </c>
      <c r="L6" s="476"/>
      <c r="M6" s="476"/>
      <c r="N6" s="345"/>
      <c r="O6" s="476">
        <v>43.480000000000004</v>
      </c>
      <c r="P6" s="476"/>
      <c r="Q6" s="476"/>
      <c r="R6" s="345"/>
      <c r="S6" s="476">
        <v>39.9</v>
      </c>
      <c r="T6" s="476"/>
      <c r="U6" s="476"/>
      <c r="V6" s="345"/>
      <c r="W6" s="476">
        <v>36.32</v>
      </c>
      <c r="X6" s="476"/>
      <c r="Y6" s="476"/>
      <c r="Z6" s="345"/>
      <c r="AA6" s="476">
        <v>32.739999999999995</v>
      </c>
      <c r="AB6" s="476"/>
      <c r="AC6" s="476"/>
      <c r="AD6" s="345"/>
      <c r="AE6" s="476">
        <v>29.160000000000004</v>
      </c>
      <c r="AF6" s="476"/>
      <c r="AG6" s="476"/>
      <c r="AH6" s="345"/>
      <c r="AI6" s="476">
        <v>25.580000000000002</v>
      </c>
      <c r="AJ6" s="476"/>
      <c r="AK6" s="476"/>
      <c r="AL6" s="345"/>
      <c r="AM6" s="476">
        <v>22</v>
      </c>
      <c r="AN6" s="476"/>
      <c r="AO6" s="476"/>
      <c r="AP6" s="345"/>
      <c r="AQ6" s="476">
        <v>18.419999999999998</v>
      </c>
      <c r="AR6" s="476"/>
      <c r="AS6" s="476"/>
      <c r="AT6" s="345"/>
      <c r="AU6" s="476">
        <v>11.26</v>
      </c>
      <c r="AV6" s="476"/>
      <c r="AW6" s="476"/>
      <c r="AX6" s="345"/>
      <c r="AY6">
        <v>7.68</v>
      </c>
      <c r="BB6" s="345"/>
      <c r="BC6">
        <v>4.0999999999999996</v>
      </c>
      <c r="BF6" s="345"/>
      <c r="BG6">
        <v>0.52</v>
      </c>
      <c r="BP6" t="s">
        <v>238</v>
      </c>
      <c r="BQ6">
        <v>48.54</v>
      </c>
      <c r="BS6">
        <v>654</v>
      </c>
      <c r="BT6">
        <f>C40</f>
        <v>430.34939519940252</v>
      </c>
      <c r="BU6">
        <f>BS6/10</f>
        <v>65.400000000000006</v>
      </c>
    </row>
    <row r="7" spans="1:88" ht="15">
      <c r="A7" s="346" t="s">
        <v>212</v>
      </c>
      <c r="B7" s="344" t="s">
        <v>29</v>
      </c>
      <c r="C7" s="478">
        <v>381.05</v>
      </c>
      <c r="D7" s="476"/>
      <c r="E7" s="476"/>
      <c r="F7" s="345"/>
      <c r="G7" s="476">
        <v>381.05</v>
      </c>
      <c r="H7" s="476"/>
      <c r="I7" s="476"/>
      <c r="J7" s="345"/>
      <c r="K7" s="476">
        <v>381.05</v>
      </c>
      <c r="L7" s="476"/>
      <c r="M7" s="476"/>
      <c r="N7" s="345"/>
      <c r="O7" s="476">
        <v>381.05</v>
      </c>
      <c r="P7" s="476"/>
      <c r="Q7" s="476"/>
      <c r="R7" s="345"/>
      <c r="S7" s="476">
        <v>381.05</v>
      </c>
      <c r="T7" s="476"/>
      <c r="U7" s="476"/>
      <c r="V7" s="345"/>
      <c r="W7" s="476">
        <v>381.05</v>
      </c>
      <c r="X7" s="476"/>
      <c r="Y7" s="476"/>
      <c r="Z7" s="345"/>
      <c r="AA7" s="476">
        <v>381.05</v>
      </c>
      <c r="AB7" s="476"/>
      <c r="AC7" s="476"/>
      <c r="AD7" s="345"/>
      <c r="AE7" s="476">
        <v>381.05</v>
      </c>
      <c r="AF7" s="476"/>
      <c r="AG7" s="476"/>
      <c r="AH7" s="345"/>
      <c r="AI7" s="476">
        <v>381.05</v>
      </c>
      <c r="AJ7" s="476"/>
      <c r="AK7" s="476"/>
      <c r="AL7" s="345"/>
      <c r="AM7" s="476">
        <v>381.05</v>
      </c>
      <c r="AN7" s="476"/>
      <c r="AO7" s="476"/>
      <c r="AP7" s="345"/>
      <c r="AQ7" s="476">
        <v>381.05</v>
      </c>
      <c r="AR7" s="476"/>
      <c r="AS7" s="476"/>
      <c r="AT7" s="345"/>
      <c r="AU7" s="476">
        <v>381.05</v>
      </c>
      <c r="AV7" s="476"/>
      <c r="AW7" s="476"/>
      <c r="AX7" s="345"/>
      <c r="AY7">
        <v>381.05</v>
      </c>
      <c r="BB7" s="345"/>
      <c r="BC7">
        <v>381.05</v>
      </c>
      <c r="BF7" s="345"/>
      <c r="BG7">
        <v>381.05</v>
      </c>
      <c r="BK7" s="344" t="s">
        <v>127</v>
      </c>
      <c r="BL7" s="344" t="s">
        <v>246</v>
      </c>
      <c r="BS7" s="328">
        <v>506.4</v>
      </c>
      <c r="BT7">
        <f>G40</f>
        <v>430.34939519940252</v>
      </c>
      <c r="BU7">
        <f t="shared" ref="BU7:BU20" si="0">BS7/10</f>
        <v>50.64</v>
      </c>
    </row>
    <row r="8" spans="1:88">
      <c r="A8" s="344"/>
      <c r="B8" s="344"/>
      <c r="C8" s="344" t="s">
        <v>160</v>
      </c>
      <c r="D8" s="344" t="s">
        <v>161</v>
      </c>
      <c r="E8" s="344" t="s">
        <v>162</v>
      </c>
      <c r="F8" s="345"/>
      <c r="G8" s="344" t="s">
        <v>160</v>
      </c>
      <c r="H8" s="344" t="s">
        <v>161</v>
      </c>
      <c r="I8" s="344" t="s">
        <v>162</v>
      </c>
      <c r="J8" s="345"/>
      <c r="K8" s="344" t="s">
        <v>160</v>
      </c>
      <c r="L8" s="344" t="s">
        <v>161</v>
      </c>
      <c r="M8" s="344" t="s">
        <v>162</v>
      </c>
      <c r="N8" s="345"/>
      <c r="O8" s="344" t="s">
        <v>160</v>
      </c>
      <c r="P8" s="344" t="s">
        <v>161</v>
      </c>
      <c r="Q8" s="344" t="s">
        <v>162</v>
      </c>
      <c r="R8" s="345"/>
      <c r="S8" s="344" t="s">
        <v>160</v>
      </c>
      <c r="T8" s="344" t="s">
        <v>161</v>
      </c>
      <c r="U8" s="344" t="s">
        <v>162</v>
      </c>
      <c r="V8" s="345"/>
      <c r="W8" s="344" t="s">
        <v>160</v>
      </c>
      <c r="X8" s="344" t="s">
        <v>161</v>
      </c>
      <c r="Y8" s="344" t="s">
        <v>162</v>
      </c>
      <c r="Z8" s="345"/>
      <c r="AA8" s="344" t="s">
        <v>160</v>
      </c>
      <c r="AB8" s="344" t="s">
        <v>161</v>
      </c>
      <c r="AC8" s="344" t="s">
        <v>162</v>
      </c>
      <c r="AD8" s="345"/>
      <c r="AE8" s="344" t="s">
        <v>160</v>
      </c>
      <c r="AF8" s="344" t="s">
        <v>161</v>
      </c>
      <c r="AG8" s="344" t="s">
        <v>162</v>
      </c>
      <c r="AH8" s="345"/>
      <c r="AI8" s="344" t="s">
        <v>160</v>
      </c>
      <c r="AJ8" s="344" t="s">
        <v>161</v>
      </c>
      <c r="AK8" s="344" t="s">
        <v>162</v>
      </c>
      <c r="AL8" s="345"/>
      <c r="AM8" s="344" t="s">
        <v>160</v>
      </c>
      <c r="AN8" s="344" t="s">
        <v>161</v>
      </c>
      <c r="AO8" s="344" t="s">
        <v>162</v>
      </c>
      <c r="AP8" s="345"/>
      <c r="AQ8" s="344" t="s">
        <v>160</v>
      </c>
      <c r="AR8" s="344" t="s">
        <v>161</v>
      </c>
      <c r="AS8" s="344" t="s">
        <v>162</v>
      </c>
      <c r="AT8" s="345"/>
      <c r="AU8" s="344" t="s">
        <v>160</v>
      </c>
      <c r="AV8" s="344" t="s">
        <v>161</v>
      </c>
      <c r="AW8" s="344" t="s">
        <v>162</v>
      </c>
      <c r="AX8" s="345"/>
      <c r="AY8" s="344" t="s">
        <v>160</v>
      </c>
      <c r="AZ8" s="344" t="s">
        <v>161</v>
      </c>
      <c r="BA8" s="344" t="s">
        <v>162</v>
      </c>
      <c r="BB8" s="345"/>
      <c r="BC8" s="344" t="s">
        <v>160</v>
      </c>
      <c r="BD8" s="344" t="s">
        <v>161</v>
      </c>
      <c r="BE8" s="344" t="s">
        <v>162</v>
      </c>
      <c r="BF8" s="345"/>
      <c r="BG8" s="344" t="s">
        <v>160</v>
      </c>
      <c r="BH8" s="344" t="s">
        <v>161</v>
      </c>
      <c r="BI8" s="344" t="s">
        <v>162</v>
      </c>
      <c r="BK8" t="s">
        <v>8</v>
      </c>
      <c r="BL8">
        <v>72.2</v>
      </c>
      <c r="BS8">
        <v>490.4</v>
      </c>
      <c r="BT8">
        <f>G40</f>
        <v>430.34939519940252</v>
      </c>
      <c r="BU8">
        <f t="shared" si="0"/>
        <v>49.04</v>
      </c>
      <c r="CJ8">
        <v>1</v>
      </c>
    </row>
    <row r="9" spans="1:88">
      <c r="A9" s="344" t="s">
        <v>205</v>
      </c>
      <c r="B9" s="344"/>
      <c r="C9" s="13">
        <v>1</v>
      </c>
      <c r="D9" s="13"/>
      <c r="E9" s="13"/>
      <c r="F9" s="347"/>
      <c r="G9" s="13">
        <v>1</v>
      </c>
      <c r="H9" s="13"/>
      <c r="I9" s="13"/>
      <c r="J9" s="347"/>
      <c r="K9" s="13">
        <v>1.2476908381849311E-2</v>
      </c>
      <c r="L9" s="13">
        <v>0.90192105555519786</v>
      </c>
      <c r="M9" s="13"/>
      <c r="N9" s="347"/>
      <c r="O9" s="13">
        <v>3.384794327596919E-2</v>
      </c>
      <c r="P9" s="13">
        <v>0.85342634991955046</v>
      </c>
      <c r="Q9" s="13"/>
      <c r="R9" s="347"/>
      <c r="S9" s="13">
        <v>4.7677961871195912E-2</v>
      </c>
      <c r="T9" s="13">
        <v>0.80728810366739379</v>
      </c>
      <c r="U9" s="13"/>
      <c r="V9" s="347"/>
      <c r="W9" s="13">
        <v>5.6859075759864347E-2</v>
      </c>
      <c r="X9" s="13">
        <v>0.76172634039468068</v>
      </c>
      <c r="Y9" s="13"/>
      <c r="Z9" s="347"/>
      <c r="AA9" s="13">
        <v>6.2857787371687623E-2</v>
      </c>
      <c r="AB9" s="13">
        <v>0.71456756160175772</v>
      </c>
      <c r="AC9" s="13"/>
      <c r="AD9" s="347"/>
      <c r="AE9" s="13">
        <v>6.6370601061480752E-2</v>
      </c>
      <c r="AF9" s="13">
        <v>0.66428437386059758</v>
      </c>
      <c r="AG9" s="13"/>
      <c r="AH9" s="347"/>
      <c r="AI9" s="13">
        <v>6.7666704248965037E-2</v>
      </c>
      <c r="AJ9" s="13">
        <v>0.60971388915239133</v>
      </c>
      <c r="AK9" s="13"/>
      <c r="AL9" s="347"/>
      <c r="AM9" s="13">
        <v>6.6839079250385222E-2</v>
      </c>
      <c r="AN9" s="13">
        <v>0.54995447956229648</v>
      </c>
      <c r="AO9" s="13"/>
      <c r="AP9" s="347"/>
      <c r="AQ9" s="13">
        <v>6.3999054037435596E-2</v>
      </c>
      <c r="AR9" s="13">
        <v>0.48442024405120693</v>
      </c>
      <c r="AS9" s="13"/>
      <c r="AT9" s="347"/>
      <c r="AU9">
        <v>5.3728806431475498E-2</v>
      </c>
      <c r="AV9">
        <v>0.41870452981804329</v>
      </c>
      <c r="AX9" s="347"/>
      <c r="AY9">
        <v>4.6702822949498624E-2</v>
      </c>
      <c r="AZ9">
        <v>0.25636378237086005</v>
      </c>
      <c r="BB9" s="347"/>
      <c r="BC9">
        <v>3.8842090728650747E-2</v>
      </c>
      <c r="BD9">
        <v>0.17544121438560087</v>
      </c>
      <c r="BF9" s="347"/>
      <c r="BG9">
        <v>2.6878485496368478E-2</v>
      </c>
      <c r="BH9">
        <v>9.9348617006463996E-2</v>
      </c>
      <c r="BK9" t="s">
        <v>9</v>
      </c>
      <c r="BL9">
        <v>72.2</v>
      </c>
      <c r="BS9" s="328">
        <v>470.6</v>
      </c>
      <c r="BT9">
        <f>$G$40-K40</f>
        <v>406.21419918776905</v>
      </c>
      <c r="BU9">
        <f t="shared" si="0"/>
        <v>47.06</v>
      </c>
    </row>
    <row r="10" spans="1:88">
      <c r="A10" s="344" t="s">
        <v>206</v>
      </c>
      <c r="B10" s="344" t="s">
        <v>210</v>
      </c>
      <c r="C10" s="13">
        <v>71.621023863130972</v>
      </c>
      <c r="D10" s="13"/>
      <c r="E10" s="13"/>
      <c r="F10" s="347"/>
      <c r="G10" s="13">
        <v>78.325878542815531</v>
      </c>
      <c r="H10" s="13"/>
      <c r="I10" s="13"/>
      <c r="J10" s="347"/>
      <c r="K10" s="13">
        <v>1.30008103634021</v>
      </c>
      <c r="L10" s="13">
        <v>72.50129010786307</v>
      </c>
      <c r="M10" s="13"/>
      <c r="N10" s="347"/>
      <c r="O10" s="13">
        <v>3.6742257924843997</v>
      </c>
      <c r="P10" s="13">
        <v>70.620275322100753</v>
      </c>
      <c r="Q10" s="13"/>
      <c r="R10" s="347"/>
      <c r="S10" s="13">
        <v>5.3853979439327491</v>
      </c>
      <c r="T10" s="13">
        <v>69.361416271736957</v>
      </c>
      <c r="U10" s="13"/>
      <c r="V10" s="347"/>
      <c r="W10" s="13">
        <v>6.6795098680325884</v>
      </c>
      <c r="X10" s="13">
        <v>68.651092389545795</v>
      </c>
      <c r="Y10" s="13"/>
      <c r="Z10" s="347"/>
      <c r="AA10" s="13">
        <v>7.6820393260610862</v>
      </c>
      <c r="AB10" s="13">
        <v>68.41706602500318</v>
      </c>
      <c r="AC10" s="13"/>
      <c r="AD10" s="347"/>
      <c r="AE10" s="13">
        <v>8.4500500938299723</v>
      </c>
      <c r="AF10" s="13">
        <v>68.678894424957406</v>
      </c>
      <c r="AG10" s="13"/>
      <c r="AH10" s="347"/>
      <c r="AI10" s="13">
        <v>8.9991782978913566</v>
      </c>
      <c r="AJ10" s="13">
        <v>69.531126893835761</v>
      </c>
      <c r="AK10" s="13"/>
      <c r="AL10" s="347"/>
      <c r="AM10" s="13">
        <v>9.3254044121620243</v>
      </c>
      <c r="AN10" s="13">
        <v>71.140286984409798</v>
      </c>
      <c r="AO10" s="13"/>
      <c r="AP10" s="347"/>
      <c r="AQ10" s="13">
        <v>9.4245398833217351</v>
      </c>
      <c r="AR10" s="13">
        <v>73.767646989488753</v>
      </c>
      <c r="AS10" s="13"/>
      <c r="AT10" s="347"/>
      <c r="AU10">
        <v>9.0435704485457027</v>
      </c>
      <c r="AV10">
        <v>105.08420033354453</v>
      </c>
      <c r="AX10" s="347"/>
      <c r="AY10">
        <v>8.5699869931292394</v>
      </c>
      <c r="AZ10">
        <v>96.455160443487202</v>
      </c>
      <c r="BB10" s="347"/>
      <c r="BC10">
        <v>7.9355090384681661</v>
      </c>
      <c r="BD10">
        <v>127.8601882950385</v>
      </c>
      <c r="BF10" s="347"/>
      <c r="BG10">
        <v>6.604599477789213</v>
      </c>
      <c r="BH10">
        <v>597.85965101430099</v>
      </c>
      <c r="BK10" t="s">
        <v>10</v>
      </c>
      <c r="BL10">
        <v>84</v>
      </c>
      <c r="BS10" s="328">
        <v>434.8</v>
      </c>
      <c r="BT10">
        <f>G40-O40</f>
        <v>358.90071125195067</v>
      </c>
      <c r="BU10">
        <f t="shared" si="0"/>
        <v>43.480000000000004</v>
      </c>
    </row>
    <row r="11" spans="1:88">
      <c r="A11" s="344" t="s">
        <v>207</v>
      </c>
      <c r="B11" s="344"/>
      <c r="C11" s="13">
        <v>28.045740892500003</v>
      </c>
      <c r="D11" s="13"/>
      <c r="E11" s="13"/>
      <c r="F11" s="347"/>
      <c r="G11" s="13">
        <v>28.045740892500003</v>
      </c>
      <c r="H11" s="13"/>
      <c r="I11" s="13"/>
      <c r="J11" s="347"/>
      <c r="K11" s="13">
        <v>62.785604292961182</v>
      </c>
      <c r="L11" s="13">
        <v>27.565159925711612</v>
      </c>
      <c r="M11" s="13"/>
      <c r="N11" s="347"/>
      <c r="O11" s="13">
        <v>66.491293233836245</v>
      </c>
      <c r="P11" s="13">
        <v>26.536216661057555</v>
      </c>
      <c r="Q11" s="13"/>
      <c r="R11" s="347"/>
      <c r="S11" s="13">
        <v>70.12279849523344</v>
      </c>
      <c r="T11" s="13">
        <v>25.637253554743552</v>
      </c>
      <c r="U11" s="13"/>
      <c r="V11" s="347"/>
      <c r="W11" s="13">
        <v>73.752712698506542</v>
      </c>
      <c r="X11" s="13">
        <v>24.830112737130147</v>
      </c>
      <c r="Y11" s="13"/>
      <c r="Z11" s="347"/>
      <c r="AA11" s="13">
        <v>77.4965836032369</v>
      </c>
      <c r="AB11" s="13">
        <v>24.090079130566583</v>
      </c>
      <c r="AC11" s="13"/>
      <c r="AD11" s="347"/>
      <c r="AE11" s="13">
        <v>81.538325901856055</v>
      </c>
      <c r="AF11" s="13">
        <v>23.403836937210063</v>
      </c>
      <c r="AG11" s="13"/>
      <c r="AH11" s="347"/>
      <c r="AI11" s="13">
        <v>86.140552093361748</v>
      </c>
      <c r="AJ11" s="13">
        <v>22.769497156013717</v>
      </c>
      <c r="AK11" s="13"/>
      <c r="AL11" s="347"/>
      <c r="AM11" s="13">
        <v>91.644822802992024</v>
      </c>
      <c r="AN11" s="13">
        <v>22.195898924438087</v>
      </c>
      <c r="AO11" s="13"/>
      <c r="AP11" s="347"/>
      <c r="AQ11" s="13">
        <v>98.473737717377531</v>
      </c>
      <c r="AR11" s="13">
        <v>21.700858919937062</v>
      </c>
      <c r="AS11" s="13"/>
      <c r="AT11" s="347"/>
      <c r="AU11">
        <v>118.16782428266946</v>
      </c>
      <c r="AV11">
        <v>21.056816949919678</v>
      </c>
      <c r="AX11" s="347"/>
      <c r="AY11">
        <v>132.98278055446124</v>
      </c>
      <c r="AZ11">
        <v>21.019370372094851</v>
      </c>
      <c r="BB11" s="347"/>
      <c r="BC11">
        <v>153.69848797209141</v>
      </c>
      <c r="BD11">
        <v>21.449560046836162</v>
      </c>
      <c r="BF11" s="347"/>
      <c r="BG11">
        <v>196.23354312879769</v>
      </c>
      <c r="BH11">
        <v>25.867297466824475</v>
      </c>
      <c r="BK11" t="s">
        <v>247</v>
      </c>
      <c r="BL11">
        <v>96</v>
      </c>
      <c r="BS11" s="328">
        <v>399</v>
      </c>
      <c r="BT11">
        <f>G40-S40</f>
        <v>321.44067849090897</v>
      </c>
      <c r="BU11">
        <f t="shared" si="0"/>
        <v>39.9</v>
      </c>
    </row>
    <row r="12" spans="1:88">
      <c r="A12" s="344" t="s">
        <v>16</v>
      </c>
      <c r="B12" s="344"/>
      <c r="C12" s="13">
        <v>1.3965835697546352</v>
      </c>
      <c r="D12" s="13"/>
      <c r="E12" s="13"/>
      <c r="F12" s="347"/>
      <c r="G12" s="13">
        <v>1.1885604005340162</v>
      </c>
      <c r="H12" s="13"/>
      <c r="I12" s="13"/>
      <c r="J12" s="347"/>
      <c r="K12" s="13">
        <v>1.5386664787755446</v>
      </c>
      <c r="L12" s="13">
        <v>1.1344950703519416</v>
      </c>
      <c r="M12" s="13"/>
      <c r="N12" s="347"/>
      <c r="O12" s="13">
        <v>1.4857643793298521</v>
      </c>
      <c r="P12" s="13">
        <v>1.0792891998504444</v>
      </c>
      <c r="Q12" s="13"/>
      <c r="R12" s="347"/>
      <c r="S12" s="13">
        <v>1.4226769840405165</v>
      </c>
      <c r="T12" s="13">
        <v>1.0293003624951136</v>
      </c>
      <c r="U12" s="13"/>
      <c r="V12" s="347"/>
      <c r="W12" s="13">
        <v>1.350141423388548</v>
      </c>
      <c r="X12" s="13">
        <v>0.9843487276691737</v>
      </c>
      <c r="Y12" s="13"/>
      <c r="Z12" s="347"/>
      <c r="AA12" s="13">
        <v>1.2689357686360887</v>
      </c>
      <c r="AB12" s="13">
        <v>0.94475602910676926</v>
      </c>
      <c r="AC12" s="13"/>
      <c r="AD12" s="347"/>
      <c r="AE12" s="13">
        <v>1.1798805085282074</v>
      </c>
      <c r="AF12" s="13">
        <v>0.91127643002226133</v>
      </c>
      <c r="AG12" s="13"/>
      <c r="AH12" s="347"/>
      <c r="AI12" s="13">
        <v>1.0836100541997562</v>
      </c>
      <c r="AJ12" s="13">
        <v>0.88500412027142628</v>
      </c>
      <c r="AK12" s="13"/>
      <c r="AL12" s="347"/>
      <c r="AM12" s="13">
        <v>0.98023535198865541</v>
      </c>
      <c r="AN12" s="13">
        <v>0.86721697317370139</v>
      </c>
      <c r="AO12" s="13"/>
      <c r="AP12" s="347"/>
      <c r="AQ12" s="13">
        <v>0.86898375434348851</v>
      </c>
      <c r="AR12" s="13">
        <v>0.85916016071506451</v>
      </c>
      <c r="AS12" s="13"/>
      <c r="AT12" s="347"/>
      <c r="AU12">
        <v>0.61237860069843875</v>
      </c>
      <c r="AV12">
        <v>0.87575349526413782</v>
      </c>
      <c r="AX12" s="347"/>
      <c r="AY12">
        <v>0.45803713128391299</v>
      </c>
      <c r="AZ12">
        <v>0.90091450174068943</v>
      </c>
      <c r="BB12" s="347"/>
      <c r="BC12">
        <v>0.27428038639330465</v>
      </c>
      <c r="BD12">
        <v>0.9371710426202069</v>
      </c>
      <c r="BF12" s="347"/>
      <c r="BG12">
        <v>4.2357906336049966E-2</v>
      </c>
      <c r="BH12">
        <v>0.98702520205714306</v>
      </c>
      <c r="BK12" t="s">
        <v>112</v>
      </c>
      <c r="BL12">
        <v>112.117</v>
      </c>
      <c r="BS12" s="328">
        <v>363.2</v>
      </c>
      <c r="BT12">
        <f>G40-W40</f>
        <v>290.57004021260525</v>
      </c>
      <c r="BU12">
        <f t="shared" si="0"/>
        <v>36.32</v>
      </c>
    </row>
    <row r="13" spans="1:88">
      <c r="A13" s="344" t="s">
        <v>208</v>
      </c>
      <c r="B13" s="344" t="s">
        <v>27</v>
      </c>
      <c r="C13" s="13">
        <v>391.58531084526112</v>
      </c>
      <c r="D13" s="13"/>
      <c r="E13" s="13"/>
      <c r="F13" s="347"/>
      <c r="G13" s="13">
        <v>358.06481094456245</v>
      </c>
      <c r="H13" s="13"/>
      <c r="I13" s="13"/>
      <c r="J13" s="347"/>
      <c r="K13" s="13">
        <v>602.55492585873401</v>
      </c>
      <c r="L13" s="13">
        <v>342.91249300195989</v>
      </c>
      <c r="M13" s="13"/>
      <c r="N13" s="347"/>
      <c r="O13" s="13">
        <v>612.53544252187635</v>
      </c>
      <c r="P13" s="13">
        <v>320.68278440474131</v>
      </c>
      <c r="Q13" s="13"/>
      <c r="R13" s="347"/>
      <c r="S13" s="13">
        <v>620.81059705604628</v>
      </c>
      <c r="T13" s="13">
        <v>298.38851220058547</v>
      </c>
      <c r="U13" s="13"/>
      <c r="V13" s="347"/>
      <c r="W13" s="13">
        <v>627.81718444486228</v>
      </c>
      <c r="X13" s="13">
        <v>275.5054617269526</v>
      </c>
      <c r="Y13" s="13"/>
      <c r="Z13" s="347"/>
      <c r="AA13" s="13">
        <v>634.11075723588965</v>
      </c>
      <c r="AB13" s="13">
        <v>251.60373139695091</v>
      </c>
      <c r="AC13" s="13"/>
      <c r="AD13" s="347"/>
      <c r="AE13" s="13">
        <v>640.43971805618321</v>
      </c>
      <c r="AF13" s="13">
        <v>226.36944429496407</v>
      </c>
      <c r="AG13" s="13"/>
      <c r="AH13" s="347"/>
      <c r="AI13" s="13">
        <v>647.7088317841044</v>
      </c>
      <c r="AJ13" s="13">
        <v>199.66422644400163</v>
      </c>
      <c r="AK13" s="13"/>
      <c r="AL13" s="347"/>
      <c r="AM13" s="13">
        <v>656.85682931112194</v>
      </c>
      <c r="AN13" s="13">
        <v>171.58679784468336</v>
      </c>
      <c r="AO13" s="13"/>
      <c r="AP13" s="347"/>
      <c r="AQ13" s="13">
        <v>668.70384543605394</v>
      </c>
      <c r="AR13" s="13">
        <v>142.50604164742626</v>
      </c>
      <c r="AS13" s="13"/>
      <c r="AT13" s="347"/>
      <c r="AU13">
        <v>702.04751468853135</v>
      </c>
      <c r="AV13">
        <v>83.900192536045125</v>
      </c>
      <c r="AX13" s="347"/>
      <c r="AY13">
        <v>724.70019622506697</v>
      </c>
      <c r="AZ13">
        <v>55.866428160693346</v>
      </c>
      <c r="BB13" s="347"/>
      <c r="BC13">
        <v>752.31098417611099</v>
      </c>
      <c r="BD13">
        <v>29.431654315808849</v>
      </c>
      <c r="BF13" s="347"/>
      <c r="BG13">
        <v>798.60413347183476</v>
      </c>
      <c r="BH13">
        <v>4.2984674156616549</v>
      </c>
      <c r="BK13" t="s">
        <v>114</v>
      </c>
      <c r="BL13">
        <v>149.7927</v>
      </c>
      <c r="BS13" s="328">
        <v>327.39999999999998</v>
      </c>
      <c r="BT13">
        <f>G40-AA40</f>
        <v>264.48442441678486</v>
      </c>
      <c r="BU13">
        <f t="shared" si="0"/>
        <v>32.739999999999995</v>
      </c>
    </row>
    <row r="14" spans="1:88">
      <c r="F14" s="345"/>
      <c r="J14" s="345"/>
      <c r="N14" s="345"/>
      <c r="R14" s="345"/>
      <c r="V14" s="345"/>
      <c r="Z14" s="345"/>
      <c r="AD14" s="345"/>
      <c r="AH14" s="345"/>
      <c r="AL14" s="345"/>
      <c r="AP14" s="345"/>
      <c r="AT14" s="345"/>
      <c r="AX14" s="345"/>
      <c r="BB14" s="345"/>
      <c r="BF14" s="345"/>
      <c r="BK14" t="s">
        <v>118</v>
      </c>
      <c r="BL14">
        <v>223.3338</v>
      </c>
      <c r="BS14" s="328">
        <v>291.60000000000002</v>
      </c>
      <c r="BT14">
        <f>G40-AE40</f>
        <v>242.2559098169601</v>
      </c>
      <c r="BU14">
        <f t="shared" si="0"/>
        <v>29.160000000000004</v>
      </c>
    </row>
    <row r="15" spans="1:88">
      <c r="A15" s="344" t="s">
        <v>22</v>
      </c>
      <c r="B15" t="s">
        <v>17</v>
      </c>
      <c r="C15" s="79">
        <v>5.4390000000000003E-3</v>
      </c>
      <c r="D15" s="348"/>
      <c r="E15" s="13"/>
      <c r="F15" s="347"/>
      <c r="G15" s="13">
        <v>5.4390000000000003E-3</v>
      </c>
      <c r="H15" s="13"/>
      <c r="I15" s="13"/>
      <c r="J15" s="347"/>
      <c r="K15" s="13">
        <v>5.164298668516666E-3</v>
      </c>
      <c r="L15" s="13">
        <v>5.4428001367460921E-3</v>
      </c>
      <c r="M15" s="13"/>
      <c r="N15" s="347"/>
      <c r="O15" s="13">
        <v>5.0922058223835266E-3</v>
      </c>
      <c r="P15" s="13">
        <v>5.4526335092016098E-3</v>
      </c>
      <c r="Q15" s="13"/>
      <c r="R15" s="347"/>
      <c r="S15" s="13">
        <v>5.0067749378858084E-3</v>
      </c>
      <c r="T15" s="13">
        <v>5.4638536572794577E-3</v>
      </c>
      <c r="U15" s="13"/>
      <c r="V15" s="347"/>
      <c r="W15" s="13">
        <v>4.9044881764602581E-3</v>
      </c>
      <c r="X15" s="13">
        <v>5.4769980399337033E-3</v>
      </c>
      <c r="Y15" s="13"/>
      <c r="Z15" s="347"/>
      <c r="AA15" s="13">
        <v>4.7802260805426084E-3</v>
      </c>
      <c r="AB15" s="13">
        <v>5.4927350570804752E-3</v>
      </c>
      <c r="AC15" s="13"/>
      <c r="AD15" s="347"/>
      <c r="AE15" s="13">
        <v>4.6265359908392763E-3</v>
      </c>
      <c r="AF15" s="13">
        <v>5.5118585159748303E-3</v>
      </c>
      <c r="AG15" s="13"/>
      <c r="AH15" s="347"/>
      <c r="AI15" s="13">
        <v>4.4329125649977463E-3</v>
      </c>
      <c r="AJ15" s="13">
        <v>5.5352290323635572E-3</v>
      </c>
      <c r="AK15" s="13"/>
      <c r="AL15" s="347"/>
      <c r="AM15" s="13">
        <v>4.1851556420471545E-3</v>
      </c>
      <c r="AN15" s="13">
        <v>5.5636814598365404E-3</v>
      </c>
      <c r="AO15" s="13"/>
      <c r="AP15" s="347"/>
      <c r="AQ15" s="13">
        <v>3.8648216402636928E-3</v>
      </c>
      <c r="AR15" s="13">
        <v>5.5979203778310374E-3</v>
      </c>
      <c r="AS15" s="13"/>
      <c r="AT15" s="347"/>
      <c r="AU15">
        <v>2.9060207344774225E-3</v>
      </c>
      <c r="AV15">
        <v>5.6784446442572269E-3</v>
      </c>
      <c r="AX15" s="347"/>
      <c r="AY15">
        <v>2.2085926827506959E-3</v>
      </c>
      <c r="AZ15">
        <v>5.729516032358827E-3</v>
      </c>
      <c r="BB15" s="347"/>
      <c r="BC15">
        <v>1.3122155703053804E-3</v>
      </c>
      <c r="BD15">
        <v>5.7702141404532758E-3</v>
      </c>
      <c r="BF15" s="347"/>
      <c r="BG15">
        <v>1.7565062767470598E-4</v>
      </c>
      <c r="BH15">
        <v>5.5408743531498812E-3</v>
      </c>
      <c r="BK15" t="s">
        <v>250</v>
      </c>
      <c r="BL15">
        <v>344</v>
      </c>
      <c r="BS15" s="328">
        <v>255.8</v>
      </c>
      <c r="BT15">
        <f>G40-AI40</f>
        <v>223.54733673537029</v>
      </c>
      <c r="BU15">
        <f t="shared" si="0"/>
        <v>25.580000000000002</v>
      </c>
    </row>
    <row r="16" spans="1:88" ht="16.5" thickBot="1">
      <c r="A16" s="344" t="s">
        <v>23</v>
      </c>
      <c r="B16" t="s">
        <v>17</v>
      </c>
      <c r="C16" s="79">
        <v>2.5469999999999998E-3</v>
      </c>
      <c r="D16" s="348"/>
      <c r="E16" s="13"/>
      <c r="F16" s="347"/>
      <c r="G16" s="13">
        <v>2.5469999999999998E-3</v>
      </c>
      <c r="H16" s="13"/>
      <c r="I16" s="13"/>
      <c r="J16" s="347"/>
      <c r="K16" s="13">
        <v>1.7482961632332319E-3</v>
      </c>
      <c r="L16" s="13">
        <v>2.5580490319903173E-3</v>
      </c>
      <c r="M16" s="13"/>
      <c r="N16" s="347"/>
      <c r="O16" s="13">
        <v>1.6499327371611076E-3</v>
      </c>
      <c r="P16" s="13">
        <v>2.5822276344929069E-3</v>
      </c>
      <c r="Q16" s="13"/>
      <c r="R16" s="347"/>
      <c r="S16" s="13">
        <v>1.5484069075830814E-3</v>
      </c>
      <c r="T16" s="13">
        <v>2.6041952571016539E-3</v>
      </c>
      <c r="U16" s="13"/>
      <c r="V16" s="347"/>
      <c r="W16" s="13">
        <v>1.4418011617657364E-3</v>
      </c>
      <c r="X16" s="13">
        <v>2.6248782982696427E-3</v>
      </c>
      <c r="Y16" s="13"/>
      <c r="Z16" s="347"/>
      <c r="AA16" s="13">
        <v>1.3281725154783003E-3</v>
      </c>
      <c r="AB16" s="13">
        <v>2.6448055726230688E-3</v>
      </c>
      <c r="AC16" s="13"/>
      <c r="AD16" s="347"/>
      <c r="AE16" s="13">
        <v>1.2056933947932702E-3</v>
      </c>
      <c r="AF16" s="13">
        <v>2.6640053310199082E-3</v>
      </c>
      <c r="AG16" s="13"/>
      <c r="AH16" s="347"/>
      <c r="AI16" s="13">
        <v>1.0731173620054009E-3</v>
      </c>
      <c r="AJ16" s="13">
        <v>2.6818187778566635E-3</v>
      </c>
      <c r="AK16" s="13"/>
      <c r="AL16" s="347"/>
      <c r="AM16" s="13">
        <v>9.3037006231381668E-4</v>
      </c>
      <c r="AN16" s="13">
        <v>2.6967467343966111E-3</v>
      </c>
      <c r="AO16" s="13"/>
      <c r="AP16" s="347"/>
      <c r="AQ16" s="13">
        <v>7.7895876936546441E-4</v>
      </c>
      <c r="AR16" s="13">
        <v>2.7063946078956891E-3</v>
      </c>
      <c r="AS16" s="13"/>
      <c r="AT16" s="347"/>
      <c r="AU16">
        <v>4.6402723636632559E-4</v>
      </c>
      <c r="AV16">
        <v>2.6995297480101816E-3</v>
      </c>
      <c r="AX16" s="347"/>
      <c r="AY16">
        <v>3.0717542714998961E-4</v>
      </c>
      <c r="AZ16">
        <v>2.6668372148915048E-3</v>
      </c>
      <c r="BB16" s="347"/>
      <c r="BC16">
        <v>1.5632078829301235E-4</v>
      </c>
      <c r="BD16">
        <v>2.5945100828642874E-3</v>
      </c>
      <c r="BF16" s="347"/>
      <c r="BG16">
        <v>1.7278341903833604E-5</v>
      </c>
      <c r="BH16">
        <v>2.3385197672515226E-3</v>
      </c>
      <c r="BN16" s="396" t="s">
        <v>149</v>
      </c>
      <c r="BO16" s="397"/>
      <c r="BP16" s="397"/>
      <c r="BQ16" s="398"/>
      <c r="BS16" s="360">
        <v>220</v>
      </c>
      <c r="BT16">
        <f>C40-AM40</f>
        <v>208.37299872791075</v>
      </c>
      <c r="BU16">
        <f t="shared" si="0"/>
        <v>22</v>
      </c>
    </row>
    <row r="17" spans="1:76" ht="14.25" thickTop="1" thickBot="1">
      <c r="A17" s="344" t="s">
        <v>157</v>
      </c>
      <c r="B17" t="s">
        <v>17</v>
      </c>
      <c r="C17" s="79"/>
      <c r="D17" s="348"/>
      <c r="E17" s="13"/>
      <c r="F17" s="347"/>
      <c r="G17" s="13"/>
      <c r="H17" s="13"/>
      <c r="I17" s="13"/>
      <c r="J17" s="347"/>
      <c r="K17" s="13"/>
      <c r="L17" s="13"/>
      <c r="M17" s="13"/>
      <c r="N17" s="347"/>
      <c r="O17" s="13"/>
      <c r="P17" s="13"/>
      <c r="Q17" s="13"/>
      <c r="R17" s="347"/>
      <c r="S17" s="13"/>
      <c r="T17" s="13"/>
      <c r="U17" s="13"/>
      <c r="V17" s="347"/>
      <c r="W17" s="13"/>
      <c r="X17" s="13"/>
      <c r="Y17" s="13"/>
      <c r="Z17" s="347"/>
      <c r="AA17" s="13"/>
      <c r="AB17" s="13"/>
      <c r="AC17" s="13"/>
      <c r="AD17" s="347"/>
      <c r="AE17" s="13"/>
      <c r="AF17" s="13"/>
      <c r="AG17" s="13"/>
      <c r="AH17" s="347"/>
      <c r="AI17" s="13"/>
      <c r="AJ17" s="13"/>
      <c r="AK17" s="13"/>
      <c r="AL17" s="347"/>
      <c r="AM17" s="13"/>
      <c r="AN17" s="13"/>
      <c r="AO17" s="13"/>
      <c r="AP17" s="347"/>
      <c r="AQ17" s="13"/>
      <c r="AR17" s="13"/>
      <c r="AS17" s="13"/>
      <c r="AT17" s="347"/>
      <c r="AX17" s="347"/>
      <c r="BB17" s="347"/>
      <c r="BF17" s="347"/>
      <c r="BN17" s="125" t="s">
        <v>79</v>
      </c>
      <c r="BO17" s="198" t="s">
        <v>31</v>
      </c>
      <c r="BP17" s="126" t="s">
        <v>52</v>
      </c>
      <c r="BQ17" s="127" t="s">
        <v>54</v>
      </c>
      <c r="BS17" s="360">
        <v>184.2</v>
      </c>
      <c r="BT17">
        <f>G40-AQ40</f>
        <v>196.8584658151641</v>
      </c>
      <c r="BU17">
        <f t="shared" si="0"/>
        <v>18.419999999999998</v>
      </c>
    </row>
    <row r="18" spans="1:76" ht="13.5" thickTop="1">
      <c r="A18" s="344" t="s">
        <v>159</v>
      </c>
      <c r="B18" t="s">
        <v>17</v>
      </c>
      <c r="C18" s="79"/>
      <c r="D18" s="348"/>
      <c r="E18" s="13"/>
      <c r="F18" s="347"/>
      <c r="G18" s="13"/>
      <c r="H18" s="13"/>
      <c r="I18" s="13"/>
      <c r="J18" s="347"/>
      <c r="K18" s="13"/>
      <c r="L18" s="13"/>
      <c r="M18" s="13"/>
      <c r="N18" s="347"/>
      <c r="O18" s="13"/>
      <c r="P18" s="13"/>
      <c r="Q18" s="13"/>
      <c r="R18" s="347"/>
      <c r="S18" s="13"/>
      <c r="T18" s="13"/>
      <c r="U18" s="13"/>
      <c r="V18" s="347"/>
      <c r="W18" s="13"/>
      <c r="X18" s="13"/>
      <c r="Y18" s="13"/>
      <c r="Z18" s="347"/>
      <c r="AA18" s="13"/>
      <c r="AB18" s="13"/>
      <c r="AC18" s="13"/>
      <c r="AD18" s="347"/>
      <c r="AE18" s="13"/>
      <c r="AF18" s="13"/>
      <c r="AG18" s="13"/>
      <c r="AH18" s="347"/>
      <c r="AI18" s="13"/>
      <c r="AJ18" s="13"/>
      <c r="AK18" s="13"/>
      <c r="AL18" s="347"/>
      <c r="AM18" s="13"/>
      <c r="AN18" s="13"/>
      <c r="AO18" s="13"/>
      <c r="AP18" s="347"/>
      <c r="AQ18" s="13"/>
      <c r="AR18" s="13"/>
      <c r="AS18" s="13"/>
      <c r="AT18" s="347"/>
      <c r="AX18" s="347"/>
      <c r="BB18" s="347"/>
      <c r="BF18" s="347"/>
      <c r="BN18">
        <v>654</v>
      </c>
      <c r="BO18" s="7">
        <v>65.400000000000006</v>
      </c>
      <c r="BP18" s="252">
        <v>0</v>
      </c>
      <c r="BQ18" s="252">
        <v>0</v>
      </c>
      <c r="BS18" s="360">
        <v>112.6</v>
      </c>
      <c r="BT18">
        <f>C40-AU40</f>
        <v>183.56772237092969</v>
      </c>
      <c r="BU18">
        <f t="shared" si="0"/>
        <v>11.26</v>
      </c>
    </row>
    <row r="19" spans="1:76">
      <c r="A19" s="344" t="s">
        <v>193</v>
      </c>
      <c r="B19" t="s">
        <v>17</v>
      </c>
      <c r="C19" s="79"/>
      <c r="D19" s="348"/>
      <c r="E19" s="13"/>
      <c r="F19" s="347"/>
      <c r="G19" s="13"/>
      <c r="H19" s="13"/>
      <c r="I19" s="13"/>
      <c r="J19" s="347"/>
      <c r="K19" s="13"/>
      <c r="L19" s="13"/>
      <c r="M19" s="13"/>
      <c r="N19" s="347"/>
      <c r="O19" s="13"/>
      <c r="P19" s="13"/>
      <c r="Q19" s="13"/>
      <c r="R19" s="347"/>
      <c r="S19" s="13"/>
      <c r="T19" s="13"/>
      <c r="U19" s="13"/>
      <c r="V19" s="347"/>
      <c r="W19" s="13"/>
      <c r="X19" s="13"/>
      <c r="Y19" s="13"/>
      <c r="Z19" s="347"/>
      <c r="AA19" s="13"/>
      <c r="AB19" s="13"/>
      <c r="AC19" s="13"/>
      <c r="AD19" s="347"/>
      <c r="AE19" s="13"/>
      <c r="AF19" s="13"/>
      <c r="AG19" s="13"/>
      <c r="AH19" s="347"/>
      <c r="AI19" s="13"/>
      <c r="AJ19" s="13"/>
      <c r="AK19" s="13"/>
      <c r="AL19" s="347"/>
      <c r="AM19" s="13"/>
      <c r="AN19" s="13"/>
      <c r="AO19" s="13"/>
      <c r="AP19" s="347"/>
      <c r="AQ19" s="13"/>
      <c r="AR19" s="13"/>
      <c r="AS19" s="13"/>
      <c r="AT19" s="347"/>
      <c r="AX19" s="347"/>
      <c r="BB19" s="347"/>
      <c r="BF19" s="347"/>
      <c r="BN19" s="328">
        <v>506.4</v>
      </c>
      <c r="BO19" s="7">
        <v>49.04</v>
      </c>
      <c r="BP19" s="8">
        <v>0</v>
      </c>
      <c r="BQ19" s="8">
        <v>0</v>
      </c>
      <c r="BS19" s="360">
        <v>76.8</v>
      </c>
      <c r="BT19">
        <f>C40-AY40</f>
        <v>182.51546840339802</v>
      </c>
      <c r="BU19">
        <f t="shared" si="0"/>
        <v>7.68</v>
      </c>
    </row>
    <row r="20" spans="1:76">
      <c r="A20" s="344" t="s">
        <v>24</v>
      </c>
      <c r="B20" t="s">
        <v>17</v>
      </c>
      <c r="C20" s="79">
        <v>0.788134</v>
      </c>
      <c r="D20" s="348"/>
      <c r="E20" s="13"/>
      <c r="F20" s="347"/>
      <c r="G20" s="13">
        <v>0.788134</v>
      </c>
      <c r="H20" s="13"/>
      <c r="I20" s="13"/>
      <c r="J20" s="347"/>
      <c r="K20" s="13">
        <v>0.62028011310081721</v>
      </c>
      <c r="L20" s="13">
        <v>0.79045604088759103</v>
      </c>
      <c r="M20" s="13"/>
      <c r="N20" s="347"/>
      <c r="O20" s="13">
        <v>0.59878788740402655</v>
      </c>
      <c r="P20" s="13">
        <v>0.79556990141877915</v>
      </c>
      <c r="Q20" s="13"/>
      <c r="R20" s="347"/>
      <c r="S20" s="13">
        <v>0.57617472091760924</v>
      </c>
      <c r="T20" s="13">
        <v>0.80027658368660304</v>
      </c>
      <c r="U20" s="13"/>
      <c r="V20" s="347"/>
      <c r="W20" s="13">
        <v>0.55181547625352223</v>
      </c>
      <c r="X20" s="13">
        <v>0.80479598741467884</v>
      </c>
      <c r="Y20" s="13"/>
      <c r="Z20" s="347"/>
      <c r="AA20" s="13">
        <v>0.524932615778548</v>
      </c>
      <c r="AB20" s="13">
        <v>0.80928451226508846</v>
      </c>
      <c r="AC20" s="13"/>
      <c r="AD20" s="347"/>
      <c r="AE20" s="13">
        <v>0.49455513808898305</v>
      </c>
      <c r="AF20" s="13">
        <v>0.81382330138361358</v>
      </c>
      <c r="AG20" s="13"/>
      <c r="AH20" s="347"/>
      <c r="AI20" s="13">
        <v>0.45955866013626584</v>
      </c>
      <c r="AJ20" s="13">
        <v>0.81838593454153241</v>
      </c>
      <c r="AK20" s="13"/>
      <c r="AL20" s="347"/>
      <c r="AM20" s="13">
        <v>0.41877582224878868</v>
      </c>
      <c r="AN20" s="13">
        <v>0.82280250536950317</v>
      </c>
      <c r="AO20" s="13"/>
      <c r="AP20" s="347"/>
      <c r="AQ20" s="13">
        <v>0.37114274750447829</v>
      </c>
      <c r="AR20" s="13">
        <v>0.82672683714776407</v>
      </c>
      <c r="AS20" s="13"/>
      <c r="AT20" s="347"/>
      <c r="AU20">
        <v>0.25248690858576073</v>
      </c>
      <c r="AV20">
        <v>0.83077808349084237</v>
      </c>
      <c r="AX20" s="347"/>
      <c r="AY20">
        <v>0.18030227978590335</v>
      </c>
      <c r="AZ20">
        <v>0.82807942497619969</v>
      </c>
      <c r="BB20" s="347"/>
      <c r="BC20">
        <v>9.9555771684760333E-2</v>
      </c>
      <c r="BD20">
        <v>0.81693244625578576</v>
      </c>
      <c r="BF20" s="347"/>
      <c r="BG20">
        <v>1.2027276632520505E-2</v>
      </c>
      <c r="BH20">
        <v>0.75422620896383374</v>
      </c>
      <c r="BN20" s="328">
        <v>485.4</v>
      </c>
      <c r="BO20" s="7">
        <v>47.06</v>
      </c>
      <c r="BP20" s="8">
        <v>0</v>
      </c>
      <c r="BQ20" s="8">
        <v>1.8152226346619778E-2</v>
      </c>
      <c r="BS20" s="360">
        <v>41</v>
      </c>
      <c r="BT20">
        <f>C40-BC40</f>
        <v>185.14372263442479</v>
      </c>
      <c r="BU20">
        <f t="shared" si="0"/>
        <v>4.0999999999999996</v>
      </c>
    </row>
    <row r="21" spans="1:76">
      <c r="A21" s="344" t="s">
        <v>4</v>
      </c>
      <c r="B21" t="s">
        <v>17</v>
      </c>
      <c r="C21" s="79">
        <v>7.6822000000000001E-2</v>
      </c>
      <c r="D21" s="348"/>
      <c r="E21" s="13"/>
      <c r="F21" s="347"/>
      <c r="G21" s="13">
        <v>7.6822000000000001E-2</v>
      </c>
      <c r="H21" s="13"/>
      <c r="I21" s="13"/>
      <c r="J21" s="347"/>
      <c r="K21" s="13">
        <v>7.772034915222735E-2</v>
      </c>
      <c r="L21" s="13">
        <v>7.6809572504269397E-2</v>
      </c>
      <c r="M21" s="13"/>
      <c r="N21" s="347"/>
      <c r="O21" s="13">
        <v>7.7541798913510707E-2</v>
      </c>
      <c r="P21" s="13">
        <v>7.6793846857676068E-2</v>
      </c>
      <c r="Q21" s="13"/>
      <c r="R21" s="347"/>
      <c r="S21" s="13">
        <v>7.7279064707653805E-2</v>
      </c>
      <c r="T21" s="13">
        <v>7.6796550279909906E-2</v>
      </c>
      <c r="U21" s="13"/>
      <c r="V21" s="347"/>
      <c r="W21" s="13">
        <v>7.6910502495821723E-2</v>
      </c>
      <c r="X21" s="13">
        <v>7.6818245849479119E-2</v>
      </c>
      <c r="Y21" s="13"/>
      <c r="Z21" s="347"/>
      <c r="AA21" s="13">
        <v>7.6393710172513354E-2</v>
      </c>
      <c r="AB21" s="13">
        <v>7.6862931618430871E-2</v>
      </c>
      <c r="AC21" s="13"/>
      <c r="AD21" s="347"/>
      <c r="AE21" s="13">
        <v>7.5649125060029021E-2</v>
      </c>
      <c r="AF21" s="13">
        <v>7.6939806599967783E-2</v>
      </c>
      <c r="AG21" s="13"/>
      <c r="AH21" s="347"/>
      <c r="AI21" s="13">
        <v>7.4535082524199853E-2</v>
      </c>
      <c r="AJ21" s="13">
        <v>7.7066187915239739E-2</v>
      </c>
      <c r="AK21" s="13"/>
      <c r="AL21" s="347"/>
      <c r="AM21" s="13">
        <v>7.281131918020925E-2</v>
      </c>
      <c r="AN21" s="13">
        <v>7.7271877572958808E-2</v>
      </c>
      <c r="AO21" s="13"/>
      <c r="AP21" s="347"/>
      <c r="AQ21" s="13">
        <v>7.0086812209385826E-2</v>
      </c>
      <c r="AR21" s="13">
        <v>7.7605674049339685E-2</v>
      </c>
      <c r="AS21" s="13"/>
      <c r="AT21" s="347"/>
      <c r="AU21">
        <v>5.8774337059925616E-2</v>
      </c>
      <c r="AV21">
        <v>7.8872880819195898E-2</v>
      </c>
      <c r="AX21" s="347"/>
      <c r="AY21">
        <v>4.7979745173266017E-2</v>
      </c>
      <c r="AZ21">
        <v>8.0288548328365794E-2</v>
      </c>
      <c r="BB21" s="347"/>
      <c r="BC21">
        <v>3.1137771660136135E-2</v>
      </c>
      <c r="BD21">
        <v>8.256969198477361E-2</v>
      </c>
      <c r="BF21" s="347"/>
      <c r="BG21">
        <v>4.7193880303660531E-3</v>
      </c>
      <c r="BH21">
        <v>8.3523655441778227E-2</v>
      </c>
      <c r="BN21" s="328">
        <v>434.8</v>
      </c>
      <c r="BO21" s="7">
        <v>43.480000000000004</v>
      </c>
      <c r="BP21" s="8"/>
      <c r="BQ21" s="8">
        <v>5.1300939225693135E-2</v>
      </c>
      <c r="BS21" s="360">
        <v>5.2</v>
      </c>
    </row>
    <row r="22" spans="1:76">
      <c r="A22" s="344" t="s">
        <v>5</v>
      </c>
      <c r="B22" t="s">
        <v>17</v>
      </c>
      <c r="C22" s="79">
        <v>4.0576000000000001E-2</v>
      </c>
      <c r="D22" s="348"/>
      <c r="E22" s="13"/>
      <c r="F22" s="347"/>
      <c r="G22" s="13">
        <v>4.0576000000000001E-2</v>
      </c>
      <c r="H22" s="13"/>
      <c r="I22" s="13"/>
      <c r="J22" s="347"/>
      <c r="K22" s="13">
        <v>4.7756992209511469E-2</v>
      </c>
      <c r="L22" s="13">
        <v>4.0476660283583585E-2</v>
      </c>
      <c r="M22" s="13"/>
      <c r="N22" s="347"/>
      <c r="O22" s="13">
        <v>4.8653518302309448E-2</v>
      </c>
      <c r="P22" s="13">
        <v>4.0258792869504137E-2</v>
      </c>
      <c r="Q22" s="13"/>
      <c r="R22" s="347"/>
      <c r="S22" s="13">
        <v>4.960564846779339E-2</v>
      </c>
      <c r="T22" s="13">
        <v>4.0058746772168828E-2</v>
      </c>
      <c r="U22" s="13"/>
      <c r="V22" s="347"/>
      <c r="W22" s="13">
        <v>5.0641862123524603E-2</v>
      </c>
      <c r="X22" s="13">
        <v>3.9866329450181343E-2</v>
      </c>
      <c r="Y22" s="13"/>
      <c r="Z22" s="347"/>
      <c r="AA22" s="13">
        <v>5.1787984943470443E-2</v>
      </c>
      <c r="AB22" s="13">
        <v>3.9675050045917912E-2</v>
      </c>
      <c r="AC22" s="13"/>
      <c r="AD22" s="347"/>
      <c r="AE22" s="13">
        <v>5.3056740441551939E-2</v>
      </c>
      <c r="AF22" s="13">
        <v>3.9484230340491533E-2</v>
      </c>
      <c r="AG22" s="13"/>
      <c r="AH22" s="347"/>
      <c r="AI22" s="13">
        <v>5.4424456313941723E-2</v>
      </c>
      <c r="AJ22" s="13">
        <v>3.9303587909677175E-2</v>
      </c>
      <c r="AK22" s="13"/>
      <c r="AL22" s="347"/>
      <c r="AM22" s="13">
        <v>5.5787934784548805E-2</v>
      </c>
      <c r="AN22" s="13">
        <v>3.9160632010992492E-2</v>
      </c>
      <c r="AO22" s="13"/>
      <c r="AP22" s="347"/>
      <c r="AQ22" s="13">
        <v>5.6889998215523589E-2</v>
      </c>
      <c r="AR22" s="13">
        <v>3.9112514579366479E-2</v>
      </c>
      <c r="AS22" s="13"/>
      <c r="AT22" s="347"/>
      <c r="AU22">
        <v>5.5554349568432117E-2</v>
      </c>
      <c r="AV22">
        <v>3.9719964339904795E-2</v>
      </c>
      <c r="AX22" s="347"/>
      <c r="AY22">
        <v>5.0360437679530475E-2</v>
      </c>
      <c r="AZ22">
        <v>4.1100122149847373E-2</v>
      </c>
      <c r="BB22" s="347"/>
      <c r="BC22">
        <v>3.7683391437266678E-2</v>
      </c>
      <c r="BD22">
        <v>4.4321690371157504E-2</v>
      </c>
      <c r="BF22" s="347"/>
      <c r="BG22">
        <v>7.3133641681648051E-3</v>
      </c>
      <c r="BH22">
        <v>5.1738827839412097E-2</v>
      </c>
      <c r="BN22" s="328">
        <v>399</v>
      </c>
      <c r="BO22" s="7">
        <v>39.9</v>
      </c>
      <c r="BP22" s="8"/>
      <c r="BQ22" s="114">
        <v>7.5192976216373816E-2</v>
      </c>
    </row>
    <row r="23" spans="1:76">
      <c r="A23" s="344" t="s">
        <v>6</v>
      </c>
      <c r="B23" t="s">
        <v>17</v>
      </c>
      <c r="C23" s="79">
        <v>9.4219999999999998E-3</v>
      </c>
      <c r="D23" s="348"/>
      <c r="E23" s="13"/>
      <c r="F23" s="347"/>
      <c r="G23" s="13">
        <v>9.4219999999999998E-3</v>
      </c>
      <c r="H23" s="13"/>
      <c r="I23" s="13"/>
      <c r="J23" s="347"/>
      <c r="K23" s="13">
        <v>1.2226206372295486E-2</v>
      </c>
      <c r="L23" s="13">
        <v>9.3832074407450318E-3</v>
      </c>
      <c r="M23" s="13"/>
      <c r="N23" s="347"/>
      <c r="O23" s="13">
        <v>1.2611634266479353E-2</v>
      </c>
      <c r="P23" s="13">
        <v>9.2967280733381331E-3</v>
      </c>
      <c r="Q23" s="13"/>
      <c r="R23" s="347"/>
      <c r="S23" s="13">
        <v>1.3033512066217397E-2</v>
      </c>
      <c r="T23" s="13">
        <v>9.2150230566989122E-3</v>
      </c>
      <c r="U23" s="13"/>
      <c r="V23" s="347"/>
      <c r="W23" s="13">
        <v>1.3508501780257072E-2</v>
      </c>
      <c r="X23" s="13">
        <v>9.1335430614258098E-3</v>
      </c>
      <c r="Y23" s="13"/>
      <c r="Z23" s="347"/>
      <c r="AA23" s="13">
        <v>1.4055808602322185E-2</v>
      </c>
      <c r="AB23" s="13">
        <v>9.0486712945345195E-3</v>
      </c>
      <c r="AC23" s="13"/>
      <c r="AD23" s="347"/>
      <c r="AE23" s="13">
        <v>1.4695403413577217E-2</v>
      </c>
      <c r="AF23" s="13">
        <v>8.9582891706989961E-3</v>
      </c>
      <c r="AG23" s="13"/>
      <c r="AH23" s="347"/>
      <c r="AI23" s="13">
        <v>1.5442168732749971E-2</v>
      </c>
      <c r="AJ23" s="13">
        <v>8.8632166439215811E-3</v>
      </c>
      <c r="AK23" s="13"/>
      <c r="AL23" s="347"/>
      <c r="AM23" s="13">
        <v>1.6293237837416402E-2</v>
      </c>
      <c r="AN23" s="13">
        <v>8.7696820478180594E-3</v>
      </c>
      <c r="AO23" s="13"/>
      <c r="AP23" s="347"/>
      <c r="AQ23" s="13">
        <v>1.7203669037753232E-2</v>
      </c>
      <c r="AR23" s="13">
        <v>8.6935092455717299E-3</v>
      </c>
      <c r="AS23" s="13"/>
      <c r="AT23" s="347"/>
      <c r="AU23">
        <v>1.847105127623461E-2</v>
      </c>
      <c r="AV23">
        <v>8.7396193587685553E-3</v>
      </c>
      <c r="AX23" s="347"/>
      <c r="AY23">
        <v>1.7934770093582984E-2</v>
      </c>
      <c r="AZ23">
        <v>9.1040184332738822E-3</v>
      </c>
      <c r="BB23" s="347"/>
      <c r="BC23">
        <v>1.4880369250890854E-2</v>
      </c>
      <c r="BD23">
        <v>1.0175918724334836E-2</v>
      </c>
      <c r="BF23" s="347"/>
      <c r="BG23">
        <v>3.6094649580310566E-3</v>
      </c>
      <c r="BH23">
        <v>1.379174184623834E-2</v>
      </c>
      <c r="BN23" s="328">
        <v>363.2</v>
      </c>
      <c r="BO23" s="7">
        <v>36.32</v>
      </c>
      <c r="BP23" s="8"/>
      <c r="BQ23" s="114">
        <v>9.3261859545560932E-2</v>
      </c>
    </row>
    <row r="24" spans="1:76">
      <c r="A24" s="344" t="s">
        <v>7</v>
      </c>
      <c r="B24" t="s">
        <v>17</v>
      </c>
      <c r="C24" s="79">
        <v>1.3089E-2</v>
      </c>
      <c r="D24" s="348"/>
      <c r="E24" s="13"/>
      <c r="F24" s="347"/>
      <c r="G24" s="13">
        <v>1.3089E-2</v>
      </c>
      <c r="H24" s="13"/>
      <c r="I24" s="13"/>
      <c r="J24" s="347"/>
      <c r="K24" s="13">
        <v>1.7698570311953484E-2</v>
      </c>
      <c r="L24" s="13">
        <v>1.3025232571456566E-2</v>
      </c>
      <c r="M24" s="13"/>
      <c r="N24" s="347"/>
      <c r="O24" s="13">
        <v>1.8363891403225363E-2</v>
      </c>
      <c r="P24" s="13">
        <v>1.2881817952850778E-2</v>
      </c>
      <c r="Q24" s="13"/>
      <c r="R24" s="347"/>
      <c r="S24" s="13">
        <v>1.9098576270829181E-2</v>
      </c>
      <c r="T24" s="13">
        <v>1.2744512009209986E-2</v>
      </c>
      <c r="U24" s="13"/>
      <c r="V24" s="347"/>
      <c r="W24" s="13">
        <v>1.9932157949671427E-2</v>
      </c>
      <c r="X24" s="13">
        <v>1.2605703534480879E-2</v>
      </c>
      <c r="Y24" s="13"/>
      <c r="Z24" s="347"/>
      <c r="AA24" s="13">
        <v>2.0899820086586019E-2</v>
      </c>
      <c r="AB24" s="13">
        <v>1.2459077247963132E-2</v>
      </c>
      <c r="AC24" s="13"/>
      <c r="AD24" s="347"/>
      <c r="AE24" s="13">
        <v>2.2040381613071605E-2</v>
      </c>
      <c r="AF24" s="13">
        <v>1.2300484760767135E-2</v>
      </c>
      <c r="AG24" s="13"/>
      <c r="AH24" s="347"/>
      <c r="AI24" s="13">
        <v>2.3387888895210384E-2</v>
      </c>
      <c r="AJ24" s="13">
        <v>1.2130232303119893E-2</v>
      </c>
      <c r="AK24" s="13"/>
      <c r="AL24" s="347"/>
      <c r="AM24" s="13">
        <v>2.4952418494650477E-2</v>
      </c>
      <c r="AN24" s="13">
        <v>1.1957027786372759E-2</v>
      </c>
      <c r="AO24" s="13"/>
      <c r="AP24" s="347"/>
      <c r="AQ24" s="13">
        <v>2.6682384186732765E-2</v>
      </c>
      <c r="AR24" s="13">
        <v>1.1804662290807216E-2</v>
      </c>
      <c r="AS24" s="13"/>
      <c r="AT24" s="347"/>
      <c r="AU24">
        <v>2.9591011178908094E-2</v>
      </c>
      <c r="AV24">
        <v>1.1796352925342039E-2</v>
      </c>
      <c r="AX24" s="347"/>
      <c r="AY24">
        <v>2.9407693292419611E-2</v>
      </c>
      <c r="AZ24">
        <v>1.2317434477961197E-2</v>
      </c>
      <c r="BB24" s="347"/>
      <c r="BC24">
        <v>2.5324938031147628E-2</v>
      </c>
      <c r="BD24">
        <v>1.3987080344426922E-2</v>
      </c>
      <c r="BF24" s="347"/>
      <c r="BG24">
        <v>6.7529013608131332E-3</v>
      </c>
      <c r="BH24">
        <v>2.0377001925157415E-2</v>
      </c>
      <c r="BN24" s="328">
        <v>327.39999999999998</v>
      </c>
      <c r="BO24" s="7">
        <v>32.739999999999995</v>
      </c>
      <c r="BP24" s="8"/>
      <c r="BQ24" s="114">
        <v>0.10725955748331101</v>
      </c>
    </row>
    <row r="25" spans="1:76">
      <c r="A25" s="344" t="s">
        <v>8</v>
      </c>
      <c r="B25" t="s">
        <v>17</v>
      </c>
      <c r="C25" s="79">
        <v>4.548E-3</v>
      </c>
      <c r="D25" s="348"/>
      <c r="E25" s="13"/>
      <c r="F25" s="347"/>
      <c r="G25" s="13">
        <v>4.548E-3</v>
      </c>
      <c r="H25" s="13"/>
      <c r="I25" s="13"/>
      <c r="J25" s="347"/>
      <c r="K25" s="13">
        <v>7.1095378154183786E-3</v>
      </c>
      <c r="L25" s="13">
        <v>4.5125644455878185E-3</v>
      </c>
      <c r="M25" s="13"/>
      <c r="N25" s="347"/>
      <c r="O25" s="13">
        <v>7.4905954822142842E-3</v>
      </c>
      <c r="P25" s="13">
        <v>4.4324192440683462E-3</v>
      </c>
      <c r="Q25" s="13"/>
      <c r="R25" s="347"/>
      <c r="S25" s="13">
        <v>7.9156965684809254E-3</v>
      </c>
      <c r="T25" s="13">
        <v>4.3549220192990838E-3</v>
      </c>
      <c r="U25" s="13"/>
      <c r="V25" s="347"/>
      <c r="W25" s="13">
        <v>8.4038366563705929E-3</v>
      </c>
      <c r="X25" s="13">
        <v>4.27556665543529E-3</v>
      </c>
      <c r="Y25" s="13"/>
      <c r="Z25" s="347"/>
      <c r="AA25" s="13">
        <v>8.9790582798833472E-3</v>
      </c>
      <c r="AB25" s="13">
        <v>4.1903102528676262E-3</v>
      </c>
      <c r="AC25" s="13"/>
      <c r="AD25" s="347"/>
      <c r="AE25" s="13">
        <v>9.6707407514099748E-3</v>
      </c>
      <c r="AF25" s="13">
        <v>4.0958787661827577E-3</v>
      </c>
      <c r="AG25" s="13"/>
      <c r="AH25" s="347"/>
      <c r="AI25" s="13">
        <v>1.0511102733240045E-2</v>
      </c>
      <c r="AJ25" s="13">
        <v>3.990763689725332E-3</v>
      </c>
      <c r="AK25" s="13"/>
      <c r="AL25" s="347"/>
      <c r="AM25" s="13">
        <v>1.1527879023891475E-2</v>
      </c>
      <c r="AN25" s="13">
        <v>3.8770015552138915E-3</v>
      </c>
      <c r="AO25" s="13"/>
      <c r="AP25" s="347"/>
      <c r="AQ25" s="13">
        <v>1.2728740128947353E-2</v>
      </c>
      <c r="AR25" s="13">
        <v>3.7632051346087581E-3</v>
      </c>
      <c r="AS25" s="13"/>
      <c r="AT25" s="347"/>
      <c r="AU25">
        <v>1.5403624273798067E-2</v>
      </c>
      <c r="AV25">
        <v>3.6398721767446755E-3</v>
      </c>
      <c r="AX25" s="347"/>
      <c r="AY25">
        <v>1.6364971874975254E-2</v>
      </c>
      <c r="AZ25">
        <v>3.7871405652826822E-3</v>
      </c>
      <c r="BB25" s="347"/>
      <c r="BC25">
        <v>1.5818974872565846E-2</v>
      </c>
      <c r="BD25">
        <v>4.4715785371136785E-3</v>
      </c>
      <c r="BF25" s="347"/>
      <c r="BG25">
        <v>5.9893844096044905E-3</v>
      </c>
      <c r="BH25">
        <v>8.4974048336138325E-3</v>
      </c>
      <c r="BN25" s="328">
        <v>291.60000000000002</v>
      </c>
      <c r="BO25" s="7">
        <v>29.160000000000004</v>
      </c>
      <c r="BP25" s="8"/>
      <c r="BQ25" s="114">
        <v>0.11798281619065047</v>
      </c>
      <c r="BS25" t="s">
        <v>241</v>
      </c>
    </row>
    <row r="26" spans="1:76">
      <c r="A26" s="344" t="s">
        <v>9</v>
      </c>
      <c r="B26" t="s">
        <v>17</v>
      </c>
      <c r="C26" s="79">
        <v>4.3020000000000003E-3</v>
      </c>
      <c r="D26" s="348"/>
      <c r="E26" s="13"/>
      <c r="F26" s="347"/>
      <c r="G26" s="13">
        <v>4.3020000000000003E-3</v>
      </c>
      <c r="H26" s="13"/>
      <c r="I26" s="13"/>
      <c r="J26" s="347"/>
      <c r="K26" s="13">
        <v>6.6377076642055027E-3</v>
      </c>
      <c r="L26" s="13">
        <v>4.2696885129207508E-3</v>
      </c>
      <c r="M26" s="13"/>
      <c r="N26" s="347"/>
      <c r="O26" s="13">
        <v>7.0025134054275701E-3</v>
      </c>
      <c r="P26" s="13">
        <v>4.195921228897218E-3</v>
      </c>
      <c r="Q26" s="13"/>
      <c r="R26" s="347"/>
      <c r="S26" s="13">
        <v>7.4140452069510771E-3</v>
      </c>
      <c r="T26" s="13">
        <v>4.1235353987741329E-3</v>
      </c>
      <c r="U26" s="13"/>
      <c r="V26" s="347"/>
      <c r="W26" s="13">
        <v>7.8914686484300132E-3</v>
      </c>
      <c r="X26" s="13">
        <v>4.0482374894232221E-3</v>
      </c>
      <c r="Y26" s="13"/>
      <c r="Z26" s="347"/>
      <c r="AA26" s="13">
        <v>8.4592739793748779E-3</v>
      </c>
      <c r="AB26" s="13">
        <v>3.9660263378145273E-3</v>
      </c>
      <c r="AC26" s="13"/>
      <c r="AD26" s="347"/>
      <c r="AE26" s="13">
        <v>9.1476968382603087E-3</v>
      </c>
      <c r="AF26" s="13">
        <v>3.8734831692942124E-3</v>
      </c>
      <c r="AG26" s="13"/>
      <c r="AH26" s="347"/>
      <c r="AI26" s="13">
        <v>9.990463551301499E-3</v>
      </c>
      <c r="AJ26" s="13">
        <v>3.7687403182516824E-3</v>
      </c>
      <c r="AK26" s="13"/>
      <c r="AL26" s="347"/>
      <c r="AM26" s="13">
        <v>1.1017773187327331E-2</v>
      </c>
      <c r="AN26" s="13">
        <v>3.653248620564905E-3</v>
      </c>
      <c r="AO26" s="13"/>
      <c r="AP26" s="347"/>
      <c r="AQ26" s="13">
        <v>1.2241117633962453E-2</v>
      </c>
      <c r="AR26" s="13">
        <v>3.5348030093415635E-3</v>
      </c>
      <c r="AS26" s="13"/>
      <c r="AT26" s="347"/>
      <c r="AU26">
        <v>1.5034042272179967E-2</v>
      </c>
      <c r="AV26">
        <v>3.3899645946232097E-3</v>
      </c>
      <c r="AX26" s="347"/>
      <c r="AY26">
        <v>1.6117217148035174E-2</v>
      </c>
      <c r="AZ26">
        <v>3.5117593843793922E-3</v>
      </c>
      <c r="BB26" s="347"/>
      <c r="BC26">
        <v>1.580075146538391E-2</v>
      </c>
      <c r="BD26">
        <v>4.1466177165529767E-3</v>
      </c>
      <c r="BF26" s="347"/>
      <c r="BG26">
        <v>6.2629232089964348E-3</v>
      </c>
      <c r="BH26">
        <v>8.1304460362329987E-3</v>
      </c>
      <c r="BN26" s="328">
        <v>255.8</v>
      </c>
      <c r="BO26" s="7">
        <v>25.580000000000002</v>
      </c>
      <c r="BP26" s="8"/>
      <c r="BQ26" s="114">
        <v>0.12564995321888925</v>
      </c>
    </row>
    <row r="27" spans="1:76">
      <c r="A27" s="344" t="s">
        <v>10</v>
      </c>
      <c r="B27" t="s">
        <v>17</v>
      </c>
      <c r="C27" s="79">
        <v>5.2490000000000002E-3</v>
      </c>
      <c r="D27" s="348"/>
      <c r="E27" s="13"/>
      <c r="F27" s="347"/>
      <c r="G27" s="13">
        <v>5.2490000000000002E-3</v>
      </c>
      <c r="H27" s="13"/>
      <c r="I27" s="13"/>
      <c r="J27" s="347"/>
      <c r="K27" s="13">
        <v>8.9919471329895223E-3</v>
      </c>
      <c r="L27" s="13">
        <v>5.1972211794826459E-3</v>
      </c>
      <c r="M27" s="13"/>
      <c r="N27" s="347"/>
      <c r="O27" s="13">
        <v>9.617634992193775E-3</v>
      </c>
      <c r="P27" s="13">
        <v>5.0773801786247906E-3</v>
      </c>
      <c r="Q27" s="13"/>
      <c r="R27" s="347"/>
      <c r="S27" s="13">
        <v>1.0336190626015684E-2</v>
      </c>
      <c r="T27" s="13">
        <v>4.9571615402359279E-3</v>
      </c>
      <c r="U27" s="13"/>
      <c r="V27" s="347"/>
      <c r="W27" s="13">
        <v>1.1184709256305736E-2</v>
      </c>
      <c r="X27" s="13">
        <v>4.8289902291588612E-3</v>
      </c>
      <c r="Y27" s="13"/>
      <c r="Z27" s="347"/>
      <c r="AA27" s="13">
        <v>1.2211917783986328E-2</v>
      </c>
      <c r="AB27" s="13">
        <v>4.6852750841293754E-3</v>
      </c>
      <c r="AC27" s="13"/>
      <c r="AD27" s="347"/>
      <c r="AE27" s="13">
        <v>1.3480160067748428E-2</v>
      </c>
      <c r="AF27" s="13">
        <v>4.5187595065669149E-3</v>
      </c>
      <c r="AG27" s="13"/>
      <c r="AH27" s="347"/>
      <c r="AI27" s="13">
        <v>1.506323145350782E-2</v>
      </c>
      <c r="AJ27" s="13">
        <v>4.3240187843866891E-3</v>
      </c>
      <c r="AK27" s="13"/>
      <c r="AL27" s="347"/>
      <c r="AM27" s="13">
        <v>1.7036714318687623E-2</v>
      </c>
      <c r="AN27" s="13">
        <v>4.1003316587669286E-3</v>
      </c>
      <c r="AO27" s="13"/>
      <c r="AP27" s="347"/>
      <c r="AQ27" s="13">
        <v>1.9456834749252409E-2</v>
      </c>
      <c r="AR27" s="13">
        <v>3.8564406018898982E-3</v>
      </c>
      <c r="AS27" s="13"/>
      <c r="AT27" s="347"/>
      <c r="AU27">
        <v>2.5611785408107501E-2</v>
      </c>
      <c r="AV27">
        <v>3.4492841711366699E-3</v>
      </c>
      <c r="AX27" s="347"/>
      <c r="AY27">
        <v>2.8878905790140609E-2</v>
      </c>
      <c r="AZ27">
        <v>3.4614919129031386E-3</v>
      </c>
      <c r="BB27" s="347"/>
      <c r="BC27">
        <v>3.1109248799712493E-2</v>
      </c>
      <c r="BD27">
        <v>4.1065415900724501E-3</v>
      </c>
      <c r="BF27" s="347"/>
      <c r="BG27">
        <v>1.8290068315300525E-2</v>
      </c>
      <c r="BH27">
        <v>1.0826412546516624E-2</v>
      </c>
      <c r="BN27" s="360">
        <v>220</v>
      </c>
      <c r="BO27" s="7">
        <v>22</v>
      </c>
      <c r="BP27" s="8"/>
      <c r="BQ27" s="114">
        <v>0.1302048464146929</v>
      </c>
      <c r="BS27">
        <v>654</v>
      </c>
      <c r="BT27">
        <v>0</v>
      </c>
      <c r="BU27">
        <v>0</v>
      </c>
      <c r="BV27">
        <f>BS27/10</f>
        <v>65.400000000000006</v>
      </c>
      <c r="BW27">
        <v>0</v>
      </c>
      <c r="BX27">
        <v>0</v>
      </c>
    </row>
    <row r="28" spans="1:76">
      <c r="A28" s="344" t="s">
        <v>35</v>
      </c>
      <c r="B28" t="s">
        <v>17</v>
      </c>
      <c r="C28" s="79">
        <v>7.4440000000000001E-3</v>
      </c>
      <c r="D28" s="348"/>
      <c r="E28" s="13"/>
      <c r="F28" s="347"/>
      <c r="G28" s="13">
        <v>7.4440000000000001E-3</v>
      </c>
      <c r="H28" s="13"/>
      <c r="I28" s="13"/>
      <c r="J28" s="347"/>
      <c r="K28" s="13">
        <v>1.449406050181918E-2</v>
      </c>
      <c r="L28" s="13">
        <v>7.3464715539947731E-3</v>
      </c>
      <c r="M28" s="13"/>
      <c r="N28" s="347"/>
      <c r="O28" s="13">
        <v>1.5718002757355791E-2</v>
      </c>
      <c r="P28" s="13">
        <v>7.11894248734532E-3</v>
      </c>
      <c r="Q28" s="13"/>
      <c r="R28" s="347"/>
      <c r="S28" s="13">
        <v>1.7134064316629994E-2</v>
      </c>
      <c r="T28" s="13">
        <v>6.8879963212627408E-3</v>
      </c>
      <c r="U28" s="13"/>
      <c r="V28" s="347"/>
      <c r="W28" s="13">
        <v>1.8816175079875989E-2</v>
      </c>
      <c r="X28" s="13">
        <v>6.6389389230347932E-3</v>
      </c>
      <c r="Y28" s="13"/>
      <c r="Z28" s="347"/>
      <c r="AA28" s="13">
        <v>2.0861011132514991E-2</v>
      </c>
      <c r="AB28" s="13">
        <v>6.3568360001301505E-3</v>
      </c>
      <c r="AC28" s="13"/>
      <c r="AD28" s="347"/>
      <c r="AE28" s="13">
        <v>2.3391084977419492E-2</v>
      </c>
      <c r="AF28" s="13">
        <v>6.0273491186182068E-3</v>
      </c>
      <c r="AG28" s="13"/>
      <c r="AH28" s="347"/>
      <c r="AI28" s="13">
        <v>2.6549086588191748E-2</v>
      </c>
      <c r="AJ28" s="13">
        <v>5.6399596255963828E-3</v>
      </c>
      <c r="AK28" s="13"/>
      <c r="AL28" s="347"/>
      <c r="AM28" s="13">
        <v>3.0478557141672954E-2</v>
      </c>
      <c r="AN28" s="13">
        <v>5.1938549266061628E-3</v>
      </c>
      <c r="AO28" s="13"/>
      <c r="AP28" s="347"/>
      <c r="AQ28" s="13">
        <v>3.529064277006911E-2</v>
      </c>
      <c r="AR28" s="13">
        <v>4.7063448787254686E-3</v>
      </c>
      <c r="AS28" s="13"/>
      <c r="AT28" s="347"/>
      <c r="AU28">
        <v>4.7886254954403469E-2</v>
      </c>
      <c r="AV28">
        <v>3.8402474976030761E-3</v>
      </c>
      <c r="AX28" s="347"/>
      <c r="AY28">
        <v>5.5363287989702248E-2</v>
      </c>
      <c r="AZ28">
        <v>3.6852644932599652E-3</v>
      </c>
      <c r="BB28" s="347"/>
      <c r="BC28">
        <v>6.3075870294742278E-2</v>
      </c>
      <c r="BD28">
        <v>4.293184833626805E-3</v>
      </c>
      <c r="BF28" s="347"/>
      <c r="BG28">
        <v>5.1493450972642553E-2</v>
      </c>
      <c r="BH28">
        <v>1.4505412881513049E-2</v>
      </c>
      <c r="BN28" s="360">
        <v>184.2</v>
      </c>
      <c r="BO28" s="7">
        <v>18.419999999999998</v>
      </c>
      <c r="BP28" s="8"/>
      <c r="BQ28" s="80">
        <v>0.13158901360209813</v>
      </c>
      <c r="BS28" s="328">
        <v>506.4</v>
      </c>
      <c r="BT28">
        <f>C40-K40-L40</f>
        <v>41.607970640721021</v>
      </c>
      <c r="BU28">
        <f t="shared" ref="BU28:BU39" si="1">BT28/$C$40*100</f>
        <v>9.6684161996886182</v>
      </c>
      <c r="BV28">
        <f>BS28/10</f>
        <v>50.64</v>
      </c>
      <c r="BW28">
        <f>G42*(G9-K9-L9)</f>
        <v>36.838784447529186</v>
      </c>
      <c r="BX28">
        <f t="shared" ref="BX28:BX39" si="2">BW28/$C$40*100</f>
        <v>8.560203606295282</v>
      </c>
    </row>
    <row r="29" spans="1:76">
      <c r="A29" s="344" t="s">
        <v>163</v>
      </c>
      <c r="B29" t="s">
        <v>17</v>
      </c>
      <c r="C29" s="79">
        <v>1.4394000000000001E-2</v>
      </c>
      <c r="D29" s="348"/>
      <c r="E29" s="13"/>
      <c r="F29" s="347"/>
      <c r="G29" s="13">
        <v>1.4394000000000001E-2</v>
      </c>
      <c r="H29" s="13"/>
      <c r="I29" s="13"/>
      <c r="J29" s="347"/>
      <c r="K29" s="13">
        <v>3.1894268339757725E-2</v>
      </c>
      <c r="L29" s="13">
        <v>1.4151906478191126E-2</v>
      </c>
      <c r="M29" s="13"/>
      <c r="N29" s="347"/>
      <c r="O29" s="13">
        <v>3.5036012815140211E-2</v>
      </c>
      <c r="P29" s="13">
        <v>1.3583006510099277E-2</v>
      </c>
      <c r="Q29" s="13"/>
      <c r="R29" s="347"/>
      <c r="S29" s="13">
        <v>3.8691800781440494E-2</v>
      </c>
      <c r="T29" s="13">
        <v>1.2999576637605179E-2</v>
      </c>
      <c r="U29" s="13"/>
      <c r="V29" s="347"/>
      <c r="W29" s="13">
        <v>4.3048980747586563E-2</v>
      </c>
      <c r="X29" s="13">
        <v>1.2364665599263481E-2</v>
      </c>
      <c r="Y29" s="13"/>
      <c r="Z29" s="347"/>
      <c r="AA29" s="13">
        <v>4.8346084627274744E-2</v>
      </c>
      <c r="AB29" s="13">
        <v>1.1641108283315205E-2</v>
      </c>
      <c r="AC29" s="13"/>
      <c r="AD29" s="347"/>
      <c r="AE29" s="13">
        <v>5.4872590853747037E-2</v>
      </c>
      <c r="AF29" s="13">
        <v>1.0794925674502222E-2</v>
      </c>
      <c r="AG29" s="13"/>
      <c r="AH29" s="347"/>
      <c r="AI29" s="13">
        <v>6.2942807022811964E-2</v>
      </c>
      <c r="AJ29" s="13">
        <v>9.8055860124000721E-3</v>
      </c>
      <c r="AK29" s="13"/>
      <c r="AL29" s="347"/>
      <c r="AM29" s="13">
        <v>7.2840303377755988E-2</v>
      </c>
      <c r="AN29" s="13">
        <v>8.6826533448150379E-3</v>
      </c>
      <c r="AO29" s="13"/>
      <c r="AP29" s="347"/>
      <c r="AQ29" s="13">
        <v>8.4761023723305573E-2</v>
      </c>
      <c r="AR29" s="13">
        <v>7.4838894843157399E-3</v>
      </c>
      <c r="AS29" s="13"/>
      <c r="AT29" s="347"/>
      <c r="AU29">
        <v>0.11589340049510376</v>
      </c>
      <c r="AV29">
        <v>5.3844372935494423E-3</v>
      </c>
      <c r="AX29" s="347"/>
      <c r="AY29">
        <v>0.1355201408428533</v>
      </c>
      <c r="AZ29">
        <v>4.8375970644978436E-3</v>
      </c>
      <c r="BB29" s="347"/>
      <c r="BC29">
        <v>0.15960027748723266</v>
      </c>
      <c r="BD29">
        <v>5.3616337374287641E-3</v>
      </c>
      <c r="BF29" s="347"/>
      <c r="BG29">
        <v>0.16880562371481725</v>
      </c>
      <c r="BH29">
        <v>2.1444640511585792E-2</v>
      </c>
      <c r="BN29" s="360">
        <v>112.6</v>
      </c>
      <c r="BO29" s="7">
        <v>11.26</v>
      </c>
      <c r="BP29" s="1"/>
      <c r="BQ29" s="80">
        <v>0.12626977332561071</v>
      </c>
      <c r="BS29" s="328">
        <v>470.6</v>
      </c>
      <c r="BT29">
        <f>G40-O40-P40</f>
        <v>57.066321892878705</v>
      </c>
      <c r="BU29">
        <f t="shared" si="1"/>
        <v>13.260462900485084</v>
      </c>
      <c r="BV29">
        <f>BS29/10</f>
        <v>47.06</v>
      </c>
      <c r="BW29">
        <f>L42*(K9+L9-O9-P9)+BW28</f>
        <v>47.874566191888263</v>
      </c>
      <c r="BX29">
        <f t="shared" si="2"/>
        <v>11.124580800143931</v>
      </c>
    </row>
    <row r="30" spans="1:76">
      <c r="A30" s="344" t="s">
        <v>37</v>
      </c>
      <c r="B30" t="s">
        <v>17</v>
      </c>
      <c r="C30" s="79">
        <v>1.1932999999999999E-2</v>
      </c>
      <c r="D30" s="348"/>
      <c r="E30" s="13"/>
      <c r="F30" s="347"/>
      <c r="G30" s="13">
        <v>1.1932999999999999E-2</v>
      </c>
      <c r="H30" s="13"/>
      <c r="I30" s="13"/>
      <c r="J30" s="347"/>
      <c r="K30" s="13">
        <v>3.2877552044882082E-2</v>
      </c>
      <c r="L30" s="13">
        <v>1.1643259278954292E-2</v>
      </c>
      <c r="M30" s="13"/>
      <c r="N30" s="347"/>
      <c r="O30" s="13">
        <v>3.6960070952435684E-2</v>
      </c>
      <c r="P30" s="13">
        <v>1.0949604014953656E-2</v>
      </c>
      <c r="Q30" s="13"/>
      <c r="R30" s="347"/>
      <c r="S30" s="13">
        <v>4.1776250995589799E-2</v>
      </c>
      <c r="T30" s="13">
        <v>1.0219566142227819E-2</v>
      </c>
      <c r="U30" s="13"/>
      <c r="V30" s="347"/>
      <c r="W30" s="13">
        <v>4.7549639113890575E-2</v>
      </c>
      <c r="X30" s="13">
        <v>9.4082576745740804E-3</v>
      </c>
      <c r="Y30" s="13"/>
      <c r="Z30" s="347"/>
      <c r="AA30" s="13">
        <v>5.4524394600133322E-2</v>
      </c>
      <c r="AB30" s="13">
        <v>8.4745225305393433E-3</v>
      </c>
      <c r="AC30" s="13"/>
      <c r="AD30" s="347"/>
      <c r="AE30" s="13">
        <v>6.2921745138364807E-2</v>
      </c>
      <c r="AF30" s="13">
        <v>7.392001471995562E-3</v>
      </c>
      <c r="AG30" s="13"/>
      <c r="AH30" s="347"/>
      <c r="AI30" s="13">
        <v>7.2863705429859774E-2</v>
      </c>
      <c r="AJ30" s="13">
        <v>6.1705893019349664E-3</v>
      </c>
      <c r="AK30" s="13"/>
      <c r="AL30" s="347"/>
      <c r="AM30" s="13">
        <v>8.4323842672414315E-2</v>
      </c>
      <c r="AN30" s="13">
        <v>4.8781402763347897E-3</v>
      </c>
      <c r="AO30" s="13"/>
      <c r="AP30" s="347"/>
      <c r="AQ30" s="13">
        <v>9.7234626011663938E-2</v>
      </c>
      <c r="AR30" s="13">
        <v>3.6382042288532314E-3</v>
      </c>
      <c r="AS30" s="13"/>
      <c r="AT30" s="347"/>
      <c r="AU30">
        <v>0.12937592508300838</v>
      </c>
      <c r="AV30">
        <v>1.8095753151612503E-3</v>
      </c>
      <c r="AX30" s="347"/>
      <c r="AY30">
        <v>0.15122811906705283</v>
      </c>
      <c r="AZ30">
        <v>1.3247951359151822E-3</v>
      </c>
      <c r="BB30" s="347"/>
      <c r="BC30">
        <v>0.18212603566982735</v>
      </c>
      <c r="BD30">
        <v>1.2005951772574301E-3</v>
      </c>
      <c r="BF30" s="347"/>
      <c r="BG30">
        <v>0.24913828112653963</v>
      </c>
      <c r="BH30">
        <v>4.857746025355502E-3</v>
      </c>
      <c r="BN30" s="360">
        <v>76.8</v>
      </c>
      <c r="BO30" s="7">
        <v>7.68</v>
      </c>
      <c r="BP30" s="1"/>
      <c r="BQ30" s="80">
        <v>0.11965742083646604</v>
      </c>
      <c r="BS30" s="328">
        <v>434.8</v>
      </c>
      <c r="BT30">
        <f>G40-S40-T40</f>
        <v>71.219600364928681</v>
      </c>
      <c r="BU30">
        <f t="shared" si="1"/>
        <v>16.549250715672333</v>
      </c>
      <c r="BV30">
        <f t="shared" ref="BV30:BV43" si="3">BS30/10</f>
        <v>43.480000000000004</v>
      </c>
      <c r="BW30">
        <f>P42*(O9+P9-S9-T9)+BW29</f>
        <v>59.40267913664114</v>
      </c>
      <c r="BX30">
        <f t="shared" si="2"/>
        <v>13.80336066444729</v>
      </c>
    </row>
    <row r="31" spans="1:76" ht="13.5" thickBot="1">
      <c r="A31" s="344" t="s">
        <v>38</v>
      </c>
      <c r="B31" t="s">
        <v>17</v>
      </c>
      <c r="C31" s="79">
        <v>8.7080000000000005E-3</v>
      </c>
      <c r="D31" s="348"/>
      <c r="E31" s="13"/>
      <c r="F31" s="347"/>
      <c r="G31" s="13">
        <v>8.7080000000000005E-3</v>
      </c>
      <c r="H31" s="13"/>
      <c r="I31" s="13"/>
      <c r="J31" s="347"/>
      <c r="K31" s="13">
        <v>4.1114014699066483E-2</v>
      </c>
      <c r="L31" s="13">
        <v>8.2597048039506921E-3</v>
      </c>
      <c r="M31" s="13"/>
      <c r="N31" s="347"/>
      <c r="O31" s="13">
        <v>4.6848873259044792E-2</v>
      </c>
      <c r="P31" s="13">
        <v>7.2095336081479337E-3</v>
      </c>
      <c r="Q31" s="13"/>
      <c r="R31" s="347"/>
      <c r="S31" s="13">
        <v>5.3148611455081839E-2</v>
      </c>
      <c r="T31" s="13">
        <v>6.1583952622109054E-3</v>
      </c>
      <c r="U31" s="13"/>
      <c r="V31" s="347"/>
      <c r="W31" s="13">
        <v>5.9962878113943185E-2</v>
      </c>
      <c r="X31" s="13">
        <v>5.0833695117560602E-3</v>
      </c>
      <c r="Y31" s="13"/>
      <c r="Z31" s="347"/>
      <c r="AA31" s="13">
        <v>6.7118073117076862E-2</v>
      </c>
      <c r="AB31" s="13">
        <v>3.9932471587808965E-3</v>
      </c>
      <c r="AC31" s="13"/>
      <c r="AD31" s="347"/>
      <c r="AE31" s="13">
        <v>7.4355743853688497E-2</v>
      </c>
      <c r="AF31" s="13">
        <v>2.9362987531068793E-3</v>
      </c>
      <c r="AG31" s="13"/>
      <c r="AH31" s="347"/>
      <c r="AI31" s="13">
        <v>8.1495136046055933E-2</v>
      </c>
      <c r="AJ31" s="13">
        <v>1.9921409756913171E-3</v>
      </c>
      <c r="AK31" s="13"/>
      <c r="AL31" s="347"/>
      <c r="AM31" s="13">
        <v>8.868759891662277E-2</v>
      </c>
      <c r="AN31" s="13">
        <v>1.2376441126794634E-3</v>
      </c>
      <c r="AO31" s="13"/>
      <c r="AP31" s="347"/>
      <c r="AQ31" s="13">
        <v>9.6588907350710948E-2</v>
      </c>
      <c r="AR31" s="13">
        <v>7.0646030670717215E-4</v>
      </c>
      <c r="AS31" s="13"/>
      <c r="AT31" s="347"/>
      <c r="AU31">
        <v>0.11891286732866753</v>
      </c>
      <c r="AV31">
        <v>1.936804418089823E-4</v>
      </c>
      <c r="AX31" s="347"/>
      <c r="AY31">
        <v>0.13726939339278812</v>
      </c>
      <c r="AZ31">
        <v>1.0325214314178584E-4</v>
      </c>
      <c r="BB31" s="347"/>
      <c r="BC31">
        <v>0.16519169282534973</v>
      </c>
      <c r="BD31">
        <v>6.7147845734663901E-5</v>
      </c>
      <c r="BF31" s="347"/>
      <c r="BG31">
        <v>0.23820107133847887</v>
      </c>
      <c r="BH31">
        <v>1.9904046011783353E-4</v>
      </c>
      <c r="BN31" s="360">
        <v>41</v>
      </c>
      <c r="BO31" s="7">
        <v>4.0999999999999996</v>
      </c>
      <c r="BP31" s="124"/>
      <c r="BQ31" s="80">
        <v>0.11079859809925452</v>
      </c>
      <c r="BS31" s="328">
        <v>399</v>
      </c>
      <c r="BT31">
        <f>G40-W40-X40</f>
        <v>84.143377857450616</v>
      </c>
      <c r="BU31">
        <f t="shared" si="1"/>
        <v>19.552340213807611</v>
      </c>
      <c r="BV31">
        <f t="shared" si="3"/>
        <v>39.9</v>
      </c>
      <c r="BW31">
        <f>T42*(S9+T9-W9-X9)+BW30</f>
        <v>70.800189739688051</v>
      </c>
      <c r="BX31">
        <f t="shared" si="2"/>
        <v>16.451792550302706</v>
      </c>
    </row>
    <row r="32" spans="1:76" ht="14.25" thickTop="1" thickBot="1">
      <c r="A32" s="344" t="s">
        <v>39</v>
      </c>
      <c r="B32" t="s">
        <v>17</v>
      </c>
      <c r="C32" s="79">
        <v>7.3930000000000003E-3</v>
      </c>
      <c r="D32" s="348"/>
      <c r="E32" s="13"/>
      <c r="F32" s="347"/>
      <c r="G32" s="13">
        <v>7.3930000000000003E-3</v>
      </c>
      <c r="H32" s="13"/>
      <c r="I32" s="13"/>
      <c r="J32" s="347"/>
      <c r="K32" s="13">
        <v>7.4286085823321288E-2</v>
      </c>
      <c r="L32" s="13">
        <v>6.4676208905357097E-3</v>
      </c>
      <c r="M32" s="13"/>
      <c r="N32" s="347"/>
      <c r="O32" s="13">
        <v>7.8625427487026722E-2</v>
      </c>
      <c r="P32" s="13">
        <v>4.5972444120231529E-3</v>
      </c>
      <c r="Q32" s="13"/>
      <c r="R32" s="347"/>
      <c r="S32" s="13">
        <v>8.1836635774224231E-2</v>
      </c>
      <c r="T32" s="13">
        <v>3.1393819594129138E-3</v>
      </c>
      <c r="U32" s="13"/>
      <c r="V32" s="347"/>
      <c r="W32" s="13">
        <v>8.3987522442618798E-2</v>
      </c>
      <c r="X32" s="13">
        <v>2.03028826890114E-3</v>
      </c>
      <c r="Y32" s="13"/>
      <c r="Z32" s="347"/>
      <c r="AA32" s="13">
        <v>8.5321848300205547E-2</v>
      </c>
      <c r="AB32" s="13">
        <v>1.2248912507920626E-3</v>
      </c>
      <c r="AC32" s="13"/>
      <c r="AD32" s="347"/>
      <c r="AE32" s="13">
        <v>8.6331219516597377E-2</v>
      </c>
      <c r="AF32" s="13">
        <v>6.7932743719065864E-4</v>
      </c>
      <c r="AG32" s="13"/>
      <c r="AH32" s="347"/>
      <c r="AI32" s="13">
        <v>8.7730180645574335E-2</v>
      </c>
      <c r="AJ32" s="13">
        <v>3.4199416831206132E-4</v>
      </c>
      <c r="AK32" s="13"/>
      <c r="AL32" s="347"/>
      <c r="AM32" s="13">
        <v>9.035107311171732E-2</v>
      </c>
      <c r="AN32" s="13">
        <v>1.5497252313154792E-4</v>
      </c>
      <c r="AO32" s="13"/>
      <c r="AP32" s="347"/>
      <c r="AQ32" s="13">
        <v>9.504871606857207E-2</v>
      </c>
      <c r="AR32" s="13">
        <v>6.314005698404084E-5</v>
      </c>
      <c r="AS32" s="13"/>
      <c r="AT32" s="347"/>
      <c r="AU32">
        <v>0.11363439454463627</v>
      </c>
      <c r="AV32">
        <v>8.0631830501424153E-6</v>
      </c>
      <c r="AX32" s="347"/>
      <c r="AY32">
        <v>0.1307572697598893</v>
      </c>
      <c r="AZ32">
        <v>2.7976877149668784E-6</v>
      </c>
      <c r="BB32" s="347"/>
      <c r="BC32">
        <v>0.15722637016232657</v>
      </c>
      <c r="BD32">
        <v>1.1486584344088936E-6</v>
      </c>
      <c r="BF32" s="347"/>
      <c r="BG32">
        <v>0.22720387279416235</v>
      </c>
      <c r="BH32">
        <v>2.0665682309298982E-6</v>
      </c>
      <c r="BN32" s="360">
        <v>5.2</v>
      </c>
      <c r="BO32" s="7">
        <f>BN32/10</f>
        <v>0.52</v>
      </c>
      <c r="BP32" s="9"/>
      <c r="BQ32" s="253">
        <v>9.2215932159957922E-2</v>
      </c>
      <c r="BS32" s="328">
        <v>363.2</v>
      </c>
      <c r="BT32">
        <f>G40-AA40-AB40</f>
        <v>96.227775457079105</v>
      </c>
      <c r="BU32">
        <f t="shared" si="1"/>
        <v>22.360383569841417</v>
      </c>
      <c r="BV32">
        <f t="shared" si="3"/>
        <v>36.32</v>
      </c>
      <c r="BW32">
        <f>X42*(W9+X9-AA9-AB9)+BW31</f>
        <v>82.090500696268577</v>
      </c>
      <c r="BX32">
        <f t="shared" si="2"/>
        <v>19.075314526289024</v>
      </c>
    </row>
    <row r="33" spans="1:86" ht="13.5" thickTop="1">
      <c r="A33" s="344" t="s">
        <v>40</v>
      </c>
      <c r="B33" t="s">
        <v>17</v>
      </c>
      <c r="C33" s="13"/>
      <c r="D33" s="13"/>
      <c r="E33" s="13"/>
      <c r="F33" s="347"/>
      <c r="G33" s="13"/>
      <c r="H33" s="13"/>
      <c r="I33" s="13"/>
      <c r="J33" s="347"/>
      <c r="K33" s="13"/>
      <c r="L33" s="13"/>
      <c r="M33" s="13"/>
      <c r="N33" s="347"/>
      <c r="O33" s="13"/>
      <c r="P33" s="13"/>
      <c r="Q33" s="13"/>
      <c r="R33" s="347"/>
      <c r="S33" s="13"/>
      <c r="T33" s="13"/>
      <c r="U33" s="13"/>
      <c r="V33" s="347"/>
      <c r="W33" s="13"/>
      <c r="X33" s="13"/>
      <c r="Y33" s="13"/>
      <c r="Z33" s="347"/>
      <c r="AA33" s="13"/>
      <c r="AB33" s="13"/>
      <c r="AC33" s="13"/>
      <c r="AD33" s="347"/>
      <c r="AE33" s="13"/>
      <c r="AF33" s="13"/>
      <c r="AG33" s="13"/>
      <c r="AH33" s="347"/>
      <c r="AI33" s="13"/>
      <c r="AJ33" s="13"/>
      <c r="AK33" s="13"/>
      <c r="AL33" s="347"/>
      <c r="AM33" s="13"/>
      <c r="AN33" s="13"/>
      <c r="AO33" s="13"/>
      <c r="AP33" s="347"/>
      <c r="AQ33" s="13"/>
      <c r="AR33" s="13"/>
      <c r="AS33" s="13"/>
      <c r="AT33" s="347"/>
      <c r="BS33" s="328">
        <v>327.39999999999998</v>
      </c>
      <c r="BT33">
        <f>G40-AE40-AF40</f>
        <v>107.65610622017505</v>
      </c>
      <c r="BU33">
        <f t="shared" si="1"/>
        <v>25.015977115592914</v>
      </c>
      <c r="BV33">
        <f t="shared" si="3"/>
        <v>32.739999999999995</v>
      </c>
      <c r="BW33">
        <f>AB42*(AA9+AB9-AE9-AF9)+BW32</f>
        <v>93.249860160898038</v>
      </c>
      <c r="BX33">
        <f t="shared" si="2"/>
        <v>21.668407392019382</v>
      </c>
    </row>
    <row r="34" spans="1:86">
      <c r="A34" s="344" t="s">
        <v>41</v>
      </c>
      <c r="B34" t="s">
        <v>17</v>
      </c>
      <c r="C34" s="13"/>
      <c r="D34" s="13"/>
      <c r="E34" s="13"/>
      <c r="F34" s="347"/>
      <c r="G34" s="13"/>
      <c r="H34" s="13"/>
      <c r="I34" s="13"/>
      <c r="J34" s="347"/>
      <c r="K34" s="13"/>
      <c r="L34" s="13"/>
      <c r="M34" s="13"/>
      <c r="N34" s="347"/>
      <c r="O34" s="13"/>
      <c r="P34" s="13"/>
      <c r="Q34" s="13"/>
      <c r="R34" s="347"/>
      <c r="S34" s="13"/>
      <c r="T34" s="13"/>
      <c r="U34" s="13"/>
      <c r="V34" s="347"/>
      <c r="W34" s="13"/>
      <c r="X34" s="13"/>
      <c r="Y34" s="13"/>
      <c r="Z34" s="347"/>
      <c r="AA34" s="13"/>
      <c r="AB34" s="13"/>
      <c r="AC34" s="13"/>
      <c r="AD34" s="347"/>
      <c r="AE34" s="13"/>
      <c r="AF34" s="13"/>
      <c r="AG34" s="13"/>
      <c r="AH34" s="347"/>
      <c r="AI34" s="13"/>
      <c r="AJ34" s="13"/>
      <c r="AK34" s="13"/>
      <c r="AL34" s="347"/>
      <c r="AM34" s="13"/>
      <c r="AN34" s="13"/>
      <c r="AO34" s="13"/>
      <c r="AP34" s="347"/>
      <c r="AQ34" s="13"/>
      <c r="AR34" s="13"/>
      <c r="AS34" s="13"/>
      <c r="AT34" s="347"/>
      <c r="BS34" s="328">
        <v>291.60000000000002</v>
      </c>
      <c r="BT34">
        <f>G40-AI40-AJ40</f>
        <v>118.49255903058463</v>
      </c>
      <c r="BU34">
        <f t="shared" si="1"/>
        <v>27.534036378901167</v>
      </c>
      <c r="BV34">
        <f t="shared" si="3"/>
        <v>29.160000000000004</v>
      </c>
      <c r="BW34">
        <f>AF42*(AE9+AF9-AI9-AJ9)+BW33</f>
        <v>104.19676437538739</v>
      </c>
      <c r="BX34">
        <f t="shared" si="2"/>
        <v>24.212132173929927</v>
      </c>
    </row>
    <row r="35" spans="1:86">
      <c r="A35" s="344" t="s">
        <v>42</v>
      </c>
      <c r="B35" t="s">
        <v>17</v>
      </c>
      <c r="C35" s="13"/>
      <c r="D35" s="13"/>
      <c r="E35" s="13"/>
      <c r="F35" s="347"/>
      <c r="G35" s="13"/>
      <c r="H35" s="13"/>
      <c r="I35" s="13"/>
      <c r="J35" s="347"/>
      <c r="K35" s="13"/>
      <c r="L35" s="13"/>
      <c r="M35" s="13"/>
      <c r="N35" s="347"/>
      <c r="O35" s="13"/>
      <c r="P35" s="13"/>
      <c r="Q35" s="13"/>
      <c r="R35" s="347"/>
      <c r="S35" s="13"/>
      <c r="T35" s="13"/>
      <c r="U35" s="13"/>
      <c r="V35" s="347"/>
      <c r="W35" s="13"/>
      <c r="X35" s="13"/>
      <c r="Y35" s="13"/>
      <c r="Z35" s="347"/>
      <c r="AA35" s="13"/>
      <c r="AB35" s="13"/>
      <c r="AC35" s="13"/>
      <c r="AD35" s="347"/>
      <c r="AE35" s="13"/>
      <c r="AF35" s="13"/>
      <c r="AG35" s="13"/>
      <c r="AH35" s="347"/>
      <c r="AI35" s="13"/>
      <c r="AJ35" s="13"/>
      <c r="AK35" s="13"/>
      <c r="AL35" s="347"/>
      <c r="AM35" s="13"/>
      <c r="AN35" s="13"/>
      <c r="AO35" s="13"/>
      <c r="AP35" s="347"/>
      <c r="AQ35" s="13"/>
      <c r="AR35" s="13"/>
      <c r="AS35" s="13"/>
      <c r="AT35" s="347"/>
      <c r="BS35" s="328">
        <v>255.8</v>
      </c>
      <c r="BT35">
        <f>G40-AM40-AN40</f>
        <v>128.72873400230998</v>
      </c>
      <c r="BU35">
        <f t="shared" si="1"/>
        <v>29.912609483897029</v>
      </c>
      <c r="BV35">
        <f t="shared" si="3"/>
        <v>25.580000000000002</v>
      </c>
      <c r="BW35">
        <f>AJ42*(AI9+AJ9-AM9-AN9)+BW34</f>
        <v>114.78831749074416</v>
      </c>
      <c r="BX35">
        <f t="shared" si="2"/>
        <v>26.673284259539148</v>
      </c>
    </row>
    <row r="36" spans="1:86">
      <c r="A36" s="344" t="s">
        <v>43</v>
      </c>
      <c r="B36" t="s">
        <v>17</v>
      </c>
      <c r="C36" s="13"/>
      <c r="D36" s="13"/>
      <c r="E36" s="13"/>
      <c r="F36" s="347"/>
      <c r="G36" s="13"/>
      <c r="H36" s="13"/>
      <c r="I36" s="13"/>
      <c r="J36" s="347"/>
      <c r="K36" s="13"/>
      <c r="L36" s="13"/>
      <c r="M36" s="13"/>
      <c r="N36" s="347"/>
      <c r="O36" s="13"/>
      <c r="P36" s="13"/>
      <c r="Q36" s="13"/>
      <c r="R36" s="347"/>
      <c r="S36" s="13"/>
      <c r="T36" s="13"/>
      <c r="U36" s="13"/>
      <c r="V36" s="347"/>
      <c r="W36" s="13"/>
      <c r="X36" s="13"/>
      <c r="Y36" s="13"/>
      <c r="Z36" s="347"/>
      <c r="AA36" s="13"/>
      <c r="AB36" s="13"/>
      <c r="AC36" s="13"/>
      <c r="AD36" s="347"/>
      <c r="AE36" s="13"/>
      <c r="AF36" s="13"/>
      <c r="AG36" s="13"/>
      <c r="AH36" s="347"/>
      <c r="AI36" s="13"/>
      <c r="AJ36" s="13"/>
      <c r="AK36" s="13"/>
      <c r="AL36" s="347"/>
      <c r="AM36" s="13"/>
      <c r="AN36" s="13"/>
      <c r="AO36" s="13"/>
      <c r="AP36" s="347"/>
      <c r="AQ36" s="13"/>
      <c r="AR36" s="13"/>
      <c r="AS36" s="13"/>
      <c r="AT36" s="347"/>
      <c r="BS36" s="360">
        <v>220</v>
      </c>
      <c r="BT36">
        <f>C40-AQ40-AR40</f>
        <v>138.31558073178115</v>
      </c>
      <c r="BU36">
        <f t="shared" si="1"/>
        <v>32.140298621238351</v>
      </c>
      <c r="BV36">
        <f t="shared" si="3"/>
        <v>22</v>
      </c>
      <c r="BW36">
        <f>AN42*(AM9+AN9-AQ9-AR9)+BW35</f>
        <v>124.83652039734631</v>
      </c>
      <c r="BX36">
        <f t="shared" si="2"/>
        <v>29.008178421978094</v>
      </c>
    </row>
    <row r="37" spans="1:86">
      <c r="A37" s="344" t="s">
        <v>44</v>
      </c>
      <c r="B37" t="s">
        <v>17</v>
      </c>
      <c r="C37" s="13"/>
      <c r="D37" s="13"/>
      <c r="E37" s="13"/>
      <c r="F37" s="347"/>
      <c r="G37" s="13"/>
      <c r="H37" s="13"/>
      <c r="I37" s="13"/>
      <c r="J37" s="347"/>
      <c r="K37" s="13"/>
      <c r="L37" s="13"/>
      <c r="M37" s="13"/>
      <c r="N37" s="347"/>
      <c r="O37" s="13"/>
      <c r="P37" s="13"/>
      <c r="Q37" s="13"/>
      <c r="R37" s="347"/>
      <c r="S37" s="13"/>
      <c r="T37" s="13"/>
      <c r="U37" s="13"/>
      <c r="V37" s="347"/>
      <c r="W37" s="13"/>
      <c r="X37" s="13"/>
      <c r="Y37" s="13"/>
      <c r="Z37" s="347"/>
      <c r="AA37" s="13"/>
      <c r="AB37" s="13"/>
      <c r="AC37" s="13"/>
      <c r="AD37" s="347"/>
      <c r="AE37" s="13"/>
      <c r="AF37" s="13"/>
      <c r="AG37" s="13"/>
      <c r="AH37" s="347"/>
      <c r="AI37" s="13"/>
      <c r="AJ37" s="13"/>
      <c r="AK37" s="13"/>
      <c r="AL37" s="347"/>
      <c r="AM37" s="13"/>
      <c r="AN37" s="13"/>
      <c r="AO37" s="13"/>
      <c r="AP37" s="347"/>
      <c r="AQ37" s="13"/>
      <c r="AR37" s="13"/>
      <c r="AS37" s="13"/>
      <c r="AT37" s="347"/>
      <c r="BS37" s="360">
        <v>184.2</v>
      </c>
      <c r="BT37">
        <f>G40-AU40-AV40</f>
        <v>146.88958447741641</v>
      </c>
      <c r="BU37">
        <f t="shared" si="1"/>
        <v>34.132634114509464</v>
      </c>
      <c r="BV37">
        <f t="shared" si="3"/>
        <v>18.419999999999998</v>
      </c>
      <c r="BW37">
        <f>AR42*(AQ9+AR9-AU9-AV9)+BW36</f>
        <v>134.15468038135128</v>
      </c>
      <c r="BX37">
        <f t="shared" si="2"/>
        <v>31.17343300068789</v>
      </c>
    </row>
    <row r="38" spans="1:86">
      <c r="A38" s="344" t="s">
        <v>45</v>
      </c>
      <c r="B38" t="s">
        <v>17</v>
      </c>
      <c r="F38" s="345"/>
      <c r="J38" s="345"/>
      <c r="N38" s="345"/>
      <c r="R38" s="345"/>
      <c r="V38" s="345"/>
      <c r="Z38" s="345"/>
      <c r="AD38" s="345"/>
      <c r="AH38" s="345"/>
      <c r="AL38" s="345"/>
      <c r="AP38" s="345"/>
      <c r="AT38" s="345"/>
      <c r="BS38" s="360">
        <v>112.6</v>
      </c>
      <c r="BT38">
        <f>G40-AY40-AZ40</f>
        <v>161.75562612673974</v>
      </c>
      <c r="BU38">
        <f t="shared" si="1"/>
        <v>37.587046230607626</v>
      </c>
      <c r="BV38">
        <f t="shared" si="3"/>
        <v>11.26</v>
      </c>
      <c r="BW38">
        <f>AV42*(AU9+AV9-AY9-AZ9)+BW37</f>
        <v>149.18248787349359</v>
      </c>
      <c r="BX38">
        <f t="shared" si="2"/>
        <v>34.665434537062573</v>
      </c>
    </row>
    <row r="39" spans="1:86">
      <c r="A39" s="344" t="s">
        <v>225</v>
      </c>
      <c r="C39" s="13">
        <f>SUM(C25:C32)*C9</f>
        <v>6.3971E-2</v>
      </c>
      <c r="D39" s="13"/>
      <c r="F39" s="345"/>
      <c r="G39" s="13">
        <f>SUM(G25:G32)*G9</f>
        <v>6.3971E-2</v>
      </c>
      <c r="H39" s="13"/>
      <c r="J39" s="345"/>
      <c r="K39" s="13">
        <f>SUM(K25:K32)*K9</f>
        <v>2.7125444380057644E-3</v>
      </c>
      <c r="L39" s="13">
        <f>SUM(L25:L32)*L9</f>
        <v>5.578240771301108E-2</v>
      </c>
      <c r="N39" s="345"/>
      <c r="O39" s="13">
        <f>SUM(O25:O32)*O9</f>
        <v>8.0320875306303663E-3</v>
      </c>
      <c r="P39" s="13">
        <f>SUM(P25:P32)*P9</f>
        <v>4.8785307975424942E-2</v>
      </c>
      <c r="R39" s="345"/>
      <c r="S39" s="13">
        <f>SUM(S25:S32)*S9</f>
        <v>1.2312990786659294E-2</v>
      </c>
      <c r="T39" s="13">
        <f>SUM(T25:T32)*T9</f>
        <v>4.2657535523791673E-2</v>
      </c>
      <c r="V39" s="345"/>
      <c r="W39" s="13">
        <f>SUM(W25:W32)*W9</f>
        <v>1.5968599075540917E-2</v>
      </c>
      <c r="X39" s="13">
        <f>SUM(X25:X32)*X9</f>
        <v>3.707955424758571E-2</v>
      </c>
      <c r="Z39" s="345"/>
      <c r="AA39" s="13">
        <f>SUM(AA25:AA32)*AA9</f>
        <v>1.9223272992366005E-2</v>
      </c>
      <c r="AB39" s="13">
        <f>SUM(AB25:AB32)*AB9</f>
        <v>3.1821277641788256E-2</v>
      </c>
      <c r="AD39" s="345"/>
      <c r="AE39" s="13">
        <f>SUM(AE25:AE32)*AE9</f>
        <v>2.2179128932461812E-2</v>
      </c>
      <c r="AF39" s="13">
        <f>SUM(AF25:AF32)*AF9</f>
        <v>2.6782633260019111E-2</v>
      </c>
      <c r="AH39" s="345"/>
      <c r="AI39" s="13">
        <f>SUM(AI25:AI32)*AI9</f>
        <v>2.4843540409686501E-2</v>
      </c>
      <c r="AJ39" s="13">
        <f>SUM(AJ25:AJ32)*AJ9</f>
        <v>2.1970303995519691E-2</v>
      </c>
      <c r="AL39" s="345"/>
      <c r="AM39" s="13">
        <f>SUM(AM25:AM32)*AM9</f>
        <v>2.7154294431392285E-2</v>
      </c>
      <c r="AN39" s="13">
        <f>SUM(AN25:AN32)*AN9</f>
        <v>1.7476369318456461E-2</v>
      </c>
      <c r="AP39" s="345"/>
      <c r="AQ39" s="13">
        <f>SUM(AQ25:AQ32)*AQ9</f>
        <v>2.9014010087230837E-2</v>
      </c>
      <c r="AR39" s="13">
        <f>SUM(AR25:AR32)*AR9</f>
        <v>1.3443866865352842E-2</v>
      </c>
      <c r="AT39" s="345"/>
      <c r="AU39" s="13">
        <f>SUM(AU25:AU32)*AU9</f>
        <v>3.125685641473009E-2</v>
      </c>
      <c r="AV39" s="13">
        <f>SUM(AV25:AV32)*AV9</f>
        <v>9.0922210664323069E-3</v>
      </c>
      <c r="AY39" s="13">
        <f>SUM(AY25:AY32)*AY9</f>
        <v>3.136091319254472E-2</v>
      </c>
      <c r="AZ39" s="13">
        <f>SUM(AZ25:AZ32)*AZ9</f>
        <v>5.3103446109177936E-3</v>
      </c>
      <c r="BC39" s="13">
        <f>SUM(BC25:BC32)*BC9</f>
        <v>3.0683279335526333E-2</v>
      </c>
      <c r="BD39" s="13">
        <f>SUM(BD25:BD32)*BD9</f>
        <v>4.1489124523358947E-3</v>
      </c>
      <c r="BG39" s="13">
        <f>SUM(BG25:BG32)*BG9</f>
        <v>2.5948078009071535E-2</v>
      </c>
      <c r="BH39" s="13">
        <f>SUM(BH25:BH32)*BH9</f>
        <v>6.8017212417842221E-3</v>
      </c>
      <c r="BS39" s="360">
        <v>76.8</v>
      </c>
      <c r="BT39">
        <f>G40-BC40-BD40</f>
        <v>169.19962235840313</v>
      </c>
      <c r="BU39">
        <f t="shared" si="1"/>
        <v>39.316802636612152</v>
      </c>
      <c r="BV39">
        <f t="shared" si="3"/>
        <v>7.68</v>
      </c>
      <c r="BW39">
        <f>AZ42*(AY9+AZ9-BC9-BD9)+BW38</f>
        <v>156.48507525992889</v>
      </c>
      <c r="BX39">
        <f t="shared" si="2"/>
        <v>36.362331864651857</v>
      </c>
    </row>
    <row r="40" spans="1:86">
      <c r="A40" s="344" t="s">
        <v>226</v>
      </c>
      <c r="C40">
        <f>(C25*$BL$8+C26*$BL$9+$BL$10*C27+C28*$BL$11+$BL$12*C29+C30*$BL$13+$BL$14*C31+C32*$BL$15)/0.02404/(1-C39)*C9</f>
        <v>430.34939519940252</v>
      </c>
      <c r="F40" s="345"/>
      <c r="G40">
        <f>(G25*$BL$8+G26*$BL$9+$BL$10*G27+G28*$BL$11+$BL$12*G29+G30*$BL$13+$BL$14*G31+G32*$BL$15)/0.02404/(1-G39)*G9</f>
        <v>430.34939519940252</v>
      </c>
      <c r="J40" s="345"/>
      <c r="K40">
        <f>(K25*$BL$8+K26*$BL$9+$BL$10*K27+K28*$BL$11+$BL$12*K29+K30*$BL$13+$BL$14*K31+K32*$BL$15)/0.02404/(1-K39)*K9</f>
        <v>24.135196011633496</v>
      </c>
      <c r="L40">
        <f>(L25*$BL$8+L26*$BL$9+$BL$10*L27+L28*$BL$11+$BL$12*L29+L30*$BL$13+$BL$14*L31+L32*$BL$15)/0.02404/(1-L39)*L9</f>
        <v>364.60622854704803</v>
      </c>
      <c r="N40" s="345"/>
      <c r="O40">
        <f>(O25*$BL$8+O26*$BL$9+$BL$10*O27+O28*$BL$11+$BL$12*O29+O30*$BL$13+$BL$14*O31+O32*$BL$15)/0.02404/(1-O39)*O9</f>
        <v>71.448683947451855</v>
      </c>
      <c r="P40">
        <f>(P25*$BL$8+P26*$BL$9+$BL$10*P27+P28*$BL$11+$BL$12*P29+P30*$BL$13+$BL$14*P31+P32*$BL$15)/0.02404/(1-P39)*P9</f>
        <v>301.83438935907196</v>
      </c>
      <c r="R40" s="345"/>
      <c r="S40">
        <f>(S25*$BL$8+S26*$BL$9+$BL$10*S27+S28*$BL$11+$BL$12*S29+S30*$BL$13+$BL$14*S31+S32*$BL$15)/0.02404/(1-S39)*S9</f>
        <v>108.90871670849356</v>
      </c>
      <c r="T40">
        <f>(T25*$BL$8+T26*$BL$9+$BL$10*T27+T28*$BL$11+$BL$12*T29+T30*$BL$13+$BL$14*T31+T32*$BL$15)/0.02404/(1-T39)*T9</f>
        <v>250.22107812598028</v>
      </c>
      <c r="V40" s="345"/>
      <c r="W40">
        <f>(W25*$BL$8+W26*$BL$9+$BL$10*W27+W28*$BL$11+$BL$12*W29+W30*$BL$13+$BL$14*W31+W32*$BL$15)/0.02404/(1-W39)*W9</f>
        <v>139.7793549867973</v>
      </c>
      <c r="X40">
        <f>(X25*$BL$8+X26*$BL$9+$BL$10*X27+X28*$BL$11+$BL$12*X29+X30*$BL$13+$BL$14*X31+X32*$BL$15)/0.02404/(1-X39)*X9</f>
        <v>206.42666235515463</v>
      </c>
      <c r="Z40" s="345"/>
      <c r="AA40">
        <f>(AA25*$BL$8+AA26*$BL$9+$BL$10*AA27+AA28*$BL$11+$BL$12*AA29+AA30*$BL$13+$BL$14*AA31+AA32*$BL$15)/0.02404/(1-AA39)*AA9</f>
        <v>165.86497078261766</v>
      </c>
      <c r="AB40">
        <f>(AB25*$BL$8+AB26*$BL$9+$BL$10*AB27+AB28*$BL$11+$BL$12*AB29+AB30*$BL$13+$BL$14*AB31+AB32*$BL$15)/0.02404/(1-AB39)*AB9</f>
        <v>168.25664895970576</v>
      </c>
      <c r="AD40" s="345"/>
      <c r="AE40">
        <f>(AE25*$BL$8+AE26*$BL$9+$BL$10*AE27+AE28*$BL$11+$BL$12*AE29+AE30*$BL$13+$BL$14*AE31+AE32*$BL$15)/0.02404/(1-AE39)*AE9</f>
        <v>188.09348538244242</v>
      </c>
      <c r="AF40">
        <f>(AF25*$BL$8+AF26*$BL$9+$BL$10*AF27+AF28*$BL$11+$BL$12*AF29+AF30*$BL$13+$BL$14*AF31+AF32*$BL$15)/0.02404/(1-AF39)*AF9</f>
        <v>134.59980359678505</v>
      </c>
      <c r="AH40" s="345"/>
      <c r="AI40">
        <f>(AI25*$BL$8+AI26*$BL$9+$BL$10*AI27+AI28*$BL$11+$BL$12*AI29+AI30*$BL$13+$BL$14*AI31+AI32*$BL$15)/0.02404/(1-AI39)*AI9</f>
        <v>206.80205846403223</v>
      </c>
      <c r="AJ40">
        <f>(AJ25*$BL$8+AJ26*$BL$9+$BL$10*AJ27+AJ28*$BL$11+$BL$12*AJ29+AJ30*$BL$13+$BL$14*AJ31+AJ32*$BL$15)/0.02404/(1-AJ39)*AJ9</f>
        <v>105.05477770478566</v>
      </c>
      <c r="AL40" s="345"/>
      <c r="AM40">
        <f>(AM25*$BL$8+AM26*$BL$9+$BL$10*AM27+AM28*$BL$11+$BL$12*AM29+AM30*$BL$13+$BL$14*AM31+AM32*$BL$15)/0.02404/(1-AM39)*AM9</f>
        <v>221.97639647149177</v>
      </c>
      <c r="AN40">
        <f>(AN25*$BL$8+AN26*$BL$9+$BL$10*AN27+AN28*$BL$11+$BL$12*AN29+AN30*$BL$13+$BL$14*AN31+AN32*$BL$15)/0.02404/(1-AN39)*AN9</f>
        <v>79.644264725600792</v>
      </c>
      <c r="AP40" s="345"/>
      <c r="AQ40">
        <f>(AQ25*$BL$8+AQ26*$BL$9+$BL$10*AQ27+AQ28*$BL$11+$BL$12*AQ29+AQ30*$BL$13+$BL$14*AQ31+AQ32*$BL$15)/0.02404/(1-AQ39)*AQ9</f>
        <v>233.49092938423843</v>
      </c>
      <c r="AR40">
        <f>(AR25*$BL$8+AR26*$BL$9+$BL$10*AR27+AR28*$BL$11+$BL$12*AR29+AR30*$BL$13+$BL$14*AR31+AR32*$BL$15)/0.02404/(1-AR39)*AR9</f>
        <v>58.542885083382956</v>
      </c>
      <c r="AT40" s="345"/>
      <c r="AU40">
        <f>(AU25*$BL$8+AU26*$BL$9+$BL$10*AU27+AU28*$BL$11+$BL$12*AU29+AU30*$BL$13+$BL$14*AU31+AU32*$BL$15)/0.02404/(1-AU39)*AU9</f>
        <v>246.78167282847284</v>
      </c>
      <c r="AV40">
        <f>(AV25*$BL$8+AV26*$BL$9+$BL$10*AV27+AV28*$BL$11+$BL$12*AV29+AV30*$BL$13+$BL$14*AV31+AV32*$BL$15)/0.02404/(1-AV39)*AV9</f>
        <v>36.678137893513274</v>
      </c>
      <c r="AY40">
        <f>(AY25*$BL$8+AY26*$BL$9+$BL$10*AY27+AY28*$BL$11+$BL$12*AY29+AY30*$BL$13+$BL$14*AY31+AY32*$BL$15)/0.02404/(1-AY39)*AY9</f>
        <v>247.8339267960045</v>
      </c>
      <c r="AZ40">
        <f>(AZ25*$BL$8+AZ26*$BL$9+$BL$10*AZ27+AZ28*$BL$11+$BL$12*AZ29+AZ30*$BL$13+$BL$14*AZ31+AZ32*$BL$15)/0.02404/(1-AZ39)*AZ9</f>
        <v>20.75984227665829</v>
      </c>
      <c r="BC40">
        <f>(BC25*$BL$8+BC26*$BL$9+$BL$10*BC27+BC28*$BL$11+$BL$12*BC29+BC30*$BL$13+$BL$14*BC31+BC32*$BL$15)/0.02404/(1-BC39)*BC9</f>
        <v>245.20567256497773</v>
      </c>
      <c r="BD40">
        <f>(BD25*$BL$8+BD26*$BL$9+$BL$10*BD27+BD28*$BL$11+$BL$12*BD29+BD30*$BL$13+$BL$14*BD31+BD32*$BL$15)/0.02404/(1-BD39)*BD9</f>
        <v>15.94410027602167</v>
      </c>
      <c r="BG40">
        <f>(BG25*$BL$8+BG26*$BL$9+$BL$10*BG27+BG28*$BL$11+$BL$12*BG29+BG30*$BL$13+$BL$14*BG31+BG32*$BL$15)/0.02404/(1-BG39)*BG9</f>
        <v>223.79321187553035</v>
      </c>
      <c r="BH40">
        <f>(BH25*$BL$8+BH26*$BL$9+$BL$10*BH27+BH28*$BL$11+$BL$12*BH29+BH30*$BL$13+$BL$14*BH31+BH32*$BL$15)/0.02404/(1-BH39)*BH9</f>
        <v>27.793395612874424</v>
      </c>
      <c r="BS40" s="360">
        <v>41</v>
      </c>
      <c r="BV40">
        <f t="shared" si="3"/>
        <v>4.0999999999999996</v>
      </c>
      <c r="BX40">
        <v>38.6</v>
      </c>
    </row>
    <row r="41" spans="1:86">
      <c r="A41" s="344"/>
      <c r="C41" s="13">
        <f>SUM(C25:C32)</f>
        <v>6.3971E-2</v>
      </c>
      <c r="D41" s="13"/>
      <c r="F41" s="345"/>
      <c r="G41" s="13">
        <f>SUM(G25:G32)</f>
        <v>6.3971E-2</v>
      </c>
      <c r="J41" s="345"/>
      <c r="L41" s="13">
        <f>SUM(L25:L32)</f>
        <v>6.1848437143617804E-2</v>
      </c>
      <c r="N41" s="345"/>
      <c r="P41" s="13">
        <f>SUM(P25:P32)</f>
        <v>5.7164051684159695E-2</v>
      </c>
      <c r="R41" s="345"/>
      <c r="T41" s="13">
        <f>SUM(T25:T32)</f>
        <v>5.2840535281028694E-2</v>
      </c>
      <c r="V41" s="345"/>
      <c r="X41" s="13">
        <f>SUM(X25:X32)</f>
        <v>4.8678314351546931E-2</v>
      </c>
      <c r="Z41" s="345"/>
      <c r="AB41" s="13">
        <f>SUM(AB25:AB32)</f>
        <v>4.4532216898369184E-2</v>
      </c>
      <c r="AD41" s="345"/>
      <c r="AF41" s="13">
        <f>SUM(AF25:AF32)</f>
        <v>4.0318023897457415E-2</v>
      </c>
      <c r="AH41" s="345"/>
      <c r="AJ41" s="13">
        <f>SUM(AJ25:AJ32)</f>
        <v>3.6033792876298501E-2</v>
      </c>
      <c r="AL41" s="345"/>
      <c r="AN41" s="13">
        <f>SUM(AN25:AN32)</f>
        <v>3.1777847018112731E-2</v>
      </c>
      <c r="AP41" s="345"/>
      <c r="AR41" s="13">
        <f>SUM(AR25:AR32)</f>
        <v>2.7752487701425875E-2</v>
      </c>
      <c r="AT41" s="345"/>
      <c r="AV41" s="13">
        <f>SUM(AV25:AV32)</f>
        <v>2.1715124673677449E-2</v>
      </c>
      <c r="AZ41" s="13">
        <f>SUM(AZ25:AZ32)</f>
        <v>2.0714098387094954E-2</v>
      </c>
      <c r="BD41" s="13">
        <f>SUM(BD25:BD32)</f>
        <v>2.3648448096221179E-2</v>
      </c>
      <c r="BS41" s="360"/>
    </row>
    <row r="42" spans="1:86">
      <c r="A42" s="344"/>
      <c r="C42">
        <f>(C25*$BL$8+C26*$BL$9+$BL$10*C27+C28*$BL$11+$BL$12*C29+C30*$BL$13+$BL$14*C31+C32*$BL$15)/0.02404/(1-C41)</f>
        <v>430.34939519940252</v>
      </c>
      <c r="F42" s="345"/>
      <c r="G42">
        <f>(G25*$BL$8+G26*$BL$9+$BL$10*G27+G28*$BL$11+$BL$12*G29+G30*$BL$13+$BL$14*G31+G32*$BL$15)/0.02404/(1-G41)</f>
        <v>430.34939519940252</v>
      </c>
      <c r="J42" s="345"/>
      <c r="L42">
        <f>(L25*$BL$8+L26*$BL$9+$BL$10*L27+L28*$BL$11+$BL$12*L29+L30*$BL$13+$BL$14*L31+L32*$BL$15)/0.02404/(1-L41)</f>
        <v>406.86903515101295</v>
      </c>
      <c r="N42" s="345"/>
      <c r="P42">
        <f>(P25*$BL$8+P26*$BL$9+$BL$10*P27+P28*$BL$11+$BL$12*P29+P30*$BL$13+$BL$14*P31+P32*$BL$15)/0.02404/(1-P41)</f>
        <v>356.81663095747513</v>
      </c>
      <c r="R42" s="345"/>
      <c r="T42">
        <f>(T25*$BL$8+T26*$BL$9+$BL$10*T27+T28*$BL$11+$BL$12*T29+T30*$BL$13+$BL$14*T31+T32*$BL$15)/0.02404/(1-T41)</f>
        <v>313.28496868572932</v>
      </c>
      <c r="V42" s="345"/>
      <c r="X42">
        <f>(X25*$BL$8+X26*$BL$9+$BL$10*X27+X28*$BL$11+$BL$12*X29+X30*$BL$13+$BL$14*X31+X32*$BL$15)/0.02404/(1-X41)</f>
        <v>274.30253956837407</v>
      </c>
      <c r="Z42" s="345"/>
      <c r="AB42">
        <f>(AB25*$BL$8+AB26*$BL$9+$BL$10*AB27+AB28*$BL$11+$BL$12*AB29+AB30*$BL$13+$BL$14*AB31+AB32*$BL$15)/0.02404/(1-AB41)</f>
        <v>238.59889280281064</v>
      </c>
      <c r="AD42" s="345"/>
      <c r="AF42">
        <f>(AF25*$BL$8+AF26*$BL$9+$BL$10*AF27+AF28*$BL$11+$BL$12*AF29+AF30*$BL$13+$BL$14*AF31+AF32*$BL$15)/0.02404/(1-AF41)</f>
        <v>205.48158236677745</v>
      </c>
      <c r="AH42" s="345"/>
      <c r="AJ42">
        <f>(AJ25*$BL$8+AJ26*$BL$9+$BL$10*AJ27+AJ28*$BL$11+$BL$12*AJ29+AJ30*$BL$13+$BL$14*AJ31+AJ32*$BL$15)/0.02404/(1-AJ41)</f>
        <v>174.8155061105536</v>
      </c>
      <c r="AL42" s="345"/>
      <c r="AN42">
        <f>(AN25*$BL$8+AN26*$BL$9+$BL$10*AN27+AN28*$BL$11+$BL$12*AN29+AN30*$BL$13+$BL$14*AN31+AN32*$BL$15)/0.02404/(1-AN41)</f>
        <v>146.95885264715355</v>
      </c>
      <c r="AP42" s="345"/>
      <c r="AR42">
        <f>(AR25*$BL$8+AR26*$BL$9+$BL$10*AR27+AR28*$BL$11+$BL$12*AR29+AR30*$BL$13+$BL$14*AR31+AR32*$BL$15)/0.02404/(1-AR41)</f>
        <v>122.63001952562266</v>
      </c>
      <c r="AT42" s="345"/>
      <c r="AV42">
        <f>(AV25*$BL$8+AV26*$BL$9+$BL$10*AV27+AV28*$BL$11+$BL$12*AV29+AV30*$BL$13+$BL$14*AV31+AV32*$BL$15)/0.02404/(1-AV41)</f>
        <v>88.729394549321938</v>
      </c>
      <c r="AZ42">
        <f>(AZ25*$BL$8+AZ26*$BL$9+$BL$10*AZ27+AZ28*$BL$11+$BL$12*AZ29+AZ30*$BL$13+$BL$14*AZ31+AZ32*$BL$15)/0.02404/(1-AZ41)</f>
        <v>82.251812778784242</v>
      </c>
      <c r="BD42">
        <f>(BD25*$BL$8+BD26*$BL$9+$BL$10*BD27+BD28*$BL$11+$BL$12*BD29+BD30*$BL$13+$BL$14*BD31+BD32*$BL$15)/0.02404/(1-BD41)</f>
        <v>92.695056465708532</v>
      </c>
      <c r="BS42" s="360"/>
    </row>
    <row r="43" spans="1:86">
      <c r="A43" s="480" t="s">
        <v>242</v>
      </c>
      <c r="B43" s="480"/>
      <c r="C43" s="480"/>
      <c r="D43" s="480"/>
      <c r="E43" s="480"/>
      <c r="F43" s="480"/>
      <c r="G43" s="480"/>
      <c r="H43" s="480"/>
      <c r="I43" s="480"/>
      <c r="J43" s="480"/>
      <c r="K43" s="480"/>
      <c r="L43" s="480"/>
      <c r="M43" s="480"/>
      <c r="N43" s="480"/>
      <c r="O43" s="480"/>
      <c r="AT43" s="345"/>
      <c r="BC43" s="13"/>
      <c r="BG43" s="13"/>
      <c r="BS43" s="360">
        <v>5.2</v>
      </c>
      <c r="BV43">
        <f t="shared" si="3"/>
        <v>0.52</v>
      </c>
    </row>
    <row r="44" spans="1:86">
      <c r="A44" s="480"/>
      <c r="B44" s="480"/>
      <c r="C44" s="480"/>
      <c r="D44" s="480"/>
      <c r="E44" s="480"/>
      <c r="F44" s="480"/>
      <c r="G44" s="480"/>
      <c r="H44" s="480"/>
      <c r="I44" s="480"/>
      <c r="J44" s="480"/>
      <c r="K44" s="480"/>
      <c r="L44" s="480"/>
      <c r="M44" s="480"/>
      <c r="N44" s="480"/>
      <c r="O44" s="480"/>
      <c r="P44">
        <v>0.67</v>
      </c>
      <c r="AT44" s="345"/>
    </row>
    <row r="45" spans="1:86">
      <c r="A45" s="344" t="s">
        <v>214</v>
      </c>
      <c r="B45" s="344">
        <v>39.914369898196163</v>
      </c>
      <c r="F45" s="345"/>
      <c r="J45" s="345"/>
      <c r="N45" s="345"/>
      <c r="R45" s="345"/>
      <c r="V45" s="345"/>
      <c r="Z45" s="345"/>
      <c r="AD45" s="345"/>
      <c r="AH45" s="345"/>
      <c r="AL45" s="345"/>
      <c r="AP45" s="345"/>
      <c r="AT45" s="345"/>
    </row>
    <row r="46" spans="1:86" ht="16.5" thickBot="1">
      <c r="A46" s="344" t="s">
        <v>204</v>
      </c>
      <c r="B46" s="344"/>
      <c r="C46" s="476" t="s">
        <v>209</v>
      </c>
      <c r="D46" s="476"/>
      <c r="E46" s="476"/>
      <c r="F46" s="345"/>
      <c r="G46" s="476" t="s">
        <v>215</v>
      </c>
      <c r="H46" s="476"/>
      <c r="I46" s="476"/>
      <c r="J46" s="345"/>
      <c r="K46" s="476" t="s">
        <v>216</v>
      </c>
      <c r="L46" s="476"/>
      <c r="M46" s="476"/>
      <c r="N46" s="345"/>
      <c r="O46" s="476" t="s">
        <v>217</v>
      </c>
      <c r="P46" s="476"/>
      <c r="Q46" s="476"/>
      <c r="R46" s="345"/>
      <c r="S46" s="476" t="s">
        <v>218</v>
      </c>
      <c r="T46" s="476"/>
      <c r="U46" s="476"/>
      <c r="V46" s="345"/>
      <c r="W46" s="476" t="s">
        <v>219</v>
      </c>
      <c r="X46" s="476"/>
      <c r="Y46" s="476"/>
      <c r="Z46" s="345"/>
      <c r="AA46" s="476" t="s">
        <v>220</v>
      </c>
      <c r="AB46" s="476"/>
      <c r="AC46" s="476"/>
      <c r="AD46" s="345"/>
      <c r="AE46" s="476" t="s">
        <v>221</v>
      </c>
      <c r="AF46" s="476"/>
      <c r="AG46" s="476"/>
      <c r="AH46" s="345"/>
      <c r="AI46" s="476" t="s">
        <v>222</v>
      </c>
      <c r="AJ46" s="476"/>
      <c r="AK46" s="476"/>
      <c r="AL46" s="345"/>
      <c r="AM46" s="476" t="s">
        <v>223</v>
      </c>
      <c r="AN46" s="476"/>
      <c r="AO46" s="476"/>
      <c r="AP46" s="345"/>
      <c r="AQ46" s="476" t="s">
        <v>224</v>
      </c>
      <c r="AR46" s="476"/>
      <c r="AS46" s="476"/>
      <c r="AT46" s="345"/>
      <c r="AU46" s="476" t="s">
        <v>229</v>
      </c>
      <c r="AV46" s="476"/>
      <c r="AW46" s="476"/>
      <c r="AX46" s="345"/>
      <c r="AY46" s="476" t="s">
        <v>230</v>
      </c>
      <c r="AZ46" s="476"/>
      <c r="BA46" s="476"/>
      <c r="BB46" s="345"/>
      <c r="BC46" s="476" t="s">
        <v>231</v>
      </c>
      <c r="BD46" s="476"/>
      <c r="BE46" s="476"/>
      <c r="BF46" s="345"/>
      <c r="BG46" s="476" t="s">
        <v>232</v>
      </c>
      <c r="BH46" s="476"/>
      <c r="BI46" s="476"/>
      <c r="BK46" s="396" t="s">
        <v>149</v>
      </c>
      <c r="BL46" s="397"/>
      <c r="BM46" s="397"/>
      <c r="BN46" s="398"/>
    </row>
    <row r="47" spans="1:86" ht="16.5" thickTop="1" thickBot="1">
      <c r="A47" s="346" t="s">
        <v>211</v>
      </c>
      <c r="B47" s="344" t="s">
        <v>213</v>
      </c>
      <c r="C47" s="476">
        <v>65.400000000000006</v>
      </c>
      <c r="D47" s="476"/>
      <c r="E47" s="476"/>
      <c r="F47" s="345"/>
      <c r="G47" s="476">
        <v>50.64</v>
      </c>
      <c r="H47" s="476"/>
      <c r="I47" s="476"/>
      <c r="J47" s="345"/>
      <c r="K47" s="476">
        <v>47.06</v>
      </c>
      <c r="L47" s="476"/>
      <c r="M47" s="476"/>
      <c r="N47" s="345"/>
      <c r="O47" s="476">
        <v>43.480000000000004</v>
      </c>
      <c r="P47" s="476"/>
      <c r="Q47" s="476"/>
      <c r="R47" s="345"/>
      <c r="S47" s="476">
        <v>39.9</v>
      </c>
      <c r="T47" s="476"/>
      <c r="U47" s="476"/>
      <c r="V47" s="345"/>
      <c r="W47" s="476">
        <v>36.32</v>
      </c>
      <c r="X47" s="476"/>
      <c r="Y47" s="476"/>
      <c r="Z47" s="345"/>
      <c r="AA47" s="476">
        <v>32.739999999999995</v>
      </c>
      <c r="AB47" s="476"/>
      <c r="AC47" s="476"/>
      <c r="AD47" s="345"/>
      <c r="AE47" s="476">
        <v>29.160000000000004</v>
      </c>
      <c r="AF47" s="476"/>
      <c r="AG47" s="476"/>
      <c r="AH47" s="345"/>
      <c r="AI47" s="476">
        <v>25.580000000000002</v>
      </c>
      <c r="AJ47" s="476"/>
      <c r="AK47" s="476"/>
      <c r="AL47" s="345"/>
      <c r="AM47" s="476">
        <v>22</v>
      </c>
      <c r="AN47" s="476"/>
      <c r="AO47" s="476"/>
      <c r="AP47" s="345"/>
      <c r="AQ47" s="476">
        <v>18.419999999999998</v>
      </c>
      <c r="AR47" s="476"/>
      <c r="AS47" s="476"/>
      <c r="AT47" s="345"/>
      <c r="AU47" s="476">
        <v>11.26</v>
      </c>
      <c r="AV47" s="476"/>
      <c r="AW47" s="476"/>
      <c r="AX47" s="345"/>
      <c r="AY47">
        <v>7.68</v>
      </c>
      <c r="BB47" s="345"/>
      <c r="BC47">
        <v>4.0999999999999996</v>
      </c>
      <c r="BF47" s="345"/>
      <c r="BG47">
        <v>0.52</v>
      </c>
      <c r="BK47" s="125" t="s">
        <v>79</v>
      </c>
      <c r="BL47" s="198" t="s">
        <v>31</v>
      </c>
      <c r="BM47" s="126" t="s">
        <v>52</v>
      </c>
      <c r="BN47" s="127" t="s">
        <v>54</v>
      </c>
      <c r="BS47">
        <v>654</v>
      </c>
      <c r="BT47">
        <f>E81</f>
        <v>430.34932935116711</v>
      </c>
      <c r="BU47">
        <f>BS47/10</f>
        <v>65.400000000000006</v>
      </c>
    </row>
    <row r="48" spans="1:86" ht="15.75" thickTop="1">
      <c r="A48" s="346" t="s">
        <v>212</v>
      </c>
      <c r="B48" s="344" t="s">
        <v>29</v>
      </c>
      <c r="C48" s="478">
        <v>381.05</v>
      </c>
      <c r="D48" s="476"/>
      <c r="E48" s="476"/>
      <c r="F48" s="345"/>
      <c r="G48" s="476">
        <v>381.05</v>
      </c>
      <c r="H48" s="476"/>
      <c r="I48" s="476"/>
      <c r="J48" s="345"/>
      <c r="K48" s="476">
        <v>381.05</v>
      </c>
      <c r="L48" s="476"/>
      <c r="M48" s="476"/>
      <c r="N48" s="345"/>
      <c r="O48" s="476">
        <v>381.05</v>
      </c>
      <c r="P48" s="476"/>
      <c r="Q48" s="476"/>
      <c r="R48" s="345"/>
      <c r="S48" s="476">
        <v>381.05</v>
      </c>
      <c r="T48" s="476"/>
      <c r="U48" s="476"/>
      <c r="V48" s="345"/>
      <c r="W48" s="476">
        <v>381.05</v>
      </c>
      <c r="X48" s="476"/>
      <c r="Y48" s="476"/>
      <c r="Z48" s="345"/>
      <c r="AA48" s="476">
        <v>381.05</v>
      </c>
      <c r="AB48" s="476"/>
      <c r="AC48" s="476"/>
      <c r="AD48" s="345"/>
      <c r="AE48" s="476">
        <v>381.05</v>
      </c>
      <c r="AF48" s="476"/>
      <c r="AG48" s="476"/>
      <c r="AH48" s="345"/>
      <c r="AI48" s="476">
        <v>381.05</v>
      </c>
      <c r="AJ48" s="476"/>
      <c r="AK48" s="476"/>
      <c r="AL48" s="345"/>
      <c r="AM48" s="476">
        <v>381.05</v>
      </c>
      <c r="AN48" s="476"/>
      <c r="AO48" s="476"/>
      <c r="AP48" s="345"/>
      <c r="AQ48" s="476">
        <v>381.05</v>
      </c>
      <c r="AR48" s="476"/>
      <c r="AS48" s="476"/>
      <c r="AT48" s="345"/>
      <c r="AU48" s="476">
        <v>381.05</v>
      </c>
      <c r="AV48" s="476"/>
      <c r="AW48" s="476"/>
      <c r="AX48" s="345"/>
      <c r="AY48">
        <v>381.05</v>
      </c>
      <c r="BB48" s="345"/>
      <c r="BC48">
        <v>381.05</v>
      </c>
      <c r="BF48" s="345"/>
      <c r="BG48">
        <v>381.05</v>
      </c>
      <c r="BK48">
        <v>654</v>
      </c>
      <c r="BL48" s="7">
        <v>65.400000000000006</v>
      </c>
      <c r="BM48" s="252">
        <v>0</v>
      </c>
      <c r="BN48" s="252">
        <v>0</v>
      </c>
      <c r="BO48">
        <v>0</v>
      </c>
      <c r="BS48" s="328">
        <v>506.4</v>
      </c>
      <c r="BT48">
        <f>I81</f>
        <v>430.34931979957781</v>
      </c>
      <c r="BU48">
        <f t="shared" ref="BU48:BU61" si="4">BS48/10</f>
        <v>50.64</v>
      </c>
      <c r="CH48" t="s">
        <v>257</v>
      </c>
    </row>
    <row r="49" spans="1:88">
      <c r="A49" s="344"/>
      <c r="B49" s="344"/>
      <c r="C49" s="344" t="s">
        <v>160</v>
      </c>
      <c r="D49" s="344" t="s">
        <v>161</v>
      </c>
      <c r="E49" s="344" t="s">
        <v>162</v>
      </c>
      <c r="F49" s="345"/>
      <c r="G49" s="344" t="s">
        <v>160</v>
      </c>
      <c r="H49" s="344" t="s">
        <v>161</v>
      </c>
      <c r="I49" s="344" t="s">
        <v>162</v>
      </c>
      <c r="J49" s="345"/>
      <c r="K49" s="344" t="s">
        <v>160</v>
      </c>
      <c r="L49" s="344" t="s">
        <v>161</v>
      </c>
      <c r="M49" s="344" t="s">
        <v>162</v>
      </c>
      <c r="N49" s="345"/>
      <c r="O49" s="344" t="s">
        <v>160</v>
      </c>
      <c r="P49" s="344" t="s">
        <v>161</v>
      </c>
      <c r="Q49" s="344" t="s">
        <v>162</v>
      </c>
      <c r="R49" s="345"/>
      <c r="S49" s="344" t="s">
        <v>160</v>
      </c>
      <c r="T49" s="344" t="s">
        <v>161</v>
      </c>
      <c r="U49" s="344" t="s">
        <v>162</v>
      </c>
      <c r="V49" s="345"/>
      <c r="W49" s="344" t="s">
        <v>160</v>
      </c>
      <c r="X49" s="344" t="s">
        <v>161</v>
      </c>
      <c r="Y49" s="344" t="s">
        <v>162</v>
      </c>
      <c r="Z49" s="345"/>
      <c r="AA49" s="344" t="s">
        <v>160</v>
      </c>
      <c r="AB49" s="344" t="s">
        <v>161</v>
      </c>
      <c r="AC49" s="344" t="s">
        <v>162</v>
      </c>
      <c r="AD49" s="345"/>
      <c r="AE49" s="344" t="s">
        <v>160</v>
      </c>
      <c r="AF49" s="344" t="s">
        <v>161</v>
      </c>
      <c r="AG49" s="344" t="s">
        <v>162</v>
      </c>
      <c r="AH49" s="345"/>
      <c r="AI49" s="344" t="s">
        <v>160</v>
      </c>
      <c r="AJ49" s="344" t="s">
        <v>161</v>
      </c>
      <c r="AK49" s="344" t="s">
        <v>162</v>
      </c>
      <c r="AL49" s="345"/>
      <c r="AM49" s="344" t="s">
        <v>160</v>
      </c>
      <c r="AN49" s="344" t="s">
        <v>161</v>
      </c>
      <c r="AO49" s="344" t="s">
        <v>162</v>
      </c>
      <c r="AP49" s="345"/>
      <c r="AQ49" s="344" t="s">
        <v>160</v>
      </c>
      <c r="AR49" s="344" t="s">
        <v>161</v>
      </c>
      <c r="AS49" s="344" t="s">
        <v>162</v>
      </c>
      <c r="AT49" s="345"/>
      <c r="BK49" s="328">
        <v>497</v>
      </c>
      <c r="BL49" s="7">
        <v>50.28</v>
      </c>
      <c r="BM49" s="8">
        <v>0</v>
      </c>
      <c r="BN49" s="8">
        <v>0</v>
      </c>
      <c r="BO49">
        <v>0</v>
      </c>
      <c r="BS49">
        <v>502.8</v>
      </c>
      <c r="BT49">
        <v>430.34887235936537</v>
      </c>
      <c r="BU49">
        <f t="shared" si="4"/>
        <v>50.28</v>
      </c>
      <c r="CH49" t="s">
        <v>258</v>
      </c>
      <c r="CI49" t="s">
        <v>254</v>
      </c>
    </row>
    <row r="50" spans="1:88">
      <c r="A50" s="344" t="s">
        <v>205</v>
      </c>
      <c r="B50" s="344"/>
      <c r="C50" s="13">
        <v>0.67221984123905287</v>
      </c>
      <c r="D50" s="13">
        <v>0.32778015876094713</v>
      </c>
      <c r="E50" s="13"/>
      <c r="F50" s="347"/>
      <c r="G50" s="13">
        <v>0.67260673672798299</v>
      </c>
      <c r="H50" s="13">
        <v>0.32739326327201701</v>
      </c>
      <c r="I50" s="13"/>
      <c r="J50" s="347"/>
      <c r="K50" s="13">
        <v>1.2976947833929013E-2</v>
      </c>
      <c r="L50" s="13">
        <v>0.6015118123482609</v>
      </c>
      <c r="M50" s="13">
        <v>0.32725099874377417</v>
      </c>
      <c r="N50" s="347"/>
      <c r="O50" s="13">
        <v>2.5163778143182602E-2</v>
      </c>
      <c r="P50" s="13">
        <v>0.5704198764802455</v>
      </c>
      <c r="Q50" s="13">
        <v>0.32705564285798661</v>
      </c>
      <c r="R50" s="347"/>
      <c r="S50" s="13">
        <v>3.3036916999781486E-2</v>
      </c>
      <c r="T50" s="13">
        <v>0.54080007000235908</v>
      </c>
      <c r="U50" s="13">
        <v>0.32685290246644588</v>
      </c>
      <c r="V50" s="347"/>
      <c r="W50" s="13">
        <v>3.8418332571229202E-2</v>
      </c>
      <c r="X50" s="13">
        <v>0.51096355177623565</v>
      </c>
      <c r="Y50" s="13">
        <v>0.32664149303992962</v>
      </c>
      <c r="Z50" s="347"/>
      <c r="AA50" s="13">
        <v>4.2021209194691031E-2</v>
      </c>
      <c r="AB50" s="13">
        <v>0.47971985372304515</v>
      </c>
      <c r="AC50" s="13">
        <v>0.32640144005728716</v>
      </c>
      <c r="AD50" s="347"/>
      <c r="AE50" s="13">
        <v>4.4131180612563776E-2</v>
      </c>
      <c r="AF50" s="13">
        <v>0.44621404732757325</v>
      </c>
      <c r="AG50" s="13">
        <v>0.32613151607063934</v>
      </c>
      <c r="AH50" s="347"/>
      <c r="AI50" s="13">
        <v>4.4870306735233498E-2</v>
      </c>
      <c r="AJ50" s="13">
        <v>0.40972657387331446</v>
      </c>
      <c r="AK50" s="13">
        <v>0.32582880944059961</v>
      </c>
      <c r="AL50" s="347"/>
      <c r="AM50" s="13">
        <v>4.4284416267201379E-2</v>
      </c>
      <c r="AN50" s="13">
        <v>0.36968184007798049</v>
      </c>
      <c r="AO50" s="13">
        <v>0.32547917345456584</v>
      </c>
      <c r="AP50" s="347"/>
      <c r="AQ50" s="13">
        <v>4.2441342669485543E-2</v>
      </c>
      <c r="AR50" s="13">
        <v>0.32568894022730982</v>
      </c>
      <c r="AS50" s="13">
        <v>0.32507296483710024</v>
      </c>
      <c r="AT50" s="347"/>
      <c r="AU50">
        <v>3.5677860276477055E-2</v>
      </c>
      <c r="AV50">
        <v>0.28238237675972844</v>
      </c>
      <c r="AW50">
        <v>0.32375896637803947</v>
      </c>
      <c r="AX50" s="347"/>
      <c r="AY50">
        <v>3.1030934217192024E-2</v>
      </c>
      <c r="AZ50">
        <v>0.17306796001090202</v>
      </c>
      <c r="BA50">
        <v>0.32278339516412419</v>
      </c>
      <c r="BB50" s="347"/>
      <c r="BC50">
        <v>2.5800624889013503E-2</v>
      </c>
      <c r="BD50">
        <v>0.11960429367849813</v>
      </c>
      <c r="BE50">
        <v>0.32094540827784224</v>
      </c>
      <c r="BF50" s="347"/>
      <c r="BG50">
        <v>1.2483887422588555E-2</v>
      </c>
      <c r="BH50">
        <v>0.39296368863037084</v>
      </c>
      <c r="BK50" s="328">
        <v>470.6</v>
      </c>
      <c r="BL50" s="7">
        <v>47.06</v>
      </c>
      <c r="BM50" s="8">
        <v>0</v>
      </c>
      <c r="BN50" s="8">
        <v>2.5702971869421588E-2</v>
      </c>
      <c r="BO50">
        <f>BN50/0.9</f>
        <v>2.8558857632690653E-2</v>
      </c>
      <c r="BQ50" t="s">
        <v>237</v>
      </c>
      <c r="BS50" s="328">
        <v>470.6</v>
      </c>
      <c r="BT50">
        <f>G81-K81</f>
        <v>391.40136114512762</v>
      </c>
      <c r="BU50">
        <f t="shared" si="4"/>
        <v>47.06</v>
      </c>
      <c r="CG50" s="7">
        <v>65.400000000000006</v>
      </c>
      <c r="CH50" s="191">
        <f>(1.4326/C47/10*47482+10^((-1713.3/(273.15+110))+6.694))*0.016*(10^(-7)*110^2-1.1*10^(-3)*110*C52/29-0.079*(C52/29)^2+0.73*10^(-3)*110+0.156*C52/29+0.927)</f>
        <v>4.198074777209273</v>
      </c>
      <c r="CI50" s="79">
        <v>3.3965049445811328E-3</v>
      </c>
      <c r="CJ50">
        <f t="shared" ref="CJ50:CJ63" si="5">CI50*18/0.02404</f>
        <v>2.5431401415332942</v>
      </c>
    </row>
    <row r="51" spans="1:88">
      <c r="A51" s="344" t="s">
        <v>206</v>
      </c>
      <c r="B51" s="344" t="s">
        <v>210</v>
      </c>
      <c r="C51" s="13">
        <v>48.076810966776023</v>
      </c>
      <c r="D51" s="13">
        <v>5.2234624493436872</v>
      </c>
      <c r="E51" s="13"/>
      <c r="F51" s="347"/>
      <c r="G51" s="13">
        <v>52.60950293940774</v>
      </c>
      <c r="H51" s="13">
        <v>5.2477309659059133</v>
      </c>
      <c r="I51" s="13"/>
      <c r="J51" s="347"/>
      <c r="K51" s="13">
        <v>1.3699754282470042</v>
      </c>
      <c r="L51" s="13">
        <v>48.208057990034156</v>
      </c>
      <c r="M51" s="13">
        <v>5.2530431076902451</v>
      </c>
      <c r="N51" s="347"/>
      <c r="O51" s="13">
        <v>2.7604283206326881</v>
      </c>
      <c r="P51" s="13">
        <v>47.094071848907589</v>
      </c>
      <c r="Q51" s="13">
        <v>5.2579243314529966</v>
      </c>
      <c r="R51" s="347"/>
      <c r="S51" s="13">
        <v>3.7703210742603117</v>
      </c>
      <c r="T51" s="13">
        <v>46.382787148847981</v>
      </c>
      <c r="U51" s="13">
        <v>5.2627373665901391</v>
      </c>
      <c r="V51" s="347"/>
      <c r="W51" s="13">
        <v>4.5577016842446714</v>
      </c>
      <c r="X51" s="13">
        <v>45.984276894002349</v>
      </c>
      <c r="Y51" s="13">
        <v>5.2674402447584567</v>
      </c>
      <c r="Z51" s="347"/>
      <c r="AA51" s="13">
        <v>5.1826081165419726</v>
      </c>
      <c r="AB51" s="13">
        <v>45.87384891393247</v>
      </c>
      <c r="AC51" s="13">
        <v>5.2718966937609135</v>
      </c>
      <c r="AD51" s="347"/>
      <c r="AE51" s="13">
        <v>5.6670892242705326</v>
      </c>
      <c r="AF51" s="13">
        <v>46.080095041975369</v>
      </c>
      <c r="AG51" s="13">
        <v>5.2760467816753289</v>
      </c>
      <c r="AH51" s="347"/>
      <c r="AI51" s="13">
        <v>6.0162897222637621</v>
      </c>
      <c r="AJ51" s="13">
        <v>46.672272851641615</v>
      </c>
      <c r="AK51" s="13">
        <v>5.2798041753127301</v>
      </c>
      <c r="AL51" s="347"/>
      <c r="AM51" s="13">
        <v>6.2261190157453052</v>
      </c>
      <c r="AN51" s="13">
        <v>47.766059711911311</v>
      </c>
      <c r="AO51" s="13">
        <v>5.2829806317397328</v>
      </c>
      <c r="AP51" s="347"/>
      <c r="AQ51" s="13">
        <v>6.2929760597761</v>
      </c>
      <c r="AR51" s="13">
        <v>49.537497973112536</v>
      </c>
      <c r="AS51" s="13">
        <v>5.2853456819738893</v>
      </c>
      <c r="AT51" s="347"/>
      <c r="AU51">
        <v>6.0418789800901838</v>
      </c>
      <c r="AV51">
        <v>70.78828817095031</v>
      </c>
      <c r="AW51">
        <v>5.2827661931944512</v>
      </c>
      <c r="AX51" s="347"/>
      <c r="AY51">
        <v>5.7280449451085431</v>
      </c>
      <c r="AZ51">
        <v>65.045773154672275</v>
      </c>
      <c r="BA51">
        <v>5.2767570139057467</v>
      </c>
      <c r="BB51" s="347"/>
      <c r="BC51">
        <v>5.3038777972135245</v>
      </c>
      <c r="BD51">
        <v>87.080036606548632</v>
      </c>
      <c r="BE51">
        <v>5.2576916295380043</v>
      </c>
      <c r="BF51" s="347"/>
      <c r="BG51">
        <v>3.4541663715349258</v>
      </c>
      <c r="BH51">
        <v>2288.1202303541327</v>
      </c>
      <c r="BK51" s="328">
        <v>434.8</v>
      </c>
      <c r="BL51" s="7">
        <v>43.480000000000004</v>
      </c>
      <c r="BM51" s="8">
        <v>0</v>
      </c>
      <c r="BN51" s="8">
        <v>5.1790134340996573E-2</v>
      </c>
      <c r="BO51">
        <f t="shared" ref="BO51:BO61" si="6">BN51/0.9</f>
        <v>5.7544593712218414E-2</v>
      </c>
      <c r="BP51" t="s">
        <v>238</v>
      </c>
      <c r="BQ51">
        <v>49.7</v>
      </c>
      <c r="BS51" s="328">
        <v>434.8</v>
      </c>
      <c r="BT51">
        <f>G81-O81-Q81</f>
        <v>348.67444962212011</v>
      </c>
      <c r="BU51">
        <f t="shared" si="4"/>
        <v>43.480000000000004</v>
      </c>
      <c r="CG51" s="7">
        <v>50.64</v>
      </c>
      <c r="CH51" s="191">
        <f>(1.4326/G47/10*47482+10^((-1713.3/(273.15+110))+6.694))*0.016*(10^(-7)*110^2-1.1*10^(-3)*110*G52/29-0.079*(G52/29)^2+0.73*10^(-3)*110+0.156*G52/29+0.927)</f>
        <v>4.6680135209656983</v>
      </c>
      <c r="CI51" s="13">
        <v>3.9638662057857365E-3</v>
      </c>
      <c r="CJ51">
        <f t="shared" si="5"/>
        <v>2.9679530658961424</v>
      </c>
    </row>
    <row r="52" spans="1:88">
      <c r="A52" s="344" t="s">
        <v>207</v>
      </c>
      <c r="B52" s="344"/>
      <c r="C52" s="13">
        <v>28.011222030693091</v>
      </c>
      <c r="D52" s="13">
        <v>19.175114794469604</v>
      </c>
      <c r="E52" s="13"/>
      <c r="F52" s="347"/>
      <c r="G52" s="13">
        <v>28.005542339155213</v>
      </c>
      <c r="H52" s="13">
        <v>19.17634129729224</v>
      </c>
      <c r="I52" s="13"/>
      <c r="J52" s="347"/>
      <c r="K52" s="13">
        <v>64.416961380510841</v>
      </c>
      <c r="L52" s="13">
        <v>27.218083149267798</v>
      </c>
      <c r="M52" s="13">
        <v>19.176038278750202</v>
      </c>
      <c r="N52" s="347"/>
      <c r="O52" s="13">
        <v>67.83977402379719</v>
      </c>
      <c r="P52" s="13">
        <v>26.26884277456471</v>
      </c>
      <c r="Q52" s="13">
        <v>19.177344484034297</v>
      </c>
      <c r="R52" s="347"/>
      <c r="S52" s="13">
        <v>71.49236010519374</v>
      </c>
      <c r="T52" s="13">
        <v>25.437279724087031</v>
      </c>
      <c r="U52" s="13">
        <v>19.17828596394272</v>
      </c>
      <c r="V52" s="347"/>
      <c r="W52" s="13">
        <v>75.102381710042167</v>
      </c>
      <c r="X52" s="13">
        <v>24.677938718791228</v>
      </c>
      <c r="Y52" s="13">
        <v>19.178714046367347</v>
      </c>
      <c r="Z52" s="347"/>
      <c r="AA52" s="13">
        <v>78.797678729769117</v>
      </c>
      <c r="AB52" s="13">
        <v>23.972165530130297</v>
      </c>
      <c r="AC52" s="13">
        <v>19.179631350943112</v>
      </c>
      <c r="AD52" s="347"/>
      <c r="AE52" s="13">
        <v>82.812743336980006</v>
      </c>
      <c r="AF52" s="13">
        <v>23.312069686339054</v>
      </c>
      <c r="AG52" s="13">
        <v>19.180798398463111</v>
      </c>
      <c r="AH52" s="347"/>
      <c r="AI52" s="13">
        <v>87.402496177955413</v>
      </c>
      <c r="AJ52" s="13">
        <v>22.698107063430847</v>
      </c>
      <c r="AK52" s="13">
        <v>19.181977295862222</v>
      </c>
      <c r="AL52" s="347"/>
      <c r="AM52" s="13">
        <v>92.885135950816405</v>
      </c>
      <c r="AN52" s="13">
        <v>22.139328795770393</v>
      </c>
      <c r="AO52" s="13">
        <v>19.183375221138732</v>
      </c>
      <c r="AP52" s="347"/>
      <c r="AQ52" s="13">
        <v>99.640337227008601</v>
      </c>
      <c r="AR52" s="13">
        <v>21.654525435337618</v>
      </c>
      <c r="AS52" s="13">
        <v>19.184557343483757</v>
      </c>
      <c r="AT52" s="347"/>
      <c r="AU52">
        <v>119.32419881244739</v>
      </c>
      <c r="AV52">
        <v>21.019360578246449</v>
      </c>
      <c r="AW52">
        <v>19.18854620389471</v>
      </c>
      <c r="AX52" s="347"/>
      <c r="AY52">
        <v>134.19331640489332</v>
      </c>
      <c r="AZ52">
        <v>20.976492617198783</v>
      </c>
      <c r="BA52">
        <v>19.191785792571817</v>
      </c>
      <c r="BB52" s="347"/>
      <c r="BC52">
        <v>155.08485663768656</v>
      </c>
      <c r="BD52">
        <v>21.376448411793429</v>
      </c>
      <c r="BE52">
        <v>19.198103124294164</v>
      </c>
      <c r="BF52" s="347"/>
      <c r="BG52">
        <v>232.12895134061395</v>
      </c>
      <c r="BH52">
        <v>21.680853247012539</v>
      </c>
      <c r="BK52" s="328">
        <v>399</v>
      </c>
      <c r="BL52" s="7">
        <v>39.9</v>
      </c>
      <c r="BM52" s="8">
        <v>0</v>
      </c>
      <c r="BN52" s="114">
        <v>7.0737368358790562E-2</v>
      </c>
      <c r="BO52">
        <f t="shared" si="6"/>
        <v>7.859707595421174E-2</v>
      </c>
      <c r="BS52" s="328">
        <v>399</v>
      </c>
      <c r="BT52">
        <f>I81-S81-U81</f>
        <v>314.53600261283293</v>
      </c>
      <c r="BU52">
        <f t="shared" si="4"/>
        <v>39.9</v>
      </c>
      <c r="CG52" s="7">
        <v>47.06</v>
      </c>
      <c r="CH52" s="191">
        <f>(1.4326/K47/10*47482+10^((-1713.3/(273.15+110))+6.694))*0.016*(10^(-7)*110^2-1.1*10^(-3)*110*L52/29-0.079*(L52/29)^2+0.73*10^(-3)*110+0.156*L52/29+0.927)</f>
        <v>4.8420013751927851</v>
      </c>
      <c r="CI52" s="13">
        <v>4.2909348578274468E-3</v>
      </c>
      <c r="CJ52">
        <f t="shared" si="5"/>
        <v>3.2128463993716325</v>
      </c>
    </row>
    <row r="53" spans="1:88">
      <c r="A53" s="344" t="s">
        <v>16</v>
      </c>
      <c r="B53" s="344"/>
      <c r="C53" s="13">
        <v>1.3953737895017075</v>
      </c>
      <c r="D53" s="13">
        <v>0.5342353424233075</v>
      </c>
      <c r="E53" s="13"/>
      <c r="F53" s="347"/>
      <c r="G53" s="13">
        <v>1.1876214703233838</v>
      </c>
      <c r="H53" s="13">
        <v>0.41519818658212448</v>
      </c>
      <c r="I53" s="13"/>
      <c r="J53" s="347"/>
      <c r="K53" s="13">
        <v>1.5614920916106718</v>
      </c>
      <c r="L53" s="13">
        <v>1.1312257921740487</v>
      </c>
      <c r="M53" s="13">
        <v>0.3862013561319636</v>
      </c>
      <c r="N53" s="347"/>
      <c r="O53" s="13">
        <v>1.5033703222597599</v>
      </c>
      <c r="P53" s="13">
        <v>1.0771593875250476</v>
      </c>
      <c r="Q53" s="13">
        <v>0.35718191486718953</v>
      </c>
      <c r="R53" s="347"/>
      <c r="S53" s="13">
        <v>1.4391399146580006</v>
      </c>
      <c r="T53" s="13">
        <v>1.0279584209876911</v>
      </c>
      <c r="U53" s="13">
        <v>0.32810418202713287</v>
      </c>
      <c r="V53" s="347"/>
      <c r="W53" s="13">
        <v>1.3649531521102929</v>
      </c>
      <c r="X53" s="13">
        <v>0.98349423879794018</v>
      </c>
      <c r="Y53" s="13">
        <v>0.29896653810967155</v>
      </c>
      <c r="Z53" s="347"/>
      <c r="AA53" s="13">
        <v>1.2818346199157626</v>
      </c>
      <c r="AB53" s="13">
        <v>0.94419775373067527</v>
      </c>
      <c r="AC53" s="13">
        <v>0.26978060718931512</v>
      </c>
      <c r="AD53" s="347"/>
      <c r="AE53" s="13">
        <v>1.191146098300955</v>
      </c>
      <c r="AF53" s="13">
        <v>0.91088108878359908</v>
      </c>
      <c r="AG53" s="13">
        <v>0.24054085419134524</v>
      </c>
      <c r="AH53" s="347"/>
      <c r="AI53" s="13">
        <v>1.0934116212526339</v>
      </c>
      <c r="AJ53" s="13">
        <v>0.88466889576240015</v>
      </c>
      <c r="AK53" s="13">
        <v>0.21124279958129599</v>
      </c>
      <c r="AL53" s="347"/>
      <c r="AM53" s="13">
        <v>0.98855216338800578</v>
      </c>
      <c r="AN53" s="13">
        <v>0.86687678421105718</v>
      </c>
      <c r="AO53" s="13">
        <v>0.18188632654438258</v>
      </c>
      <c r="AP53" s="347"/>
      <c r="AQ53" s="13">
        <v>0.87557476252751909</v>
      </c>
      <c r="AR53" s="13">
        <v>0.85878145146832274</v>
      </c>
      <c r="AS53" s="13">
        <v>0.15246618040463528</v>
      </c>
      <c r="AT53" s="347"/>
      <c r="AU53">
        <v>0.61646904479061082</v>
      </c>
      <c r="AV53">
        <v>0.87531613195485924</v>
      </c>
      <c r="AW53">
        <v>9.3442698019961856E-2</v>
      </c>
      <c r="AX53" s="347"/>
      <c r="AY53">
        <v>0.46100625460033462</v>
      </c>
      <c r="AZ53">
        <v>0.90049958276080599</v>
      </c>
      <c r="BA53">
        <v>6.3826345580700161E-2</v>
      </c>
      <c r="BB53" s="347"/>
      <c r="BC53">
        <v>0.27612794432791155</v>
      </c>
      <c r="BD53">
        <v>0.93676039098382979</v>
      </c>
      <c r="BE53">
        <v>3.4136755202800184E-2</v>
      </c>
      <c r="BF53" s="347"/>
      <c r="BG53">
        <v>4.846026949058857E-2</v>
      </c>
      <c r="BH53">
        <v>0.95695891757760143</v>
      </c>
      <c r="BK53" s="328">
        <v>363.2</v>
      </c>
      <c r="BL53" s="7">
        <v>36.32</v>
      </c>
      <c r="BM53" s="8">
        <v>0</v>
      </c>
      <c r="BN53" s="114">
        <v>8.550991190349648E-2</v>
      </c>
      <c r="BO53">
        <f t="shared" si="6"/>
        <v>9.5011013226107194E-2</v>
      </c>
      <c r="BS53" s="328">
        <v>363.2</v>
      </c>
      <c r="BT53">
        <f>I81-W81-Y81</f>
        <v>285.7410580513976</v>
      </c>
      <c r="BU53">
        <f t="shared" si="4"/>
        <v>36.32</v>
      </c>
      <c r="CG53" s="7">
        <v>43.480000000000004</v>
      </c>
      <c r="CH53" s="191">
        <f>(1.4326/O47/10*47482+10^((-1713.3/(273.15+110))+6.694))*0.016*(10^(-7)*110^2-1.1*10^(-3)*110*P52/29-0.079*(P52/29)^2+0.73*10^(-3)*110+0.156*P52/29+0.927)</f>
        <v>5.0457925263460872</v>
      </c>
      <c r="CI53" s="13">
        <v>4.689290263056786E-3</v>
      </c>
      <c r="CJ53">
        <f t="shared" si="5"/>
        <v>3.5111158375633171</v>
      </c>
    </row>
    <row r="54" spans="1:88">
      <c r="A54" s="344" t="s">
        <v>208</v>
      </c>
      <c r="B54" s="344" t="s">
        <v>27</v>
      </c>
      <c r="C54" s="13">
        <v>391.65865721411575</v>
      </c>
      <c r="D54" s="13">
        <v>1203.2674174541739</v>
      </c>
      <c r="E54" s="13"/>
      <c r="F54" s="347"/>
      <c r="G54" s="13">
        <v>358.04779347053466</v>
      </c>
      <c r="H54" s="13">
        <v>1196.3656284454069</v>
      </c>
      <c r="I54" s="13"/>
      <c r="J54" s="347"/>
      <c r="K54" s="13">
        <v>610.18287643651911</v>
      </c>
      <c r="L54" s="13">
        <v>339.61124356318703</v>
      </c>
      <c r="M54" s="13">
        <v>1194.6175864201352</v>
      </c>
      <c r="N54" s="347"/>
      <c r="O54" s="13">
        <v>618.42034080682356</v>
      </c>
      <c r="P54" s="13">
        <v>318.17741517064792</v>
      </c>
      <c r="Q54" s="13">
        <v>1192.87732822919</v>
      </c>
      <c r="R54" s="347"/>
      <c r="S54" s="13">
        <v>626.44191844514091</v>
      </c>
      <c r="T54" s="13">
        <v>296.58594278324921</v>
      </c>
      <c r="U54" s="13">
        <v>1191.1060718022652</v>
      </c>
      <c r="V54" s="347"/>
      <c r="W54" s="13">
        <v>633.06211711966648</v>
      </c>
      <c r="X54" s="13">
        <v>274.213885048924</v>
      </c>
      <c r="Y54" s="13">
        <v>1189.2994508907934</v>
      </c>
      <c r="Z54" s="347"/>
      <c r="AA54" s="13">
        <v>638.90104509175615</v>
      </c>
      <c r="AB54" s="13">
        <v>250.6858267575202</v>
      </c>
      <c r="AC54" s="13">
        <v>1187.4776112598145</v>
      </c>
      <c r="AD54" s="347"/>
      <c r="AE54" s="13">
        <v>644.88558210349595</v>
      </c>
      <c r="AF54" s="13">
        <v>225.74113523091071</v>
      </c>
      <c r="AG54" s="13">
        <v>1185.6344570071719</v>
      </c>
      <c r="AH54" s="347"/>
      <c r="AI54" s="13">
        <v>651.85969991057505</v>
      </c>
      <c r="AJ54" s="13">
        <v>199.26215442884927</v>
      </c>
      <c r="AK54" s="13">
        <v>1183.7637566656915</v>
      </c>
      <c r="AL54" s="347"/>
      <c r="AM54" s="13">
        <v>660.66260781061385</v>
      </c>
      <c r="AN54" s="13">
        <v>171.34567633743646</v>
      </c>
      <c r="AO54" s="13">
        <v>1181.8686355828827</v>
      </c>
      <c r="AP54" s="347"/>
      <c r="AQ54" s="13">
        <v>671.99837656859438</v>
      </c>
      <c r="AR54" s="13">
        <v>142.36971443306228</v>
      </c>
      <c r="AS54" s="13">
        <v>1179.9381364975472</v>
      </c>
      <c r="AT54" s="347"/>
      <c r="AU54">
        <v>704.62055047145657</v>
      </c>
      <c r="AV54">
        <v>83.848573703619337</v>
      </c>
      <c r="AW54">
        <v>1175.9869087663658</v>
      </c>
      <c r="AX54" s="347"/>
      <c r="AY54">
        <v>726.97473809157975</v>
      </c>
      <c r="AZ54">
        <v>55.812370418131771</v>
      </c>
      <c r="BA54">
        <v>1173.9766983895429</v>
      </c>
      <c r="BB54" s="347"/>
      <c r="BC54">
        <v>754.40769283514146</v>
      </c>
      <c r="BD54">
        <v>29.360518360819512</v>
      </c>
      <c r="BE54">
        <v>1171.910313410322</v>
      </c>
      <c r="BF54" s="347"/>
      <c r="BG54">
        <v>838.94965799578313</v>
      </c>
      <c r="BH54">
        <v>3.7234879319611585</v>
      </c>
      <c r="BK54" s="328">
        <v>327.39999999999998</v>
      </c>
      <c r="BL54" s="7">
        <v>32.739999999999995</v>
      </c>
      <c r="BM54" s="8">
        <v>4581.735023680073</v>
      </c>
      <c r="BN54" s="114">
        <v>9.7234175068501363E-2</v>
      </c>
      <c r="BO54">
        <f t="shared" si="6"/>
        <v>0.10803797229833484</v>
      </c>
      <c r="BS54" s="328">
        <v>327.39999999999998</v>
      </c>
      <c r="BT54">
        <f>I81-AA81-AC81</f>
        <v>260.99625811203634</v>
      </c>
      <c r="BU54">
        <f t="shared" si="4"/>
        <v>32.739999999999995</v>
      </c>
      <c r="CG54" s="7">
        <v>39.9</v>
      </c>
      <c r="CH54" s="191">
        <f>(1.4326/S47/10*47482+10^((-1713.3/(273.15+110))+6.694))*0.016*(10^(-7)*110^2-1.1*10^(-3)*110*T52/29-0.079*(T52/29)^2+0.73*10^(-3)*110+0.156*T52/29+0.927)</f>
        <v>5.2812419297957103</v>
      </c>
      <c r="CI54" s="13">
        <v>5.1154160676819375E-3</v>
      </c>
      <c r="CJ54">
        <f t="shared" si="5"/>
        <v>3.8301784200613516</v>
      </c>
    </row>
    <row r="55" spans="1:88">
      <c r="F55" s="345"/>
      <c r="J55" s="345"/>
      <c r="N55" s="345"/>
      <c r="R55" s="345"/>
      <c r="V55" s="345"/>
      <c r="Z55" s="345"/>
      <c r="AD55" s="345"/>
      <c r="AH55" s="345"/>
      <c r="AL55" s="345"/>
      <c r="AP55" s="345"/>
      <c r="AT55" s="345"/>
      <c r="AX55" s="345"/>
      <c r="BB55" s="345"/>
      <c r="BF55" s="345"/>
      <c r="BK55" s="328">
        <v>291.60000000000002</v>
      </c>
      <c r="BL55" s="7">
        <v>29.160000000000004</v>
      </c>
      <c r="BM55" s="8">
        <v>5126.0520209781771</v>
      </c>
      <c r="BN55" s="114">
        <v>0.1063238302743232</v>
      </c>
      <c r="BO55">
        <f t="shared" si="6"/>
        <v>0.11813758919369244</v>
      </c>
      <c r="BS55" s="328">
        <v>291.60000000000002</v>
      </c>
      <c r="BT55">
        <f>I81-AE81-AG81</f>
        <v>239.70139058118002</v>
      </c>
      <c r="BU55">
        <f t="shared" si="4"/>
        <v>29.160000000000004</v>
      </c>
      <c r="CG55" s="7">
        <v>36.32</v>
      </c>
      <c r="CH55" s="191">
        <f>(1.4326/W47/10*47482+10^((-1713.3/(273.15+110))+6.694))*0.016*(10^(-7)*110^2-1.1*10^(-3)*110*X52/29-0.079*(X52/29)^2+0.73*10^(-3)*110+0.156*X52/29+0.927)</f>
        <v>5.559372531420256</v>
      </c>
      <c r="CI55" s="13">
        <v>5.5879092624722994E-3</v>
      </c>
      <c r="CJ55">
        <f t="shared" si="5"/>
        <v>4.1839586823835848</v>
      </c>
    </row>
    <row r="56" spans="1:88">
      <c r="A56" s="344" t="s">
        <v>22</v>
      </c>
      <c r="B56" t="s">
        <v>17</v>
      </c>
      <c r="C56" s="79">
        <v>5.4028070445665179E-3</v>
      </c>
      <c r="D56" s="348">
        <v>3.7390628836680745E-5</v>
      </c>
      <c r="E56" s="13"/>
      <c r="F56" s="347"/>
      <c r="G56" s="13">
        <v>5.4012913543572674E-3</v>
      </c>
      <c r="H56" s="13">
        <v>3.416395290760023E-5</v>
      </c>
      <c r="I56" s="13"/>
      <c r="J56" s="347"/>
      <c r="K56" s="13">
        <v>5.0803857056823908E-3</v>
      </c>
      <c r="L56" s="13">
        <v>5.4073994498816634E-3</v>
      </c>
      <c r="M56" s="13">
        <v>3.3328913151437837E-5</v>
      </c>
      <c r="N56" s="347"/>
      <c r="O56" s="13">
        <v>5.0075910642782768E-3</v>
      </c>
      <c r="P56" s="13">
        <v>5.4162635594588674E-3</v>
      </c>
      <c r="Q56" s="13">
        <v>3.2445053200445661E-5</v>
      </c>
      <c r="R56" s="347"/>
      <c r="S56" s="13">
        <v>4.9188734557678877E-3</v>
      </c>
      <c r="T56" s="13">
        <v>5.4261986384230567E-3</v>
      </c>
      <c r="U56" s="13">
        <v>3.1478510457012792E-5</v>
      </c>
      <c r="V56" s="347"/>
      <c r="W56" s="13">
        <v>4.8145388350790746E-3</v>
      </c>
      <c r="X56" s="13">
        <v>5.4378332223947445E-3</v>
      </c>
      <c r="Y56" s="13">
        <v>3.0416632981466485E-5</v>
      </c>
      <c r="Z56" s="347"/>
      <c r="AA56" s="13">
        <v>4.6893578952568989E-3</v>
      </c>
      <c r="AB56" s="13">
        <v>5.4515769360945609E-3</v>
      </c>
      <c r="AC56" s="13">
        <v>2.9236210587347981E-5</v>
      </c>
      <c r="AD56" s="347"/>
      <c r="AE56" s="13">
        <v>4.5354394157151555E-3</v>
      </c>
      <c r="AF56" s="13">
        <v>5.4680930750047509E-3</v>
      </c>
      <c r="AG56" s="13">
        <v>2.7910094026918903E-5</v>
      </c>
      <c r="AH56" s="347"/>
      <c r="AI56" s="13">
        <v>4.342599734505956E-3</v>
      </c>
      <c r="AJ56" s="13">
        <v>5.4880774442651551E-3</v>
      </c>
      <c r="AK56" s="13">
        <v>2.6397697758658603E-5</v>
      </c>
      <c r="AL56" s="347"/>
      <c r="AM56" s="13">
        <v>4.0971629209520131E-3</v>
      </c>
      <c r="AN56" s="13">
        <v>5.5120472446481316E-3</v>
      </c>
      <c r="AO56" s="13">
        <v>2.4637529382466396E-5</v>
      </c>
      <c r="AP56" s="347"/>
      <c r="AQ56" s="13">
        <v>3.7814512416409897E-3</v>
      </c>
      <c r="AR56" s="13">
        <v>5.5404289853973367E-3</v>
      </c>
      <c r="AS56" s="13">
        <v>2.2542121186679647E-5</v>
      </c>
      <c r="AT56" s="347"/>
      <c r="AU56">
        <v>2.8358686076489182E-3</v>
      </c>
      <c r="AV56">
        <v>5.5987076885654257E-3</v>
      </c>
      <c r="AW56">
        <v>1.6772942105779773E-5</v>
      </c>
      <c r="AX56" s="347"/>
      <c r="AY56">
        <v>2.1474654910021013E-3</v>
      </c>
      <c r="AZ56">
        <v>5.624042428578775E-3</v>
      </c>
      <c r="BA56">
        <v>1.2723403799770146E-5</v>
      </c>
      <c r="BB56" s="347"/>
      <c r="BC56">
        <v>1.2606937410430056E-3</v>
      </c>
      <c r="BD56">
        <v>5.5910294096412098E-3</v>
      </c>
      <c r="BE56">
        <v>7.5220847253140636E-6</v>
      </c>
      <c r="BF56" s="347"/>
      <c r="BG56">
        <v>2.9777654629154886E-5</v>
      </c>
      <c r="BH56">
        <v>9.2316717076242354E-4</v>
      </c>
      <c r="BK56" s="328">
        <v>255.8</v>
      </c>
      <c r="BL56" s="7">
        <v>25.580000000000002</v>
      </c>
      <c r="BM56" s="8">
        <v>5509.8319099963419</v>
      </c>
      <c r="BN56" s="114">
        <v>0.11287540075627911</v>
      </c>
      <c r="BO56">
        <f t="shared" si="6"/>
        <v>0.12541711195142122</v>
      </c>
      <c r="BS56" s="328">
        <v>255.8</v>
      </c>
      <c r="BT56">
        <f>I81-AI81-AK81</f>
        <v>221.65434743502681</v>
      </c>
      <c r="BU56">
        <f t="shared" si="4"/>
        <v>25.580000000000002</v>
      </c>
      <c r="CG56" s="7">
        <v>32.739999999999995</v>
      </c>
      <c r="CH56" s="191">
        <f>(1.4326/AA47/10*47482+10^((-1713.3/(273.15+110))+6.694))*0.016*(10^(-7)*110^2-1.1*10^(-3)*110*AB52/29-0.079*(AB52/29)^2+0.73*10^(-3)*110+0.156*AB52/29+0.927)</f>
        <v>5.8950698266461421</v>
      </c>
      <c r="CI56" s="13">
        <v>6.1225529994108361E-3</v>
      </c>
      <c r="CJ56">
        <f t="shared" si="5"/>
        <v>4.5842742924041202</v>
      </c>
    </row>
    <row r="57" spans="1:88">
      <c r="A57" s="344" t="s">
        <v>23</v>
      </c>
      <c r="B57" t="s">
        <v>17</v>
      </c>
      <c r="C57" s="79">
        <v>2.5385891078336591E-3</v>
      </c>
      <c r="D57" s="348">
        <v>1.0055785187303155E-10</v>
      </c>
      <c r="E57" s="13"/>
      <c r="F57" s="347"/>
      <c r="G57" s="13">
        <v>2.5371288720800172E-3</v>
      </c>
      <c r="H57" s="13">
        <v>8.7637451473986177E-11</v>
      </c>
      <c r="I57" s="13"/>
      <c r="J57" s="347"/>
      <c r="K57" s="13">
        <v>1.7223925387718996E-3</v>
      </c>
      <c r="L57" s="13">
        <v>2.55410584345993E-3</v>
      </c>
      <c r="M57" s="13">
        <v>8.3491459629975671E-11</v>
      </c>
      <c r="N57" s="347"/>
      <c r="O57" s="13">
        <v>1.6290604683720257E-3</v>
      </c>
      <c r="P57" s="13">
        <v>2.5751176960159129E-3</v>
      </c>
      <c r="Q57" s="13">
        <v>7.8876432124838704E-11</v>
      </c>
      <c r="R57" s="347"/>
      <c r="S57" s="13">
        <v>1.5290505086649139E-3</v>
      </c>
      <c r="T57" s="13">
        <v>2.5940348198805288E-3</v>
      </c>
      <c r="U57" s="13">
        <v>7.3960872541342117E-11</v>
      </c>
      <c r="V57" s="347"/>
      <c r="W57" s="13">
        <v>1.4242081352904554E-3</v>
      </c>
      <c r="X57" s="13">
        <v>2.6120607448368205E-3</v>
      </c>
      <c r="Y57" s="13">
        <v>6.8713111235256377E-11</v>
      </c>
      <c r="Z57" s="347"/>
      <c r="AA57" s="13">
        <v>1.3124852995165309E-3</v>
      </c>
      <c r="AB57" s="13">
        <v>2.6294612836393399E-3</v>
      </c>
      <c r="AC57" s="13">
        <v>6.3099592469684581E-11</v>
      </c>
      <c r="AD57" s="347"/>
      <c r="AE57" s="13">
        <v>1.191637109806423E-3</v>
      </c>
      <c r="AF57" s="13">
        <v>2.6460501882586496E-3</v>
      </c>
      <c r="AG57" s="13">
        <v>5.7105155406334748E-11</v>
      </c>
      <c r="AH57" s="347"/>
      <c r="AI57" s="13">
        <v>1.0605811085891408E-3</v>
      </c>
      <c r="AJ57" s="13">
        <v>2.6610712857997963E-3</v>
      </c>
      <c r="AK57" s="13">
        <v>5.0733958887526003E-11</v>
      </c>
      <c r="AL57" s="347"/>
      <c r="AM57" s="13">
        <v>9.1937148380869871E-4</v>
      </c>
      <c r="AN57" s="13">
        <v>2.6729335665913192E-3</v>
      </c>
      <c r="AO57" s="13">
        <v>4.4005403351054206E-11</v>
      </c>
      <c r="AP57" s="347"/>
      <c r="AQ57" s="13">
        <v>7.6973612386142733E-4</v>
      </c>
      <c r="AR57" s="13">
        <v>2.6791757658572403E-3</v>
      </c>
      <c r="AS57" s="13">
        <v>3.6978885621090871E-11</v>
      </c>
      <c r="AT57" s="347"/>
      <c r="AU57">
        <v>4.5719123312463285E-4</v>
      </c>
      <c r="AV57">
        <v>2.6604637041214318E-3</v>
      </c>
      <c r="AW57">
        <v>2.2246988101159397E-11</v>
      </c>
      <c r="AX57" s="347"/>
      <c r="AY57">
        <v>3.0118718439120143E-4</v>
      </c>
      <c r="AZ57">
        <v>2.614279752692687E-3</v>
      </c>
      <c r="BA57">
        <v>1.4774466521843686E-11</v>
      </c>
      <c r="BB57" s="347"/>
      <c r="BC57">
        <v>1.5103282285237023E-4</v>
      </c>
      <c r="BD57">
        <v>2.5053445098621968E-3</v>
      </c>
      <c r="BE57">
        <v>7.3609163924770169E-12</v>
      </c>
      <c r="BF57" s="347"/>
      <c r="BG57">
        <v>1.6882467481810581E-6</v>
      </c>
      <c r="BH57">
        <v>3.8411502193672027E-4</v>
      </c>
      <c r="BK57" s="360">
        <v>220</v>
      </c>
      <c r="BL57" s="7">
        <v>22</v>
      </c>
      <c r="BM57" s="8">
        <v>5731.1503536847322</v>
      </c>
      <c r="BN57" s="114">
        <v>0.11681214028936533</v>
      </c>
      <c r="BO57">
        <f t="shared" si="6"/>
        <v>0.12979126698818369</v>
      </c>
      <c r="BS57" s="360">
        <v>220</v>
      </c>
      <c r="BT57">
        <f>E81-AM81-AO81</f>
        <v>206.92379538528476</v>
      </c>
      <c r="BU57">
        <f t="shared" si="4"/>
        <v>22</v>
      </c>
      <c r="CG57" s="7">
        <v>29.160000000000004</v>
      </c>
      <c r="CH57" s="191">
        <f>(1.4326/AE47/10*47482+10^((-1713.3/(273.15+110))+6.694))*0.016*(10^(-7)*110^2-1.1*10^(-3)*110*AF52/29-0.079*(AF52/29)^2+0.73*10^(-3)*110+0.156*AF52/29+0.927)</f>
        <v>6.3101130318677674</v>
      </c>
      <c r="CI57" s="13">
        <v>6.7431967674821914E-3</v>
      </c>
      <c r="CJ57">
        <f t="shared" si="5"/>
        <v>5.0489826046039701</v>
      </c>
    </row>
    <row r="58" spans="1:88">
      <c r="A58" s="344" t="s">
        <v>157</v>
      </c>
      <c r="B58" t="s">
        <v>17</v>
      </c>
      <c r="C58" s="79">
        <v>3.3965049445811328E-3</v>
      </c>
      <c r="D58" s="348">
        <v>0.97082386923079211</v>
      </c>
      <c r="E58" s="13"/>
      <c r="F58" s="347"/>
      <c r="G58" s="13">
        <v>3.9638662057857365E-3</v>
      </c>
      <c r="H58" s="13">
        <v>0.97080151775275081</v>
      </c>
      <c r="I58" s="13"/>
      <c r="J58" s="347"/>
      <c r="K58" s="13">
        <v>7.4205420467843308E-4</v>
      </c>
      <c r="L58" s="13">
        <v>4.2909348578274468E-3</v>
      </c>
      <c r="M58" s="13">
        <v>0.97074840968260045</v>
      </c>
      <c r="N58" s="347"/>
      <c r="O58" s="13">
        <v>6.6106898901632718E-4</v>
      </c>
      <c r="P58" s="13">
        <v>4.689290263056786E-3</v>
      </c>
      <c r="Q58" s="13">
        <v>0.97076938719967321</v>
      </c>
      <c r="R58" s="347"/>
      <c r="S58" s="13">
        <v>5.8439653553365881E-4</v>
      </c>
      <c r="T58" s="13">
        <v>5.1154160676819375E-3</v>
      </c>
      <c r="U58" s="13">
        <v>0.97076835419388219</v>
      </c>
      <c r="V58" s="347"/>
      <c r="W58" s="13">
        <v>5.1776674246929071E-4</v>
      </c>
      <c r="X58" s="13">
        <v>5.5879092624722994E-3</v>
      </c>
      <c r="Y58" s="13">
        <v>0.9707367122783771</v>
      </c>
      <c r="Z58" s="347"/>
      <c r="AA58" s="13">
        <v>4.5716744817566918E-4</v>
      </c>
      <c r="AB58" s="13">
        <v>6.1225529994108361E-3</v>
      </c>
      <c r="AC58" s="13">
        <v>0.97072452234185558</v>
      </c>
      <c r="AD58" s="347"/>
      <c r="AE58" s="13">
        <v>3.9881754629625518E-4</v>
      </c>
      <c r="AF58" s="13">
        <v>6.7431967674821914E-3</v>
      </c>
      <c r="AG58" s="13">
        <v>0.9707182613493941</v>
      </c>
      <c r="AH58" s="347"/>
      <c r="AI58" s="13">
        <v>3.4094416978855819E-4</v>
      </c>
      <c r="AJ58" s="13">
        <v>7.4843788619318331E-3</v>
      </c>
      <c r="AK58" s="13">
        <v>0.97070416110954449</v>
      </c>
      <c r="AL58" s="347"/>
      <c r="AM58" s="13">
        <v>2.8306945547456334E-4</v>
      </c>
      <c r="AN58" s="13">
        <v>8.4032666686211684E-3</v>
      </c>
      <c r="AO58" s="13">
        <v>0.97069020581042154</v>
      </c>
      <c r="AP58" s="347"/>
      <c r="AQ58" s="13">
        <v>2.2615344893788916E-4</v>
      </c>
      <c r="AR58" s="13">
        <v>9.604596458058369E-3</v>
      </c>
      <c r="AS58" s="13">
        <v>0.97065045747825007</v>
      </c>
      <c r="AT58" s="347"/>
      <c r="AU58">
        <v>1.220734211365358E-4</v>
      </c>
      <c r="AV58">
        <v>1.4001823198292617E-2</v>
      </c>
      <c r="AW58">
        <v>0.97053122019657767</v>
      </c>
      <c r="AX58" s="347"/>
      <c r="AY58">
        <v>7.9795554264404668E-5</v>
      </c>
      <c r="AZ58">
        <v>1.915719826252665E-2</v>
      </c>
      <c r="BA58">
        <v>0.97046227628543991</v>
      </c>
      <c r="BB58" s="347"/>
      <c r="BC58">
        <v>4.6109138562317668E-5</v>
      </c>
      <c r="BD58">
        <v>3.3312925463008236E-2</v>
      </c>
      <c r="BE58">
        <v>0.9703267046875782</v>
      </c>
      <c r="BF58" s="347"/>
      <c r="BG58">
        <v>1.4777062246627097E-4</v>
      </c>
      <c r="BH58">
        <v>0.79747003217164258</v>
      </c>
      <c r="BK58" s="360">
        <v>184.2</v>
      </c>
      <c r="BL58" s="7">
        <v>18.419999999999998</v>
      </c>
      <c r="BM58" s="8">
        <v>0</v>
      </c>
      <c r="BN58" s="80">
        <v>0.11806648740141176</v>
      </c>
      <c r="BO58">
        <f t="shared" si="6"/>
        <v>0.13118498600156861</v>
      </c>
      <c r="BS58" s="360">
        <v>184.2</v>
      </c>
      <c r="BT58">
        <f>I81-AQ81-AS81</f>
        <v>195.68287677394454</v>
      </c>
      <c r="BU58">
        <f t="shared" si="4"/>
        <v>18.419999999999998</v>
      </c>
      <c r="CG58" s="7">
        <v>25.580000000000002</v>
      </c>
      <c r="CH58" s="191">
        <f>(1.4326/AI47/10*47482+10^((-1713.3/(273.15+110))+6.694))*0.016*(10^(-7)*110^2-1.1*10^(-3)*110*AJ52/29-0.079*(AJ52/29)^2+0.73*10^(-3)*110+0.156*AJ52/29+0.927)</f>
        <v>6.8381914339378795</v>
      </c>
      <c r="CI58" s="13">
        <v>7.4843788619318331E-3</v>
      </c>
      <c r="CJ58">
        <f t="shared" si="5"/>
        <v>5.6039442393832362</v>
      </c>
    </row>
    <row r="59" spans="1:88">
      <c r="A59" s="344" t="s">
        <v>159</v>
      </c>
      <c r="B59" t="s">
        <v>17</v>
      </c>
      <c r="C59" s="79"/>
      <c r="D59" s="348"/>
      <c r="E59" s="13"/>
      <c r="F59" s="347"/>
      <c r="G59" s="13"/>
      <c r="H59" s="13"/>
      <c r="I59" s="13"/>
      <c r="J59" s="347"/>
      <c r="K59" s="13"/>
      <c r="L59" s="13"/>
      <c r="M59" s="13"/>
      <c r="N59" s="347"/>
      <c r="O59" s="13"/>
      <c r="P59" s="13"/>
      <c r="Q59" s="13"/>
      <c r="R59" s="347"/>
      <c r="S59" s="13"/>
      <c r="T59" s="13"/>
      <c r="U59" s="13"/>
      <c r="V59" s="347"/>
      <c r="W59" s="13"/>
      <c r="X59" s="13"/>
      <c r="Y59" s="13"/>
      <c r="Z59" s="347"/>
      <c r="AA59" s="13"/>
      <c r="AB59" s="13"/>
      <c r="AC59" s="13"/>
      <c r="AD59" s="347"/>
      <c r="AE59" s="13"/>
      <c r="AF59" s="13"/>
      <c r="AG59" s="13"/>
      <c r="AH59" s="347"/>
      <c r="AI59" s="13"/>
      <c r="AJ59" s="13"/>
      <c r="AK59" s="13"/>
      <c r="AL59" s="347"/>
      <c r="AM59" s="13"/>
      <c r="AN59" s="13"/>
      <c r="AO59" s="13"/>
      <c r="AP59" s="347"/>
      <c r="AQ59" s="13"/>
      <c r="AR59" s="13"/>
      <c r="AS59" s="13"/>
      <c r="AT59" s="347"/>
      <c r="AX59" s="347"/>
      <c r="BB59" s="347"/>
      <c r="BF59" s="347"/>
      <c r="BK59" s="360">
        <v>112.6</v>
      </c>
      <c r="BL59" s="7">
        <v>11.26</v>
      </c>
      <c r="BM59" s="1">
        <v>0</v>
      </c>
      <c r="BN59" s="80">
        <v>0.11335549693940081</v>
      </c>
      <c r="BO59">
        <f t="shared" si="6"/>
        <v>0.12595055215488979</v>
      </c>
      <c r="BS59" s="360">
        <v>112.6</v>
      </c>
      <c r="BT59">
        <f>E81-AU81-AW81</f>
        <v>182.76346713163477</v>
      </c>
      <c r="BU59">
        <f t="shared" si="4"/>
        <v>11.26</v>
      </c>
      <c r="CG59" s="7">
        <v>22</v>
      </c>
      <c r="CH59" s="191">
        <f>(1.4326/AM47/10*47482+10^((-1713.3/(273.15+110))+6.694))*0.016*(10^(-7)*110^2-1.1*10^(-3)*110*AN52/29-0.079*(AN52/29)^2+0.73*10^(-3)*110+0.156*AN52/29+0.927)</f>
        <v>7.5346951508065798</v>
      </c>
      <c r="CI59" s="13">
        <v>8.4032666686211684E-3</v>
      </c>
      <c r="CJ59">
        <f t="shared" si="5"/>
        <v>6.2919633958061993</v>
      </c>
    </row>
    <row r="60" spans="1:88">
      <c r="A60" s="344" t="s">
        <v>193</v>
      </c>
      <c r="B60" t="s">
        <v>17</v>
      </c>
      <c r="C60" s="79"/>
      <c r="D60" s="348"/>
      <c r="E60" s="13"/>
      <c r="F60" s="347"/>
      <c r="G60" s="13"/>
      <c r="H60" s="13"/>
      <c r="I60" s="13"/>
      <c r="J60" s="347"/>
      <c r="K60" s="13"/>
      <c r="L60" s="13"/>
      <c r="M60" s="13"/>
      <c r="N60" s="347"/>
      <c r="O60" s="13"/>
      <c r="P60" s="13"/>
      <c r="Q60" s="13"/>
      <c r="R60" s="347"/>
      <c r="S60" s="13"/>
      <c r="T60" s="13"/>
      <c r="U60" s="13"/>
      <c r="V60" s="347"/>
      <c r="W60" s="13"/>
      <c r="X60" s="13"/>
      <c r="Y60" s="13"/>
      <c r="Z60" s="347"/>
      <c r="AA60" s="13"/>
      <c r="AB60" s="13"/>
      <c r="AC60" s="13"/>
      <c r="AD60" s="347"/>
      <c r="AE60" s="13"/>
      <c r="AF60" s="13"/>
      <c r="AG60" s="13"/>
      <c r="AH60" s="347"/>
      <c r="AI60" s="13"/>
      <c r="AJ60" s="13"/>
      <c r="AK60" s="13"/>
      <c r="AL60" s="347"/>
      <c r="AM60" s="13"/>
      <c r="AN60" s="13"/>
      <c r="AO60" s="13"/>
      <c r="AP60" s="347"/>
      <c r="AQ60" s="13"/>
      <c r="AR60" s="13"/>
      <c r="AS60" s="13"/>
      <c r="AT60" s="347"/>
      <c r="AX60" s="347"/>
      <c r="BB60" s="347"/>
      <c r="BF60" s="347"/>
      <c r="BK60" s="360">
        <v>76.8</v>
      </c>
      <c r="BL60" s="7">
        <v>7.68</v>
      </c>
      <c r="BM60" s="1">
        <v>3314.1514258801321</v>
      </c>
      <c r="BN60" s="80">
        <v>0.10746745894508299</v>
      </c>
      <c r="BO60">
        <f t="shared" si="6"/>
        <v>0.11940828771675888</v>
      </c>
      <c r="BS60" s="360">
        <v>76.8</v>
      </c>
      <c r="BT60">
        <f>I81-AY81-BA81</f>
        <v>181.83007844655796</v>
      </c>
      <c r="BU60">
        <f t="shared" si="4"/>
        <v>7.68</v>
      </c>
      <c r="CG60">
        <v>18.419999999999998</v>
      </c>
      <c r="CH60" s="191">
        <f>(1.4326/AQ47/10*47482+10^((-1713.3/(273.15+110))+6.694))*0.016*(10^(-7)*110^2-1.1*10^(-3)*110*AR52/29-0.079*(AR52/29)^2+0.73*10^(-3)*110+0.156*AR52/29+0.927)</f>
        <v>8.4978781395870229</v>
      </c>
      <c r="CI60" s="13">
        <v>9.604596458058369E-3</v>
      </c>
      <c r="CJ60">
        <f t="shared" si="5"/>
        <v>7.1914615742533545</v>
      </c>
    </row>
    <row r="61" spans="1:88" ht="13.5" thickBot="1">
      <c r="A61" s="344" t="s">
        <v>24</v>
      </c>
      <c r="B61" t="s">
        <v>17</v>
      </c>
      <c r="C61" s="79">
        <v>0.78552175361146548</v>
      </c>
      <c r="D61" s="348">
        <v>1.9743408212322977E-5</v>
      </c>
      <c r="E61" s="13"/>
      <c r="F61" s="347"/>
      <c r="G61" s="13">
        <v>0.78507088786972212</v>
      </c>
      <c r="H61" s="13">
        <v>1.7752380571088443E-5</v>
      </c>
      <c r="I61" s="13"/>
      <c r="J61" s="347"/>
      <c r="K61" s="13">
        <v>0.6118524740614234</v>
      </c>
      <c r="L61" s="13">
        <v>0.78862252969792346</v>
      </c>
      <c r="M61" s="13">
        <v>1.7161375520701693E-5</v>
      </c>
      <c r="N61" s="347"/>
      <c r="O61" s="13">
        <v>0.59138169509370597</v>
      </c>
      <c r="P61" s="13">
        <v>0.79303251308639644</v>
      </c>
      <c r="Q61" s="13">
        <v>1.6512960360461366E-5</v>
      </c>
      <c r="R61" s="347"/>
      <c r="S61" s="13">
        <v>0.56885444065451451</v>
      </c>
      <c r="T61" s="13">
        <v>0.79704750625480958</v>
      </c>
      <c r="U61" s="13">
        <v>1.5812231821962651E-5</v>
      </c>
      <c r="V61" s="347"/>
      <c r="W61" s="13">
        <v>0.54469945666746789</v>
      </c>
      <c r="X61" s="13">
        <v>0.80093769442373519</v>
      </c>
      <c r="Y61" s="13">
        <v>1.5051603912690159E-5</v>
      </c>
      <c r="Z61" s="347"/>
      <c r="AA61" s="13">
        <v>0.51810013686919554</v>
      </c>
      <c r="AB61" s="13">
        <v>0.8047918984135578</v>
      </c>
      <c r="AC61" s="13">
        <v>1.4219178165926749E-5</v>
      </c>
      <c r="AD61" s="347"/>
      <c r="AE61" s="13">
        <v>0.48796923172618073</v>
      </c>
      <c r="AF61" s="13">
        <v>0.80864138202035107</v>
      </c>
      <c r="AG61" s="13">
        <v>1.3303534158799996E-5</v>
      </c>
      <c r="AH61" s="347"/>
      <c r="AI61" s="13">
        <v>0.45323348092818494</v>
      </c>
      <c r="AJ61" s="13">
        <v>0.81242725814628369</v>
      </c>
      <c r="AK61" s="13">
        <v>1.2290183921514407E-5</v>
      </c>
      <c r="AL61" s="347"/>
      <c r="AM61" s="13">
        <v>0.41279262682714318</v>
      </c>
      <c r="AN61" s="13">
        <v>0.81593505769712427</v>
      </c>
      <c r="AO61" s="13">
        <v>1.1159868870944185E-5</v>
      </c>
      <c r="AP61" s="347"/>
      <c r="AQ61" s="13">
        <v>0.36566700325984275</v>
      </c>
      <c r="AR61" s="13">
        <v>0.81877835667342236</v>
      </c>
      <c r="AS61" s="13">
        <v>9.8900587022287403E-6</v>
      </c>
      <c r="AT61" s="347"/>
      <c r="AU61">
        <v>0.24791157572993547</v>
      </c>
      <c r="AV61">
        <v>0.81899717520595416</v>
      </c>
      <c r="AW61">
        <v>6.8014293985666285E-6</v>
      </c>
      <c r="AX61" s="347"/>
      <c r="AY61">
        <v>0.17617281160521445</v>
      </c>
      <c r="AZ61">
        <v>0.81191300371885267</v>
      </c>
      <c r="BA61">
        <v>4.9053919633717901E-6</v>
      </c>
      <c r="BB61" s="347"/>
      <c r="BC61">
        <v>9.5864165973845797E-2</v>
      </c>
      <c r="BD61">
        <v>0.78896499950796695</v>
      </c>
      <c r="BE61">
        <v>2.7205392470321303E-6</v>
      </c>
      <c r="BF61" s="347"/>
      <c r="BG61">
        <v>1.9218340684825802E-3</v>
      </c>
      <c r="BH61">
        <v>0.12409212539515989</v>
      </c>
      <c r="BK61" s="360">
        <v>41</v>
      </c>
      <c r="BL61" s="7">
        <v>4.0999999999999996</v>
      </c>
      <c r="BM61" s="124">
        <v>3047.5174283717647</v>
      </c>
      <c r="BN61" s="80">
        <v>9.9509391927611809E-2</v>
      </c>
      <c r="BO61">
        <f t="shared" si="6"/>
        <v>0.11056599103067978</v>
      </c>
      <c r="BS61" s="360">
        <v>41</v>
      </c>
      <c r="BT61">
        <f>E81-BC81-BE81</f>
        <v>184.63813026727539</v>
      </c>
      <c r="BU61">
        <f t="shared" si="4"/>
        <v>4.0999999999999996</v>
      </c>
      <c r="CG61">
        <v>11.26</v>
      </c>
      <c r="CH61" s="191">
        <f>(1.4326/AU47/10*47482+10^((-1713.3/(273.15+110))+6.694))*0.016*(10^(-7)*110^2-1.1*10^(-3)*110*AV52/29-0.079*(AV52/29)^2+0.73*10^(-3)*110+0.156*AV52/29+0.927)</f>
        <v>12.24165337363457</v>
      </c>
      <c r="CI61">
        <v>1.4001823198292617E-2</v>
      </c>
      <c r="CJ61">
        <f t="shared" si="5"/>
        <v>10.483894241650047</v>
      </c>
    </row>
    <row r="62" spans="1:88" ht="14.25" thickTop="1" thickBot="1">
      <c r="A62" s="344" t="s">
        <v>4</v>
      </c>
      <c r="B62" t="s">
        <v>17</v>
      </c>
      <c r="C62" s="79">
        <v>7.6507687825042511E-2</v>
      </c>
      <c r="D62" s="348">
        <v>1.2433405620695159E-4</v>
      </c>
      <c r="E62" s="13"/>
      <c r="F62" s="347"/>
      <c r="G62" s="13">
        <v>7.646700350170163E-2</v>
      </c>
      <c r="H62" s="13">
        <v>1.1765149645494095E-4</v>
      </c>
      <c r="I62" s="13"/>
      <c r="J62" s="347"/>
      <c r="K62" s="13">
        <v>7.7289856050063985E-2</v>
      </c>
      <c r="L62" s="13">
        <v>7.6431973442508461E-2</v>
      </c>
      <c r="M62" s="13">
        <v>1.1621857570104842E-4</v>
      </c>
      <c r="N62" s="347"/>
      <c r="O62" s="13">
        <v>7.7091828588770922E-2</v>
      </c>
      <c r="P62" s="13">
        <v>7.6397055994897156E-2</v>
      </c>
      <c r="Q62" s="13">
        <v>1.1480329237080246E-4</v>
      </c>
      <c r="R62" s="347"/>
      <c r="S62" s="13">
        <v>7.6770599002831799E-2</v>
      </c>
      <c r="T62" s="13">
        <v>7.6378914887466134E-2</v>
      </c>
      <c r="U62" s="13">
        <v>1.1323565278485416E-4</v>
      </c>
      <c r="V62" s="347"/>
      <c r="W62" s="13">
        <v>7.6351624381331529E-2</v>
      </c>
      <c r="X62" s="13">
        <v>7.6375845562195468E-2</v>
      </c>
      <c r="Y62" s="13">
        <v>1.1150140030954756E-4</v>
      </c>
      <c r="Z62" s="347"/>
      <c r="AA62" s="13">
        <v>7.5788920310660923E-2</v>
      </c>
      <c r="AB62" s="13">
        <v>7.6388487522774065E-2</v>
      </c>
      <c r="AC62" s="13">
        <v>1.0954273441007784E-4</v>
      </c>
      <c r="AD62" s="347"/>
      <c r="AE62" s="13">
        <v>7.4993960665735757E-2</v>
      </c>
      <c r="AF62" s="13">
        <v>7.6425448708212496E-2</v>
      </c>
      <c r="AG62" s="13">
        <v>1.0729045385347978E-4</v>
      </c>
      <c r="AH62" s="347"/>
      <c r="AI62" s="13">
        <v>7.3825495714062508E-2</v>
      </c>
      <c r="AJ62" s="13">
        <v>7.6501741804567577E-2</v>
      </c>
      <c r="AK62" s="13">
        <v>1.0460839980236E-4</v>
      </c>
      <c r="AL62" s="347"/>
      <c r="AM62" s="13">
        <v>7.204750916214081E-2</v>
      </c>
      <c r="AN62" s="13">
        <v>7.6641203512091818E-2</v>
      </c>
      <c r="AO62" s="13">
        <v>1.012332584494096E-4</v>
      </c>
      <c r="AP62" s="347"/>
      <c r="AQ62" s="13">
        <v>6.92778169383238E-2</v>
      </c>
      <c r="AR62" s="13">
        <v>7.6885189337979679E-2</v>
      </c>
      <c r="AS62" s="13">
        <v>9.6705842352008204E-5</v>
      </c>
      <c r="AT62" s="347"/>
      <c r="AU62">
        <v>5.7858973920366527E-2</v>
      </c>
      <c r="AV62">
        <v>7.7807168057946643E-2</v>
      </c>
      <c r="AW62">
        <v>8.0326574525738158E-5</v>
      </c>
      <c r="AX62" s="347"/>
      <c r="AY62">
        <v>4.7007329929026641E-2</v>
      </c>
      <c r="AZ62">
        <v>7.8806952828659946E-2</v>
      </c>
      <c r="BA62">
        <v>6.5394232220492623E-5</v>
      </c>
      <c r="BB62" s="347"/>
      <c r="BC62">
        <v>3.0093239049598965E-2</v>
      </c>
      <c r="BD62">
        <v>7.9917656558708264E-2</v>
      </c>
      <c r="BE62">
        <v>4.2030017633002001E-5</v>
      </c>
      <c r="BF62" s="347"/>
      <c r="BG62">
        <v>6.9376043121555054E-4</v>
      </c>
      <c r="BH62">
        <v>1.392633158899121E-2</v>
      </c>
      <c r="BK62" s="360">
        <v>5.2</v>
      </c>
      <c r="BL62" s="7">
        <f>BK62/10</f>
        <v>0.52</v>
      </c>
      <c r="BM62" s="9"/>
      <c r="BN62" s="253"/>
      <c r="BS62" s="360">
        <v>5.2</v>
      </c>
      <c r="CG62">
        <v>7.68</v>
      </c>
      <c r="CH62" s="191">
        <f>(1.4326/AY47/10*47482+10^((-1713.3/(273.15+110))+6.694))*0.016*(10^(-7)*110^2-1.1*10^(-3)*110*AZ52/29-0.079*(AZ52/29)^2+0.73*10^(-3)*110+0.156*AZ52/29+0.927)</f>
        <v>16.714928369689776</v>
      </c>
      <c r="CI62">
        <v>1.915719826252665E-2</v>
      </c>
      <c r="CJ62">
        <f t="shared" si="5"/>
        <v>14.343992043489173</v>
      </c>
    </row>
    <row r="63" spans="1:88" ht="13.5" thickTop="1">
      <c r="A63" s="344" t="s">
        <v>5</v>
      </c>
      <c r="B63" t="s">
        <v>17</v>
      </c>
      <c r="C63" s="79">
        <v>4.0436602780996589E-2</v>
      </c>
      <c r="D63" s="348">
        <v>1.1084558399033734E-5</v>
      </c>
      <c r="E63" s="13"/>
      <c r="F63" s="347"/>
      <c r="G63" s="13">
        <v>4.0413372152726036E-2</v>
      </c>
      <c r="H63" s="13">
        <v>1.1037600912378743E-5</v>
      </c>
      <c r="I63" s="13"/>
      <c r="J63" s="347"/>
      <c r="K63" s="13">
        <v>4.7827082477938807E-2</v>
      </c>
      <c r="L63" s="13">
        <v>4.0243835558190034E-2</v>
      </c>
      <c r="M63" s="13">
        <v>1.110822874154362E-5</v>
      </c>
      <c r="N63" s="347"/>
      <c r="O63" s="13">
        <v>4.8677869181240625E-2</v>
      </c>
      <c r="P63" s="13">
        <v>4.0030450445372151E-2</v>
      </c>
      <c r="Q63" s="13">
        <v>1.121419957176653E-5</v>
      </c>
      <c r="R63" s="347"/>
      <c r="S63" s="13">
        <v>4.9582851349009957E-2</v>
      </c>
      <c r="T63" s="13">
        <v>3.9834199831954582E-2</v>
      </c>
      <c r="U63" s="13">
        <v>1.1332542186354694E-5</v>
      </c>
      <c r="V63" s="347"/>
      <c r="W63" s="13">
        <v>5.0572956582633527E-2</v>
      </c>
      <c r="X63" s="13">
        <v>3.9640520207262595E-2</v>
      </c>
      <c r="Y63" s="13">
        <v>1.1468967545426429E-5</v>
      </c>
      <c r="Z63" s="347"/>
      <c r="AA63" s="13">
        <v>5.1671143749743055E-2</v>
      </c>
      <c r="AB63" s="13">
        <v>3.944228065758229E-2</v>
      </c>
      <c r="AC63" s="13">
        <v>1.1625228152055692E-5</v>
      </c>
      <c r="AD63" s="347"/>
      <c r="AE63" s="13">
        <v>5.2886274475481179E-2</v>
      </c>
      <c r="AF63" s="13">
        <v>3.9240293375995876E-2</v>
      </c>
      <c r="AG63" s="13">
        <v>1.1804841559124364E-5</v>
      </c>
      <c r="AH63" s="347"/>
      <c r="AI63" s="13">
        <v>5.4191024128997407E-2</v>
      </c>
      <c r="AJ63" s="13">
        <v>3.904364866422548E-2</v>
      </c>
      <c r="AK63" s="13">
        <v>1.2005014748964309E-5</v>
      </c>
      <c r="AL63" s="347"/>
      <c r="AM63" s="13">
        <v>5.5480410304281427E-2</v>
      </c>
      <c r="AN63" s="13">
        <v>3.8876105302482498E-2</v>
      </c>
      <c r="AO63" s="13">
        <v>1.2207362052651904E-5</v>
      </c>
      <c r="AP63" s="347"/>
      <c r="AQ63" s="13">
        <v>5.6494881866632506E-2</v>
      </c>
      <c r="AR63" s="13">
        <v>3.8789242807536359E-2</v>
      </c>
      <c r="AS63" s="13">
        <v>1.2363402786089992E-5</v>
      </c>
      <c r="AT63" s="347"/>
      <c r="AU63">
        <v>5.4911602646586177E-2</v>
      </c>
      <c r="AV63">
        <v>3.9233378966877258E-2</v>
      </c>
      <c r="AW63">
        <v>1.1964367536285934E-5</v>
      </c>
      <c r="AX63" s="347"/>
      <c r="AY63">
        <v>4.9533154954794469E-2</v>
      </c>
      <c r="AZ63">
        <v>4.0399747798828899E-2</v>
      </c>
      <c r="BA63">
        <v>1.0816369439922227E-5</v>
      </c>
      <c r="BB63" s="347"/>
      <c r="BC63">
        <v>3.6573768465936997E-2</v>
      </c>
      <c r="BD63">
        <v>4.2981526645093603E-2</v>
      </c>
      <c r="BE63">
        <v>8.0266506903091639E-6</v>
      </c>
      <c r="BF63" s="347"/>
      <c r="BG63">
        <v>1.1017882916522649E-3</v>
      </c>
      <c r="BH63">
        <v>8.7935084749552212E-3</v>
      </c>
      <c r="CG63">
        <v>4.0999999999999996</v>
      </c>
      <c r="CH63" s="191">
        <f>(1.4326/BC47/10*47482+10^((-1713.3/(273.15+110))+6.694))*0.016*(10^(-7)*110^2-1.1*10^(-3)*110*BD52/29-0.079*(BD52/29)^2+0.73*10^(-3)*110+0.156*BD52/29+0.927)</f>
        <v>28.963707275459608</v>
      </c>
      <c r="CI63">
        <v>3.3312925463008236E-2</v>
      </c>
      <c r="CJ63">
        <f t="shared" si="5"/>
        <v>24.943122226878049</v>
      </c>
    </row>
    <row r="64" spans="1:88">
      <c r="A64" s="344" t="s">
        <v>6</v>
      </c>
      <c r="B64" t="s">
        <v>17</v>
      </c>
      <c r="C64" s="79">
        <v>9.3907771685663201E-3</v>
      </c>
      <c r="D64" s="348">
        <v>2.2351150021434699E-7</v>
      </c>
      <c r="E64" s="13"/>
      <c r="F64" s="347"/>
      <c r="G64" s="13">
        <v>9.3853720564674985E-3</v>
      </c>
      <c r="H64" s="13">
        <v>2.3069540479183506E-7</v>
      </c>
      <c r="I64" s="13"/>
      <c r="J64" s="347"/>
      <c r="K64" s="13">
        <v>1.2315164412671997E-2</v>
      </c>
      <c r="L64" s="13">
        <v>9.3199429301029073E-3</v>
      </c>
      <c r="M64" s="13">
        <v>2.3514795344766289E-7</v>
      </c>
      <c r="N64" s="347"/>
      <c r="O64" s="13">
        <v>1.2686736624686066E-2</v>
      </c>
      <c r="P64" s="13">
        <v>9.2363642230039143E-3</v>
      </c>
      <c r="Q64" s="13">
        <v>2.4089424393729645E-7</v>
      </c>
      <c r="R64" s="347"/>
      <c r="S64" s="13">
        <v>1.3097748587690031E-2</v>
      </c>
      <c r="T64" s="13">
        <v>9.1575578445696436E-3</v>
      </c>
      <c r="U64" s="13">
        <v>2.4741271380685898E-7</v>
      </c>
      <c r="V64" s="347"/>
      <c r="W64" s="13">
        <v>1.3561722282859345E-2</v>
      </c>
      <c r="X64" s="13">
        <v>9.0773812565781674E-3</v>
      </c>
      <c r="Y64" s="13">
        <v>2.5498333122148242E-7</v>
      </c>
      <c r="Z64" s="347"/>
      <c r="AA64" s="13">
        <v>1.4096981884828148E-2</v>
      </c>
      <c r="AB64" s="13">
        <v>8.992267704479074E-3</v>
      </c>
      <c r="AC64" s="13">
        <v>2.6382631944983896E-7</v>
      </c>
      <c r="AD64" s="347"/>
      <c r="AE64" s="13">
        <v>1.472282420635096E-2</v>
      </c>
      <c r="AF64" s="13">
        <v>8.9007857459705575E-3</v>
      </c>
      <c r="AG64" s="13">
        <v>2.7430027111635421E-7</v>
      </c>
      <c r="AH64" s="347"/>
      <c r="AI64" s="13">
        <v>1.5452532795614015E-2</v>
      </c>
      <c r="AJ64" s="13">
        <v>8.8037850714039485E-3</v>
      </c>
      <c r="AK64" s="13">
        <v>2.8670337139434031E-7</v>
      </c>
      <c r="AL64" s="347"/>
      <c r="AM64" s="13">
        <v>1.6281954685284952E-2</v>
      </c>
      <c r="AN64" s="13">
        <v>8.7066266129985255E-3</v>
      </c>
      <c r="AO64" s="13">
        <v>3.0105618727782925E-7</v>
      </c>
      <c r="AP64" s="347"/>
      <c r="AQ64" s="13">
        <v>1.7163531592057812E-2</v>
      </c>
      <c r="AR64" s="13">
        <v>8.6237404872330121E-3</v>
      </c>
      <c r="AS64" s="13">
        <v>3.1671287745724606E-7</v>
      </c>
      <c r="AT64" s="347"/>
      <c r="AU64">
        <v>1.8339005610166787E-2</v>
      </c>
      <c r="AV64">
        <v>8.6396118110338427E-3</v>
      </c>
      <c r="AW64">
        <v>3.3951166595766933E-7</v>
      </c>
      <c r="AX64" s="347"/>
      <c r="AY64">
        <v>1.7723926876543894E-2</v>
      </c>
      <c r="AZ64">
        <v>8.9616445578621917E-3</v>
      </c>
      <c r="BA64">
        <v>3.3039599003423342E-7</v>
      </c>
      <c r="BB64" s="347"/>
      <c r="BC64">
        <v>1.4528203222212524E-2</v>
      </c>
      <c r="BD64">
        <v>9.8966312825120133E-3</v>
      </c>
      <c r="BE64">
        <v>2.7402966873586632E-7</v>
      </c>
      <c r="BF64" s="347"/>
      <c r="BG64">
        <v>5.6323805744368683E-4</v>
      </c>
      <c r="BH64">
        <v>2.4145762644781216E-3</v>
      </c>
    </row>
    <row r="65" spans="1:79">
      <c r="A65" s="344" t="s">
        <v>7</v>
      </c>
      <c r="B65" t="s">
        <v>17</v>
      </c>
      <c r="C65" s="79">
        <v>1.304561868370468E-2</v>
      </c>
      <c r="D65" s="348">
        <v>3.2424041534366818E-7</v>
      </c>
      <c r="E65" s="13"/>
      <c r="F65" s="347"/>
      <c r="G65" s="13">
        <v>1.3038107503282907E-2</v>
      </c>
      <c r="H65" s="13">
        <v>3.3922233812845318E-7</v>
      </c>
      <c r="I65" s="13"/>
      <c r="J65" s="347"/>
      <c r="K65" s="13">
        <v>1.7848404420375791E-2</v>
      </c>
      <c r="L65" s="13">
        <v>1.2931242690035484E-2</v>
      </c>
      <c r="M65" s="13">
        <v>3.4736098422292788E-7</v>
      </c>
      <c r="N65" s="347"/>
      <c r="O65" s="13">
        <v>1.8491123143184744E-2</v>
      </c>
      <c r="P65" s="13">
        <v>1.2793401486224178E-2</v>
      </c>
      <c r="Q65" s="13">
        <v>3.5772307681243863E-7</v>
      </c>
      <c r="R65" s="347"/>
      <c r="S65" s="13">
        <v>1.9210658960234724E-2</v>
      </c>
      <c r="T65" s="13">
        <v>1.2661693419050175E-2</v>
      </c>
      <c r="U65" s="13">
        <v>3.6955227660859436E-7</v>
      </c>
      <c r="V65" s="347"/>
      <c r="W65" s="13">
        <v>2.0028497694361404E-2</v>
      </c>
      <c r="X65" s="13">
        <v>1.2525981323863043E-2</v>
      </c>
      <c r="Y65" s="13">
        <v>3.8334519874529185E-7</v>
      </c>
      <c r="Z65" s="347"/>
      <c r="AA65" s="13">
        <v>2.0978551797523101E-2</v>
      </c>
      <c r="AB65" s="13">
        <v>1.2380135465848542E-2</v>
      </c>
      <c r="AC65" s="13">
        <v>3.995321831777656E-7</v>
      </c>
      <c r="AD65" s="347"/>
      <c r="AE65" s="13">
        <v>2.2099152979877808E-2</v>
      </c>
      <c r="AF65" s="13">
        <v>1.2221145106467554E-2</v>
      </c>
      <c r="AG65" s="13">
        <v>4.1878268896935002E-7</v>
      </c>
      <c r="AH65" s="347"/>
      <c r="AI65" s="13">
        <v>2.3421733798860849E-2</v>
      </c>
      <c r="AJ65" s="13">
        <v>1.2049439217956334E-2</v>
      </c>
      <c r="AK65" s="13">
        <v>4.4170835475172783E-7</v>
      </c>
      <c r="AL65" s="347"/>
      <c r="AM65" s="13">
        <v>2.4953889777605973E-2</v>
      </c>
      <c r="AN65" s="13">
        <v>1.1872505430104664E-2</v>
      </c>
      <c r="AO65" s="13">
        <v>4.6853337543423588E-7</v>
      </c>
      <c r="AP65" s="347"/>
      <c r="AQ65" s="13">
        <v>2.6638736224228399E-2</v>
      </c>
      <c r="AR65" s="13">
        <v>1.171213936813602E-2</v>
      </c>
      <c r="AS65" s="13">
        <v>4.9848911957394285E-7</v>
      </c>
      <c r="AT65" s="347"/>
      <c r="AU65">
        <v>2.9401537125110486E-2</v>
      </c>
      <c r="AV65">
        <v>1.1666029052739559E-2</v>
      </c>
      <c r="AW65">
        <v>5.4980166606467056E-7</v>
      </c>
      <c r="AX65" s="347"/>
      <c r="AY65">
        <v>2.9089128291575218E-2</v>
      </c>
      <c r="AZ65">
        <v>1.2132496475261873E-2</v>
      </c>
      <c r="BA65">
        <v>5.4627489576990959E-7</v>
      </c>
      <c r="BB65" s="347"/>
      <c r="BC65">
        <v>2.4764191834968752E-2</v>
      </c>
      <c r="BD65">
        <v>1.3620744819963643E-2</v>
      </c>
      <c r="BE65">
        <v>4.6911314229507945E-7</v>
      </c>
      <c r="BF65" s="347"/>
      <c r="BG65">
        <v>1.0738036748624731E-3</v>
      </c>
      <c r="BH65">
        <v>3.6268889904023946E-3</v>
      </c>
      <c r="BV65" t="s">
        <v>241</v>
      </c>
    </row>
    <row r="66" spans="1:79">
      <c r="A66" s="344" t="s">
        <v>8</v>
      </c>
      <c r="B66" t="s">
        <v>17</v>
      </c>
      <c r="C66" s="79">
        <v>4.5329552727217202E-3</v>
      </c>
      <c r="D66" s="348">
        <v>5.3469457529155376E-8</v>
      </c>
      <c r="E66" s="13"/>
      <c r="F66" s="347"/>
      <c r="G66" s="13">
        <v>4.5303457626358831E-3</v>
      </c>
      <c r="H66" s="13">
        <v>5.7790877685670731E-8</v>
      </c>
      <c r="I66" s="13"/>
      <c r="J66" s="347"/>
      <c r="K66" s="13">
        <v>7.2465780181932039E-3</v>
      </c>
      <c r="L66" s="13">
        <v>4.4706734882439241E-3</v>
      </c>
      <c r="M66" s="13">
        <v>5.9851528816646071E-8</v>
      </c>
      <c r="N66" s="347"/>
      <c r="O66" s="13">
        <v>7.6203873708422468E-3</v>
      </c>
      <c r="P66" s="13">
        <v>4.3933442441758458E-3</v>
      </c>
      <c r="Q66" s="13">
        <v>6.2432384828553126E-8</v>
      </c>
      <c r="R66" s="347"/>
      <c r="S66" s="13">
        <v>8.0455784764425792E-3</v>
      </c>
      <c r="T66" s="13">
        <v>4.3187406458583414E-3</v>
      </c>
      <c r="U66" s="13">
        <v>6.5411157891343348E-8</v>
      </c>
      <c r="V66" s="347"/>
      <c r="W66" s="13">
        <v>8.5334979955854016E-3</v>
      </c>
      <c r="X66" s="13">
        <v>4.2410151969681387E-3</v>
      </c>
      <c r="Y66" s="13">
        <v>6.8917404025789682E-8</v>
      </c>
      <c r="Z66" s="347"/>
      <c r="AA66" s="13">
        <v>9.1077225898358802E-3</v>
      </c>
      <c r="AB66" s="13">
        <v>4.1563526425807042E-3</v>
      </c>
      <c r="AC66" s="13">
        <v>7.3079981975502025E-8</v>
      </c>
      <c r="AD66" s="347"/>
      <c r="AE66" s="13">
        <v>9.7981119312196743E-3</v>
      </c>
      <c r="AF66" s="13">
        <v>4.0621412168095764E-3</v>
      </c>
      <c r="AG66" s="13">
        <v>7.8097169753597278E-8</v>
      </c>
      <c r="AH66" s="347"/>
      <c r="AI66" s="13">
        <v>1.0635525944567258E-2</v>
      </c>
      <c r="AJ66" s="13">
        <v>3.9570803560913205E-3</v>
      </c>
      <c r="AK66" s="13">
        <v>8.4185137060248583E-8</v>
      </c>
      <c r="AL66" s="347"/>
      <c r="AM66" s="13">
        <v>1.1645980534511661E-2</v>
      </c>
      <c r="AN66" s="13">
        <v>3.8428728231532177E-3</v>
      </c>
      <c r="AO66" s="13">
        <v>9.1523857669550445E-8</v>
      </c>
      <c r="AP66" s="347"/>
      <c r="AQ66" s="13">
        <v>1.2833227342479507E-2</v>
      </c>
      <c r="AR66" s="13">
        <v>3.7275160511986457E-3</v>
      </c>
      <c r="AS66" s="13">
        <v>1.0015921078858111E-7</v>
      </c>
      <c r="AT66" s="347"/>
      <c r="AU66">
        <v>1.5453507352007909E-2</v>
      </c>
      <c r="AV66">
        <v>3.5971833681761505E-3</v>
      </c>
      <c r="AW66">
        <v>1.1921039655015465E-7</v>
      </c>
      <c r="AX66" s="347"/>
      <c r="AY66">
        <v>1.6357250404460174E-2</v>
      </c>
      <c r="AZ66">
        <v>3.7332002269985071E-3</v>
      </c>
      <c r="BA66">
        <v>1.2576943125592364E-7</v>
      </c>
      <c r="BB66" s="347"/>
      <c r="BC66">
        <v>1.5676620020838149E-2</v>
      </c>
      <c r="BD66">
        <v>4.3747226329582519E-3</v>
      </c>
      <c r="BE66">
        <v>1.2016248454871331E-7</v>
      </c>
      <c r="BF66" s="347"/>
      <c r="BG66">
        <v>1.0209762528724628E-3</v>
      </c>
      <c r="BH66">
        <v>1.6504384315884418E-3</v>
      </c>
    </row>
    <row r="67" spans="1:79">
      <c r="A67" s="344" t="s">
        <v>9</v>
      </c>
      <c r="B67" t="s">
        <v>17</v>
      </c>
      <c r="C67" s="79">
        <v>4.2877701534932361E-3</v>
      </c>
      <c r="D67" s="348">
        <v>4.82889180593554E-8</v>
      </c>
      <c r="E67" s="13"/>
      <c r="F67" s="347"/>
      <c r="G67" s="13">
        <v>4.285301634592154E-3</v>
      </c>
      <c r="H67" s="13">
        <v>5.2694003865286388E-8</v>
      </c>
      <c r="I67" s="13"/>
      <c r="J67" s="347"/>
      <c r="K67" s="13">
        <v>6.7636968966109118E-3</v>
      </c>
      <c r="L67" s="13">
        <v>4.2308183859155529E-3</v>
      </c>
      <c r="M67" s="13">
        <v>5.4749637234796207E-8</v>
      </c>
      <c r="N67" s="347"/>
      <c r="O67" s="13">
        <v>7.122909340728339E-3</v>
      </c>
      <c r="P67" s="13">
        <v>4.1594073927642269E-3</v>
      </c>
      <c r="Q67" s="13">
        <v>5.7325532701029252E-8</v>
      </c>
      <c r="R67" s="347"/>
      <c r="S67" s="13">
        <v>7.5350635450197661E-3</v>
      </c>
      <c r="T67" s="13">
        <v>4.089524612522424E-3</v>
      </c>
      <c r="U67" s="13">
        <v>6.0316508531743831E-8</v>
      </c>
      <c r="V67" s="347"/>
      <c r="W67" s="13">
        <v>8.0129525855200581E-3</v>
      </c>
      <c r="X67" s="13">
        <v>4.0156107593278543E-3</v>
      </c>
      <c r="Y67" s="13">
        <v>6.3857695898822071E-8</v>
      </c>
      <c r="Z67" s="347"/>
      <c r="AA67" s="13">
        <v>8.5806153222534494E-3</v>
      </c>
      <c r="AB67" s="13">
        <v>3.9338523562774163E-3</v>
      </c>
      <c r="AC67" s="13">
        <v>6.8089011267743537E-8</v>
      </c>
      <c r="AD67" s="347"/>
      <c r="AE67" s="13">
        <v>9.2686430341213967E-3</v>
      </c>
      <c r="AF67" s="13">
        <v>3.8414493735951603E-3</v>
      </c>
      <c r="AG67" s="13">
        <v>7.3221581843122548E-8</v>
      </c>
      <c r="AH67" s="347"/>
      <c r="AI67" s="13">
        <v>1.0109482890801502E-2</v>
      </c>
      <c r="AJ67" s="13">
        <v>3.7367332569431541E-3</v>
      </c>
      <c r="AK67" s="13">
        <v>7.9491081857845121E-8</v>
      </c>
      <c r="AL67" s="347"/>
      <c r="AM67" s="13">
        <v>1.1131701282180726E-2</v>
      </c>
      <c r="AN67" s="13">
        <v>3.6208401997872026E-3</v>
      </c>
      <c r="AO67" s="13">
        <v>8.7106019430955648E-8</v>
      </c>
      <c r="AP67" s="347"/>
      <c r="AQ67" s="13">
        <v>1.2342916746783191E-2</v>
      </c>
      <c r="AR67" s="13">
        <v>3.5009826996109179E-3</v>
      </c>
      <c r="AS67" s="13">
        <v>9.6151002931110595E-8</v>
      </c>
      <c r="AT67" s="347"/>
      <c r="AU67">
        <v>1.5085084719624588E-2</v>
      </c>
      <c r="AV67">
        <v>3.3499844392775205E-3</v>
      </c>
      <c r="AW67">
        <v>1.1674523669853227E-7</v>
      </c>
      <c r="AX67" s="347"/>
      <c r="AY67">
        <v>1.6113565152520274E-2</v>
      </c>
      <c r="AZ67">
        <v>3.4617720571265245E-3</v>
      </c>
      <c r="BA67">
        <v>1.2463032594065551E-7</v>
      </c>
      <c r="BB67" s="347"/>
      <c r="BC67">
        <v>1.5667428028477898E-2</v>
      </c>
      <c r="BD67">
        <v>4.0580890015226873E-3</v>
      </c>
      <c r="BE67">
        <v>1.211360029739663E-7</v>
      </c>
      <c r="BF67" s="347"/>
      <c r="BG67">
        <v>1.0822435053159216E-3</v>
      </c>
      <c r="BH67">
        <v>1.6005901034999923E-3</v>
      </c>
      <c r="BV67">
        <v>654</v>
      </c>
      <c r="BW67">
        <v>0</v>
      </c>
      <c r="BY67">
        <f>BV67/10</f>
        <v>65.400000000000006</v>
      </c>
      <c r="BZ67">
        <v>0</v>
      </c>
      <c r="CA67">
        <v>0</v>
      </c>
    </row>
    <row r="68" spans="1:79">
      <c r="A68" s="344" t="s">
        <v>10</v>
      </c>
      <c r="B68" t="s">
        <v>17</v>
      </c>
      <c r="C68" s="79">
        <v>5.2316551500159285E-3</v>
      </c>
      <c r="D68" s="348">
        <v>2.320347530407903E-8</v>
      </c>
      <c r="E68" s="13"/>
      <c r="F68" s="347"/>
      <c r="G68" s="13">
        <v>5.2286442555612676E-3</v>
      </c>
      <c r="H68" s="13">
        <v>2.6420077599374115E-8</v>
      </c>
      <c r="I68" s="13"/>
      <c r="J68" s="347"/>
      <c r="K68" s="13">
        <v>9.2033907797379085E-3</v>
      </c>
      <c r="L68" s="13">
        <v>5.1416561173367866E-3</v>
      </c>
      <c r="M68" s="13">
        <v>2.7848733744431076E-8</v>
      </c>
      <c r="N68" s="347"/>
      <c r="O68" s="13">
        <v>9.8223030462845102E-3</v>
      </c>
      <c r="P68" s="13">
        <v>5.0258136006586804E-3</v>
      </c>
      <c r="Q68" s="13">
        <v>2.9636357736328636E-8</v>
      </c>
      <c r="R68" s="347"/>
      <c r="S68" s="13">
        <v>1.0545782886653697E-2</v>
      </c>
      <c r="T68" s="13">
        <v>4.9099027626216723E-3</v>
      </c>
      <c r="U68" s="13">
        <v>3.1744488961386001E-8</v>
      </c>
      <c r="V68" s="347"/>
      <c r="W68" s="13">
        <v>1.1399227184217521E-2</v>
      </c>
      <c r="X68" s="13">
        <v>4.7843444128683067E-3</v>
      </c>
      <c r="Y68" s="13">
        <v>3.4277589754401069E-8</v>
      </c>
      <c r="Z68" s="347"/>
      <c r="AA68" s="13">
        <v>1.2430714601619656E-2</v>
      </c>
      <c r="AB68" s="13">
        <v>4.6419145217596143E-3</v>
      </c>
      <c r="AC68" s="13">
        <v>3.735220367067823E-8</v>
      </c>
      <c r="AD68" s="347"/>
      <c r="AE68" s="13">
        <v>1.3703690238705704E-2</v>
      </c>
      <c r="AF68" s="13">
        <v>4.4763745672088935E-3</v>
      </c>
      <c r="AG68" s="13">
        <v>4.1141532927348335E-8</v>
      </c>
      <c r="AH68" s="347"/>
      <c r="AI68" s="13">
        <v>1.5289966106859947E-2</v>
      </c>
      <c r="AJ68" s="13">
        <v>4.2827005662582482E-3</v>
      </c>
      <c r="AK68" s="13">
        <v>4.5850220056923222E-8</v>
      </c>
      <c r="AL68" s="347"/>
      <c r="AM68" s="13">
        <v>1.7262244614695697E-2</v>
      </c>
      <c r="AN68" s="13">
        <v>4.0598294064278307E-3</v>
      </c>
      <c r="AO68" s="13">
        <v>5.168710787353227E-8</v>
      </c>
      <c r="AP68" s="347"/>
      <c r="AQ68" s="13">
        <v>1.9669062175249153E-2</v>
      </c>
      <c r="AR68" s="13">
        <v>3.815832849510324E-3</v>
      </c>
      <c r="AS68" s="13">
        <v>5.881600907634596E-8</v>
      </c>
      <c r="AT68" s="347"/>
      <c r="AU68">
        <v>2.5765377758717265E-2</v>
      </c>
      <c r="AV68">
        <v>3.4075203130207272E-3</v>
      </c>
      <c r="AW68">
        <v>7.6993554313209508E-8</v>
      </c>
      <c r="AX68" s="347"/>
      <c r="AY68">
        <v>2.8967751509845516E-2</v>
      </c>
      <c r="AZ68">
        <v>3.4144268833347863E-3</v>
      </c>
      <c r="BA68">
        <v>8.6757171853689977E-8</v>
      </c>
      <c r="BB68" s="347"/>
      <c r="BC68">
        <v>3.1034655132592601E-2</v>
      </c>
      <c r="BD68">
        <v>4.0335251197105145E-3</v>
      </c>
      <c r="BE68">
        <v>9.319892550632283E-8</v>
      </c>
      <c r="BF68" s="347"/>
      <c r="BG68">
        <v>3.717483622295353E-3</v>
      </c>
      <c r="BH68">
        <v>2.5221386526025399E-3</v>
      </c>
      <c r="BV68" s="328">
        <v>506.4</v>
      </c>
      <c r="BW68">
        <f>G81-K81-L81-M81</f>
        <v>43.438335303218054</v>
      </c>
      <c r="BY68">
        <f>BV68/10</f>
        <v>50.64</v>
      </c>
      <c r="BZ68">
        <f>G83*(G50+H50-K50-L50-M50)/0.67</f>
        <v>37.266343075057556</v>
      </c>
      <c r="CA68">
        <f t="shared" ref="CA68:CA80" si="7">BZ68/$C$40*100</f>
        <v>8.6595551174854535</v>
      </c>
    </row>
    <row r="69" spans="1:79">
      <c r="A69" s="344" t="s">
        <v>35</v>
      </c>
      <c r="B69" t="s">
        <v>17</v>
      </c>
      <c r="C69" s="79">
        <v>7.4194055048137824E-3</v>
      </c>
      <c r="D69" s="348">
        <v>2.5655811372782672E-8</v>
      </c>
      <c r="E69" s="13"/>
      <c r="F69" s="347"/>
      <c r="G69" s="13">
        <v>7.4151354697046049E-3</v>
      </c>
      <c r="H69" s="13">
        <v>3.0328437327405375E-8</v>
      </c>
      <c r="I69" s="13"/>
      <c r="J69" s="347"/>
      <c r="K69" s="13">
        <v>1.4898487818554677E-2</v>
      </c>
      <c r="L69" s="13">
        <v>7.2519356158391758E-3</v>
      </c>
      <c r="M69" s="13">
        <v>3.2346413859282493E-8</v>
      </c>
      <c r="N69" s="347"/>
      <c r="O69" s="13">
        <v>1.6110345349773438E-2</v>
      </c>
      <c r="P69" s="13">
        <v>7.0326240550731963E-3</v>
      </c>
      <c r="Q69" s="13">
        <v>3.4863459248851037E-8</v>
      </c>
      <c r="R69" s="347"/>
      <c r="S69" s="13">
        <v>1.7541223755996378E-2</v>
      </c>
      <c r="T69" s="13">
        <v>6.8104185741895886E-3</v>
      </c>
      <c r="U69" s="13">
        <v>3.7856648710046722E-8</v>
      </c>
      <c r="V69" s="347"/>
      <c r="W69" s="13">
        <v>1.9237858612292765E-2</v>
      </c>
      <c r="X69" s="13">
        <v>6.5670161547971579E-3</v>
      </c>
      <c r="Y69" s="13">
        <v>4.147462491732596E-8</v>
      </c>
      <c r="Z69" s="347"/>
      <c r="AA69" s="13">
        <v>2.1295658982318475E-2</v>
      </c>
      <c r="AB69" s="13">
        <v>6.2883105690846796E-3</v>
      </c>
      <c r="AC69" s="13">
        <v>4.5883402741922098E-8</v>
      </c>
      <c r="AD69" s="347"/>
      <c r="AE69" s="13">
        <v>2.3840373829363142E-2</v>
      </c>
      <c r="AF69" s="13">
        <v>5.9618630390124213E-3</v>
      </c>
      <c r="AG69" s="13">
        <v>5.132117279722315E-8</v>
      </c>
      <c r="AH69" s="347"/>
      <c r="AI69" s="13">
        <v>2.7010969315694754E-2</v>
      </c>
      <c r="AJ69" s="13">
        <v>5.5779803432769405E-3</v>
      </c>
      <c r="AK69" s="13">
        <v>5.8059049317309748E-8</v>
      </c>
      <c r="AL69" s="347"/>
      <c r="AM69" s="13">
        <v>3.0944819608670127E-2</v>
      </c>
      <c r="AN69" s="13">
        <v>5.1354272974433622E-3</v>
      </c>
      <c r="AO69" s="13">
        <v>6.636062935771125E-8</v>
      </c>
      <c r="AP69" s="347"/>
      <c r="AQ69" s="13">
        <v>3.5736495326678622E-2</v>
      </c>
      <c r="AR69" s="13">
        <v>4.6506523371359744E-3</v>
      </c>
      <c r="AS69" s="13">
        <v>7.6431100101762151E-8</v>
      </c>
      <c r="AT69" s="347"/>
      <c r="AU69">
        <v>4.825843889957844E-2</v>
      </c>
      <c r="AV69">
        <v>3.791438110972171E-3</v>
      </c>
      <c r="AW69">
        <v>1.0269849116238175E-7</v>
      </c>
      <c r="AX69" s="347"/>
      <c r="AY69">
        <v>5.5664777721396379E-2</v>
      </c>
      <c r="AZ69">
        <v>3.6360394043195303E-3</v>
      </c>
      <c r="BA69">
        <v>1.184100513679151E-7</v>
      </c>
      <c r="BB69" s="347"/>
      <c r="BC69">
        <v>6.3209348974848839E-2</v>
      </c>
      <c r="BD69">
        <v>4.2278560623588155E-3</v>
      </c>
      <c r="BE69">
        <v>1.3446890528059744E-7</v>
      </c>
      <c r="BF69" s="347"/>
      <c r="BG69">
        <v>1.3457630121862445E-2</v>
      </c>
      <c r="BH69">
        <v>4.3542496256203699E-3</v>
      </c>
      <c r="BV69" s="328">
        <v>470.6</v>
      </c>
      <c r="BW69">
        <f>J80-R80-S80</f>
        <v>-1.3088136924196888E-2</v>
      </c>
      <c r="BY69">
        <f>BV69/10</f>
        <v>47.06</v>
      </c>
      <c r="BZ69">
        <f>L83*(K50+L50+M50-O50-P50-Q50)/0.67+BZ68</f>
        <v>48.387956369752423</v>
      </c>
      <c r="CA69">
        <f t="shared" si="7"/>
        <v>11.243876931053162</v>
      </c>
    </row>
    <row r="70" spans="1:79">
      <c r="A70" s="344" t="s">
        <v>163</v>
      </c>
      <c r="B70" t="s">
        <v>17</v>
      </c>
      <c r="C70" s="79">
        <v>1.4346450711550088E-2</v>
      </c>
      <c r="D70" s="348">
        <v>3.410925770132719E-8</v>
      </c>
      <c r="E70" s="13"/>
      <c r="F70" s="347"/>
      <c r="G70" s="13">
        <v>1.4338194567183332E-2</v>
      </c>
      <c r="H70" s="13">
        <v>4.1972751024916478E-8</v>
      </c>
      <c r="I70" s="13"/>
      <c r="J70" s="347"/>
      <c r="K70" s="13">
        <v>3.2922936221771316E-2</v>
      </c>
      <c r="L70" s="13">
        <v>1.39338564993954E-2</v>
      </c>
      <c r="M70" s="13">
        <v>4.5305004127445658E-8</v>
      </c>
      <c r="N70" s="347"/>
      <c r="O70" s="13">
        <v>3.6037275199375676E-2</v>
      </c>
      <c r="P70" s="13">
        <v>1.3385999302741999E-2</v>
      </c>
      <c r="Q70" s="13">
        <v>4.9448075838859398E-8</v>
      </c>
      <c r="R70" s="347"/>
      <c r="S70" s="13">
        <v>3.9742187052055837E-2</v>
      </c>
      <c r="T70" s="13">
        <v>1.2824884361051331E-2</v>
      </c>
      <c r="U70" s="13">
        <v>5.4408255666686165E-8</v>
      </c>
      <c r="V70" s="347"/>
      <c r="W70" s="13">
        <v>4.4146341789931112E-2</v>
      </c>
      <c r="X70" s="13">
        <v>1.2204944391430328E-2</v>
      </c>
      <c r="Y70" s="13">
        <v>6.042574749712673E-8</v>
      </c>
      <c r="Z70" s="347"/>
      <c r="AA70" s="13">
        <v>4.9484196442215744E-2</v>
      </c>
      <c r="AB70" s="13">
        <v>1.1491369101775395E-2</v>
      </c>
      <c r="AC70" s="13">
        <v>6.7759577286044065E-8</v>
      </c>
      <c r="AD70" s="347"/>
      <c r="AE70" s="13">
        <v>5.605507417135016E-2</v>
      </c>
      <c r="AF70" s="13">
        <v>1.0654889194189074E-2</v>
      </c>
      <c r="AG70" s="13">
        <v>7.6760799419832589E-8</v>
      </c>
      <c r="AH70" s="347"/>
      <c r="AI70" s="13">
        <v>6.4163453370083542E-2</v>
      </c>
      <c r="AJ70" s="13">
        <v>9.6771376248329238E-3</v>
      </c>
      <c r="AK70" s="13">
        <v>8.7790464750460904E-8</v>
      </c>
      <c r="AL70" s="347"/>
      <c r="AM70" s="13">
        <v>7.4075814714511398E-2</v>
      </c>
      <c r="AN70" s="13">
        <v>8.5669183233066191E-3</v>
      </c>
      <c r="AO70" s="13">
        <v>1.0114457070192006E-7</v>
      </c>
      <c r="AP70" s="347"/>
      <c r="AQ70" s="13">
        <v>8.5944200417511413E-2</v>
      </c>
      <c r="AR70" s="13">
        <v>7.3803334150442943E-3</v>
      </c>
      <c r="AS70" s="13">
        <v>1.1701515813575803E-7</v>
      </c>
      <c r="AT70" s="347"/>
      <c r="AU70">
        <v>0.11695687683605001</v>
      </c>
      <c r="AV70">
        <v>5.3093418160377959E-3</v>
      </c>
      <c r="AW70">
        <v>1.581943652625697E-7</v>
      </c>
      <c r="AX70" s="347"/>
      <c r="AY70">
        <v>0.13651378033948197</v>
      </c>
      <c r="AZ70">
        <v>4.7705992417580922E-3</v>
      </c>
      <c r="BA70">
        <v>1.8435873278669238E-7</v>
      </c>
      <c r="BB70" s="347"/>
      <c r="BC70">
        <v>0.1604875418505641</v>
      </c>
      <c r="BD70">
        <v>5.286812106877356E-3</v>
      </c>
      <c r="BE70">
        <v>2.1653235329866967E-7</v>
      </c>
      <c r="BF70" s="347"/>
      <c r="BG70">
        <v>6.3520402341527907E-2</v>
      </c>
      <c r="BH70">
        <v>9.3090301809161478E-3</v>
      </c>
      <c r="BV70" s="328">
        <v>434.8</v>
      </c>
      <c r="BW70">
        <f>J80-V80-W80</f>
        <v>-1.6517756452672193E-2</v>
      </c>
      <c r="BY70">
        <f t="shared" ref="BY70:BY80" si="8">BV70/10</f>
        <v>43.480000000000004</v>
      </c>
      <c r="BZ70">
        <f>P83*(O50+P50+Q50-S50-T50-U50)/0.67+BZ69</f>
        <v>59.658797952985672</v>
      </c>
      <c r="CA70">
        <f t="shared" si="7"/>
        <v>13.862874821827681</v>
      </c>
    </row>
    <row r="71" spans="1:79">
      <c r="A71" s="344" t="s">
        <v>37</v>
      </c>
      <c r="B71" t="s">
        <v>17</v>
      </c>
      <c r="C71" s="79">
        <v>1.1893591620503732E-2</v>
      </c>
      <c r="D71" s="348">
        <v>5.2751907154352627E-9</v>
      </c>
      <c r="E71" s="13"/>
      <c r="F71" s="347"/>
      <c r="G71" s="13">
        <v>1.1886749289625876E-2</v>
      </c>
      <c r="H71" s="13">
        <v>7.1779151630566506E-9</v>
      </c>
      <c r="I71" s="13"/>
      <c r="J71" s="347"/>
      <c r="K71" s="13">
        <v>3.4212546109627227E-2</v>
      </c>
      <c r="L71" s="13">
        <v>1.1402283281697461E-2</v>
      </c>
      <c r="M71" s="13">
        <v>7.9846574707954505E-9</v>
      </c>
      <c r="N71" s="347"/>
      <c r="O71" s="13">
        <v>3.8280851834594551E-2</v>
      </c>
      <c r="P71" s="13">
        <v>1.0731572824557063E-2</v>
      </c>
      <c r="Q71" s="13">
        <v>8.9919790760966081E-9</v>
      </c>
      <c r="R71" s="347"/>
      <c r="S71" s="13">
        <v>4.318272763113358E-2</v>
      </c>
      <c r="T71" s="13">
        <v>1.0027027269151946E-2</v>
      </c>
      <c r="U71" s="13">
        <v>1.0219904438023359E-8</v>
      </c>
      <c r="V71" s="347"/>
      <c r="W71" s="13">
        <v>4.903352804804368E-2</v>
      </c>
      <c r="X71" s="13">
        <v>9.2337751971562354E-3</v>
      </c>
      <c r="Y71" s="13">
        <v>1.172553609162718E-8</v>
      </c>
      <c r="Z71" s="347"/>
      <c r="AA71" s="13">
        <v>5.6066203011087432E-2</v>
      </c>
      <c r="AB71" s="13">
        <v>8.3142128878549056E-3</v>
      </c>
      <c r="AC71" s="13">
        <v>1.3560878889583921E-8</v>
      </c>
      <c r="AD71" s="347"/>
      <c r="AE71" s="13">
        <v>6.4512423792749976E-2</v>
      </c>
      <c r="AF71" s="13">
        <v>7.2480385760408774E-3</v>
      </c>
      <c r="AG71" s="13">
        <v>1.57804969420247E-8</v>
      </c>
      <c r="AH71" s="347"/>
      <c r="AI71" s="13">
        <v>7.4480457847260137E-2</v>
      </c>
      <c r="AJ71" s="13">
        <v>6.0477521859280551E-3</v>
      </c>
      <c r="AK71" s="13">
        <v>1.8411164838922783E-8</v>
      </c>
      <c r="AL71" s="347"/>
      <c r="AM71" s="13">
        <v>8.5925048763797335E-2</v>
      </c>
      <c r="AN71" s="13">
        <v>4.7795307089028329E-3</v>
      </c>
      <c r="AO71" s="13">
        <v>2.1439574722542568E-8</v>
      </c>
      <c r="AP71" s="347"/>
      <c r="AQ71" s="13">
        <v>9.8734130074458262E-2</v>
      </c>
      <c r="AR71" s="13">
        <v>3.5635851075219299E-3</v>
      </c>
      <c r="AS71" s="13">
        <v>2.4851572519325974E-8</v>
      </c>
      <c r="AT71" s="347"/>
      <c r="AU71">
        <v>0.13079688149505644</v>
      </c>
      <c r="AV71">
        <v>1.7754728896490941E-3</v>
      </c>
      <c r="AW71">
        <v>3.3516241694796511E-8</v>
      </c>
      <c r="AX71" s="347"/>
      <c r="AY71">
        <v>0.15270548125880892</v>
      </c>
      <c r="AZ71">
        <v>1.3015237920497081E-3</v>
      </c>
      <c r="BA71">
        <v>3.9599950323190061E-8</v>
      </c>
      <c r="BB71" s="347"/>
      <c r="BC71">
        <v>0.18386053677910752</v>
      </c>
      <c r="BD71">
        <v>1.1817513964949922E-3</v>
      </c>
      <c r="BE71">
        <v>4.8361816269774052E-8</v>
      </c>
      <c r="BF71" s="347"/>
      <c r="BG71">
        <v>0.22346360407068508</v>
      </c>
      <c r="BH71">
        <v>5.149097678473471E-3</v>
      </c>
      <c r="BV71" s="328">
        <v>399</v>
      </c>
      <c r="BW71">
        <f>J80-Z80-AA80</f>
        <v>-1.9627460097102905E-2</v>
      </c>
      <c r="BY71">
        <f t="shared" si="8"/>
        <v>39.9</v>
      </c>
      <c r="BZ71">
        <f>T83*(S50+T50+U50-W50-X50-Y50)/0.67+BZ70</f>
        <v>70.844269688629154</v>
      </c>
      <c r="CA71">
        <f t="shared" si="7"/>
        <v>16.462035378440216</v>
      </c>
    </row>
    <row r="72" spans="1:79">
      <c r="A72" s="344" t="s">
        <v>38</v>
      </c>
      <c r="B72" t="s">
        <v>17</v>
      </c>
      <c r="C72" s="79">
        <v>8.6792436912306245E-3</v>
      </c>
      <c r="D72" s="348">
        <v>5.6075968579865775E-10</v>
      </c>
      <c r="E72" s="13"/>
      <c r="F72" s="347"/>
      <c r="G72" s="13">
        <v>8.6742510788377098E-3</v>
      </c>
      <c r="H72" s="13">
        <v>8.8060389324888472E-10</v>
      </c>
      <c r="I72" s="13"/>
      <c r="J72" s="347"/>
      <c r="K72" s="13">
        <v>4.319243038577724E-2</v>
      </c>
      <c r="L72" s="13">
        <v>7.9275081548465763E-3</v>
      </c>
      <c r="M72" s="13">
        <v>1.0005958007222448E-9</v>
      </c>
      <c r="N72" s="347"/>
      <c r="O72" s="13">
        <v>4.879317383321595E-2</v>
      </c>
      <c r="P72" s="13">
        <v>6.9242958861318454E-3</v>
      </c>
      <c r="Q72" s="13">
        <v>1.1368903667673368E-9</v>
      </c>
      <c r="R72" s="347"/>
      <c r="S72" s="13">
        <v>5.5155142518694168E-2</v>
      </c>
      <c r="T72" s="13">
        <v>5.9235134582050217E-3</v>
      </c>
      <c r="U72" s="13">
        <v>1.2947185955585658E-9</v>
      </c>
      <c r="V72" s="347"/>
      <c r="W72" s="13">
        <v>6.1964430965772956E-2</v>
      </c>
      <c r="X72" s="13">
        <v>4.8905832112701416E-3</v>
      </c>
      <c r="Y72" s="13">
        <v>1.4723884402568447E-9</v>
      </c>
      <c r="Z72" s="347"/>
      <c r="AA72" s="13">
        <v>6.9038668945121437E-2</v>
      </c>
      <c r="AB72" s="13">
        <v>3.8398196809315355E-3</v>
      </c>
      <c r="AC72" s="13">
        <v>1.6636538996471073E-9</v>
      </c>
      <c r="AD72" s="347"/>
      <c r="AE72" s="13">
        <v>7.6178806878429622E-2</v>
      </c>
      <c r="AF72" s="13">
        <v>2.8230275129426069E-3</v>
      </c>
      <c r="AG72" s="13">
        <v>1.8611908127752802E-9</v>
      </c>
      <c r="AH72" s="347"/>
      <c r="AI72" s="13">
        <v>8.3225086950609387E-2</v>
      </c>
      <c r="AJ72" s="13">
        <v>1.9169536639278058E-3</v>
      </c>
      <c r="AK72" s="13">
        <v>2.0585109488523192E-9</v>
      </c>
      <c r="AL72" s="347"/>
      <c r="AM72" s="13">
        <v>9.0329200062265053E-2</v>
      </c>
      <c r="AN72" s="13">
        <v>1.1929956202822163E-3</v>
      </c>
      <c r="AO72" s="13">
        <v>2.256587300003111E-9</v>
      </c>
      <c r="AP72" s="347"/>
      <c r="AQ72" s="13">
        <v>9.8106304819885151E-2</v>
      </c>
      <c r="AR72" s="13">
        <v>6.82475193077529E-4</v>
      </c>
      <c r="AS72" s="13">
        <v>2.4710891808783116E-9</v>
      </c>
      <c r="AT72" s="347"/>
      <c r="AU72">
        <v>0.1204610025850844</v>
      </c>
      <c r="AV72">
        <v>1.8832115379083738E-4</v>
      </c>
      <c r="AW72">
        <v>3.0793962780264508E-9</v>
      </c>
      <c r="AX72" s="347"/>
      <c r="AY72">
        <v>0.13895479573143443</v>
      </c>
      <c r="AZ72">
        <v>1.0069485956754065E-4</v>
      </c>
      <c r="BA72">
        <v>3.5915184201691986E-9</v>
      </c>
      <c r="BB72" s="347"/>
      <c r="BC72">
        <v>0.1672583465292859</v>
      </c>
      <c r="BD72">
        <v>6.5706782503332649E-5</v>
      </c>
      <c r="BE72">
        <v>4.3919587799105191E-9</v>
      </c>
      <c r="BF72" s="347"/>
      <c r="BG72">
        <v>0.33522168991652579</v>
      </c>
      <c r="BH72">
        <v>3.4191077396808386E-4</v>
      </c>
      <c r="BV72" s="328">
        <v>363.2</v>
      </c>
      <c r="BW72">
        <f>J80-AD80-AE80</f>
        <v>-2.2478115723662484E-2</v>
      </c>
      <c r="BY72">
        <f t="shared" si="8"/>
        <v>36.32</v>
      </c>
      <c r="BZ72">
        <f>X83*(W50+X50+Y50-AA50-AB50-AC50)/0.67+BZ71</f>
        <v>81.961912649556098</v>
      </c>
      <c r="CA72">
        <f t="shared" si="7"/>
        <v>19.045434608216198</v>
      </c>
    </row>
    <row r="73" spans="1:79">
      <c r="A73" s="344" t="s">
        <v>39</v>
      </c>
      <c r="B73" t="s">
        <v>17</v>
      </c>
      <c r="C73" s="79">
        <v>7.368586402566624E-3</v>
      </c>
      <c r="D73" s="348">
        <v>5.5861893378509003E-11</v>
      </c>
      <c r="E73" s="13"/>
      <c r="F73" s="347"/>
      <c r="G73" s="13">
        <v>7.3643478336663836E-3</v>
      </c>
      <c r="H73" s="13">
        <v>1.0833412605692562E-10</v>
      </c>
      <c r="I73" s="13"/>
      <c r="J73" s="347"/>
      <c r="K73" s="13">
        <v>7.6898124910390567E-2</v>
      </c>
      <c r="L73" s="13">
        <v>5.8624922289782881E-3</v>
      </c>
      <c r="M73" s="13">
        <v>1.1867991673808545E-10</v>
      </c>
      <c r="N73" s="347"/>
      <c r="O73" s="13">
        <v>8.04950695721839E-2</v>
      </c>
      <c r="P73" s="13">
        <v>4.1841545122178331E-3</v>
      </c>
      <c r="Q73" s="13">
        <v>1.2444649038800863E-10</v>
      </c>
      <c r="R73" s="347"/>
      <c r="S73" s="13">
        <v>8.3684196852708559E-2</v>
      </c>
      <c r="T73" s="13">
        <v>2.8768069323925724E-3</v>
      </c>
      <c r="U73" s="13">
        <v>1.2988747894576733E-10</v>
      </c>
      <c r="V73" s="347"/>
      <c r="W73" s="13">
        <v>8.573507660522206E-2</v>
      </c>
      <c r="X73" s="13">
        <v>1.8703599742425508E-3</v>
      </c>
      <c r="Y73" s="13">
        <v>1.3458222544481684E-10</v>
      </c>
      <c r="Z73" s="347"/>
      <c r="AA73" s="13">
        <v>8.6942908624934229E-2</v>
      </c>
      <c r="AB73" s="13">
        <v>1.1337680382910345E-3</v>
      </c>
      <c r="AC73" s="13">
        <v>1.3842635445466144E-10</v>
      </c>
      <c r="AD73" s="347"/>
      <c r="AE73" s="13">
        <v>8.7905840898818977E-2</v>
      </c>
      <c r="AF73" s="13">
        <v>6.320890666493222E-4</v>
      </c>
      <c r="AG73" s="13">
        <v>1.4185257202629288E-10</v>
      </c>
      <c r="AH73" s="347"/>
      <c r="AI73" s="13">
        <v>8.9312490794147589E-2</v>
      </c>
      <c r="AJ73" s="13">
        <v>3.2013844161594881E-4</v>
      </c>
      <c r="AK73" s="13">
        <v>1.4562516717687068E-10</v>
      </c>
      <c r="AL73" s="347"/>
      <c r="AM73" s="13">
        <v>9.1941271254697962E-2</v>
      </c>
      <c r="AN73" s="13">
        <v>1.4597199962006758E-4</v>
      </c>
      <c r="AO73" s="13">
        <v>1.5075327547847953E-10</v>
      </c>
      <c r="AP73" s="347"/>
      <c r="AQ73" s="13">
        <v>9.6587203141836886E-2</v>
      </c>
      <c r="AR73" s="13">
        <v>5.9836460795944398E-5</v>
      </c>
      <c r="AS73" s="13">
        <v>1.5857592715757586E-10</v>
      </c>
      <c r="AT73" s="347"/>
      <c r="AU73">
        <v>0.11529616383992247</v>
      </c>
      <c r="AV73">
        <v>7.7327307871990363E-6</v>
      </c>
      <c r="AW73">
        <v>1.8821311221248171E-10</v>
      </c>
      <c r="AX73" s="347"/>
      <c r="AY73">
        <v>0.13258861672047034</v>
      </c>
      <c r="AZ73">
        <v>2.6959483522575564E-6</v>
      </c>
      <c r="BA73">
        <v>2.1634356483689638E-10</v>
      </c>
      <c r="BB73" s="347"/>
      <c r="BC73">
        <v>0.1594736176935099</v>
      </c>
      <c r="BD73">
        <v>1.1122563514922211E-6</v>
      </c>
      <c r="BE73">
        <v>2.6182315868186897E-10</v>
      </c>
      <c r="BF73" s="347"/>
      <c r="BG73">
        <v>0.32947278540566799</v>
      </c>
      <c r="BH73">
        <v>3.774402650729308E-6</v>
      </c>
      <c r="BV73" s="328">
        <v>327.39999999999998</v>
      </c>
      <c r="BW73">
        <f>J80-AH80-AI80</f>
        <v>-2.5062238384062074E-2</v>
      </c>
      <c r="BY73">
        <f t="shared" si="8"/>
        <v>32.739999999999995</v>
      </c>
      <c r="BZ73">
        <f>AB83*(AA50+AB50+AC50-AE50-AF50-AG50)/0.67+BZ72</f>
        <v>92.980389940562389</v>
      </c>
      <c r="CA73">
        <f t="shared" si="7"/>
        <v>21.605790777858509</v>
      </c>
    </row>
    <row r="74" spans="1:79">
      <c r="A74" s="344" t="s">
        <v>251</v>
      </c>
      <c r="B74" t="s">
        <v>17</v>
      </c>
      <c r="C74" s="13">
        <v>3.2636507423612043E-10</v>
      </c>
      <c r="D74" s="13">
        <v>2.8982839646311088E-2</v>
      </c>
      <c r="E74" s="13"/>
      <c r="F74" s="347"/>
      <c r="G74" s="13">
        <v>5.9206157608796461E-10</v>
      </c>
      <c r="H74" s="13">
        <v>2.9017089438038476E-2</v>
      </c>
      <c r="I74" s="13"/>
      <c r="J74" s="347"/>
      <c r="K74" s="13">
        <v>2.1390982198890354E-8</v>
      </c>
      <c r="L74" s="13">
        <v>6.2719602241662379E-10</v>
      </c>
      <c r="M74" s="13">
        <v>2.9029703032591902E-2</v>
      </c>
      <c r="N74" s="347"/>
      <c r="O74" s="13">
        <v>2.6163671511876757E-8</v>
      </c>
      <c r="P74" s="13">
        <v>6.7036707915274087E-10</v>
      </c>
      <c r="Q74" s="13">
        <v>2.9047041750275344E-2</v>
      </c>
      <c r="R74" s="347"/>
      <c r="S74" s="13">
        <v>3.153865576656503E-8</v>
      </c>
      <c r="T74" s="13">
        <v>7.5934810241652935E-10</v>
      </c>
      <c r="U74" s="13">
        <v>2.9065057750840208E-2</v>
      </c>
      <c r="V74" s="347"/>
      <c r="W74" s="13">
        <v>3.6789632706439271E-8</v>
      </c>
      <c r="X74" s="13">
        <v>9.1157950177875514E-10</v>
      </c>
      <c r="Y74" s="13">
        <v>2.908386792041889E-2</v>
      </c>
      <c r="Z74" s="347"/>
      <c r="AA74" s="13">
        <v>4.1844475807958129E-8</v>
      </c>
      <c r="AB74" s="13">
        <v>1.1667348802221414E-9</v>
      </c>
      <c r="AC74" s="13">
        <v>2.9105256321594764E-2</v>
      </c>
      <c r="AD74" s="347"/>
      <c r="AE74" s="13">
        <v>4.6893417159304271E-8</v>
      </c>
      <c r="AF74" s="13">
        <v>1.6034863391267806E-9</v>
      </c>
      <c r="AG74" s="13">
        <v>2.9129343852506231E-2</v>
      </c>
      <c r="AH74" s="347"/>
      <c r="AI74" s="13">
        <v>5.2303101967866688E-8</v>
      </c>
      <c r="AJ74" s="13">
        <v>2.3844629784979855E-9</v>
      </c>
      <c r="AK74" s="13">
        <v>2.9156404224627834E-2</v>
      </c>
      <c r="AL74" s="347"/>
      <c r="AM74" s="13">
        <v>5.8817687913284497E-8</v>
      </c>
      <c r="AN74" s="13">
        <v>3.860926775753076E-9</v>
      </c>
      <c r="AO74" s="13">
        <v>2.9187722118577113E-2</v>
      </c>
      <c r="AP74" s="347"/>
      <c r="AQ74" s="13">
        <v>6.7777532277693342E-8</v>
      </c>
      <c r="AR74" s="13">
        <v>6.8225611193240368E-9</v>
      </c>
      <c r="AS74" s="13">
        <v>2.9224191036059485E-2</v>
      </c>
      <c r="AT74" s="347"/>
      <c r="AU74">
        <v>1.0540116708826813E-7</v>
      </c>
      <c r="AV74">
        <v>2.7724586925945441E-8</v>
      </c>
      <c r="AW74">
        <v>2.934277833273493E-2</v>
      </c>
      <c r="AX74" s="347"/>
      <c r="AY74">
        <v>1.5175814625265151E-7</v>
      </c>
      <c r="AZ74">
        <v>6.5177887175943848E-8</v>
      </c>
      <c r="BA74">
        <v>2.9431439595209528E-2</v>
      </c>
      <c r="BB74" s="347"/>
      <c r="BC74">
        <v>2.5949654451688192E-7</v>
      </c>
      <c r="BD74">
        <v>1.930279155369072E-7</v>
      </c>
      <c r="BE74">
        <v>2.9599931994666685E-2</v>
      </c>
      <c r="BF74" s="347"/>
      <c r="BG74">
        <v>2.3500144577517746E-2</v>
      </c>
      <c r="BH74">
        <v>2.3428645934188988E-2</v>
      </c>
      <c r="BV74" s="328">
        <v>291.60000000000002</v>
      </c>
      <c r="BW74">
        <f>J80-AL80-AM80</f>
        <v>-2.7314633296513392E-2</v>
      </c>
      <c r="BY74">
        <f t="shared" si="8"/>
        <v>29.160000000000004</v>
      </c>
      <c r="BZ74">
        <f>AF83*(AE50+AF50+AG50-AI50-AJ50-AK50)/0.67+BZ73</f>
        <v>103.81201812967838</v>
      </c>
      <c r="CA74">
        <f t="shared" si="7"/>
        <v>24.122728947156311</v>
      </c>
    </row>
    <row r="75" spans="1:79">
      <c r="A75" s="344" t="s">
        <v>41</v>
      </c>
      <c r="B75" t="s">
        <v>17</v>
      </c>
      <c r="C75" s="13"/>
      <c r="D75" s="13"/>
      <c r="E75" s="13"/>
      <c r="F75" s="347"/>
      <c r="G75" s="13"/>
      <c r="H75" s="13"/>
      <c r="I75" s="13"/>
      <c r="J75" s="347"/>
      <c r="K75" s="13"/>
      <c r="L75" s="13"/>
      <c r="M75" s="13"/>
      <c r="N75" s="347"/>
      <c r="O75" s="13"/>
      <c r="P75" s="13"/>
      <c r="Q75" s="13"/>
      <c r="R75" s="347"/>
      <c r="S75" s="13"/>
      <c r="T75" s="13"/>
      <c r="U75" s="13"/>
      <c r="V75" s="347"/>
      <c r="W75" s="13"/>
      <c r="X75" s="13"/>
      <c r="Y75" s="13"/>
      <c r="Z75" s="347"/>
      <c r="AA75" s="13"/>
      <c r="AB75" s="13"/>
      <c r="AC75" s="13"/>
      <c r="AD75" s="347"/>
      <c r="AE75" s="13"/>
      <c r="AF75" s="13"/>
      <c r="AG75" s="13"/>
      <c r="AH75" s="347"/>
      <c r="AI75" s="13"/>
      <c r="AJ75" s="13"/>
      <c r="AK75" s="13"/>
      <c r="AL75" s="347"/>
      <c r="AM75" s="13"/>
      <c r="AN75" s="13"/>
      <c r="AO75" s="13"/>
      <c r="AP75" s="347"/>
      <c r="AQ75" s="13">
        <f>AQ50/($AQ$9+$AR$9+$AS$9)</f>
        <v>7.7388492376914184E-2</v>
      </c>
      <c r="AR75" s="13">
        <f>AR50/($AQ$9+$AR$9+$AS$9)</f>
        <v>0.59386848960713967</v>
      </c>
      <c r="AS75" s="13">
        <f>AS50/($AQ$9+$AR$9+$AS$9)</f>
        <v>0.59274530631954125</v>
      </c>
      <c r="BV75" s="328">
        <v>255.8</v>
      </c>
      <c r="BW75">
        <f>J80-AP80-AQ80</f>
        <v>-2.913588926132505E-2</v>
      </c>
      <c r="BY75">
        <f t="shared" si="8"/>
        <v>25.580000000000002</v>
      </c>
      <c r="BZ75">
        <f>AJ83*(AI50+AJ50+AK50-AM50-AN50-AO50)/0.67+BZ74</f>
        <v>114.31077573818499</v>
      </c>
      <c r="CA75">
        <f t="shared" si="7"/>
        <v>26.56231820314725</v>
      </c>
    </row>
    <row r="76" spans="1:79">
      <c r="A76" s="344" t="s">
        <v>42</v>
      </c>
      <c r="B76" t="s">
        <v>17</v>
      </c>
      <c r="C76" s="13"/>
      <c r="D76" s="13"/>
      <c r="E76" s="13"/>
      <c r="F76" s="347"/>
      <c r="G76" s="13"/>
      <c r="H76" s="13"/>
      <c r="I76" s="13"/>
      <c r="J76" s="347"/>
      <c r="K76" s="13"/>
      <c r="L76" s="13"/>
      <c r="M76" s="13"/>
      <c r="N76" s="347"/>
      <c r="O76" s="13"/>
      <c r="P76" s="13"/>
      <c r="Q76" s="13"/>
      <c r="R76" s="347"/>
      <c r="S76" s="13"/>
      <c r="T76" s="13"/>
      <c r="U76" s="13"/>
      <c r="V76" s="347"/>
      <c r="W76" s="13"/>
      <c r="X76" s="13"/>
      <c r="Y76" s="13"/>
      <c r="Z76" s="347"/>
      <c r="AA76" s="13"/>
      <c r="AB76" s="13"/>
      <c r="AC76" s="13"/>
      <c r="AD76" s="347"/>
      <c r="AE76" s="13"/>
      <c r="AF76" s="13"/>
      <c r="AG76" s="13"/>
      <c r="AH76" s="347"/>
      <c r="AI76" s="13"/>
      <c r="AJ76" s="13"/>
      <c r="AK76" s="13"/>
      <c r="AL76" s="347"/>
      <c r="AM76" s="13"/>
      <c r="AN76" s="13"/>
      <c r="AO76" s="13"/>
      <c r="AP76" s="347"/>
      <c r="AQ76" s="13"/>
      <c r="AR76" s="13"/>
      <c r="AS76" s="13"/>
      <c r="BV76" s="360">
        <v>220</v>
      </c>
      <c r="BW76">
        <f>F80-AT80-AU80</f>
        <v>-3.1315221230503107E-2</v>
      </c>
      <c r="BY76">
        <f t="shared" si="8"/>
        <v>22</v>
      </c>
      <c r="BZ76">
        <f>AN83*(AM50+AN50+AO50-AQ50-AR50-AS50)/0.67+BZ75</f>
        <v>124.28715407150369</v>
      </c>
      <c r="CA76">
        <f t="shared" si="7"/>
        <v>28.88052253771966</v>
      </c>
    </row>
    <row r="77" spans="1:79">
      <c r="A77" s="344" t="s">
        <v>43</v>
      </c>
      <c r="B77" t="s">
        <v>17</v>
      </c>
      <c r="C77" s="13"/>
      <c r="D77" s="13"/>
      <c r="E77" s="13"/>
      <c r="F77" s="347"/>
      <c r="G77" s="13"/>
      <c r="H77" s="13"/>
      <c r="I77" s="13"/>
      <c r="J77" s="347"/>
      <c r="K77" s="13"/>
      <c r="L77" s="13"/>
      <c r="M77" s="13"/>
      <c r="N77" s="347"/>
      <c r="O77" s="13"/>
      <c r="P77" s="13"/>
      <c r="Q77" s="13"/>
      <c r="R77" s="347"/>
      <c r="S77" s="13"/>
      <c r="T77" s="13"/>
      <c r="U77" s="13"/>
      <c r="V77" s="347"/>
      <c r="W77" s="13"/>
      <c r="X77" s="13"/>
      <c r="Y77" s="13"/>
      <c r="Z77" s="347"/>
      <c r="AA77" s="13"/>
      <c r="AB77" s="13"/>
      <c r="AC77" s="13"/>
      <c r="AD77" s="347"/>
      <c r="AE77" s="13"/>
      <c r="AF77" s="13"/>
      <c r="AG77" s="13"/>
      <c r="AH77" s="347"/>
      <c r="AI77" s="13"/>
      <c r="AJ77" s="13"/>
      <c r="AK77" s="13"/>
      <c r="AL77" s="347"/>
      <c r="AM77" s="13"/>
      <c r="AN77" s="13"/>
      <c r="AO77" s="13"/>
      <c r="AP77" s="347"/>
      <c r="AQ77" s="13"/>
      <c r="AR77" s="13"/>
      <c r="AS77" s="13"/>
      <c r="BV77" s="360">
        <v>184.2</v>
      </c>
      <c r="BW77">
        <f>J80-AX80-AY80</f>
        <v>-3.139524752036537E-2</v>
      </c>
      <c r="BY77">
        <f t="shared" si="8"/>
        <v>18.419999999999998</v>
      </c>
      <c r="BZ77">
        <f>AR83*(AQ50+AR50+AS50-AU50-AV50-AW50)/0.67+BZ76</f>
        <v>133.54715158557855</v>
      </c>
      <c r="CA77">
        <f t="shared" si="7"/>
        <v>31.032261942345574</v>
      </c>
    </row>
    <row r="78" spans="1:79">
      <c r="A78" s="344" t="s">
        <v>44</v>
      </c>
      <c r="B78" t="s">
        <v>17</v>
      </c>
      <c r="C78" s="13"/>
      <c r="D78" s="13"/>
      <c r="E78" s="13"/>
      <c r="F78" s="347"/>
      <c r="G78" s="13"/>
      <c r="H78" s="13"/>
      <c r="I78" s="13"/>
      <c r="J78" s="347"/>
      <c r="K78" s="13"/>
      <c r="L78" s="13"/>
      <c r="M78" s="13"/>
      <c r="N78" s="347"/>
      <c r="O78" s="13"/>
      <c r="P78" s="13"/>
      <c r="Q78" s="13"/>
      <c r="R78" s="347"/>
      <c r="S78" s="13"/>
      <c r="T78" s="13"/>
      <c r="U78" s="13"/>
      <c r="V78" s="347"/>
      <c r="W78" s="13"/>
      <c r="X78" s="13"/>
      <c r="Y78" s="13"/>
      <c r="Z78" s="347"/>
      <c r="AA78" s="13"/>
      <c r="AB78" s="13"/>
      <c r="AC78" s="13"/>
      <c r="AD78" s="347"/>
      <c r="AE78" s="13"/>
      <c r="AF78" s="13"/>
      <c r="AG78" s="13"/>
      <c r="AH78" s="347"/>
      <c r="AI78" s="13"/>
      <c r="AJ78" s="13"/>
      <c r="AK78" s="13"/>
      <c r="AL78" s="347"/>
      <c r="AM78" s="13"/>
      <c r="AN78" s="13"/>
      <c r="AO78" s="13"/>
      <c r="AP78" s="347"/>
      <c r="AQ78" s="13"/>
      <c r="AR78" s="13"/>
      <c r="AS78" s="13"/>
      <c r="BV78" s="360">
        <v>112.6</v>
      </c>
      <c r="BW78">
        <f>J80-BB80-BC80</f>
        <v>-3.0678409970713406E-2</v>
      </c>
      <c r="BY78">
        <f t="shared" si="8"/>
        <v>11.26</v>
      </c>
      <c r="BZ78">
        <f>AV83*(AU50+AV50+AW50-AY50-AZ50-BA50)/0.67+BZ77</f>
        <v>148.55250764878608</v>
      </c>
      <c r="CA78">
        <f t="shared" si="7"/>
        <v>34.519046455253928</v>
      </c>
    </row>
    <row r="79" spans="1:79">
      <c r="A79" s="344" t="s">
        <v>45</v>
      </c>
      <c r="B79" t="s">
        <v>17</v>
      </c>
      <c r="F79" s="345"/>
      <c r="J79" s="345"/>
      <c r="N79" s="345"/>
      <c r="R79" s="345"/>
      <c r="V79" s="345"/>
      <c r="Z79" s="345"/>
      <c r="AD79" s="345"/>
      <c r="AH79" s="345"/>
      <c r="AL79" s="345"/>
      <c r="AP79" s="345"/>
      <c r="BV79" s="360">
        <v>76.8</v>
      </c>
      <c r="BW79">
        <f>J80-BF80-BG80</f>
        <v>-1.8091515781508565E-2</v>
      </c>
      <c r="BY79">
        <f t="shared" si="8"/>
        <v>7.68</v>
      </c>
      <c r="BZ79">
        <f>AZ83*(AY50+AZ50+BA50-BC50-BD50-BE50)/0.67+BZ78</f>
        <v>155.87482147178793</v>
      </c>
      <c r="CA79">
        <f t="shared" si="7"/>
        <v>36.22052760166266</v>
      </c>
    </row>
    <row r="80" spans="1:79">
      <c r="A80" s="344" t="s">
        <v>225</v>
      </c>
      <c r="C80" s="13">
        <f>SUM(C66:C73)*C50/$P$44</f>
        <v>6.3970906744718933E-2</v>
      </c>
      <c r="D80" s="13">
        <f>SUM(D66:D73)*D50/$P$44</f>
        <v>9.3255281079736344E-8</v>
      </c>
      <c r="F80" s="345"/>
      <c r="G80" s="13">
        <f>SUM(G66:G73)*G50/$P$44</f>
        <v>6.3970893781408883E-2</v>
      </c>
      <c r="H80" s="13">
        <f>SUM(H66:H73)*H50/$P$44</f>
        <v>1.0621859110671287E-7</v>
      </c>
      <c r="I80" s="13"/>
      <c r="J80" s="345"/>
      <c r="K80" s="13">
        <f>SUM(K66:K73)*K50/$P$44</f>
        <v>4.3644805245138946E-3</v>
      </c>
      <c r="L80" s="13">
        <f>SUM(L66:L73)*L50/$P$44</f>
        <v>5.406533948220623E-2</v>
      </c>
      <c r="M80" s="13">
        <f>SUM(M66:M73)*M50/$P$44</f>
        <v>1.1195171238437381E-7</v>
      </c>
      <c r="N80" s="345"/>
      <c r="O80" s="13">
        <f>SUM(O66:O73)*O50/$P$44</f>
        <v>9.1747253622799976E-3</v>
      </c>
      <c r="P80" s="13">
        <f>SUM(P66:P73)*P50/$P$44</f>
        <v>4.7538291743892229E-2</v>
      </c>
      <c r="Q80" s="13">
        <f>SUM(Q66:Q73)*Q50/$P$44</f>
        <v>1.1908687892362106E-7</v>
      </c>
      <c r="R80" s="345"/>
      <c r="S80" s="13">
        <f>SUM(S66:S73)*S50/$P$44</f>
        <v>1.3088136924196888E-2</v>
      </c>
      <c r="T80" s="13">
        <f>SUM(T66:T73)*T50/$P$44</f>
        <v>4.1795627361654347E-2</v>
      </c>
      <c r="U80" s="13">
        <f>SUM(U66:U73)*U50/$P$44</f>
        <v>1.2751242521672713E-7</v>
      </c>
      <c r="V80" s="345"/>
      <c r="W80" s="13">
        <f>SUM(W66:W73)*W50/$P$44</f>
        <v>1.6517756452672193E-2</v>
      </c>
      <c r="X80" s="13">
        <f>SUM(X66:X73)*X50/$P$44</f>
        <v>3.6459651175238444E-2</v>
      </c>
      <c r="Y80" s="13">
        <f>SUM(Y66:Y73)*Y50/$P$44</f>
        <v>1.3762116369111837E-7</v>
      </c>
      <c r="Z80" s="345"/>
      <c r="AA80" s="13">
        <f>SUM(AA66:AA73)*AA50/$P$44</f>
        <v>1.9627460097102905E-2</v>
      </c>
      <c r="AB80" s="13">
        <f>SUM(AB66:AB73)*AB50/$P$44</f>
        <v>3.1360503893269935E-2</v>
      </c>
      <c r="AC80" s="13">
        <f>SUM(AC66:AC73)*AC50/$P$44</f>
        <v>1.4981686578361973E-7</v>
      </c>
      <c r="AD80" s="345"/>
      <c r="AE80" s="13">
        <f>SUM(AE66:AE73)*AE50/$P$44</f>
        <v>2.2478115723662484E-2</v>
      </c>
      <c r="AF80" s="13">
        <f>SUM(AF66:AF73)*AF50/$P$44</f>
        <v>2.6439762399013945E-2</v>
      </c>
      <c r="AG80" s="13">
        <f>SUM(AG66:AG73)*AG50/$P$44</f>
        <v>1.6468463451280308E-7</v>
      </c>
      <c r="AH80" s="345"/>
      <c r="AI80" s="13">
        <f>SUM(AI66:AI73)*AI50/$P$44</f>
        <v>2.5062238384062074E-2</v>
      </c>
      <c r="AJ80" s="13">
        <f>SUM(AJ66:AJ73)*AJ50/$P$44</f>
        <v>2.1719468966197468E-2</v>
      </c>
      <c r="AK80" s="13">
        <f>SUM(AK66:AK73)*AK50/$P$44</f>
        <v>1.8284892932859932E-7</v>
      </c>
      <c r="AL80" s="345"/>
      <c r="AM80" s="13">
        <f>SUM(AM66:AM73)*AM50/$P$44</f>
        <v>2.7314633296513392E-2</v>
      </c>
      <c r="AN80" s="13">
        <f>SUM(AN66:AN73)*AN50/$P$44</f>
        <v>1.7294702138321745E-2</v>
      </c>
      <c r="AO80" s="13">
        <f>SUM(AO66:AO73)*AO50/$P$44</f>
        <v>2.0484255260789566E-7</v>
      </c>
      <c r="AP80" s="345"/>
      <c r="AQ80" s="13">
        <f>SUM(AQ66:AQ73)*AQ50/$P$44</f>
        <v>2.913588926132505E-2</v>
      </c>
      <c r="AR80" s="13">
        <f>SUM(AR66:AR73)*AR50/$P$44</f>
        <v>1.3310087472972687E-2</v>
      </c>
      <c r="AS80" s="13">
        <f>SUM(AS66:AS73)*AS50/$P$44</f>
        <v>2.3097342350273426E-7</v>
      </c>
      <c r="AU80" s="13">
        <f>SUM(AU66:AU73)*AU50/$P$44</f>
        <v>3.1315221230503107E-2</v>
      </c>
      <c r="AV80" s="13">
        <f>SUM(AV66:AV73)*AV50/$P$44</f>
        <v>9.0307548127959471E-3</v>
      </c>
      <c r="AW80" s="13">
        <f>SUM(AW66:AW73)*AW50/$P$44</f>
        <v>2.9506807258528076E-7</v>
      </c>
      <c r="AY80" s="13">
        <f>SUM(AY66:AY73)*AY50/$P$44</f>
        <v>3.139524752036537E-2</v>
      </c>
      <c r="AZ80" s="13">
        <f>SUM(AZ66:AZ73)*AZ50/$P$44</f>
        <v>5.2749441428139613E-3</v>
      </c>
      <c r="BA80" s="13">
        <f>SUM(BA66:BA73)*BA50/$P$44</f>
        <v>3.2920703790235862E-7</v>
      </c>
      <c r="BC80" s="13">
        <f>SUM(BC66:BC73)*BC50/$P$44</f>
        <v>3.0678409970713406E-2</v>
      </c>
      <c r="BD80" s="13">
        <f>SUM(BD66:BD73)*BD50/$P$44</f>
        <v>4.1468014227433146E-3</v>
      </c>
      <c r="BE80" s="13">
        <f>SUM(BE66:BE73)*BE50/$P$44</f>
        <v>3.5376531917210861E-7</v>
      </c>
      <c r="BG80" s="13">
        <f>SUM(BG66:BG73)*BG50/$P$44</f>
        <v>1.8091515781508565E-2</v>
      </c>
      <c r="BH80" s="13">
        <f>SUM(BH66:BH73)*BH50/$P$44</f>
        <v>1.4622489617433291E-2</v>
      </c>
      <c r="BI80" s="13"/>
      <c r="BV80" s="360">
        <v>41</v>
      </c>
      <c r="BY80">
        <f t="shared" si="8"/>
        <v>4.0999999999999996</v>
      </c>
      <c r="BZ80">
        <f>BD83*(BC50+BD50+BE50-BG50-BH50)/0.67+BZ79</f>
        <v>164.15262453649359</v>
      </c>
      <c r="CA80">
        <f t="shared" si="7"/>
        <v>38.144035141593129</v>
      </c>
    </row>
    <row r="81" spans="1:89">
      <c r="A81" s="344" t="s">
        <v>226</v>
      </c>
      <c r="C81">
        <f>(C66*$BL$8+C67*$BL$9+$BL$10*C68+C69*$BL$11+$BL$12*C70+C71*$BL$13+$BL$14*C72+C73*$BL$15)/0.02404/(1-C80)*C50/$P$44</f>
        <v>430.3489932055229</v>
      </c>
      <c r="D81">
        <f>(D66*$BL$8+D67*$BL$9+$BL$10*D68+D69*$BL$11+$BL$12*D70+D71*$BL$13+$BL$14*D72+D73*$BL$15)/0.02404/(1-D80)*D50/$P$44</f>
        <v>3.3614564419875596E-4</v>
      </c>
      <c r="E81">
        <f>C81+D81</f>
        <v>430.34932935116711</v>
      </c>
      <c r="F81" s="345"/>
      <c r="G81">
        <f>(G66*$BL$8+G67*$BL$9+$BL$10*G68+G69*$BL$11+$BL$12*G70+G71*$BL$13+$BL$14*G72+G73*$BL$15)/0.02404/(1-G80)*G50/$P$44</f>
        <v>430.34893110146959</v>
      </c>
      <c r="H81">
        <f>(H66*$BL$8+H67*$BL$9+$BL$10*H68+H69*$BL$11+$BL$12*H70+H71*$BL$13+$BL$14*H72+H73*$BL$15)/0.02404/(1-H80)*H50/$P$44</f>
        <v>3.8869810821649581E-4</v>
      </c>
      <c r="I81">
        <f>G81+H81</f>
        <v>430.34931979957781</v>
      </c>
      <c r="J81" s="345"/>
      <c r="K81">
        <f>(K66*$BL$8+K67*$BL$9+$BL$10*K68+K69*$BL$11+$BL$12*K70+K71*$BL$13+$BL$14*K72+K73*$BL$15)/0.02404/(1-K80)*K50/$P$44</f>
        <v>38.947569956341958</v>
      </c>
      <c r="L81">
        <f>(L66*$BL$8+L67*$BL$9+$BL$10*L68+L69*$BL$11+$BL$12*L70+L71*$BL$13+$BL$14*L72+L73*$BL$15)/0.02404/(1-L80)*L50/$P$44</f>
        <v>347.96261423738582</v>
      </c>
      <c r="M81">
        <f>(M66*$BL$8+M67*$BL$9+$BL$10*M68+M69*$BL$11+$BL$12*M70+M71*$BL$13+$BL$14*M72+M73*$BL$15)/0.02404/(1-M80)*M50/$P$44</f>
        <v>4.116045237494804E-4</v>
      </c>
      <c r="N81" s="345"/>
      <c r="O81">
        <f>(O66*$BL$8+O67*$BL$9+$BL$10*O68+O69*$BL$11+$BL$12*O70+O71*$BL$13+$BL$14*O72+O73*$BL$15)/0.02404/(1-O80)*O50/$P$44</f>
        <v>81.674041450564928</v>
      </c>
      <c r="P81">
        <f>(P66*$BL$8+P67*$BL$9+$BL$10*P68+P69*$BL$11+$BL$12*P70+P71*$BL$13+$BL$14*P72+P73*$BL$15)/0.02404/(1-P80)*P50/$P$44</f>
        <v>290.35381676037343</v>
      </c>
      <c r="Q81">
        <f>(Q66*$BL$8+Q67*$BL$9+$BL$10*Q68+Q69*$BL$11+$BL$12*Q70+Q71*$BL$13+$BL$14*Q72+Q73*$BL$15)/0.02404/(1-Q80)*Q50/$P$44</f>
        <v>4.400287845947264E-4</v>
      </c>
      <c r="R81" s="345"/>
      <c r="S81">
        <f>(S66*$BL$8+S67*$BL$9+$BL$10*S68+S69*$BL$11+$BL$12*S70+S71*$BL$13+$BL$14*S72+S73*$BL$15)/0.02404/(1-S80)*S50/$P$44</f>
        <v>115.81284348849682</v>
      </c>
      <c r="T81">
        <f>(T66*$BL$8+T67*$BL$9+$BL$10*T68+T69*$BL$11+$BL$12*T70+T71*$BL$13+$BL$14*T72+T73*$BL$15)/0.02404/(1-T80)*T50/$P$44</f>
        <v>242.67994540856381</v>
      </c>
      <c r="U81">
        <f>(U66*$BL$8+U67*$BL$9+$BL$10*U68+U69*$BL$11+$BL$12*U70+U71*$BL$13+$BL$14*U72+U73*$BL$15)/0.02404/(1-U80)*U50/$P$44</f>
        <v>4.7369824804674774E-4</v>
      </c>
      <c r="V81" s="345"/>
      <c r="W81">
        <f>(W66*$BL$8+W67*$BL$9+$BL$10*W68+W69*$BL$11+$BL$12*W70+W71*$BL$13+$BL$14*W72+W73*$BL$15)/0.02404/(1-W80)*W50/$P$44</f>
        <v>144.60774758551742</v>
      </c>
      <c r="X81">
        <f>(X66*$BL$8+X67*$BL$9+$BL$10*X68+X69*$BL$11+$BL$12*X70+X71*$BL$13+$BL$14*X72+X73*$BL$15)/0.02404/(1-X80)*X50/$P$44</f>
        <v>201.34972330675379</v>
      </c>
      <c r="Y81">
        <f>(Y66*$BL$8+Y67*$BL$9+$BL$10*Y68+Y69*$BL$11+$BL$12*Y70+Y71*$BL$13+$BL$14*Y72+Y73*$BL$15)/0.02404/(1-Y80)*Y50/$P$44</f>
        <v>5.1416266276926078E-4</v>
      </c>
      <c r="Z81" s="345"/>
      <c r="AA81">
        <f>(AA66*$BL$8+AA67*$BL$9+$BL$10*AA68+AA69*$BL$11+$BL$12*AA70+AA71*$BL$13+$BL$14*AA72+AA73*$BL$15)/0.02404/(1-AA80)*AA50/$P$44</f>
        <v>169.35249868442685</v>
      </c>
      <c r="AB81">
        <f>(AB66*$BL$8+AB67*$BL$9+$BL$10*AB68+AB69*$BL$11+$BL$12*AB70+AB71*$BL$13+$BL$14*AB72+AB73*$BL$15)/0.02404/(1-AB80)*AB50/$P$44</f>
        <v>164.78061508146496</v>
      </c>
      <c r="AC81">
        <f>(AC66*$BL$8+AC67*$BL$9+$BL$10*AC68+AC69*$BL$11+$BL$12*AC70+AC71*$BL$13+$BL$14*AC72+AC73*$BL$15)/0.02404/(1-AC80)*AC50/$P$44</f>
        <v>5.6300311459556347E-4</v>
      </c>
      <c r="AD81" s="345"/>
      <c r="AE81">
        <f>(AE66*$BL$8+AE67*$BL$9+$BL$10*AE68+AE69*$BL$11+$BL$12*AE70+AE71*$BL$13+$BL$14*AE72+AE73*$BL$15)/0.02404/(1-AE80)*AE50/$P$44</f>
        <v>190.64730674435421</v>
      </c>
      <c r="AF81">
        <f>(AF66*$BL$8+AF67*$BL$9+$BL$10*AF68+AF69*$BL$11+$BL$12*AF70+AF71*$BL$13+$BL$14*AF72+AF73*$BL$15)/0.02404/(1-AF80)*AF50/$P$44</f>
        <v>132.24010171670002</v>
      </c>
      <c r="AG81">
        <f>(AG66*$BL$8+AG67*$BL$9+$BL$10*AG68+AG69*$BL$11+$BL$12*AG70+AG71*$BL$13+$BL$14*AG72+AG73*$BL$15)/0.02404/(1-AG80)*AG50/$P$44</f>
        <v>6.2247404357609231E-4</v>
      </c>
      <c r="AH81" s="345"/>
      <c r="AI81">
        <f>(AI66*$BL$8+AI67*$BL$9+$BL$10*AI68+AI69*$BL$11+$BL$12*AI70+AI71*$BL$13+$BL$14*AI72+AI73*$BL$15)/0.02404/(1-AI80)*AI50/$P$44</f>
        <v>208.69427742826426</v>
      </c>
      <c r="AJ81">
        <f>(AJ66*$BL$8+AJ67*$BL$9+$BL$10*AJ68+AJ69*$BL$11+$BL$12*AJ70+AJ71*$BL$13+$BL$14*AJ72+AJ73*$BL$15)/0.02404/(1-AJ80)*AJ50/$P$44</f>
        <v>103.48769914794219</v>
      </c>
      <c r="AK81">
        <f>(AK66*$BL$8+AK67*$BL$9+$BL$10*AK68+AK69*$BL$11+$BL$12*AK70+AK71*$BL$13+$BL$14*AK72+AK73*$BL$15)/0.02404/(1-AK80)*AK50/$P$44</f>
        <v>6.949362867540535E-4</v>
      </c>
      <c r="AL81" s="345"/>
      <c r="AM81">
        <f>(AM66*$BL$8+AM67*$BL$9+$BL$10*AM68+AM69*$BL$11+$BL$12*AM70+AM71*$BL$13+$BL$14*AM72+AM73*$BL$15)/0.02404/(1-AM80)*AM50/$P$44</f>
        <v>223.42475159428861</v>
      </c>
      <c r="AN81">
        <f>(AN66*$BL$8+AN67*$BL$9+$BL$10*AN68+AN69*$BL$11+$BL$12*AN70+AN71*$BL$13+$BL$14*AN72+AN73*$BL$15)/0.02404/(1-AN80)*AN50/$P$44</f>
        <v>78.615614001798676</v>
      </c>
      <c r="AO81">
        <f>(AO66*$BL$8+AO67*$BL$9+$BL$10*AO68+AO69*$BL$11+$BL$12*AO70+AO71*$BL$13+$BL$14*AO72+AO73*$BL$15)/0.02404/(1-AO80)*AO50/$P$44</f>
        <v>7.8237159374984727E-4</v>
      </c>
      <c r="AP81" s="345"/>
      <c r="AQ81">
        <f>(AQ66*$BL$8+AQ67*$BL$9+$BL$10*AQ68+AQ69*$BL$11+$BL$12*AQ70+AQ71*$BL$13+$BL$14*AQ72+AQ73*$BL$15)/0.02404/(1-AQ80)*AQ50/$P$44</f>
        <v>234.66555702201109</v>
      </c>
      <c r="AR81">
        <f>(AR66*$BL$8+AR67*$BL$9+$BL$10*AR68+AR69*$BL$11+$BL$12*AR70+AR71*$BL$13+$BL$14*AR72+AR73*$BL$15)/0.02404/(1-AR80)*AR50/$P$44</f>
        <v>57.855887890662423</v>
      </c>
      <c r="AS81">
        <f>(AS66*$BL$8+AS67*$BL$9+$BL$10*AS68+AS69*$BL$11+$BL$12*AS70+AS71*$BL$13+$BL$14*AS72+AS73*$BL$15)/0.02404/(1-AS80)*AS50/$P$44</f>
        <v>8.8600362217102022E-4</v>
      </c>
      <c r="AU81">
        <f>(AU66*$BL$8+AU67*$BL$9+$BL$10*AU68+AU69*$BL$11+$BL$12*AU70+AU71*$BL$13+$BL$14*AU72+AU73*$BL$15)/0.02404/(1-AU80)*AU50/$P$44</f>
        <v>247.58471905353727</v>
      </c>
      <c r="AV81">
        <f>(AV66*$BL$8+AV67*$BL$9+$BL$10*AV68+AV69*$BL$11+$BL$12*AV70+AV71*$BL$13+$BL$14*AV72+AV73*$BL$15)/0.02404/(1-AV80)*AV50/$P$44</f>
        <v>36.404696686217648</v>
      </c>
      <c r="AW81">
        <f>(AW66*$BL$8+AW67*$BL$9+$BL$10*AW68+AW69*$BL$11+$BL$12*AW70+AW71*$BL$13+$BL$14*AW72+AW73*$BL$15)/0.02404/(1-AW80)*AW50/$P$44</f>
        <v>1.1431659950787679E-3</v>
      </c>
      <c r="AY81">
        <f>(AY66*$BL$8+AY67*$BL$9+$BL$10*AY68+AY69*$BL$11+$BL$12*AY70+AY71*$BL$13+$BL$14*AY72+AY73*$BL$15)/0.02404/(1-AY80)*AY50/$P$44</f>
        <v>248.51795453384963</v>
      </c>
      <c r="AZ81">
        <f>(AZ66*$BL$8+AZ67*$BL$9+$BL$10*AZ68+AZ69*$BL$11+$BL$12*AZ70+AZ71*$BL$13+$BL$14*AZ72+AZ73*$BL$15)/0.02404/(1-AZ80)*AZ50/$P$44</f>
        <v>20.616583055892946</v>
      </c>
      <c r="BA81">
        <f>(BA66*$BL$8+BA67*$BL$9+$BL$10*BA68+BA69*$BL$11+$BL$12*BA70+BA71*$BL$13+$BL$14*BA72+BA73*$BL$15)/0.02404/(1-BA80)*BA50/$P$44</f>
        <v>1.2868191702192536E-3</v>
      </c>
      <c r="BC81">
        <f>(BC66*$BL$8+BC67*$BL$9+$BL$10*BC68+BC69*$BL$11+$BL$12*BC70+BC71*$BL$13+$BL$14*BC72+BC73*$BL$15)/0.02404/(1-BC80)*BC50/$P$44</f>
        <v>245.70978928084503</v>
      </c>
      <c r="BD81">
        <f>(BD66*$BL$8+BD67*$BL$9+$BL$10*BD68+BD69*$BL$11+$BL$12*BD70+BD71*$BL$13+$BL$14*BD72+BD73*$BL$15)/0.02404/(1-BD80)*BD50/$P$44</f>
        <v>15.944912138065048</v>
      </c>
      <c r="BE81">
        <f>(BE66*$BL$8+BE67*$BL$9+$BL$10*BE68+BE69*$BL$11+$BL$12*BE70+BE71*$BL$13+$BL$14*BE72+BE73*$BL$15)/0.02404/(1-BE80)*BE50/$P$44</f>
        <v>1.4098030466975114E-3</v>
      </c>
      <c r="BG81">
        <f>(BG66*$BL$8+BG67*$BL$9+$BL$10*BG68+BG69*$BL$11+$BL$12*BG70+BG71*$BL$13+$BL$14*BG72+BG73*$BL$15)/0.02404/(1-BG80)*BG50/$P$44</f>
        <v>181.98932613184658</v>
      </c>
      <c r="BH81">
        <f>(BH66*$BL$8+BH67*$BL$9+$BL$10*BH68+BH69*$BL$11+$BL$12*BH70+BH71*$BL$13+$BL$14*BH72+BH73*$BL$15)/0.02404/(1-BH80)*BH50/$P$44</f>
        <v>68.267874898982072</v>
      </c>
      <c r="BV81" s="360"/>
    </row>
    <row r="82" spans="1:89">
      <c r="A82" s="344"/>
      <c r="C82" s="13">
        <f>SUM(C66:C73)</f>
        <v>6.3759658506895744E-2</v>
      </c>
      <c r="F82" s="345"/>
      <c r="G82" s="13">
        <f>SUM(G66:G73)</f>
        <v>6.3722969891807202E-2</v>
      </c>
      <c r="J82" s="345"/>
      <c r="L82" s="13">
        <f>SUM(L66:L73)</f>
        <v>6.0221223772253168E-2</v>
      </c>
      <c r="N82" s="345"/>
      <c r="P82" s="13">
        <f>SUM(P66:P73)</f>
        <v>5.5837211818320694E-2</v>
      </c>
      <c r="R82" s="345"/>
      <c r="T82" s="13">
        <f>SUM(T66:T73)</f>
        <v>5.1780818615992895E-2</v>
      </c>
      <c r="V82" s="345"/>
      <c r="X82" s="13">
        <f>SUM(X66:X73)</f>
        <v>4.7807649298060716E-2</v>
      </c>
      <c r="Z82" s="345"/>
      <c r="AB82" s="13">
        <f>SUM(AB66:AB73)</f>
        <v>4.3799599798555286E-2</v>
      </c>
      <c r="AD82" s="345"/>
      <c r="AF82" s="13">
        <f>SUM(AF66:AF73)</f>
        <v>3.9699872546447933E-2</v>
      </c>
      <c r="AH82" s="345"/>
      <c r="AJ82" s="13">
        <f>SUM(AJ66:AJ73)</f>
        <v>3.55164764388744E-2</v>
      </c>
      <c r="AL82" s="345"/>
      <c r="AN82" s="13">
        <f>SUM(AN66:AN73)</f>
        <v>3.1344386378923346E-2</v>
      </c>
      <c r="AP82" s="345"/>
      <c r="AR82" s="13">
        <f>SUM(AR66:AR73)</f>
        <v>2.7381214113895557E-2</v>
      </c>
      <c r="AV82" s="13">
        <f>SUM(AV66:AV73)</f>
        <v>2.1426994821711492E-2</v>
      </c>
      <c r="AZ82" s="13">
        <f>SUM(AZ66:AZ73)</f>
        <v>2.042095241350695E-2</v>
      </c>
      <c r="BD82" s="13">
        <f>SUM(BD66:BD73)</f>
        <v>2.3229575358777441E-2</v>
      </c>
      <c r="BV82" s="360"/>
    </row>
    <row r="83" spans="1:89">
      <c r="A83" s="344"/>
      <c r="C83">
        <f>(C66*$BL$8+C67*$BL$9+$BL$10*C68+C69*$BL$11+$BL$12*C70+C71*$BL$13+$BL$14*C72+C73*$BL$15)/0.02404/(1-C82)</f>
        <v>428.83109017124872</v>
      </c>
      <c r="F83" s="345"/>
      <c r="G83">
        <f>(G66*$BL$8+G67*$BL$9+$BL$10*G68+G69*$BL$11+$BL$12*G70+G71*$BL$13+$BL$14*G72+G73*$BL$15)/0.02404/(1-G82)</f>
        <v>428.56756855089498</v>
      </c>
      <c r="J83" s="345"/>
      <c r="L83">
        <f>(L66*$BL$8+L67*$BL$9+$BL$10*L68+L69*$BL$11+$BL$12*L70+L71*$BL$13+$BL$14*L72+L73*$BL$15)/0.02404/(1-L82)</f>
        <v>390.12046536561405</v>
      </c>
      <c r="N83" s="345"/>
      <c r="P83">
        <f>(P66*$BL$8+P67*$BL$9+$BL$10*P68+P69*$BL$11+$BL$12*P70+P71*$BL$13+$BL$14*P72+P73*$BL$15)/0.02404/(1-P82)</f>
        <v>344.03952290434682</v>
      </c>
      <c r="R83" s="345"/>
      <c r="T83">
        <f>(T66*$BL$8+T67*$BL$9+$BL$10*T68+T69*$BL$11+$BL$12*T70+T71*$BL$13+$BL$14*T72+T73*$BL$15)/0.02404/(1-T82)</f>
        <v>303.82350119924132</v>
      </c>
      <c r="V83" s="345"/>
      <c r="X83">
        <f>(X66*$BL$8+X67*$BL$9+$BL$10*X68+X69*$BL$11+$BL$12*X70+X71*$BL$13+$BL$14*X72+X73*$BL$15)/0.02404/(1-X82)</f>
        <v>267.1659673814213</v>
      </c>
      <c r="Z83" s="345"/>
      <c r="AB83">
        <f>(AB66*$BL$8+AB67*$BL$9+$BL$10*AB68+AB69*$BL$11+$BL$12*AB70+AB71*$BL$13+$BL$14*AB72+AB73*$BL$15)/0.02404/(1-AB82)</f>
        <v>233.13446531660549</v>
      </c>
      <c r="AD83" s="345"/>
      <c r="AF83">
        <f>(AF66*$BL$8+AF67*$BL$9+$BL$10*AF68+AF69*$BL$11+$BL$12*AF70+AF71*$BL$13+$BL$14*AF72+AF73*$BL$15)/0.02404/(1-AF82)</f>
        <v>201.30315453279047</v>
      </c>
      <c r="AH83" s="345"/>
      <c r="AJ83">
        <f>(AJ66*$BL$8+AJ67*$BL$9+$BL$10*AJ68+AJ69*$BL$11+$BL$12*AJ70+AJ71*$BL$13+$BL$14*AJ72+AJ73*$BL$15)/0.02404/(1-AJ82)</f>
        <v>171.64770440427949</v>
      </c>
      <c r="AL83" s="345"/>
      <c r="AN83">
        <f>(AN66*$BL$8+AN67*$BL$9+$BL$10*AN68+AN69*$BL$11+$BL$12*AN70+AN71*$BL$13+$BL$14*AN72+AN73*$BL$15)/0.02404/(1-AN82)</f>
        <v>144.54710363375159</v>
      </c>
      <c r="AP83" s="345"/>
      <c r="AR83">
        <f>(AR66*$BL$8+AR67*$BL$9+$BL$10*AR68+AR69*$BL$11+$BL$12*AR70+AR71*$BL$13+$BL$14*AR72+AR73*$BL$15)/0.02404/(1-AR82)</f>
        <v>120.74172861589059</v>
      </c>
      <c r="AV83">
        <f>(AV66*$BL$8+AV67*$BL$9+$BL$10*AV68+AV69*$BL$11+$BL$12*AV70+AV71*$BL$13+$BL$14*AV72+AV73*$BL$15)/0.02404/(1-AV82)</f>
        <v>87.470493251823029</v>
      </c>
      <c r="AZ83">
        <f>(AZ66*$BL$8+AZ67*$BL$9+$BL$10*AZ68+AZ69*$BL$11+$BL$12*AZ70+AZ71*$BL$13+$BL$14*AZ72+AZ73*$BL$15)/0.02404/(1-AZ82)</f>
        <v>81.04726916152778</v>
      </c>
      <c r="BD83">
        <f>(BD66*$BL$8+BD67*$BL$9+$BL$10*BD68+BD69*$BL$11+$BL$12*BD70+BD71*$BL$13+$BL$14*BD72+BD73*$BL$15)/0.02404/(1-BD82)</f>
        <v>91.065312833872625</v>
      </c>
      <c r="BV83" s="360"/>
    </row>
    <row r="84" spans="1:89">
      <c r="A84" s="480" t="s">
        <v>243</v>
      </c>
      <c r="B84" s="480"/>
      <c r="C84" s="480"/>
      <c r="D84" s="480"/>
      <c r="E84" s="480"/>
      <c r="F84" s="480"/>
      <c r="G84" s="480"/>
      <c r="H84" s="480"/>
      <c r="I84" s="480"/>
      <c r="J84" s="480"/>
      <c r="K84" s="480"/>
      <c r="L84" s="480"/>
      <c r="M84" s="480"/>
      <c r="N84" s="480"/>
      <c r="O84" s="480"/>
      <c r="BV84" s="360"/>
    </row>
    <row r="85" spans="1:89">
      <c r="A85" s="480"/>
      <c r="B85" s="480"/>
      <c r="C85" s="480"/>
      <c r="D85" s="480"/>
      <c r="E85" s="480"/>
      <c r="F85" s="480"/>
      <c r="G85" s="480"/>
      <c r="H85" s="480"/>
      <c r="I85" s="480"/>
      <c r="J85" s="480"/>
      <c r="K85" s="480"/>
      <c r="L85" s="480"/>
      <c r="M85" s="480"/>
      <c r="N85" s="480"/>
      <c r="O85" s="480"/>
      <c r="P85">
        <v>0.25</v>
      </c>
      <c r="BV85" s="360">
        <v>5.2</v>
      </c>
      <c r="BY85">
        <f>BV85/10</f>
        <v>0.52</v>
      </c>
    </row>
    <row r="86" spans="1:89" ht="16.5" thickBot="1">
      <c r="A86" s="344" t="s">
        <v>214</v>
      </c>
      <c r="B86" s="344">
        <v>26.484813513247794</v>
      </c>
      <c r="F86" s="345"/>
      <c r="J86" s="345"/>
      <c r="N86" s="345"/>
      <c r="R86" s="345"/>
      <c r="V86" s="345"/>
      <c r="Z86" s="345"/>
      <c r="AD86" s="345"/>
      <c r="AH86" s="345"/>
      <c r="AL86" s="345"/>
      <c r="AP86" s="345"/>
      <c r="AT86" s="345"/>
      <c r="AX86" s="345"/>
      <c r="BB86" s="345"/>
      <c r="BF86" s="345"/>
      <c r="BK86" s="396" t="s">
        <v>149</v>
      </c>
      <c r="BL86" s="397"/>
      <c r="BM86" s="397"/>
      <c r="BN86" s="398"/>
    </row>
    <row r="87" spans="1:89" ht="16.5" thickTop="1" thickBot="1">
      <c r="A87" s="344" t="s">
        <v>204</v>
      </c>
      <c r="B87" s="344"/>
      <c r="C87" s="476" t="s">
        <v>209</v>
      </c>
      <c r="D87" s="476"/>
      <c r="E87" s="476"/>
      <c r="F87" s="345"/>
      <c r="G87" s="476" t="s">
        <v>215</v>
      </c>
      <c r="H87" s="476"/>
      <c r="I87" s="476"/>
      <c r="J87" s="345"/>
      <c r="K87" s="476" t="s">
        <v>216</v>
      </c>
      <c r="L87" s="476"/>
      <c r="M87" s="476"/>
      <c r="N87" s="345"/>
      <c r="O87" s="476" t="s">
        <v>217</v>
      </c>
      <c r="P87" s="476"/>
      <c r="Q87" s="476"/>
      <c r="R87" s="345"/>
      <c r="S87" s="476" t="s">
        <v>218</v>
      </c>
      <c r="T87" s="476"/>
      <c r="U87" s="476"/>
      <c r="V87" s="345"/>
      <c r="W87" s="476" t="s">
        <v>219</v>
      </c>
      <c r="X87" s="476"/>
      <c r="Y87" s="476"/>
      <c r="Z87" s="345"/>
      <c r="AA87" s="476" t="s">
        <v>220</v>
      </c>
      <c r="AB87" s="476"/>
      <c r="AC87" s="476"/>
      <c r="AD87" s="345"/>
      <c r="AE87" s="476" t="s">
        <v>221</v>
      </c>
      <c r="AF87" s="476"/>
      <c r="AG87" s="476"/>
      <c r="AH87" s="345"/>
      <c r="AI87" s="476" t="s">
        <v>222</v>
      </c>
      <c r="AJ87" s="476"/>
      <c r="AK87" s="476"/>
      <c r="AL87" s="345"/>
      <c r="AM87" s="476" t="s">
        <v>223</v>
      </c>
      <c r="AN87" s="476"/>
      <c r="AO87" s="476"/>
      <c r="AP87" s="345"/>
      <c r="AQ87" s="476" t="s">
        <v>224</v>
      </c>
      <c r="AR87" s="476"/>
      <c r="AS87" s="476"/>
      <c r="AT87" s="345"/>
      <c r="AU87" s="476" t="s">
        <v>229</v>
      </c>
      <c r="AV87" s="476"/>
      <c r="AW87" s="476"/>
      <c r="AX87" s="345"/>
      <c r="AY87" s="476" t="s">
        <v>230</v>
      </c>
      <c r="AZ87" s="476"/>
      <c r="BA87" s="476"/>
      <c r="BB87" s="345"/>
      <c r="BC87" s="476" t="s">
        <v>231</v>
      </c>
      <c r="BD87" s="476"/>
      <c r="BE87" s="476"/>
      <c r="BF87" s="345"/>
      <c r="BG87" s="476" t="s">
        <v>232</v>
      </c>
      <c r="BH87" s="476"/>
      <c r="BI87" s="476"/>
      <c r="BK87" s="125" t="s">
        <v>79</v>
      </c>
      <c r="BL87" s="198" t="s">
        <v>31</v>
      </c>
      <c r="BM87" s="126" t="s">
        <v>52</v>
      </c>
      <c r="BN87" s="127" t="s">
        <v>54</v>
      </c>
      <c r="BQ87" t="s">
        <v>237</v>
      </c>
      <c r="BS87">
        <v>654</v>
      </c>
      <c r="BT87">
        <f>C122</f>
        <v>430.34682471298538</v>
      </c>
      <c r="BU87">
        <f>BS87/10</f>
        <v>65.400000000000006</v>
      </c>
    </row>
    <row r="88" spans="1:89" ht="15.75" thickTop="1">
      <c r="A88" s="346" t="s">
        <v>211</v>
      </c>
      <c r="B88" s="344" t="s">
        <v>213</v>
      </c>
      <c r="C88" s="476">
        <v>65.400000000000006</v>
      </c>
      <c r="D88" s="476"/>
      <c r="E88" s="476"/>
      <c r="F88" s="345"/>
      <c r="G88" s="476">
        <v>50.64</v>
      </c>
      <c r="H88" s="476"/>
      <c r="I88" s="476"/>
      <c r="J88" s="345"/>
      <c r="K88" s="476">
        <v>47.06</v>
      </c>
      <c r="L88" s="476"/>
      <c r="M88" s="476"/>
      <c r="N88" s="345"/>
      <c r="O88" s="476">
        <v>43.480000000000004</v>
      </c>
      <c r="P88" s="476"/>
      <c r="Q88" s="476"/>
      <c r="R88" s="345"/>
      <c r="S88" s="476">
        <v>39.9</v>
      </c>
      <c r="T88" s="476"/>
      <c r="U88" s="476"/>
      <c r="V88" s="345"/>
      <c r="W88" s="476">
        <v>36.32</v>
      </c>
      <c r="X88" s="476"/>
      <c r="Y88" s="476"/>
      <c r="Z88" s="345"/>
      <c r="AA88" s="476">
        <v>32.739999999999995</v>
      </c>
      <c r="AB88" s="476"/>
      <c r="AC88" s="476"/>
      <c r="AD88" s="345"/>
      <c r="AE88" s="476">
        <v>29.160000000000004</v>
      </c>
      <c r="AF88" s="476"/>
      <c r="AG88" s="476"/>
      <c r="AH88" s="345"/>
      <c r="AI88" s="476">
        <v>25.580000000000002</v>
      </c>
      <c r="AJ88" s="476"/>
      <c r="AK88" s="476"/>
      <c r="AL88" s="345"/>
      <c r="AM88" s="476">
        <v>22</v>
      </c>
      <c r="AN88" s="476"/>
      <c r="AO88" s="476"/>
      <c r="AP88" s="345"/>
      <c r="AQ88" s="476">
        <v>18.419999999999998</v>
      </c>
      <c r="AR88" s="476"/>
      <c r="AS88" s="476"/>
      <c r="AT88" s="345"/>
      <c r="AU88" s="476">
        <v>11.26</v>
      </c>
      <c r="AV88" s="476"/>
      <c r="AW88" s="476"/>
      <c r="AX88" s="345"/>
      <c r="AY88">
        <v>7.68</v>
      </c>
      <c r="BB88" s="345"/>
      <c r="BC88">
        <v>4.0999999999999996</v>
      </c>
      <c r="BF88" s="345"/>
      <c r="BG88">
        <v>0.52</v>
      </c>
      <c r="BK88" s="328">
        <v>654</v>
      </c>
      <c r="BL88" s="7">
        <f>BK88/10</f>
        <v>65.400000000000006</v>
      </c>
      <c r="BM88" s="252"/>
      <c r="BN88" s="252">
        <v>0</v>
      </c>
      <c r="BO88">
        <v>0</v>
      </c>
      <c r="BP88" t="s">
        <v>238</v>
      </c>
      <c r="BQ88">
        <v>49.73</v>
      </c>
      <c r="BS88" s="328">
        <v>506.4</v>
      </c>
      <c r="BT88">
        <f>G122</f>
        <v>430.3464223096754</v>
      </c>
      <c r="BU88">
        <f t="shared" ref="BU88:BU101" si="9">BS88/10</f>
        <v>50.64</v>
      </c>
    </row>
    <row r="89" spans="1:89" ht="15">
      <c r="A89" s="346" t="s">
        <v>212</v>
      </c>
      <c r="B89" s="344" t="s">
        <v>29</v>
      </c>
      <c r="C89" s="478">
        <v>381.05</v>
      </c>
      <c r="D89" s="476"/>
      <c r="E89" s="476"/>
      <c r="F89" s="345"/>
      <c r="G89" s="476">
        <v>381.05</v>
      </c>
      <c r="H89" s="476"/>
      <c r="I89" s="476"/>
      <c r="J89" s="345"/>
      <c r="K89" s="476">
        <v>381.05</v>
      </c>
      <c r="L89" s="476"/>
      <c r="M89" s="476"/>
      <c r="N89" s="345"/>
      <c r="O89" s="476">
        <v>381.05</v>
      </c>
      <c r="P89" s="476"/>
      <c r="Q89" s="476"/>
      <c r="R89" s="345"/>
      <c r="S89" s="476">
        <v>381.05</v>
      </c>
      <c r="T89" s="476"/>
      <c r="U89" s="476"/>
      <c r="V89" s="345"/>
      <c r="W89" s="476">
        <v>381.05</v>
      </c>
      <c r="X89" s="476"/>
      <c r="Y89" s="476"/>
      <c r="Z89" s="345"/>
      <c r="AA89" s="476">
        <v>381.05</v>
      </c>
      <c r="AB89" s="476"/>
      <c r="AC89" s="476"/>
      <c r="AD89" s="345"/>
      <c r="AE89" s="476">
        <v>381.05</v>
      </c>
      <c r="AF89" s="476"/>
      <c r="AG89" s="476"/>
      <c r="AH89" s="345"/>
      <c r="AI89" s="476">
        <v>381.05</v>
      </c>
      <c r="AJ89" s="476"/>
      <c r="AK89" s="476"/>
      <c r="AL89" s="345"/>
      <c r="AM89" s="476">
        <v>381.05</v>
      </c>
      <c r="AN89" s="476"/>
      <c r="AO89" s="476"/>
      <c r="AP89" s="345"/>
      <c r="AQ89" s="476">
        <v>381.05</v>
      </c>
      <c r="AR89" s="476"/>
      <c r="AS89" s="476"/>
      <c r="AT89" s="345"/>
      <c r="AU89" s="476">
        <v>381.05</v>
      </c>
      <c r="AV89" s="476"/>
      <c r="AW89" s="476"/>
      <c r="AX89" s="345"/>
      <c r="AY89">
        <v>381.05</v>
      </c>
      <c r="BB89" s="345"/>
      <c r="BC89">
        <v>381.05</v>
      </c>
      <c r="BF89" s="345"/>
      <c r="BG89">
        <v>293</v>
      </c>
      <c r="BK89" s="328">
        <v>497.3</v>
      </c>
      <c r="BL89" s="7">
        <f t="shared" ref="BL89:BL102" si="10">BK89/10</f>
        <v>49.730000000000004</v>
      </c>
      <c r="BM89" s="8"/>
      <c r="BN89" s="8">
        <v>0</v>
      </c>
      <c r="BO89">
        <v>0</v>
      </c>
      <c r="BS89">
        <v>503.7</v>
      </c>
      <c r="BT89">
        <f>BT88</f>
        <v>430.3464223096754</v>
      </c>
      <c r="BU89">
        <f t="shared" si="9"/>
        <v>50.37</v>
      </c>
      <c r="CH89" t="s">
        <v>257</v>
      </c>
    </row>
    <row r="90" spans="1:89">
      <c r="A90" s="344"/>
      <c r="B90" s="344"/>
      <c r="C90" s="344" t="s">
        <v>160</v>
      </c>
      <c r="D90" s="344" t="s">
        <v>161</v>
      </c>
      <c r="E90" s="344" t="s">
        <v>162</v>
      </c>
      <c r="F90" s="345"/>
      <c r="G90" s="344" t="s">
        <v>160</v>
      </c>
      <c r="H90" s="344" t="s">
        <v>161</v>
      </c>
      <c r="I90" s="344" t="s">
        <v>162</v>
      </c>
      <c r="J90" s="345"/>
      <c r="K90" s="344" t="s">
        <v>160</v>
      </c>
      <c r="L90" s="344" t="s">
        <v>161</v>
      </c>
      <c r="M90" s="344" t="s">
        <v>162</v>
      </c>
      <c r="N90" s="345"/>
      <c r="O90" s="344" t="s">
        <v>160</v>
      </c>
      <c r="P90" s="344" t="s">
        <v>161</v>
      </c>
      <c r="Q90" s="344" t="s">
        <v>162</v>
      </c>
      <c r="R90" s="345"/>
      <c r="S90" s="344" t="s">
        <v>160</v>
      </c>
      <c r="T90" s="344" t="s">
        <v>161</v>
      </c>
      <c r="U90" s="344" t="s">
        <v>162</v>
      </c>
      <c r="V90" s="345"/>
      <c r="W90" s="344" t="s">
        <v>160</v>
      </c>
      <c r="X90" s="344" t="s">
        <v>161</v>
      </c>
      <c r="Y90" s="344" t="s">
        <v>162</v>
      </c>
      <c r="Z90" s="345"/>
      <c r="AA90" s="344" t="s">
        <v>160</v>
      </c>
      <c r="AB90" s="344" t="s">
        <v>161</v>
      </c>
      <c r="AC90" s="344" t="s">
        <v>162</v>
      </c>
      <c r="AD90" s="345"/>
      <c r="AE90" s="344" t="s">
        <v>160</v>
      </c>
      <c r="AF90" s="344" t="s">
        <v>161</v>
      </c>
      <c r="AG90" s="344" t="s">
        <v>162</v>
      </c>
      <c r="AH90" s="345"/>
      <c r="AI90" s="344" t="s">
        <v>160</v>
      </c>
      <c r="AJ90" s="344" t="s">
        <v>161</v>
      </c>
      <c r="AK90" s="344" t="s">
        <v>162</v>
      </c>
      <c r="AL90" s="345"/>
      <c r="AM90" s="344" t="s">
        <v>160</v>
      </c>
      <c r="AN90" s="344" t="s">
        <v>161</v>
      </c>
      <c r="AO90" s="344" t="s">
        <v>162</v>
      </c>
      <c r="AP90" s="345"/>
      <c r="AQ90" s="344" t="s">
        <v>160</v>
      </c>
      <c r="AR90" s="344" t="s">
        <v>161</v>
      </c>
      <c r="AS90" s="344" t="s">
        <v>162</v>
      </c>
      <c r="AT90" s="345"/>
      <c r="AU90" s="344" t="s">
        <v>160</v>
      </c>
      <c r="AV90" s="344" t="s">
        <v>161</v>
      </c>
      <c r="AW90" s="344" t="s">
        <v>162</v>
      </c>
      <c r="AX90" s="345"/>
      <c r="AY90" s="344" t="s">
        <v>160</v>
      </c>
      <c r="AZ90" s="344" t="s">
        <v>161</v>
      </c>
      <c r="BA90" s="344" t="s">
        <v>162</v>
      </c>
      <c r="BB90" s="345"/>
      <c r="BC90" s="344" t="s">
        <v>160</v>
      </c>
      <c r="BD90" s="344" t="s">
        <v>161</v>
      </c>
      <c r="BE90" s="344" t="s">
        <v>162</v>
      </c>
      <c r="BF90" s="345"/>
      <c r="BG90" s="344" t="s">
        <v>160</v>
      </c>
      <c r="BH90" s="344" t="s">
        <v>161</v>
      </c>
      <c r="BI90" s="344" t="s">
        <v>162</v>
      </c>
      <c r="BK90" s="328">
        <v>470.6</v>
      </c>
      <c r="BL90" s="7">
        <f t="shared" si="10"/>
        <v>47.06</v>
      </c>
      <c r="BM90" s="8"/>
      <c r="BN90" s="8">
        <v>1.7176405530654689E-2</v>
      </c>
      <c r="BO90">
        <f>BN90/0.6</f>
        <v>2.8627342551091148E-2</v>
      </c>
      <c r="BS90" s="328">
        <v>470.6</v>
      </c>
      <c r="BT90">
        <f>C122-K122</f>
        <v>391.24819372850919</v>
      </c>
      <c r="BU90">
        <f t="shared" si="9"/>
        <v>47.06</v>
      </c>
      <c r="CH90" t="s">
        <v>258</v>
      </c>
      <c r="CI90" t="s">
        <v>254</v>
      </c>
    </row>
    <row r="91" spans="1:89">
      <c r="A91" s="344" t="s">
        <v>205</v>
      </c>
      <c r="B91" s="344"/>
      <c r="C91" s="13">
        <v>0.25070519051173279</v>
      </c>
      <c r="D91" s="13">
        <v>0.74929480948826721</v>
      </c>
      <c r="E91" s="13"/>
      <c r="F91" s="347"/>
      <c r="G91" s="13">
        <v>0.25085721175417452</v>
      </c>
      <c r="H91" s="13">
        <v>0.74914278824582548</v>
      </c>
      <c r="I91" s="13"/>
      <c r="J91" s="347"/>
      <c r="K91" s="13">
        <v>4.8523414747711317E-3</v>
      </c>
      <c r="L91" s="13">
        <v>0.22359889068334232</v>
      </c>
      <c r="M91" s="13">
        <v>0.7490857408130297</v>
      </c>
      <c r="N91" s="347"/>
      <c r="O91" s="13">
        <v>9.3542491874098535E-3</v>
      </c>
      <c r="P91" s="13">
        <v>0.21187898079936798</v>
      </c>
      <c r="Q91" s="13">
        <v>0.74901491447343449</v>
      </c>
      <c r="R91" s="347"/>
      <c r="S91" s="13">
        <v>1.2259821511498854E-2</v>
      </c>
      <c r="T91" s="13">
        <v>0.20072288589355725</v>
      </c>
      <c r="U91" s="13">
        <v>0.74893548961302225</v>
      </c>
      <c r="V91" s="347"/>
      <c r="W91" s="13">
        <v>1.4267379448997378E-2</v>
      </c>
      <c r="X91" s="13">
        <v>0.18946915441804499</v>
      </c>
      <c r="Y91" s="13">
        <v>0.74884945013405846</v>
      </c>
      <c r="Z91" s="347"/>
      <c r="AA91" s="13">
        <v>1.5612795462948408E-2</v>
      </c>
      <c r="AB91" s="13">
        <v>0.17769697669763851</v>
      </c>
      <c r="AC91" s="13">
        <v>0.74876102205264838</v>
      </c>
      <c r="AD91" s="347"/>
      <c r="AE91" s="13">
        <v>1.6384397644470305E-2</v>
      </c>
      <c r="AF91" s="13">
        <v>0.1651355696510215</v>
      </c>
      <c r="AG91" s="13">
        <v>0.7486579946560582</v>
      </c>
      <c r="AH91" s="347"/>
      <c r="AI91" s="13">
        <v>1.6655309987478415E-2</v>
      </c>
      <c r="AJ91" s="13">
        <v>0.15148020155637126</v>
      </c>
      <c r="AK91" s="13">
        <v>0.74854360202292991</v>
      </c>
      <c r="AL91" s="347"/>
      <c r="AM91" s="13">
        <v>1.6434472287236251E-2</v>
      </c>
      <c r="AN91" s="13">
        <v>0.13653603390645033</v>
      </c>
      <c r="AO91" s="13">
        <v>0.74841363891607204</v>
      </c>
      <c r="AP91" s="347"/>
      <c r="AQ91" s="13">
        <v>1.5731672817845592E-2</v>
      </c>
      <c r="AR91" s="13">
        <v>0.12018997189600054</v>
      </c>
      <c r="AS91" s="13">
        <v>0.74825707376279316</v>
      </c>
      <c r="AT91" s="347"/>
      <c r="AU91">
        <v>1.3217811160892162E-2</v>
      </c>
      <c r="AV91">
        <v>0.10413196639088748</v>
      </c>
      <c r="AW91">
        <v>0.74774804429426645</v>
      </c>
      <c r="AX91" s="347"/>
      <c r="AY91">
        <v>1.1501832322204239E-2</v>
      </c>
      <c r="AZ91">
        <v>6.3684709475775689E-2</v>
      </c>
      <c r="BA91">
        <v>0.74737616738056212</v>
      </c>
      <c r="BB91" s="347"/>
      <c r="BC91">
        <v>9.5657467475696346E-3</v>
      </c>
      <c r="BD91">
        <v>4.3990174387661785E-2</v>
      </c>
      <c r="BE91">
        <v>0.74668013671396372</v>
      </c>
      <c r="BF91" s="347"/>
      <c r="BG91">
        <v>6.384279817491437E-3</v>
      </c>
      <c r="BH91">
        <v>3.177949983181929E-2</v>
      </c>
      <c r="BI91">
        <v>0.73963623090141684</v>
      </c>
      <c r="BK91" s="328">
        <v>434.8</v>
      </c>
      <c r="BL91" s="7">
        <f t="shared" si="10"/>
        <v>43.480000000000004</v>
      </c>
      <c r="BM91" s="8"/>
      <c r="BN91" s="8">
        <v>3.4410146875227733E-2</v>
      </c>
      <c r="BO91">
        <f t="shared" ref="BO91:BO102" si="11">BN91/0.6</f>
        <v>5.7350244792046222E-2</v>
      </c>
      <c r="BS91" s="328">
        <v>434.8</v>
      </c>
      <c r="BT91">
        <f>C122-O122</f>
        <v>348.82631547534015</v>
      </c>
      <c r="BU91">
        <f t="shared" si="9"/>
        <v>43.480000000000004</v>
      </c>
      <c r="CG91" s="7">
        <v>65.400000000000006</v>
      </c>
      <c r="CH91" s="191">
        <f>(1.337/C88/10*47482+10^((-1713.3/(273.15+107.9))+6.694))*0.016*(10^(-7)*107.9^2-1.1*10^(-3)*107.9*C93/29-0.079*(C93/29)^2+0.73*10^(-3)*107.9+0.156*C93/29+0.927)*(1-0.00492*8.841-0.00017672*8.841^2)</f>
        <v>3.7241302406528853</v>
      </c>
      <c r="CI91" s="79">
        <v>3.3999061735968004E-3</v>
      </c>
      <c r="CJ91">
        <f t="shared" ref="CJ91:CJ105" si="12">CI91*18/0.02404</f>
        <v>2.5456868188328792</v>
      </c>
      <c r="CK91">
        <f>(CH91-CJ91)/CH91*100</f>
        <v>31.643453522544117</v>
      </c>
    </row>
    <row r="92" spans="1:89">
      <c r="A92" s="344" t="s">
        <v>206</v>
      </c>
      <c r="B92" s="344" t="s">
        <v>210</v>
      </c>
      <c r="C92" s="13">
        <v>17.930469084882638</v>
      </c>
      <c r="D92" s="13">
        <v>11.910940503235297</v>
      </c>
      <c r="E92" s="13"/>
      <c r="F92" s="347"/>
      <c r="G92" s="13">
        <v>19.62167048561173</v>
      </c>
      <c r="H92" s="13">
        <v>11.976762994255186</v>
      </c>
      <c r="I92" s="13"/>
      <c r="J92" s="347"/>
      <c r="K92" s="13">
        <v>0.51256815269188072</v>
      </c>
      <c r="L92" s="13">
        <v>17.91994708330003</v>
      </c>
      <c r="M92" s="13">
        <v>11.993044930046839</v>
      </c>
      <c r="N92" s="347"/>
      <c r="O92" s="13">
        <v>1.0268472868909673</v>
      </c>
      <c r="P92" s="13">
        <v>17.492865523169492</v>
      </c>
      <c r="Q92" s="13">
        <v>12.009422619811925</v>
      </c>
      <c r="R92" s="347"/>
      <c r="S92" s="13">
        <v>1.4002091415702149</v>
      </c>
      <c r="T92" s="13">
        <v>17.215645230351246</v>
      </c>
      <c r="U92" s="13">
        <v>12.025962542940219</v>
      </c>
      <c r="V92" s="347"/>
      <c r="W92" s="13">
        <v>1.6933596586666981</v>
      </c>
      <c r="X92" s="13">
        <v>17.051722002304324</v>
      </c>
      <c r="Y92" s="13">
        <v>12.042667153787143</v>
      </c>
      <c r="Z92" s="347"/>
      <c r="AA92" s="13">
        <v>1.9259151408720487</v>
      </c>
      <c r="AB92" s="13">
        <v>16.993259780231107</v>
      </c>
      <c r="AC92" s="13">
        <v>12.059552768320531</v>
      </c>
      <c r="AD92" s="347"/>
      <c r="AE92" s="13">
        <v>2.104509540680696</v>
      </c>
      <c r="AF92" s="13">
        <v>17.054462471982447</v>
      </c>
      <c r="AG92" s="13">
        <v>12.076538214581543</v>
      </c>
      <c r="AH92" s="347"/>
      <c r="AI92" s="13">
        <v>2.2335427954091878</v>
      </c>
      <c r="AJ92" s="13">
        <v>17.256658795707306</v>
      </c>
      <c r="AK92" s="13">
        <v>12.093614260276006</v>
      </c>
      <c r="AL92" s="347"/>
      <c r="AM92" s="13">
        <v>2.3107799799379958</v>
      </c>
      <c r="AN92" s="13">
        <v>17.643204602471819</v>
      </c>
      <c r="AO92" s="13">
        <v>12.110712541428764</v>
      </c>
      <c r="AP92" s="347"/>
      <c r="AQ92" s="13">
        <v>2.3336821819741584</v>
      </c>
      <c r="AR92" s="13">
        <v>18.282497869782354</v>
      </c>
      <c r="AS92" s="13">
        <v>12.127688422899906</v>
      </c>
      <c r="AT92" s="347"/>
      <c r="AU92">
        <v>2.23970910689594</v>
      </c>
      <c r="AV92">
        <v>26.105936140359443</v>
      </c>
      <c r="AW92">
        <v>12.159338395083294</v>
      </c>
      <c r="AX92" s="347"/>
      <c r="AY92">
        <v>2.1238144869785156</v>
      </c>
      <c r="AZ92">
        <v>23.935383691636051</v>
      </c>
      <c r="BA92">
        <v>12.173502985082736</v>
      </c>
      <c r="BB92" s="347"/>
      <c r="BC92">
        <v>1.9668615737922936</v>
      </c>
      <c r="BD92">
        <v>32.025861118834527</v>
      </c>
      <c r="BE92">
        <v>12.182646577129892</v>
      </c>
      <c r="BF92" s="347"/>
      <c r="BG92">
        <v>1.5997298225289207</v>
      </c>
      <c r="BH92">
        <v>190.67300932254597</v>
      </c>
      <c r="BI92">
        <v>12.095688412945217</v>
      </c>
      <c r="BK92" s="328">
        <v>399</v>
      </c>
      <c r="BL92" s="7">
        <f t="shared" si="10"/>
        <v>39.9</v>
      </c>
      <c r="BM92" s="8"/>
      <c r="BN92" s="114">
        <v>4.6921682350010083E-2</v>
      </c>
      <c r="BO92">
        <f t="shared" si="11"/>
        <v>7.820280391668348E-2</v>
      </c>
      <c r="BS92" s="328">
        <v>399</v>
      </c>
      <c r="BT92">
        <f>C122-S122</f>
        <v>314.93978723162854</v>
      </c>
      <c r="BU92">
        <f t="shared" si="9"/>
        <v>39.9</v>
      </c>
      <c r="CG92" s="7">
        <v>50.64</v>
      </c>
      <c r="CH92" s="191">
        <f>(1.337/G88/10*47482+10^((-1713.3/(273.15+107.9))+6.694))*0.016*(10^(-7)*107.9^2-1.1*10^(-3)*107.9*G93/29-0.079*(G93/29)^2+0.73*10^(-3)*107.9+0.156*G93/29+0.927)*(1-0.00492*8.841-0.00017672*8.841^2)</f>
        <v>4.1378530732791248</v>
      </c>
      <c r="CI92" s="13">
        <v>3.9682736396849019E-3</v>
      </c>
      <c r="CJ92">
        <f t="shared" si="12"/>
        <v>2.9712531411950183</v>
      </c>
      <c r="CK92">
        <f t="shared" ref="CK92:CK104" si="13">(CH92-CJ92)/CH92*100</f>
        <v>28.193362872587713</v>
      </c>
    </row>
    <row r="93" spans="1:89">
      <c r="A93" s="344" t="s">
        <v>207</v>
      </c>
      <c r="B93" s="344"/>
      <c r="C93" s="13">
        <v>28.009189580590895</v>
      </c>
      <c r="D93" s="13">
        <v>19.136441133278982</v>
      </c>
      <c r="E93" s="13"/>
      <c r="F93" s="347"/>
      <c r="G93" s="13">
        <v>28.003591529224881</v>
      </c>
      <c r="H93" s="13">
        <v>19.136515171653205</v>
      </c>
      <c r="I93" s="13"/>
      <c r="J93" s="347"/>
      <c r="K93" s="13">
        <v>64.490632883288455</v>
      </c>
      <c r="L93" s="13">
        <v>27.209596869040361</v>
      </c>
      <c r="M93" s="13">
        <v>19.136492340126821</v>
      </c>
      <c r="N93" s="347"/>
      <c r="O93" s="13">
        <v>67.927008361221354</v>
      </c>
      <c r="P93" s="13">
        <v>26.262733662420942</v>
      </c>
      <c r="Q93" s="13">
        <v>19.136583295114338</v>
      </c>
      <c r="R93" s="347"/>
      <c r="S93" s="13">
        <v>71.593431341909167</v>
      </c>
      <c r="T93" s="13">
        <v>25.432202425936946</v>
      </c>
      <c r="U93" s="13">
        <v>19.136760050413667</v>
      </c>
      <c r="V93" s="347"/>
      <c r="W93" s="13">
        <v>75.163839226392142</v>
      </c>
      <c r="X93" s="13">
        <v>24.670683873569644</v>
      </c>
      <c r="Y93" s="13">
        <v>19.136934870623882</v>
      </c>
      <c r="Z93" s="347"/>
      <c r="AA93" s="13">
        <v>78.820904022416499</v>
      </c>
      <c r="AB93" s="13">
        <v>23.964174020808727</v>
      </c>
      <c r="AC93" s="13">
        <v>19.136966952386931</v>
      </c>
      <c r="AD93" s="347"/>
      <c r="AE93" s="13">
        <v>82.847962712178699</v>
      </c>
      <c r="AF93" s="13">
        <v>23.304590217811441</v>
      </c>
      <c r="AG93" s="13">
        <v>19.137120439043347</v>
      </c>
      <c r="AH93" s="347"/>
      <c r="AI93" s="13">
        <v>87.428450331561976</v>
      </c>
      <c r="AJ93" s="13">
        <v>22.690745269750391</v>
      </c>
      <c r="AK93" s="13">
        <v>19.137238204885236</v>
      </c>
      <c r="AL93" s="347"/>
      <c r="AM93" s="13">
        <v>92.901202740766507</v>
      </c>
      <c r="AN93" s="13">
        <v>22.132885951975833</v>
      </c>
      <c r="AO93" s="13">
        <v>19.137319446067892</v>
      </c>
      <c r="AP93" s="347"/>
      <c r="AQ93" s="13">
        <v>99.720720207944296</v>
      </c>
      <c r="AR93" s="13">
        <v>21.649280184860608</v>
      </c>
      <c r="AS93" s="13">
        <v>19.137465225042252</v>
      </c>
      <c r="AT93" s="347"/>
      <c r="AU93">
        <v>119.44058693166095</v>
      </c>
      <c r="AV93">
        <v>21.014818621548674</v>
      </c>
      <c r="AW93">
        <v>19.137995440348352</v>
      </c>
      <c r="AX93" s="347"/>
      <c r="AY93">
        <v>134.26580605109345</v>
      </c>
      <c r="AZ93">
        <v>20.976091543177322</v>
      </c>
      <c r="BA93">
        <v>19.138193100749202</v>
      </c>
      <c r="BB93" s="347"/>
      <c r="BC93">
        <v>155.14158732830177</v>
      </c>
      <c r="BD93">
        <v>21.385487064267537</v>
      </c>
      <c r="BE93">
        <v>19.138671928423761</v>
      </c>
      <c r="BF93" s="347"/>
      <c r="BG93">
        <v>201.47139517057323</v>
      </c>
      <c r="BH93">
        <v>24.738049852478341</v>
      </c>
      <c r="BI93">
        <v>19.148662014715764</v>
      </c>
      <c r="BK93" s="328">
        <v>363.2</v>
      </c>
      <c r="BL93" s="7">
        <f t="shared" si="10"/>
        <v>36.32</v>
      </c>
      <c r="BM93" s="8"/>
      <c r="BN93" s="114">
        <v>5.6745297291216079E-2</v>
      </c>
      <c r="BO93">
        <f t="shared" si="11"/>
        <v>9.4575495485360137E-2</v>
      </c>
      <c r="BS93" s="328">
        <v>363.2</v>
      </c>
      <c r="BT93">
        <f>C122-W122</f>
        <v>286.26027888899807</v>
      </c>
      <c r="BU93">
        <f t="shared" si="9"/>
        <v>36.32</v>
      </c>
      <c r="CG93" s="7">
        <v>47.06</v>
      </c>
      <c r="CH93" s="191">
        <f>(1.337/K88/10*47482+10^((-1713.3/(273.15+107.9))+6.694))*0.016*(10^(-7)*107.9^2-1.1*10^(-3)*107.9*L93/29-0.079*(L93/29)^2+0.73*10^(-3)*107.9+0.156*L93/29+0.927)*(1-0.00492*8.841-0.00017672*8.841^2)</f>
        <v>4.2909428811408352</v>
      </c>
      <c r="CI93" s="13">
        <v>4.2972310829694068E-3</v>
      </c>
      <c r="CJ93">
        <f t="shared" si="12"/>
        <v>3.2175607110419855</v>
      </c>
      <c r="CK93">
        <f t="shared" si="13"/>
        <v>25.015065449052752</v>
      </c>
    </row>
    <row r="94" spans="1:89">
      <c r="A94" s="344" t="s">
        <v>16</v>
      </c>
      <c r="B94" s="344"/>
      <c r="C94" s="13">
        <v>1.3954300782543734</v>
      </c>
      <c r="D94" s="13">
        <v>0.53180180177308156</v>
      </c>
      <c r="E94" s="13"/>
      <c r="F94" s="347"/>
      <c r="G94" s="13">
        <v>1.187671683226587</v>
      </c>
      <c r="H94" s="13">
        <v>0.41324669706779493</v>
      </c>
      <c r="I94" s="13"/>
      <c r="J94" s="347"/>
      <c r="K94" s="13">
        <v>1.5625692700013405</v>
      </c>
      <c r="L94" s="13">
        <v>1.1312239047617623</v>
      </c>
      <c r="M94" s="13">
        <v>0.38437582972756745</v>
      </c>
      <c r="N94" s="347"/>
      <c r="O94" s="13">
        <v>1.5045415876311048</v>
      </c>
      <c r="P94" s="13">
        <v>1.0771842827066986</v>
      </c>
      <c r="Q94" s="13">
        <v>0.35545962982805968</v>
      </c>
      <c r="R94" s="347"/>
      <c r="S94" s="13">
        <v>1.440379949174198</v>
      </c>
      <c r="T94" s="13">
        <v>1.0279952900413392</v>
      </c>
      <c r="U94" s="13">
        <v>0.3264958921681187</v>
      </c>
      <c r="V94" s="347"/>
      <c r="W94" s="13">
        <v>1.3656598930622639</v>
      </c>
      <c r="X94" s="13">
        <v>0.98353789588286933</v>
      </c>
      <c r="Y94" s="13">
        <v>0.29748211653292489</v>
      </c>
      <c r="Z94" s="347"/>
      <c r="AA94" s="13">
        <v>1.2820989644511507</v>
      </c>
      <c r="AB94" s="13">
        <v>0.9442571712700033</v>
      </c>
      <c r="AC94" s="13">
        <v>0.26841557445182818</v>
      </c>
      <c r="AD94" s="347"/>
      <c r="AE94" s="13">
        <v>1.1914802564191547</v>
      </c>
      <c r="AF94" s="13">
        <v>0.91095527717684432</v>
      </c>
      <c r="AG94" s="13">
        <v>0.23929815964466838</v>
      </c>
      <c r="AH94" s="347"/>
      <c r="AI94" s="13">
        <v>1.0936256180873476</v>
      </c>
      <c r="AJ94" s="13">
        <v>0.88475750367318795</v>
      </c>
      <c r="AK94" s="13">
        <v>0.21012679469721846</v>
      </c>
      <c r="AL94" s="347"/>
      <c r="AM94" s="13">
        <v>0.98866042184131486</v>
      </c>
      <c r="AN94" s="13">
        <v>0.86696678530314397</v>
      </c>
      <c r="AO94" s="13">
        <v>0.1809002562119208</v>
      </c>
      <c r="AP94" s="347"/>
      <c r="AQ94" s="13">
        <v>0.87602603877330221</v>
      </c>
      <c r="AR94" s="13">
        <v>0.85886399068484232</v>
      </c>
      <c r="AS94" s="13">
        <v>0.15161789018700284</v>
      </c>
      <c r="AT94" s="347"/>
      <c r="AU94">
        <v>0.6168713412050596</v>
      </c>
      <c r="AV94">
        <v>0.87538581716944663</v>
      </c>
      <c r="AW94">
        <v>9.2879545688044074E-2</v>
      </c>
      <c r="AX94" s="347"/>
      <c r="AY94">
        <v>0.46116908889449004</v>
      </c>
      <c r="AZ94">
        <v>0.90050675740203201</v>
      </c>
      <c r="BA94">
        <v>6.3418578615440702E-2</v>
      </c>
      <c r="BB94" s="347"/>
      <c r="BC94">
        <v>0.27619199601973016</v>
      </c>
      <c r="BD94">
        <v>0.93670043406835557</v>
      </c>
      <c r="BE94">
        <v>3.3895210426073741E-2</v>
      </c>
      <c r="BF94" s="347"/>
      <c r="BG94">
        <v>4.3245429097814536E-2</v>
      </c>
      <c r="BH94">
        <v>0.98457263115096194</v>
      </c>
      <c r="BI94">
        <v>4.3088552514168321E-3</v>
      </c>
      <c r="BK94" s="328">
        <v>327.39999999999998</v>
      </c>
      <c r="BL94" s="7">
        <f t="shared" si="10"/>
        <v>32.739999999999995</v>
      </c>
      <c r="BM94" s="8"/>
      <c r="BN94" s="114">
        <v>6.4538343444704355E-2</v>
      </c>
      <c r="BO94">
        <f t="shared" si="11"/>
        <v>0.10756390574117393</v>
      </c>
      <c r="BS94" s="328">
        <v>327.39999999999998</v>
      </c>
      <c r="BT94">
        <f>C122-AA122</f>
        <v>261.64694856644144</v>
      </c>
      <c r="BU94">
        <f t="shared" si="9"/>
        <v>32.739999999999995</v>
      </c>
      <c r="CG94" s="7">
        <v>43.480000000000004</v>
      </c>
      <c r="CH94" s="191">
        <f>(1.337/O88/10*47482+10^((-1713.3/(273.15+107.9))+6.694))*0.016*(10^(-7)*107.9^2-1.1*10^(-3)*107.9*P93/29-0.079*(P93/29)^2+0.73*10^(-3)*107.9+0.156*P93/29+0.927)*(1-0.00492*8.841-0.00017672*8.841^2)</f>
        <v>4.4700513493314942</v>
      </c>
      <c r="CI94" s="13">
        <v>4.6961811887522333E-3</v>
      </c>
      <c r="CJ94">
        <f t="shared" si="12"/>
        <v>3.5162754325099916</v>
      </c>
      <c r="CK94">
        <f t="shared" si="13"/>
        <v>21.337023722650116</v>
      </c>
    </row>
    <row r="95" spans="1:89">
      <c r="A95" s="344" t="s">
        <v>208</v>
      </c>
      <c r="B95" s="344" t="s">
        <v>27</v>
      </c>
      <c r="C95" s="13">
        <v>391.62663155319473</v>
      </c>
      <c r="D95" s="13">
        <v>1203.8374307510767</v>
      </c>
      <c r="E95" s="13"/>
      <c r="F95" s="347"/>
      <c r="G95" s="13">
        <v>358.01757527604121</v>
      </c>
      <c r="H95" s="13">
        <v>1196.9830529231704</v>
      </c>
      <c r="I95" s="13"/>
      <c r="J95" s="347"/>
      <c r="K95" s="13">
        <v>610.51505254547305</v>
      </c>
      <c r="L95" s="13">
        <v>339.51192197036164</v>
      </c>
      <c r="M95" s="13">
        <v>1195.2655580613075</v>
      </c>
      <c r="N95" s="347"/>
      <c r="O95" s="13">
        <v>618.79324304394436</v>
      </c>
      <c r="P95" s="13">
        <v>318.10232771919118</v>
      </c>
      <c r="Q95" s="13">
        <v>1193.5283446897545</v>
      </c>
      <c r="R95" s="347"/>
      <c r="S95" s="13">
        <v>626.85113501206206</v>
      </c>
      <c r="T95" s="13">
        <v>296.5224362641585</v>
      </c>
      <c r="U95" s="13">
        <v>1191.7714450538622</v>
      </c>
      <c r="V95" s="347"/>
      <c r="W95" s="13">
        <v>633.2919351171621</v>
      </c>
      <c r="X95" s="13">
        <v>274.12677803499622</v>
      </c>
      <c r="Y95" s="13">
        <v>1189.9924636388635</v>
      </c>
      <c r="Z95" s="347"/>
      <c r="AA95" s="13">
        <v>638.97657097677597</v>
      </c>
      <c r="AB95" s="13">
        <v>250.59119483995136</v>
      </c>
      <c r="AC95" s="13">
        <v>1188.1879211887656</v>
      </c>
      <c r="AD95" s="347"/>
      <c r="AE95" s="13">
        <v>645.00252380492122</v>
      </c>
      <c r="AF95" s="13">
        <v>225.65453396283834</v>
      </c>
      <c r="AG95" s="13">
        <v>1186.3630087376077</v>
      </c>
      <c r="AH95" s="347"/>
      <c r="AI95" s="13">
        <v>651.94539589301075</v>
      </c>
      <c r="AJ95" s="13">
        <v>199.18100645190307</v>
      </c>
      <c r="AK95" s="13">
        <v>1184.5141502246568</v>
      </c>
      <c r="AL95" s="347"/>
      <c r="AM95" s="13">
        <v>660.72159839943356</v>
      </c>
      <c r="AN95" s="13">
        <v>171.28047511069479</v>
      </c>
      <c r="AO95" s="13">
        <v>1182.6414702467428</v>
      </c>
      <c r="AP95" s="347"/>
      <c r="AQ95" s="13">
        <v>672.23110138511333</v>
      </c>
      <c r="AR95" s="13">
        <v>142.3233518483114</v>
      </c>
      <c r="AS95" s="13">
        <v>1180.7479899869716</v>
      </c>
      <c r="AT95" s="347"/>
      <c r="AU95">
        <v>704.88757586775705</v>
      </c>
      <c r="AV95">
        <v>83.824398199863708</v>
      </c>
      <c r="AW95">
        <v>1176.9060287046184</v>
      </c>
      <c r="AX95" s="347"/>
      <c r="AY95">
        <v>727.13638468598242</v>
      </c>
      <c r="AZ95">
        <v>55.810941369255048</v>
      </c>
      <c r="BA95">
        <v>1174.9641354468231</v>
      </c>
      <c r="BB95" s="347"/>
      <c r="BC95">
        <v>754.52444349559119</v>
      </c>
      <c r="BD95">
        <v>29.374738803477634</v>
      </c>
      <c r="BE95">
        <v>1173.0182010587259</v>
      </c>
      <c r="BF95" s="347"/>
      <c r="BG95">
        <v>804.04187249317783</v>
      </c>
      <c r="BH95">
        <v>4.12309457914143</v>
      </c>
      <c r="BI95">
        <v>1170.9167528002563</v>
      </c>
      <c r="BK95" s="328">
        <v>291.60000000000002</v>
      </c>
      <c r="BL95" s="7">
        <f t="shared" si="10"/>
        <v>29.160000000000004</v>
      </c>
      <c r="BM95" s="8"/>
      <c r="BN95" s="114">
        <v>7.052312775193624E-2</v>
      </c>
      <c r="BO95">
        <f t="shared" si="11"/>
        <v>0.11753854625322707</v>
      </c>
      <c r="BS95" s="328">
        <v>291.60000000000002</v>
      </c>
      <c r="BT95">
        <f>C122-AE122</f>
        <v>240.55407452587849</v>
      </c>
      <c r="BU95">
        <f t="shared" si="9"/>
        <v>29.160000000000004</v>
      </c>
      <c r="CG95" s="7">
        <v>39.9</v>
      </c>
      <c r="CH95" s="191">
        <f>(1.337/S88/10*47482+10^((-1713.3/(273.15+107.9))+6.694))*0.016*(10^(-7)*107.9^2-1.1*10^(-3)*107.9*T93/29-0.079*(T93/29)^2+0.73*10^(-3)*107.9+0.156*T93/29+0.927)*(1-0.00492*8.841-0.00017672*8.841^2)</f>
        <v>4.6770515021663916</v>
      </c>
      <c r="CI95" s="13">
        <v>5.1154160676819375E-3</v>
      </c>
      <c r="CJ95">
        <f t="shared" si="12"/>
        <v>3.8301784200613516</v>
      </c>
      <c r="CK95">
        <f t="shared" si="13"/>
        <v>18.106986457445931</v>
      </c>
    </row>
    <row r="96" spans="1:89">
      <c r="F96" s="345"/>
      <c r="J96" s="345"/>
      <c r="N96" s="345"/>
      <c r="R96" s="345"/>
      <c r="V96" s="345"/>
      <c r="Z96" s="345"/>
      <c r="AD96" s="345"/>
      <c r="AH96" s="345"/>
      <c r="AL96" s="345"/>
      <c r="AP96" s="345"/>
      <c r="AT96" s="345"/>
      <c r="AX96" s="345"/>
      <c r="BB96" s="345"/>
      <c r="BF96" s="345"/>
      <c r="BK96" s="328">
        <v>255.8</v>
      </c>
      <c r="BL96" s="7">
        <f t="shared" si="10"/>
        <v>25.580000000000002</v>
      </c>
      <c r="BM96" s="8"/>
      <c r="BN96" s="114">
        <v>7.484709423037865E-2</v>
      </c>
      <c r="BO96">
        <f t="shared" si="11"/>
        <v>0.12474515705063109</v>
      </c>
      <c r="BS96" s="328">
        <v>255.8</v>
      </c>
      <c r="BT96">
        <f>C122-AI122</f>
        <v>222.67414972041104</v>
      </c>
      <c r="BU96">
        <f t="shared" si="9"/>
        <v>25.580000000000002</v>
      </c>
      <c r="CG96" s="7">
        <v>36.32</v>
      </c>
      <c r="CH96" s="191">
        <f>(1.337/W88/10*47482+10^((-1713.3/(273.15+107.9))+6.694))*0.016*(10^(-7)*107.9^2-1.1*10^(-3)*107.9*X93/29-0.079*(X93/29)^2+0.73*10^(-3)*107.9+0.156*X93/29+0.927)*(1-0.00492*8.841-0.00017672*8.841^2)</f>
        <v>4.9216628350807108</v>
      </c>
      <c r="CI96" s="13">
        <v>5.5879092624722994E-3</v>
      </c>
      <c r="CJ96">
        <f t="shared" si="12"/>
        <v>4.1839586823835848</v>
      </c>
      <c r="CK96">
        <f t="shared" si="13"/>
        <v>14.988920968720286</v>
      </c>
    </row>
    <row r="97" spans="1:89">
      <c r="A97" s="344" t="s">
        <v>22</v>
      </c>
      <c r="B97" t="s">
        <v>17</v>
      </c>
      <c r="C97" s="79">
        <v>5.3157141614625014E-3</v>
      </c>
      <c r="D97" s="348">
        <v>3.6131130366587226E-5</v>
      </c>
      <c r="E97" s="13"/>
      <c r="F97" s="347"/>
      <c r="G97" s="13">
        <v>5.3217422469795878E-3</v>
      </c>
      <c r="H97" s="13">
        <v>3.3041202073458895E-5</v>
      </c>
      <c r="I97" s="13"/>
      <c r="J97" s="347"/>
      <c r="K97" s="13">
        <v>5.0068679284165267E-3</v>
      </c>
      <c r="L97" s="13">
        <v>5.3299191378305194E-3</v>
      </c>
      <c r="M97" s="13">
        <v>3.223732503665188E-5</v>
      </c>
      <c r="N97" s="347"/>
      <c r="O97" s="13">
        <v>4.9371741872587735E-3</v>
      </c>
      <c r="P97" s="13">
        <v>5.3410835982829708E-3</v>
      </c>
      <c r="Q97" s="13">
        <v>3.1390278405282642E-5</v>
      </c>
      <c r="R97" s="347"/>
      <c r="S97" s="13">
        <v>4.8519174587482831E-3</v>
      </c>
      <c r="T97" s="13">
        <v>5.3535004725463273E-3</v>
      </c>
      <c r="U97" s="13">
        <v>3.0461957854287398E-5</v>
      </c>
      <c r="V97" s="347"/>
      <c r="W97" s="13">
        <v>4.7520762874715544E-3</v>
      </c>
      <c r="X97" s="13">
        <v>5.3679525991332357E-3</v>
      </c>
      <c r="Y97" s="13">
        <v>2.944066468483394E-5</v>
      </c>
      <c r="Z97" s="347"/>
      <c r="AA97" s="13">
        <v>4.6321336075252403E-3</v>
      </c>
      <c r="AB97" s="13">
        <v>5.3852676279396465E-3</v>
      </c>
      <c r="AC97" s="13">
        <v>2.8308591524357207E-5</v>
      </c>
      <c r="AD97" s="347"/>
      <c r="AE97" s="13">
        <v>4.4835980044955334E-3</v>
      </c>
      <c r="AF97" s="13">
        <v>5.4059482597339217E-3</v>
      </c>
      <c r="AG97" s="13">
        <v>2.7036668664360315E-5</v>
      </c>
      <c r="AH97" s="347"/>
      <c r="AI97" s="13">
        <v>4.2973946394151393E-3</v>
      </c>
      <c r="AJ97" s="13">
        <v>5.431174637279444E-3</v>
      </c>
      <c r="AK97" s="13">
        <v>2.5586581084131183E-5</v>
      </c>
      <c r="AL97" s="347"/>
      <c r="AM97" s="13">
        <v>4.0599091763597744E-3</v>
      </c>
      <c r="AN97" s="13">
        <v>5.462025711907674E-3</v>
      </c>
      <c r="AO97" s="13">
        <v>2.3900022435094775E-5</v>
      </c>
      <c r="AP97" s="347"/>
      <c r="AQ97" s="13">
        <v>3.7528436326733526E-3</v>
      </c>
      <c r="AR97" s="13">
        <v>5.4994436432827662E-3</v>
      </c>
      <c r="AS97" s="13">
        <v>2.1890775552550531E-5</v>
      </c>
      <c r="AT97" s="347"/>
      <c r="AU97">
        <v>2.8296191782828141E-3</v>
      </c>
      <c r="AV97">
        <v>5.5875175315628755E-3</v>
      </c>
      <c r="AW97">
        <v>1.634445907538121E-5</v>
      </c>
      <c r="AX97" s="347"/>
      <c r="AY97">
        <v>2.1563518537159607E-3</v>
      </c>
      <c r="AZ97">
        <v>5.6478803498280841E-3</v>
      </c>
      <c r="BA97">
        <v>1.2457973718559394E-5</v>
      </c>
      <c r="BB97" s="347"/>
      <c r="BC97">
        <v>1.2808443289849926E-3</v>
      </c>
      <c r="BD97">
        <v>5.6807419771160673E-3</v>
      </c>
      <c r="BE97">
        <v>7.4316846543220664E-6</v>
      </c>
      <c r="BF97" s="347"/>
      <c r="BG97">
        <v>1.3790273187724901E-4</v>
      </c>
      <c r="BH97">
        <v>4.3663662042455944E-3</v>
      </c>
      <c r="BI97">
        <v>8.1582623581713106E-7</v>
      </c>
      <c r="BK97" s="360">
        <v>220</v>
      </c>
      <c r="BL97" s="7">
        <f t="shared" si="10"/>
        <v>22</v>
      </c>
      <c r="BM97" s="8"/>
      <c r="BN97" s="114">
        <v>7.7435349463454553E-2</v>
      </c>
      <c r="BO97">
        <f t="shared" si="11"/>
        <v>0.12905891577242426</v>
      </c>
      <c r="BS97" s="360">
        <v>220</v>
      </c>
      <c r="BT97">
        <f>C122-AM122</f>
        <v>208.1046422015088</v>
      </c>
      <c r="BU97">
        <f t="shared" si="9"/>
        <v>22</v>
      </c>
      <c r="CG97" s="7">
        <v>32.739999999999995</v>
      </c>
      <c r="CH97" s="191">
        <f>(1.337/AA88/10*47482+10^((-1713.3/(273.15+107.9))+6.694))*0.016*(10^(-7)*107.9^2-1.1*10^(-3)*107.9*AB93/29-0.079*(AB93/29)^2+0.73*10^(-3)*107.9+0.156*AB93/29+0.927)*(1-0.00492*8.841-0.00017672*8.841^2)</f>
        <v>5.2169002546867498</v>
      </c>
      <c r="CI97" s="13">
        <v>6.1225529994108361E-3</v>
      </c>
      <c r="CJ97">
        <f t="shared" si="12"/>
        <v>4.5842742924041202</v>
      </c>
      <c r="CK97">
        <f t="shared" si="13"/>
        <v>12.126472261268406</v>
      </c>
    </row>
    <row r="98" spans="1:89">
      <c r="A98" s="344" t="s">
        <v>23</v>
      </c>
      <c r="B98" t="s">
        <v>17</v>
      </c>
      <c r="C98" s="79">
        <v>2.5398353399919732E-3</v>
      </c>
      <c r="D98" s="348">
        <v>1.2974716953200685E-10</v>
      </c>
      <c r="E98" s="13"/>
      <c r="F98" s="347"/>
      <c r="G98" s="13">
        <v>2.5382962294457391E-3</v>
      </c>
      <c r="H98" s="13">
        <v>1.1383024524405681E-10</v>
      </c>
      <c r="I98" s="13"/>
      <c r="J98" s="347"/>
      <c r="K98" s="13">
        <v>1.7221795487749316E-3</v>
      </c>
      <c r="L98" s="13">
        <v>2.5553592718847006E-3</v>
      </c>
      <c r="M98" s="13">
        <v>1.0873038255767101E-10</v>
      </c>
      <c r="N98" s="347"/>
      <c r="O98" s="13">
        <v>1.6287415292079103E-3</v>
      </c>
      <c r="P98" s="13">
        <v>2.5763333119653196E-3</v>
      </c>
      <c r="Q98" s="13">
        <v>1.0308121086857185E-10</v>
      </c>
      <c r="R98" s="347"/>
      <c r="S98" s="13">
        <v>1.5286073849624874E-3</v>
      </c>
      <c r="T98" s="13">
        <v>2.5951468260147375E-3</v>
      </c>
      <c r="U98" s="13">
        <v>9.7012437767755997E-11</v>
      </c>
      <c r="V98" s="347"/>
      <c r="W98" s="13">
        <v>1.4240874351847026E-3</v>
      </c>
      <c r="X98" s="13">
        <v>2.6131396509300017E-3</v>
      </c>
      <c r="Y98" s="13">
        <v>9.0481517867111138E-11</v>
      </c>
      <c r="Z98" s="347"/>
      <c r="AA98" s="13">
        <v>1.3126769573656525E-3</v>
      </c>
      <c r="AB98" s="13">
        <v>2.6306308277167564E-3</v>
      </c>
      <c r="AC98" s="13">
        <v>8.3461158576311659E-11</v>
      </c>
      <c r="AD98" s="347"/>
      <c r="AE98" s="13">
        <v>1.1917081043584694E-3</v>
      </c>
      <c r="AF98" s="13">
        <v>2.6471500821312935E-3</v>
      </c>
      <c r="AG98" s="13">
        <v>7.5910111167795893E-11</v>
      </c>
      <c r="AH98" s="347"/>
      <c r="AI98" s="13">
        <v>1.0607120801268059E-3</v>
      </c>
      <c r="AJ98" s="13">
        <v>2.6621571137896622E-3</v>
      </c>
      <c r="AK98" s="13">
        <v>6.7823937563166503E-11</v>
      </c>
      <c r="AL98" s="347"/>
      <c r="AM98" s="13">
        <v>9.196015785545705E-4</v>
      </c>
      <c r="AN98" s="13">
        <v>2.6740180224494058E-3</v>
      </c>
      <c r="AO98" s="13">
        <v>5.9221292964466499E-11</v>
      </c>
      <c r="AP98" s="347"/>
      <c r="AQ98" s="13">
        <v>7.6959832103726928E-4</v>
      </c>
      <c r="AR98" s="13">
        <v>2.6799099281487764E-3</v>
      </c>
      <c r="AS98" s="13">
        <v>5.0147284566369045E-11</v>
      </c>
      <c r="AT98" s="347"/>
      <c r="AU98">
        <v>4.5692885473233634E-4</v>
      </c>
      <c r="AV98">
        <v>2.6603809405849463E-3</v>
      </c>
      <c r="AW98">
        <v>3.0936523670230253E-11</v>
      </c>
      <c r="AX98" s="347"/>
      <c r="AY98">
        <v>3.0103784040541885E-4</v>
      </c>
      <c r="AZ98">
        <v>2.6136291906244781E-3</v>
      </c>
      <c r="BA98">
        <v>2.0938478439120798E-11</v>
      </c>
      <c r="BB98" s="347"/>
      <c r="BC98">
        <v>1.5088700093634938E-4</v>
      </c>
      <c r="BD98">
        <v>2.5031447833374809E-3</v>
      </c>
      <c r="BE98">
        <v>1.0815759561046265E-11</v>
      </c>
      <c r="BF98" s="347"/>
      <c r="BG98">
        <v>1.2894552477513747E-5</v>
      </c>
      <c r="BH98">
        <v>1.7405602003043004E-3</v>
      </c>
      <c r="BI98">
        <v>9.1004205776582766E-13</v>
      </c>
      <c r="BK98" s="360">
        <v>184.2</v>
      </c>
      <c r="BL98" s="7">
        <f t="shared" si="10"/>
        <v>18.419999999999998</v>
      </c>
      <c r="BM98" s="8"/>
      <c r="BN98" s="80">
        <v>7.8202813278075489E-2</v>
      </c>
      <c r="BO98">
        <f t="shared" si="11"/>
        <v>0.13033802213012582</v>
      </c>
      <c r="BS98" s="360">
        <v>184.2</v>
      </c>
      <c r="BT98">
        <f>C122-AQ122</f>
        <v>197.03653463268509</v>
      </c>
      <c r="BU98">
        <f t="shared" si="9"/>
        <v>18.419999999999998</v>
      </c>
      <c r="CG98" s="7">
        <v>29.160000000000004</v>
      </c>
      <c r="CH98" s="191">
        <f>(1.337/AE88/10*47482+10^((-1713.3/(273.15+107.9))+6.694))*0.016*(10^(-7)*107.9^2-1.1*10^(-3)*107.9*AF93/29-0.079*(AF93/29)^2+0.73*10^(-3)*107.9+0.156*AF93/29+0.927)*(1-0.00492*8.841-0.00017672*8.841^2)</f>
        <v>5.5819256407222761</v>
      </c>
      <c r="CI98" s="13">
        <v>6.7431967674821914E-3</v>
      </c>
      <c r="CJ98">
        <f t="shared" si="12"/>
        <v>5.0489826046039701</v>
      </c>
      <c r="CK98">
        <f t="shared" si="13"/>
        <v>9.5476556016848981</v>
      </c>
    </row>
    <row r="99" spans="1:89">
      <c r="A99" s="344" t="s">
        <v>157</v>
      </c>
      <c r="B99" t="s">
        <v>17</v>
      </c>
      <c r="C99" s="79">
        <v>3.3999061735968004E-3</v>
      </c>
      <c r="D99" s="348">
        <v>0.97177721859880051</v>
      </c>
      <c r="E99" s="13"/>
      <c r="F99" s="347"/>
      <c r="G99" s="13">
        <v>3.9682736396849019E-3</v>
      </c>
      <c r="H99" s="13">
        <v>0.9717834054625939</v>
      </c>
      <c r="I99" s="13"/>
      <c r="J99" s="347"/>
      <c r="K99" s="13">
        <v>7.4045394847795001E-4</v>
      </c>
      <c r="L99" s="13">
        <v>4.2972310829694068E-3</v>
      </c>
      <c r="M99" s="13">
        <v>0.97177982687712328</v>
      </c>
      <c r="N99" s="347"/>
      <c r="O99" s="13">
        <v>6.5937490078236852E-4</v>
      </c>
      <c r="P99" s="13">
        <v>4.6961811887522333E-3</v>
      </c>
      <c r="Q99" s="13">
        <v>0.971780847985107</v>
      </c>
      <c r="R99" s="347"/>
      <c r="S99" s="13">
        <v>5.8267156496654283E-4</v>
      </c>
      <c r="T99" s="13">
        <v>5.1225227944488323E-3</v>
      </c>
      <c r="U99" s="13">
        <v>0.97178606024849123</v>
      </c>
      <c r="V99" s="347"/>
      <c r="W99" s="13">
        <v>5.1702928729313678E-4</v>
      </c>
      <c r="X99" s="13">
        <v>5.5955511346463035E-3</v>
      </c>
      <c r="Y99" s="13">
        <v>0.97179086429170258</v>
      </c>
      <c r="Z99" s="347"/>
      <c r="AA99" s="13">
        <v>4.5718724950811676E-4</v>
      </c>
      <c r="AB99" s="13">
        <v>6.1319387287835717E-3</v>
      </c>
      <c r="AC99" s="13">
        <v>0.97178804813297137</v>
      </c>
      <c r="AD99" s="347"/>
      <c r="AE99" s="13">
        <v>3.9870345888678841E-4</v>
      </c>
      <c r="AF99" s="13">
        <v>6.7533006171571139E-3</v>
      </c>
      <c r="AG99" s="13">
        <v>0.97179100937545504</v>
      </c>
      <c r="AH99" s="347"/>
      <c r="AI99" s="13">
        <v>3.4100743318932734E-4</v>
      </c>
      <c r="AJ99" s="13">
        <v>7.4961279290486219E-3</v>
      </c>
      <c r="AK99" s="13">
        <v>0.97179174688445613</v>
      </c>
      <c r="AL99" s="347"/>
      <c r="AM99" s="13">
        <v>2.8327182638595509E-4</v>
      </c>
      <c r="AN99" s="13">
        <v>8.4170474321306719E-3</v>
      </c>
      <c r="AO99" s="13">
        <v>0.97179034778107265</v>
      </c>
      <c r="AP99" s="347"/>
      <c r="AQ99" s="13">
        <v>2.2593636565749575E-4</v>
      </c>
      <c r="AR99" s="13">
        <v>9.6201373764360828E-3</v>
      </c>
      <c r="AS99" s="13">
        <v>0.97179224139680764</v>
      </c>
      <c r="AT99" s="347"/>
      <c r="AU99">
        <v>1.2197245796716754E-4</v>
      </c>
      <c r="AV99">
        <v>1.4026851509302713E-2</v>
      </c>
      <c r="AW99">
        <v>0.9718038129420753</v>
      </c>
      <c r="AX99" s="347"/>
      <c r="AY99">
        <v>7.9868192394862779E-5</v>
      </c>
      <c r="AZ99">
        <v>1.9196011211552962E-2</v>
      </c>
      <c r="BA99">
        <v>0.9718086331446939</v>
      </c>
      <c r="BB99" s="347"/>
      <c r="BC99">
        <v>4.6208613971560464E-5</v>
      </c>
      <c r="BD99">
        <v>3.3383283381161713E-2</v>
      </c>
      <c r="BE99">
        <v>0.97181165788256707</v>
      </c>
      <c r="BF99" s="347"/>
      <c r="BG99">
        <v>2.0027735282186445E-5</v>
      </c>
      <c r="BH99">
        <v>0.24296309596190888</v>
      </c>
      <c r="BI99">
        <v>0.97160069716269404</v>
      </c>
      <c r="BK99" s="360">
        <v>112.6</v>
      </c>
      <c r="BL99" s="7">
        <f t="shared" si="10"/>
        <v>11.26</v>
      </c>
      <c r="BM99" s="1"/>
      <c r="BN99" s="80">
        <v>7.5053730296565258E-2</v>
      </c>
      <c r="BO99">
        <f t="shared" si="11"/>
        <v>0.12508955049427545</v>
      </c>
      <c r="BS99" s="360">
        <v>112.6</v>
      </c>
      <c r="BT99">
        <f>C122-AU122</f>
        <v>184.30021941599662</v>
      </c>
      <c r="BU99">
        <f t="shared" si="9"/>
        <v>11.26</v>
      </c>
      <c r="CG99" s="7">
        <v>25.580000000000002</v>
      </c>
      <c r="CH99" s="191">
        <f>(1.337/AI88/10*47482+10^((-1713.3/(273.15+107.9))+6.694))*0.016*(10^(-7)*107.9^2-1.1*10^(-3)*107.9*AJ93/29-0.079*(AJ93/29)^2+0.73*10^(-3)*107.9+0.156*AJ93/29+0.927)*(1-0.00492*8.841-0.00017672*8.841^2)</f>
        <v>6.0464068196857506</v>
      </c>
      <c r="CI99" s="13">
        <v>7.4843788619318331E-3</v>
      </c>
      <c r="CJ99">
        <f t="shared" si="12"/>
        <v>5.6039442393832362</v>
      </c>
      <c r="CK99">
        <f t="shared" si="13"/>
        <v>7.3177772104575407</v>
      </c>
    </row>
    <row r="100" spans="1:89">
      <c r="A100" s="344" t="s">
        <v>159</v>
      </c>
      <c r="B100" t="s">
        <v>17</v>
      </c>
      <c r="C100" s="79"/>
      <c r="D100" s="348"/>
      <c r="E100" s="13"/>
      <c r="F100" s="347"/>
      <c r="G100" s="13"/>
      <c r="H100" s="13"/>
      <c r="I100" s="13"/>
      <c r="J100" s="347"/>
      <c r="K100" s="13"/>
      <c r="L100" s="13"/>
      <c r="M100" s="13"/>
      <c r="N100" s="347"/>
      <c r="O100" s="13"/>
      <c r="P100" s="13"/>
      <c r="Q100" s="13"/>
      <c r="R100" s="347"/>
      <c r="S100" s="13"/>
      <c r="T100" s="13"/>
      <c r="U100" s="13"/>
      <c r="V100" s="347"/>
      <c r="W100" s="13"/>
      <c r="X100" s="13"/>
      <c r="Y100" s="13"/>
      <c r="Z100" s="347"/>
      <c r="AA100" s="13"/>
      <c r="AB100" s="13"/>
      <c r="AC100" s="13"/>
      <c r="AD100" s="347"/>
      <c r="AE100" s="13"/>
      <c r="AF100" s="13"/>
      <c r="AG100" s="13"/>
      <c r="AH100" s="347"/>
      <c r="AI100" s="13"/>
      <c r="AJ100" s="13"/>
      <c r="AK100" s="13"/>
      <c r="AL100" s="347"/>
      <c r="AM100" s="13"/>
      <c r="AN100" s="13"/>
      <c r="AO100" s="13"/>
      <c r="AP100" s="347"/>
      <c r="AQ100" s="13"/>
      <c r="AR100" s="13"/>
      <c r="AS100" s="13"/>
      <c r="AT100" s="347"/>
      <c r="AX100" s="347"/>
      <c r="BB100" s="347"/>
      <c r="BF100" s="347"/>
      <c r="BK100" s="360">
        <v>76.8</v>
      </c>
      <c r="BL100" s="7">
        <f t="shared" si="10"/>
        <v>7.68</v>
      </c>
      <c r="BM100" s="1"/>
      <c r="BN100" s="80">
        <v>7.1170045795161188E-2</v>
      </c>
      <c r="BO100">
        <f t="shared" si="11"/>
        <v>0.11861674299193532</v>
      </c>
      <c r="BS100" s="360">
        <v>76.8</v>
      </c>
      <c r="BT100">
        <f>C122-AY122</f>
        <v>183.38600823389228</v>
      </c>
      <c r="BU100">
        <f t="shared" si="9"/>
        <v>7.68</v>
      </c>
      <c r="CG100" s="7">
        <v>22</v>
      </c>
      <c r="CH100" s="191">
        <f>(1.337/AM88/10*47482+10^((-1713.3/(273.15+107.9))+6.694))*0.016*(10^(-7)*107.9^2-1.1*10^(-3)*107.9*AN93/29-0.079*(AN93/29)^2+0.73*10^(-3)*107.9+0.156*AN93/29+0.927)*(1-0.00492*8.841-0.00017672*8.841^2)</f>
        <v>6.6590575389285656</v>
      </c>
      <c r="CI100" s="13">
        <v>8.4032666686211684E-3</v>
      </c>
      <c r="CJ100">
        <f t="shared" si="12"/>
        <v>6.2919633958061993</v>
      </c>
      <c r="CK100">
        <f t="shared" si="13"/>
        <v>5.5127041773756957</v>
      </c>
    </row>
    <row r="101" spans="1:89" ht="13.5" thickBot="1">
      <c r="A101" s="344" t="s">
        <v>193</v>
      </c>
      <c r="B101" t="s">
        <v>17</v>
      </c>
      <c r="C101" s="79"/>
      <c r="D101" s="348"/>
      <c r="E101" s="13"/>
      <c r="F101" s="347"/>
      <c r="G101" s="13"/>
      <c r="H101" s="13"/>
      <c r="I101" s="13"/>
      <c r="J101" s="347"/>
      <c r="K101" s="13"/>
      <c r="L101" s="13"/>
      <c r="M101" s="13"/>
      <c r="N101" s="347"/>
      <c r="O101" s="13"/>
      <c r="P101" s="13"/>
      <c r="Q101" s="13"/>
      <c r="R101" s="347"/>
      <c r="S101" s="13"/>
      <c r="T101" s="13"/>
      <c r="U101" s="13"/>
      <c r="V101" s="347"/>
      <c r="W101" s="13"/>
      <c r="X101" s="13"/>
      <c r="Y101" s="13"/>
      <c r="Z101" s="347"/>
      <c r="AA101" s="13"/>
      <c r="AB101" s="13"/>
      <c r="AC101" s="13"/>
      <c r="AD101" s="347"/>
      <c r="AE101" s="13"/>
      <c r="AF101" s="13"/>
      <c r="AG101" s="13"/>
      <c r="AH101" s="347"/>
      <c r="AI101" s="13"/>
      <c r="AJ101" s="13"/>
      <c r="AK101" s="13"/>
      <c r="AL101" s="347"/>
      <c r="AM101" s="13"/>
      <c r="AN101" s="13"/>
      <c r="AO101" s="13"/>
      <c r="AP101" s="347"/>
      <c r="AQ101" s="13"/>
      <c r="AR101" s="13"/>
      <c r="AS101" s="13"/>
      <c r="AT101" s="347"/>
      <c r="AX101" s="347"/>
      <c r="BB101" s="347"/>
      <c r="BF101" s="347"/>
      <c r="BK101" s="360">
        <v>41</v>
      </c>
      <c r="BL101" s="7">
        <f t="shared" si="10"/>
        <v>4.0999999999999996</v>
      </c>
      <c r="BM101" s="124"/>
      <c r="BN101" s="80">
        <v>6.5910478122167743E-2</v>
      </c>
      <c r="BO101">
        <f t="shared" si="11"/>
        <v>0.10985079687027957</v>
      </c>
      <c r="BS101" s="360">
        <v>41</v>
      </c>
      <c r="BT101">
        <f>C122-BC122</f>
        <v>186.16794198781605</v>
      </c>
      <c r="BU101">
        <f t="shared" si="9"/>
        <v>4.0999999999999996</v>
      </c>
      <c r="CG101">
        <v>18.419999999999998</v>
      </c>
      <c r="CH101" s="191">
        <f>(1.337/AQ88/10*47482+10^((-1713.3/(273.15+107.9))+6.694))*0.016*(10^(-7)*107.9^2-1.1*10^(-3)*107.9*AR93/29-0.079*(AR93/29)^2+0.73*10^(-3)*107.9+0.156*AR93/29+0.927)*(1-0.00492*8.841-0.00017672*8.841^2)</f>
        <v>7.5063392130586859</v>
      </c>
      <c r="CI101" s="13">
        <v>9.604596458058369E-3</v>
      </c>
      <c r="CJ101">
        <f t="shared" si="12"/>
        <v>7.1914615742533545</v>
      </c>
      <c r="CK101">
        <f t="shared" si="13"/>
        <v>4.1948229338948959</v>
      </c>
    </row>
    <row r="102" spans="1:89" ht="14.25" thickTop="1" thickBot="1">
      <c r="A102" s="344" t="s">
        <v>24</v>
      </c>
      <c r="B102" t="s">
        <v>17</v>
      </c>
      <c r="C102" s="79">
        <v>0.78585664095230456</v>
      </c>
      <c r="D102" s="348">
        <v>2.023384514366896E-5</v>
      </c>
      <c r="E102" s="13"/>
      <c r="F102" s="347"/>
      <c r="G102" s="13">
        <v>0.78538648495128416</v>
      </c>
      <c r="H102" s="13">
        <v>1.8202452086383275E-5</v>
      </c>
      <c r="I102" s="13"/>
      <c r="J102" s="347"/>
      <c r="K102" s="13">
        <v>0.61184850879559449</v>
      </c>
      <c r="L102" s="13">
        <v>0.78895410061993887</v>
      </c>
      <c r="M102" s="13">
        <v>1.7598207420148548E-5</v>
      </c>
      <c r="N102" s="347"/>
      <c r="O102" s="13">
        <v>0.59134569762924283</v>
      </c>
      <c r="P102" s="13">
        <v>0.79336094172605698</v>
      </c>
      <c r="Q102" s="13">
        <v>1.6939939793534401E-5</v>
      </c>
      <c r="R102" s="347"/>
      <c r="S102" s="13">
        <v>0.56877682748313485</v>
      </c>
      <c r="T102" s="13">
        <v>0.79735243203905126</v>
      </c>
      <c r="U102" s="13">
        <v>1.622630123672699E-5</v>
      </c>
      <c r="V102" s="347"/>
      <c r="W102" s="13">
        <v>0.54471470704291236</v>
      </c>
      <c r="X102" s="13">
        <v>0.80122726485042794</v>
      </c>
      <c r="Y102" s="13">
        <v>1.5449755202568643E-5</v>
      </c>
      <c r="Z102" s="347"/>
      <c r="AA102" s="13">
        <v>0.51821558782773902</v>
      </c>
      <c r="AB102" s="13">
        <v>0.80510255282079679</v>
      </c>
      <c r="AC102" s="13">
        <v>1.4601489264637759E-5</v>
      </c>
      <c r="AD102" s="347"/>
      <c r="AE102" s="13">
        <v>0.48804639058410543</v>
      </c>
      <c r="AF102" s="13">
        <v>0.8089383098263786</v>
      </c>
      <c r="AG102" s="13">
        <v>1.3667415864688348E-5</v>
      </c>
      <c r="AH102" s="347"/>
      <c r="AI102" s="13">
        <v>0.45332648117871205</v>
      </c>
      <c r="AJ102" s="13">
        <v>0.81272391249185194</v>
      </c>
      <c r="AK102" s="13">
        <v>1.2632821426083378E-5</v>
      </c>
      <c r="AL102" s="347"/>
      <c r="AM102" s="13">
        <v>0.41290494952451012</v>
      </c>
      <c r="AN102" s="13">
        <v>0.81624078431118896</v>
      </c>
      <c r="AO102" s="13">
        <v>1.1478148081634453E-5</v>
      </c>
      <c r="AP102" s="347"/>
      <c r="AQ102" s="13">
        <v>0.36564412638861216</v>
      </c>
      <c r="AR102" s="13">
        <v>0.81901312376402424</v>
      </c>
      <c r="AS102" s="13">
        <v>1.0177964782300832E-5</v>
      </c>
      <c r="AT102" s="347"/>
      <c r="AU102">
        <v>0.24782710110001727</v>
      </c>
      <c r="AV102">
        <v>0.81904237622388298</v>
      </c>
      <c r="AW102">
        <v>7.0131319784010146E-6</v>
      </c>
      <c r="AX102" s="347"/>
      <c r="AY102">
        <v>0.17612240963495965</v>
      </c>
      <c r="AZ102">
        <v>0.8118415405280115</v>
      </c>
      <c r="BA102">
        <v>5.0660532089227934E-6</v>
      </c>
      <c r="BB102" s="347"/>
      <c r="BC102">
        <v>9.5799877852205936E-2</v>
      </c>
      <c r="BD102">
        <v>0.78852165360770143</v>
      </c>
      <c r="BE102">
        <v>2.8176582483844796E-6</v>
      </c>
      <c r="BF102" s="347"/>
      <c r="BG102">
        <v>8.9292712597463589E-3</v>
      </c>
      <c r="BH102">
        <v>0.56190904224250238</v>
      </c>
      <c r="BI102">
        <v>2.7299114089298355E-7</v>
      </c>
      <c r="BK102" s="360">
        <v>5.2</v>
      </c>
      <c r="BL102" s="7">
        <f t="shared" si="10"/>
        <v>0.52</v>
      </c>
      <c r="BM102" s="9"/>
      <c r="BN102" s="253">
        <v>5.3607716411824297E-2</v>
      </c>
      <c r="BO102">
        <f t="shared" si="11"/>
        <v>8.934619401970717E-2</v>
      </c>
      <c r="BS102" s="360">
        <v>5.2</v>
      </c>
      <c r="CG102">
        <v>11.26</v>
      </c>
      <c r="CH102" s="191">
        <f>(1.337/AU88/10*47482+10^((-1713.3/(273.15+107.9))+6.694))*0.016*(10^(-7)*107.9^2-1.1*10^(-3)*107.9*AV93/29-0.079*(AV93/29)^2+0.73*10^(-3)*107.9+0.156*AV93/29+0.927)*(1-0.00492*8.841-0.00017672*8.841^2)</f>
        <v>10.800050240398532</v>
      </c>
      <c r="CI102">
        <v>1.4001823198292617E-2</v>
      </c>
      <c r="CJ102">
        <f t="shared" si="12"/>
        <v>10.483894241650047</v>
      </c>
      <c r="CK102">
        <f t="shared" si="13"/>
        <v>2.927356741044369</v>
      </c>
    </row>
    <row r="103" spans="1:89" ht="13.5" thickTop="1">
      <c r="A103" s="344" t="s">
        <v>4</v>
      </c>
      <c r="B103" t="s">
        <v>17</v>
      </c>
      <c r="C103" s="79">
        <v>7.6223165250322272E-2</v>
      </c>
      <c r="D103" s="348">
        <v>1.2806285763036082E-4</v>
      </c>
      <c r="E103" s="13"/>
      <c r="F103" s="347"/>
      <c r="G103" s="13">
        <v>7.6197235869890856E-2</v>
      </c>
      <c r="H103" s="13">
        <v>1.2130379912858922E-4</v>
      </c>
      <c r="I103" s="13"/>
      <c r="J103" s="347"/>
      <c r="K103" s="13">
        <v>7.7015434921335765E-2</v>
      </c>
      <c r="L103" s="13">
        <v>7.6164887168562415E-2</v>
      </c>
      <c r="M103" s="13">
        <v>1.1986606774036092E-4</v>
      </c>
      <c r="N103" s="347"/>
      <c r="O103" s="13">
        <v>7.6819658257186507E-2</v>
      </c>
      <c r="P103" s="13">
        <v>7.6134958576016543E-2</v>
      </c>
      <c r="Q103" s="13">
        <v>1.1847424686986313E-4</v>
      </c>
      <c r="R103" s="347"/>
      <c r="S103" s="13">
        <v>7.6500325243468587E-2</v>
      </c>
      <c r="T103" s="13">
        <v>7.6120276736004203E-2</v>
      </c>
      <c r="U103" s="13">
        <v>1.1691857743166683E-4</v>
      </c>
      <c r="V103" s="347"/>
      <c r="W103" s="13">
        <v>7.6092260274733953E-2</v>
      </c>
      <c r="X103" s="13">
        <v>7.6119308326962107E-2</v>
      </c>
      <c r="Y103" s="13">
        <v>1.1518691115092777E-4</v>
      </c>
      <c r="Z103" s="347"/>
      <c r="AA103" s="13">
        <v>7.55440363736085E-2</v>
      </c>
      <c r="AB103" s="13">
        <v>7.6138059603713643E-2</v>
      </c>
      <c r="AC103" s="13">
        <v>1.1324070233086106E-4</v>
      </c>
      <c r="AD103" s="347"/>
      <c r="AE103" s="13">
        <v>7.4756827159527028E-2</v>
      </c>
      <c r="AF103" s="13">
        <v>7.6181684504322209E-2</v>
      </c>
      <c r="AG103" s="13">
        <v>1.1099620139788544E-4</v>
      </c>
      <c r="AH103" s="347"/>
      <c r="AI103" s="13">
        <v>7.3602872722372079E-2</v>
      </c>
      <c r="AJ103" s="13">
        <v>7.6266914843625397E-2</v>
      </c>
      <c r="AK103" s="13">
        <v>1.0831478777571686E-4</v>
      </c>
      <c r="AL103" s="347"/>
      <c r="AM103" s="13">
        <v>7.1844740396672879E-2</v>
      </c>
      <c r="AN103" s="13">
        <v>7.6420294718088616E-2</v>
      </c>
      <c r="AO103" s="13">
        <v>1.0492891686541536E-4</v>
      </c>
      <c r="AP103" s="347"/>
      <c r="AQ103" s="13">
        <v>6.9089920232392008E-2</v>
      </c>
      <c r="AR103" s="13">
        <v>7.6683171934892727E-2</v>
      </c>
      <c r="AS103" s="13">
        <v>1.0035655795729296E-4</v>
      </c>
      <c r="AT103" s="347"/>
      <c r="AU103">
        <v>5.7758367762591981E-2</v>
      </c>
      <c r="AV103">
        <v>7.7683393043294163E-2</v>
      </c>
      <c r="AW103">
        <v>8.3709287062964742E-5</v>
      </c>
      <c r="AX103" s="347"/>
      <c r="AY103">
        <v>4.7007578283546E-2</v>
      </c>
      <c r="AZ103">
        <v>7.8814387564464725E-2</v>
      </c>
      <c r="BA103">
        <v>6.8426846010718253E-5</v>
      </c>
      <c r="BB103" s="347"/>
      <c r="BC103">
        <v>3.020849229166539E-2</v>
      </c>
      <c r="BD103">
        <v>8.0230163665442389E-2</v>
      </c>
      <c r="BE103">
        <v>4.435396304805336E-5</v>
      </c>
      <c r="BF103" s="347"/>
      <c r="BG103">
        <v>3.6008056829258356E-3</v>
      </c>
      <c r="BH103">
        <v>6.3702344100762517E-2</v>
      </c>
      <c r="BI103">
        <v>5.3525899111088706E-6</v>
      </c>
      <c r="CG103">
        <v>7.68</v>
      </c>
      <c r="CH103" s="191">
        <f>(1.337/AY88/10*47482+10^((-1713.3/(273.15+107.9))+6.694))*0.016*(10^(-7)*107.9^2-1.1*10^(-3)*107.9*AZ93/29-0.079*(AZ93/29)^2+0.73*10^(-3)*107.9+0.156*AZ93/29+0.927)*(1-0.00492*8.841-0.00017672*8.841^2)</f>
        <v>14.735772295279627</v>
      </c>
      <c r="CI103">
        <v>1.915719826252665E-2</v>
      </c>
      <c r="CJ103">
        <f t="shared" si="12"/>
        <v>14.343992043489173</v>
      </c>
      <c r="CK103">
        <f t="shared" si="13"/>
        <v>2.6587018578996005</v>
      </c>
    </row>
    <row r="104" spans="1:89">
      <c r="A104" s="344" t="s">
        <v>5</v>
      </c>
      <c r="B104" t="s">
        <v>17</v>
      </c>
      <c r="C104" s="79">
        <v>4.0428223401320532E-2</v>
      </c>
      <c r="D104" s="348">
        <v>1.1256650939306409E-5</v>
      </c>
      <c r="E104" s="13"/>
      <c r="F104" s="347"/>
      <c r="G104" s="13">
        <v>4.0403861301403041E-2</v>
      </c>
      <c r="H104" s="13">
        <v>1.1212828795039412E-5</v>
      </c>
      <c r="I104" s="13"/>
      <c r="J104" s="347"/>
      <c r="K104" s="13">
        <v>4.7821038116463439E-2</v>
      </c>
      <c r="L104" s="13">
        <v>4.0232351674763495E-2</v>
      </c>
      <c r="M104" s="13">
        <v>1.1285438204803274E-5</v>
      </c>
      <c r="N104" s="347"/>
      <c r="O104" s="13">
        <v>4.8670443630562096E-2</v>
      </c>
      <c r="P104" s="13">
        <v>4.0019772043399647E-2</v>
      </c>
      <c r="Q104" s="13">
        <v>1.1396688159361825E-5</v>
      </c>
      <c r="R104" s="347"/>
      <c r="S104" s="13">
        <v>4.9573113120681661E-2</v>
      </c>
      <c r="T104" s="13">
        <v>3.9823125951593749E-2</v>
      </c>
      <c r="U104" s="13">
        <v>1.1519519349968871E-5</v>
      </c>
      <c r="V104" s="347"/>
      <c r="W104" s="13">
        <v>5.0562610351226091E-2</v>
      </c>
      <c r="X104" s="13">
        <v>3.9626673648269037E-2</v>
      </c>
      <c r="Y104" s="13">
        <v>1.1659848406129138E-5</v>
      </c>
      <c r="Z104" s="347"/>
      <c r="AA104" s="13">
        <v>5.1661378506802955E-2</v>
      </c>
      <c r="AB104" s="13">
        <v>3.9426935875282419E-2</v>
      </c>
      <c r="AC104" s="13">
        <v>1.1822105629959633E-5</v>
      </c>
      <c r="AD104" s="347"/>
      <c r="AE104" s="13">
        <v>5.2874528285849265E-2</v>
      </c>
      <c r="AF104" s="13">
        <v>3.9223968130544712E-2</v>
      </c>
      <c r="AG104" s="13">
        <v>1.2008447837839543E-5</v>
      </c>
      <c r="AH104" s="347"/>
      <c r="AI104" s="13">
        <v>5.4177440490865127E-2</v>
      </c>
      <c r="AJ104" s="13">
        <v>3.9025662306887879E-2</v>
      </c>
      <c r="AK104" s="13">
        <v>1.221596403681154E-5</v>
      </c>
      <c r="AL104" s="347"/>
      <c r="AM104" s="13">
        <v>5.5463636560557854E-2</v>
      </c>
      <c r="AN104" s="13">
        <v>3.8857065005351001E-2</v>
      </c>
      <c r="AO104" s="13">
        <v>1.242631344849793E-5</v>
      </c>
      <c r="AP104" s="347"/>
      <c r="AQ104" s="13">
        <v>5.6471605211778644E-2</v>
      </c>
      <c r="AR104" s="13">
        <v>3.8770617707877167E-2</v>
      </c>
      <c r="AS104" s="13">
        <v>1.258994449595537E-5</v>
      </c>
      <c r="AT104" s="347"/>
      <c r="AU104">
        <v>5.4882467537229349E-2</v>
      </c>
      <c r="AV104">
        <v>3.9212996658495813E-2</v>
      </c>
      <c r="AW104">
        <v>1.2199421476201733E-5</v>
      </c>
      <c r="AX104" s="347"/>
      <c r="AY104">
        <v>4.9517467972215824E-2</v>
      </c>
      <c r="AZ104">
        <v>4.0388825612531189E-2</v>
      </c>
      <c r="BA104">
        <v>1.1042853989702246E-5</v>
      </c>
      <c r="BB104" s="347"/>
      <c r="BC104">
        <v>3.6594030308207161E-2</v>
      </c>
      <c r="BD104">
        <v>4.3009867870331939E-2</v>
      </c>
      <c r="BE104">
        <v>8.219534668437666E-6</v>
      </c>
      <c r="BF104" s="347"/>
      <c r="BG104">
        <v>5.5655566431502823E-3</v>
      </c>
      <c r="BH104">
        <v>3.9231518290528171E-2</v>
      </c>
      <c r="BI104">
        <v>1.2663630211442811E-6</v>
      </c>
      <c r="CG104">
        <v>4.0999999999999996</v>
      </c>
      <c r="CH104" s="191">
        <f>(1.337/BC88/10*47482+10^((-1713.3/(273.15+107.9))+6.694))*0.016*(10^(-7)*107.9^2-1.1*10^(-3)*107.9*BD93/29-0.079*(BD93/29)^2+0.73*10^(-3)*107.9+0.156*BD93/29+0.927)*(1-0.00492*8.841-0.00017672*8.841^2)</f>
        <v>25.513165870635262</v>
      </c>
      <c r="CI104">
        <v>3.3383283381161713E-2</v>
      </c>
      <c r="CJ104">
        <f t="shared" si="12"/>
        <v>24.995802864430566</v>
      </c>
      <c r="CK104">
        <f t="shared" si="13"/>
        <v>2.0278275492268993</v>
      </c>
    </row>
    <row r="105" spans="1:89">
      <c r="A105" s="344" t="s">
        <v>6</v>
      </c>
      <c r="B105" t="s">
        <v>17</v>
      </c>
      <c r="C105" s="79">
        <v>9.3948317287199049E-3</v>
      </c>
      <c r="D105" s="348">
        <v>2.2277162939184047E-7</v>
      </c>
      <c r="E105" s="13"/>
      <c r="F105" s="347"/>
      <c r="G105" s="13">
        <v>9.3891172674602074E-3</v>
      </c>
      <c r="H105" s="13">
        <v>2.2989135670863928E-7</v>
      </c>
      <c r="I105" s="13"/>
      <c r="J105" s="347"/>
      <c r="K105" s="13">
        <v>1.232303502408111E-2</v>
      </c>
      <c r="L105" s="13">
        <v>9.3230378763312187E-3</v>
      </c>
      <c r="M105" s="13">
        <v>2.342911438872315E-7</v>
      </c>
      <c r="N105" s="347"/>
      <c r="O105" s="13">
        <v>1.2694671059194662E-2</v>
      </c>
      <c r="P105" s="13">
        <v>9.2397512137479283E-3</v>
      </c>
      <c r="Q105" s="13">
        <v>2.4004103313266559E-7</v>
      </c>
      <c r="R105" s="347"/>
      <c r="S105" s="13">
        <v>1.31055366736063E-2</v>
      </c>
      <c r="T105" s="13">
        <v>9.1609641698126194E-3</v>
      </c>
      <c r="U105" s="13">
        <v>2.465267209398246E-7</v>
      </c>
      <c r="V105" s="347"/>
      <c r="W105" s="13">
        <v>1.3569389019344456E-2</v>
      </c>
      <c r="X105" s="13">
        <v>9.0800501380455187E-3</v>
      </c>
      <c r="Y105" s="13">
        <v>2.5402427807411025E-7</v>
      </c>
      <c r="Z105" s="347"/>
      <c r="AA105" s="13">
        <v>1.4104896484140353E-2</v>
      </c>
      <c r="AB105" s="13">
        <v>8.9944533228451928E-3</v>
      </c>
      <c r="AC105" s="13">
        <v>2.6282466460974085E-7</v>
      </c>
      <c r="AD105" s="347"/>
      <c r="AE105" s="13">
        <v>1.473085865571892E-2</v>
      </c>
      <c r="AF105" s="13">
        <v>8.9028092783905513E-3</v>
      </c>
      <c r="AG105" s="13">
        <v>2.7324495450817324E-7</v>
      </c>
      <c r="AH105" s="347"/>
      <c r="AI105" s="13">
        <v>1.5460452247961616E-2</v>
      </c>
      <c r="AJ105" s="13">
        <v>8.8053832867768314E-3</v>
      </c>
      <c r="AK105" s="13">
        <v>2.8557069265741234E-7</v>
      </c>
      <c r="AL105" s="347"/>
      <c r="AM105" s="13">
        <v>1.6289063926757108E-2</v>
      </c>
      <c r="AN105" s="13">
        <v>8.7079503320209341E-3</v>
      </c>
      <c r="AO105" s="13">
        <v>2.9982191755631436E-7</v>
      </c>
      <c r="AP105" s="347"/>
      <c r="AQ105" s="13">
        <v>1.7169983295815656E-2</v>
      </c>
      <c r="AR105" s="13">
        <v>8.6255369138556418E-3</v>
      </c>
      <c r="AS105" s="13">
        <v>3.1535013048142936E-7</v>
      </c>
      <c r="AT105" s="347"/>
      <c r="AU105">
        <v>1.8342520206479633E-2</v>
      </c>
      <c r="AV105">
        <v>8.6406514904539926E-3</v>
      </c>
      <c r="AW105">
        <v>3.3779371216626688E-7</v>
      </c>
      <c r="AX105" s="347"/>
      <c r="AY105">
        <v>1.7726267974451117E-2</v>
      </c>
      <c r="AZ105">
        <v>8.9630206881416031E-3</v>
      </c>
      <c r="BA105">
        <v>3.2857394231832805E-7</v>
      </c>
      <c r="BB105" s="347"/>
      <c r="BC105">
        <v>1.4534143328943424E-2</v>
      </c>
      <c r="BD105">
        <v>9.901982033322437E-3</v>
      </c>
      <c r="BE105">
        <v>2.7241966835528227E-7</v>
      </c>
      <c r="BF105" s="347"/>
      <c r="BG105">
        <v>2.7777663582551466E-3</v>
      </c>
      <c r="BH105">
        <v>1.0537878168533155E-2</v>
      </c>
      <c r="BI105">
        <v>5.3254057765425164E-8</v>
      </c>
      <c r="CI105">
        <v>0.24296309596190888</v>
      </c>
      <c r="CJ105">
        <f t="shared" si="12"/>
        <v>181.91912343237772</v>
      </c>
    </row>
    <row r="106" spans="1:89">
      <c r="A106" s="344" t="s">
        <v>7</v>
      </c>
      <c r="B106" t="s">
        <v>17</v>
      </c>
      <c r="C106" s="79">
        <v>1.3051217141634881E-2</v>
      </c>
      <c r="D106" s="348">
        <v>3.231306201100132E-7</v>
      </c>
      <c r="E106" s="13"/>
      <c r="F106" s="347"/>
      <c r="G106" s="13">
        <v>1.3043263796299314E-2</v>
      </c>
      <c r="H106" s="13">
        <v>3.380021674892852E-7</v>
      </c>
      <c r="I106" s="13"/>
      <c r="J106" s="347"/>
      <c r="K106" s="13">
        <v>1.7860579029493166E-2</v>
      </c>
      <c r="L106" s="13">
        <v>1.2935368095234514E-2</v>
      </c>
      <c r="M106" s="13">
        <v>3.4605883108350931E-7</v>
      </c>
      <c r="N106" s="347"/>
      <c r="O106" s="13">
        <v>1.8503581980585035E-2</v>
      </c>
      <c r="P106" s="13">
        <v>1.2797971010556091E-2</v>
      </c>
      <c r="Q106" s="13">
        <v>3.5641787578531244E-7</v>
      </c>
      <c r="R106" s="347"/>
      <c r="S106" s="13">
        <v>1.9223141141099184E-2</v>
      </c>
      <c r="T106" s="13">
        <v>1.2666321860392821E-2</v>
      </c>
      <c r="U106" s="13">
        <v>3.6818977375663663E-7</v>
      </c>
      <c r="V106" s="347"/>
      <c r="W106" s="13">
        <v>2.0040506093557939E-2</v>
      </c>
      <c r="X106" s="13">
        <v>1.2529492930142315E-2</v>
      </c>
      <c r="Y106" s="13">
        <v>3.8186294039836307E-7</v>
      </c>
      <c r="Z106" s="347"/>
      <c r="AA106" s="13">
        <v>2.0990518171688538E-2</v>
      </c>
      <c r="AB106" s="13">
        <v>1.2382851337337577E-2</v>
      </c>
      <c r="AC106" s="13">
        <v>3.9797060557771774E-7</v>
      </c>
      <c r="AD106" s="347"/>
      <c r="AE106" s="13">
        <v>2.2111470151624239E-2</v>
      </c>
      <c r="AF106" s="13">
        <v>1.2223601042398797E-2</v>
      </c>
      <c r="AG106" s="13">
        <v>4.1712321106085891E-7</v>
      </c>
      <c r="AH106" s="347"/>
      <c r="AI106" s="13">
        <v>2.3433671973466907E-2</v>
      </c>
      <c r="AJ106" s="13">
        <v>1.205119749032137E-2</v>
      </c>
      <c r="AK106" s="13">
        <v>4.3990829320301466E-7</v>
      </c>
      <c r="AL106" s="347"/>
      <c r="AM106" s="13">
        <v>2.4964188729969038E-2</v>
      </c>
      <c r="AN106" s="13">
        <v>1.1873767067203632E-2</v>
      </c>
      <c r="AO106" s="13">
        <v>4.6654682367863398E-7</v>
      </c>
      <c r="AP106" s="347"/>
      <c r="AQ106" s="13">
        <v>2.6648922951033008E-2</v>
      </c>
      <c r="AR106" s="13">
        <v>1.171414529037882E-2</v>
      </c>
      <c r="AS106" s="13">
        <v>4.9627671642157438E-7</v>
      </c>
      <c r="AT106" s="347"/>
      <c r="AU106">
        <v>2.9407214589111549E-2</v>
      </c>
      <c r="AV106">
        <v>1.1666944717730332E-2</v>
      </c>
      <c r="AW106">
        <v>5.4693927645420624E-7</v>
      </c>
      <c r="AX106" s="347"/>
      <c r="AY106">
        <v>2.9092044726249239E-2</v>
      </c>
      <c r="AZ106">
        <v>1.2133796334138835E-2</v>
      </c>
      <c r="BA106">
        <v>5.4317283093733625E-7</v>
      </c>
      <c r="BB106" s="347"/>
      <c r="BC106">
        <v>2.477470427106776E-2</v>
      </c>
      <c r="BD106">
        <v>1.3628300259440193E-2</v>
      </c>
      <c r="BE106">
        <v>4.6630044641211336E-7</v>
      </c>
      <c r="BF106" s="347"/>
      <c r="BG106">
        <v>5.2290465067794103E-3</v>
      </c>
      <c r="BH106">
        <v>1.5658679331034042E-2</v>
      </c>
      <c r="BI106">
        <v>1.0024744266667524E-7</v>
      </c>
      <c r="BV106" t="s">
        <v>241</v>
      </c>
    </row>
    <row r="107" spans="1:89">
      <c r="A107" s="344" t="s">
        <v>8</v>
      </c>
      <c r="B107" t="s">
        <v>17</v>
      </c>
      <c r="C107" s="79">
        <v>4.5350398783499729E-3</v>
      </c>
      <c r="D107" s="348">
        <v>5.6003751037629247E-8</v>
      </c>
      <c r="E107" s="13"/>
      <c r="F107" s="347"/>
      <c r="G107" s="13">
        <v>4.5322779197645583E-3</v>
      </c>
      <c r="H107" s="13">
        <v>6.0600133331906597E-8</v>
      </c>
      <c r="I107" s="13"/>
      <c r="J107" s="347"/>
      <c r="K107" s="13">
        <v>7.2531223592773942E-3</v>
      </c>
      <c r="L107" s="13">
        <v>4.47206896778371E-3</v>
      </c>
      <c r="M107" s="13">
        <v>6.2785716141983295E-8</v>
      </c>
      <c r="N107" s="347"/>
      <c r="O107" s="13">
        <v>7.6273134451180632E-3</v>
      </c>
      <c r="P107" s="13">
        <v>4.3949536021479609E-3</v>
      </c>
      <c r="Q107" s="13">
        <v>6.5545171559158233E-8</v>
      </c>
      <c r="R107" s="347"/>
      <c r="S107" s="13">
        <v>8.0527968088047915E-3</v>
      </c>
      <c r="T107" s="13">
        <v>4.320424749779281E-3</v>
      </c>
      <c r="U107" s="13">
        <v>6.8719761647122216E-8</v>
      </c>
      <c r="V107" s="347"/>
      <c r="W107" s="13">
        <v>8.5401526541419408E-3</v>
      </c>
      <c r="X107" s="13">
        <v>4.2422022272033486E-3</v>
      </c>
      <c r="Y107" s="13">
        <v>7.2445613672546646E-8</v>
      </c>
      <c r="Z107" s="347"/>
      <c r="AA107" s="13">
        <v>9.113937392147848E-3</v>
      </c>
      <c r="AB107" s="13">
        <v>4.1571171455081568E-3</v>
      </c>
      <c r="AC107" s="13">
        <v>7.6884006847747986E-8</v>
      </c>
      <c r="AD107" s="347"/>
      <c r="AE107" s="13">
        <v>9.8047261852392004E-3</v>
      </c>
      <c r="AF107" s="13">
        <v>4.0627997992261113E-3</v>
      </c>
      <c r="AG107" s="13">
        <v>8.2237693781316462E-8</v>
      </c>
      <c r="AH107" s="347"/>
      <c r="AI107" s="13">
        <v>1.0641795445742418E-2</v>
      </c>
      <c r="AJ107" s="13">
        <v>3.9573945086276404E-3</v>
      </c>
      <c r="AK107" s="13">
        <v>8.8734256099562841E-8</v>
      </c>
      <c r="AL107" s="347"/>
      <c r="AM107" s="13">
        <v>1.1651090892410539E-2</v>
      </c>
      <c r="AN107" s="13">
        <v>3.8429101435859055E-3</v>
      </c>
      <c r="AO107" s="13">
        <v>9.6573606048485597E-8</v>
      </c>
      <c r="AP107" s="347"/>
      <c r="AQ107" s="13">
        <v>1.2839374251086269E-2</v>
      </c>
      <c r="AR107" s="13">
        <v>3.7279698282875725E-3</v>
      </c>
      <c r="AS107" s="13">
        <v>1.0582556458370792E-7</v>
      </c>
      <c r="AT107" s="347"/>
      <c r="AU107">
        <v>1.5457252068663111E-2</v>
      </c>
      <c r="AV107">
        <v>3.5972622761226022E-3</v>
      </c>
      <c r="AW107">
        <v>1.2647072922195026E-7</v>
      </c>
      <c r="AX107" s="347"/>
      <c r="AY107">
        <v>1.6357443308427852E-2</v>
      </c>
      <c r="AZ107">
        <v>3.7331574057423186E-3</v>
      </c>
      <c r="BA107">
        <v>1.338421214507546E-7</v>
      </c>
      <c r="BB107" s="347"/>
      <c r="BC107">
        <v>1.5681584044887155E-2</v>
      </c>
      <c r="BD107">
        <v>4.3767627868464814E-3</v>
      </c>
      <c r="BE107">
        <v>1.287322322822527E-7</v>
      </c>
      <c r="BF107" s="347"/>
      <c r="BG107">
        <v>4.785462011565364E-3</v>
      </c>
      <c r="BH107">
        <v>6.7294545858810149E-3</v>
      </c>
      <c r="BI107">
        <v>3.9283234921378257E-8</v>
      </c>
    </row>
    <row r="108" spans="1:89">
      <c r="A108" s="344" t="s">
        <v>9</v>
      </c>
      <c r="B108" t="s">
        <v>17</v>
      </c>
      <c r="C108" s="79">
        <v>4.2897480520170802E-3</v>
      </c>
      <c r="D108" s="348">
        <v>5.0577384553659599E-8</v>
      </c>
      <c r="E108" s="13"/>
      <c r="F108" s="347"/>
      <c r="G108" s="13">
        <v>4.2871344945806002E-3</v>
      </c>
      <c r="H108" s="13">
        <v>5.5255520066938183E-8</v>
      </c>
      <c r="I108" s="13"/>
      <c r="J108" s="347"/>
      <c r="K108" s="13">
        <v>6.7696253101150209E-3</v>
      </c>
      <c r="L108" s="13">
        <v>4.2321606448262354E-3</v>
      </c>
      <c r="M108" s="13">
        <v>5.7433924812013646E-8</v>
      </c>
      <c r="N108" s="347"/>
      <c r="O108" s="13">
        <v>7.1291793378857327E-3</v>
      </c>
      <c r="P108" s="13">
        <v>4.1609473800359453E-3</v>
      </c>
      <c r="Q108" s="13">
        <v>6.018402309277566E-8</v>
      </c>
      <c r="R108" s="347"/>
      <c r="S108" s="13">
        <v>7.5416149002832614E-3</v>
      </c>
      <c r="T108" s="13">
        <v>4.0911314175909692E-3</v>
      </c>
      <c r="U108" s="13">
        <v>6.3367969504448058E-8</v>
      </c>
      <c r="V108" s="347"/>
      <c r="W108" s="13">
        <v>8.0190991781018042E-3</v>
      </c>
      <c r="X108" s="13">
        <v>4.0167430359532652E-3</v>
      </c>
      <c r="Y108" s="13">
        <v>6.7127774058630752E-8</v>
      </c>
      <c r="Z108" s="347"/>
      <c r="AA108" s="13">
        <v>8.5864269499440326E-3</v>
      </c>
      <c r="AB108" s="13">
        <v>3.9345752467570862E-3</v>
      </c>
      <c r="AC108" s="13">
        <v>7.1634243251923493E-8</v>
      </c>
      <c r="AD108" s="347"/>
      <c r="AE108" s="13">
        <v>9.2748336624147026E-3</v>
      </c>
      <c r="AF108" s="13">
        <v>3.8420575322716012E-3</v>
      </c>
      <c r="AG108" s="13">
        <v>7.710480496505262E-8</v>
      </c>
      <c r="AH108" s="347"/>
      <c r="AI108" s="13">
        <v>1.0115346140012377E-2</v>
      </c>
      <c r="AJ108" s="13">
        <v>3.7369923259630905E-3</v>
      </c>
      <c r="AK108" s="13">
        <v>8.3787645413696429E-8</v>
      </c>
      <c r="AL108" s="347"/>
      <c r="AM108" s="13">
        <v>1.1136385987514262E-2</v>
      </c>
      <c r="AN108" s="13">
        <v>3.6208075311630404E-3</v>
      </c>
      <c r="AO108" s="13">
        <v>9.1912494997978481E-8</v>
      </c>
      <c r="AP108" s="347"/>
      <c r="AQ108" s="13">
        <v>1.2348502424693625E-2</v>
      </c>
      <c r="AR108" s="13">
        <v>3.5013233986175727E-3</v>
      </c>
      <c r="AS108" s="13">
        <v>1.0159096185636036E-7</v>
      </c>
      <c r="AT108" s="347"/>
      <c r="AU108">
        <v>1.5088042403634252E-2</v>
      </c>
      <c r="AV108">
        <v>3.3498904562633712E-3</v>
      </c>
      <c r="AW108">
        <v>1.2385381414495844E-7</v>
      </c>
      <c r="AX108" s="347"/>
      <c r="AY108">
        <v>1.6112567094505887E-2</v>
      </c>
      <c r="AZ108">
        <v>3.4614753753874667E-3</v>
      </c>
      <c r="BA108">
        <v>1.3262465922740822E-7</v>
      </c>
      <c r="BB108" s="347"/>
      <c r="BC108">
        <v>1.5670900165094578E-2</v>
      </c>
      <c r="BD108">
        <v>4.0595953646307683E-3</v>
      </c>
      <c r="BE108">
        <v>1.2976780087548017E-7</v>
      </c>
      <c r="BF108" s="347"/>
      <c r="BG108">
        <v>5.0240958882194538E-3</v>
      </c>
      <c r="BH108">
        <v>6.4631509158474855E-3</v>
      </c>
      <c r="BI108">
        <v>4.1715535568173834E-8</v>
      </c>
      <c r="BV108">
        <v>654</v>
      </c>
      <c r="BW108">
        <v>0</v>
      </c>
      <c r="BY108">
        <f>BV108/10</f>
        <v>65.400000000000006</v>
      </c>
      <c r="BZ108">
        <v>0</v>
      </c>
      <c r="CA108">
        <v>0</v>
      </c>
    </row>
    <row r="109" spans="1:89">
      <c r="A109" s="344" t="s">
        <v>10</v>
      </c>
      <c r="B109" t="s">
        <v>17</v>
      </c>
      <c r="C109" s="79">
        <v>5.2341630953915931E-3</v>
      </c>
      <c r="D109" s="348">
        <v>2.4214768526546081E-8</v>
      </c>
      <c r="E109" s="13"/>
      <c r="F109" s="347"/>
      <c r="G109" s="13">
        <v>5.2309810556056052E-3</v>
      </c>
      <c r="H109" s="13">
        <v>2.7601749885515312E-8</v>
      </c>
      <c r="I109" s="13"/>
      <c r="J109" s="347"/>
      <c r="K109" s="13">
        <v>9.2126131444811733E-3</v>
      </c>
      <c r="L109" s="13">
        <v>5.1432356446134003E-3</v>
      </c>
      <c r="M109" s="13">
        <v>2.9104345119376315E-8</v>
      </c>
      <c r="N109" s="347"/>
      <c r="O109" s="13">
        <v>9.8322647698140739E-3</v>
      </c>
      <c r="P109" s="13">
        <v>5.0276884122929556E-3</v>
      </c>
      <c r="Q109" s="13">
        <v>3.0997044644615661E-8</v>
      </c>
      <c r="R109" s="347"/>
      <c r="S109" s="13">
        <v>1.0556488059937407E-2</v>
      </c>
      <c r="T109" s="13">
        <v>4.9119074886321496E-3</v>
      </c>
      <c r="U109" s="13">
        <v>3.3223905926655189E-8</v>
      </c>
      <c r="V109" s="347"/>
      <c r="W109" s="13">
        <v>1.1409248997226612E-2</v>
      </c>
      <c r="X109" s="13">
        <v>4.7856436610549712E-3</v>
      </c>
      <c r="Y109" s="13">
        <v>3.5893522360804666E-8</v>
      </c>
      <c r="Z109" s="347"/>
      <c r="AA109" s="13">
        <v>1.2439948279719023E-2</v>
      </c>
      <c r="AB109" s="13">
        <v>4.642539276283544E-3</v>
      </c>
      <c r="AC109" s="13">
        <v>3.9142412172136252E-8</v>
      </c>
      <c r="AD109" s="347"/>
      <c r="AE109" s="13">
        <v>1.371371731743024E-2</v>
      </c>
      <c r="AF109" s="13">
        <v>4.4768103454435734E-3</v>
      </c>
      <c r="AG109" s="13">
        <v>4.315022498946497E-8</v>
      </c>
      <c r="AH109" s="347"/>
      <c r="AI109" s="13">
        <v>1.5299173957028046E-2</v>
      </c>
      <c r="AJ109" s="13">
        <v>4.2825638322753551E-3</v>
      </c>
      <c r="AK109" s="13">
        <v>4.8130382236737104E-8</v>
      </c>
      <c r="AL109" s="347"/>
      <c r="AM109" s="13">
        <v>1.7268736643035965E-2</v>
      </c>
      <c r="AN109" s="13">
        <v>4.0592013079400746E-3</v>
      </c>
      <c r="AO109" s="13">
        <v>5.4308267420616393E-8</v>
      </c>
      <c r="AP109" s="347"/>
      <c r="AQ109" s="13">
        <v>1.9677904557423489E-2</v>
      </c>
      <c r="AR109" s="13">
        <v>3.8157719370026382E-3</v>
      </c>
      <c r="AS109" s="13">
        <v>6.1874265324118465E-8</v>
      </c>
      <c r="AT109" s="347"/>
      <c r="AU109">
        <v>2.5768344144831208E-2</v>
      </c>
      <c r="AV109">
        <v>3.406830264929773E-3</v>
      </c>
      <c r="AW109">
        <v>8.1290197946823416E-8</v>
      </c>
      <c r="AX109" s="347"/>
      <c r="AY109">
        <v>2.8958528288404683E-2</v>
      </c>
      <c r="AZ109">
        <v>3.4131762932468027E-3</v>
      </c>
      <c r="BA109">
        <v>9.1840786470421611E-8</v>
      </c>
      <c r="BB109" s="347"/>
      <c r="BC109">
        <v>3.1027847412885987E-2</v>
      </c>
      <c r="BD109">
        <v>4.033366162996219E-3</v>
      </c>
      <c r="BE109">
        <v>9.925070871774109E-8</v>
      </c>
      <c r="BF109" s="347"/>
      <c r="BG109">
        <v>1.5350875205739261E-2</v>
      </c>
      <c r="BH109">
        <v>8.992385729777317E-3</v>
      </c>
      <c r="BI109">
        <v>4.9378783331404554E-8</v>
      </c>
      <c r="BV109" s="328">
        <v>506.4</v>
      </c>
      <c r="BW109">
        <f>G122-K122-L122-M122</f>
        <v>44.763950030468557</v>
      </c>
      <c r="BY109">
        <f>BV109/10</f>
        <v>50.64</v>
      </c>
      <c r="BZ109">
        <f>G124*(G91+H91-K91-L91-M91)/0.25</f>
        <v>38.526404037217212</v>
      </c>
      <c r="CA109">
        <f t="shared" ref="CA109:CA121" si="14">BZ109/$C$40*100</f>
        <v>8.9523546371817222</v>
      </c>
    </row>
    <row r="110" spans="1:89">
      <c r="A110" s="344" t="s">
        <v>35</v>
      </c>
      <c r="B110" t="s">
        <v>17</v>
      </c>
      <c r="C110" s="79">
        <v>7.4229814003118656E-3</v>
      </c>
      <c r="D110" s="348">
        <v>2.673696589289303E-8</v>
      </c>
      <c r="E110" s="13"/>
      <c r="F110" s="347"/>
      <c r="G110" s="13">
        <v>7.4184683938587747E-3</v>
      </c>
      <c r="H110" s="13">
        <v>3.1640470269186973E-8</v>
      </c>
      <c r="I110" s="13"/>
      <c r="J110" s="347"/>
      <c r="K110" s="13">
        <v>1.491563091053039E-2</v>
      </c>
      <c r="L110" s="13">
        <v>7.2538719575756961E-3</v>
      </c>
      <c r="M110" s="13">
        <v>3.3756607792550888E-8</v>
      </c>
      <c r="N110" s="347"/>
      <c r="O110" s="13">
        <v>1.6129289416713034E-2</v>
      </c>
      <c r="P110" s="13">
        <v>7.0350623916604817E-3</v>
      </c>
      <c r="Q110" s="13">
        <v>3.6412348687356795E-8</v>
      </c>
      <c r="R110" s="347"/>
      <c r="S110" s="13">
        <v>1.7562125003180242E-2</v>
      </c>
      <c r="T110" s="13">
        <v>6.81310783305813E-3</v>
      </c>
      <c r="U110" s="13">
        <v>3.9564402687443812E-8</v>
      </c>
      <c r="V110" s="347"/>
      <c r="W110" s="13">
        <v>1.9256908896314196E-2</v>
      </c>
      <c r="X110" s="13">
        <v>6.5684852214002599E-3</v>
      </c>
      <c r="Y110" s="13">
        <v>4.3366115823981011E-8</v>
      </c>
      <c r="Z110" s="347"/>
      <c r="AA110" s="13">
        <v>2.1312175860706724E-2</v>
      </c>
      <c r="AB110" s="13">
        <v>6.2885480850468E-3</v>
      </c>
      <c r="AC110" s="13">
        <v>4.800971150479413E-8</v>
      </c>
      <c r="AD110" s="347"/>
      <c r="AE110" s="13">
        <v>2.385844755182116E-2</v>
      </c>
      <c r="AF110" s="13">
        <v>5.9617646280335172E-3</v>
      </c>
      <c r="AG110" s="13">
        <v>5.3743532663781595E-8</v>
      </c>
      <c r="AH110" s="347"/>
      <c r="AI110" s="13">
        <v>2.7026388460794692E-2</v>
      </c>
      <c r="AJ110" s="13">
        <v>5.5769040103001268E-3</v>
      </c>
      <c r="AK110" s="13">
        <v>6.0847962381240011E-8</v>
      </c>
      <c r="AL110" s="347"/>
      <c r="AM110" s="13">
        <v>3.0953213574171433E-2</v>
      </c>
      <c r="AN110" s="13">
        <v>5.1335794054299562E-3</v>
      </c>
      <c r="AO110" s="13">
        <v>6.9607467494955255E-8</v>
      </c>
      <c r="AP110" s="347"/>
      <c r="AQ110" s="13">
        <v>3.5751191757428261E-2</v>
      </c>
      <c r="AR110" s="13">
        <v>4.6497960964867972E-3</v>
      </c>
      <c r="AS110" s="13">
        <v>8.0266617976527834E-8</v>
      </c>
      <c r="AT110" s="347"/>
      <c r="AU110">
        <v>4.8259816822625555E-2</v>
      </c>
      <c r="AV110">
        <v>3.7899277307396296E-3</v>
      </c>
      <c r="AW110">
        <v>1.0822178369169909E-7</v>
      </c>
      <c r="AX110" s="347"/>
      <c r="AY110">
        <v>5.5635117870843888E-2</v>
      </c>
      <c r="AZ110">
        <v>3.6338143330079437E-3</v>
      </c>
      <c r="BA110">
        <v>1.2508431686883432E-7</v>
      </c>
      <c r="BB110" s="347"/>
      <c r="BC110">
        <v>6.3170527441866228E-2</v>
      </c>
      <c r="BD110">
        <v>4.2260995806547644E-3</v>
      </c>
      <c r="BE110">
        <v>1.4284769951902574E-7</v>
      </c>
      <c r="BF110" s="347"/>
      <c r="BG110">
        <v>4.5654269552251783E-2</v>
      </c>
      <c r="BH110">
        <v>1.2710195370496695E-2</v>
      </c>
      <c r="BI110">
        <v>1.0347395798172272E-7</v>
      </c>
      <c r="BV110" s="328">
        <v>470.6</v>
      </c>
      <c r="BW110">
        <f>J121-R121-S121</f>
        <v>-1.303995320522007E-2</v>
      </c>
      <c r="BY110">
        <f>BV110/10</f>
        <v>47.06</v>
      </c>
      <c r="BZ110">
        <f>L124*(K91+L91+M91-O91-P91-Q91)/0.25+BZ109</f>
        <v>49.897355182045366</v>
      </c>
      <c r="CA110">
        <f t="shared" si="14"/>
        <v>11.594614919564465</v>
      </c>
    </row>
    <row r="111" spans="1:89">
      <c r="A111" s="344" t="s">
        <v>163</v>
      </c>
      <c r="B111" t="s">
        <v>17</v>
      </c>
      <c r="C111" s="79">
        <v>1.4353406107591758E-2</v>
      </c>
      <c r="D111" s="348">
        <v>3.5483101714341772E-8</v>
      </c>
      <c r="E111" s="13"/>
      <c r="F111" s="347"/>
      <c r="G111" s="13">
        <v>1.4344683298046482E-2</v>
      </c>
      <c r="H111" s="13">
        <v>4.3709097781035315E-8</v>
      </c>
      <c r="I111" s="13"/>
      <c r="J111" s="347"/>
      <c r="K111" s="13">
        <v>3.296547016501495E-2</v>
      </c>
      <c r="L111" s="13">
        <v>1.3936920314910062E-2</v>
      </c>
      <c r="M111" s="13">
        <v>4.7192571697468928E-8</v>
      </c>
      <c r="N111" s="347"/>
      <c r="O111" s="13">
        <v>3.6085184059596424E-2</v>
      </c>
      <c r="P111" s="13">
        <v>1.339020389548322E-2</v>
      </c>
      <c r="Q111" s="13">
        <v>5.1549670412784357E-8</v>
      </c>
      <c r="R111" s="347"/>
      <c r="S111" s="13">
        <v>3.9796193901922884E-2</v>
      </c>
      <c r="T111" s="13">
        <v>1.2829701612945266E-2</v>
      </c>
      <c r="U111" s="13">
        <v>5.675728188426662E-8</v>
      </c>
      <c r="V111" s="347"/>
      <c r="W111" s="13">
        <v>4.4194431346817019E-2</v>
      </c>
      <c r="X111" s="13">
        <v>1.2206926391601444E-2</v>
      </c>
      <c r="Y111" s="13">
        <v>6.306088206266312E-8</v>
      </c>
      <c r="Z111" s="347"/>
      <c r="AA111" s="13">
        <v>4.9523347441629041E-2</v>
      </c>
      <c r="AB111" s="13">
        <v>1.1490420263015048E-2</v>
      </c>
      <c r="AC111" s="13">
        <v>7.0760121196370476E-8</v>
      </c>
      <c r="AD111" s="347"/>
      <c r="AE111" s="13">
        <v>5.6097797190003879E-2</v>
      </c>
      <c r="AF111" s="13">
        <v>1.065319546956737E-2</v>
      </c>
      <c r="AG111" s="13">
        <v>8.0222178844124579E-8</v>
      </c>
      <c r="AH111" s="347"/>
      <c r="AI111" s="13">
        <v>6.4196376519509671E-2</v>
      </c>
      <c r="AJ111" s="13">
        <v>9.6733765425140155E-3</v>
      </c>
      <c r="AK111" s="13">
        <v>9.1815270202750325E-8</v>
      </c>
      <c r="AL111" s="347"/>
      <c r="AM111" s="13">
        <v>7.4086578348937088E-2</v>
      </c>
      <c r="AN111" s="13">
        <v>8.5618223781553319E-3</v>
      </c>
      <c r="AO111" s="13">
        <v>1.0586229025130241E-7</v>
      </c>
      <c r="AP111" s="347"/>
      <c r="AQ111" s="13">
        <v>8.5975139555035648E-2</v>
      </c>
      <c r="AR111" s="13">
        <v>7.3776204674083747E-3</v>
      </c>
      <c r="AS111" s="13">
        <v>1.2261652166081191E-7</v>
      </c>
      <c r="AT111" s="347"/>
      <c r="AU111">
        <v>0.11695436745812558</v>
      </c>
      <c r="AV111">
        <v>5.3063801617542301E-3</v>
      </c>
      <c r="AW111">
        <v>1.6630412305588329E-7</v>
      </c>
      <c r="AX111" s="347"/>
      <c r="AY111">
        <v>0.13642465232871462</v>
      </c>
      <c r="AZ111">
        <v>4.76696473150092E-3</v>
      </c>
      <c r="BA111">
        <v>1.9425292060856666E-7</v>
      </c>
      <c r="BB111" s="347"/>
      <c r="BC111">
        <v>0.16034743886330727</v>
      </c>
      <c r="BD111">
        <v>5.2833801932423438E-3</v>
      </c>
      <c r="BE111">
        <v>2.2935176297043457E-7</v>
      </c>
      <c r="BF111" s="347"/>
      <c r="BG111">
        <v>0.15890888887799925</v>
      </c>
      <c r="BH111">
        <v>1.9924977736697446E-2</v>
      </c>
      <c r="BI111">
        <v>2.2748158623025977E-7</v>
      </c>
      <c r="BV111" s="328">
        <v>434.8</v>
      </c>
      <c r="BW111">
        <f>J121-V121-W121</f>
        <v>-1.6458593525607093E-2</v>
      </c>
      <c r="BY111">
        <f t="shared" ref="BY111:BY121" si="15">BV111/10</f>
        <v>43.480000000000004</v>
      </c>
      <c r="BZ111">
        <f>P124*(O91+P91+Q91-S91-T91-U91)/0.25+BZ110</f>
        <v>61.360290487694357</v>
      </c>
      <c r="CA111">
        <f t="shared" si="14"/>
        <v>14.258249499633443</v>
      </c>
    </row>
    <row r="112" spans="1:89">
      <c r="A112" s="344" t="s">
        <v>37</v>
      </c>
      <c r="B112" t="s">
        <v>17</v>
      </c>
      <c r="C112" s="79">
        <v>1.1899418228643372E-2</v>
      </c>
      <c r="D112" s="348">
        <v>5.4531395730780056E-9</v>
      </c>
      <c r="E112" s="13"/>
      <c r="F112" s="347"/>
      <c r="G112" s="13">
        <v>1.1892201205398571E-2</v>
      </c>
      <c r="H112" s="13">
        <v>7.4271476256284319E-9</v>
      </c>
      <c r="I112" s="13"/>
      <c r="J112" s="347"/>
      <c r="K112" s="13">
        <v>3.4263076533055319E-2</v>
      </c>
      <c r="L112" s="13">
        <v>1.1403691753773813E-2</v>
      </c>
      <c r="M112" s="13">
        <v>8.2630558637196885E-9</v>
      </c>
      <c r="N112" s="347"/>
      <c r="O112" s="13">
        <v>3.8339259655952258E-2</v>
      </c>
      <c r="P112" s="13">
        <v>1.0734210805022047E-2</v>
      </c>
      <c r="Q112" s="13">
        <v>9.3132585168518662E-9</v>
      </c>
      <c r="R112" s="347"/>
      <c r="S112" s="13">
        <v>4.3250706925049211E-2</v>
      </c>
      <c r="T112" s="13">
        <v>1.0030377497782249E-2</v>
      </c>
      <c r="U112" s="13">
        <v>1.0591517352137415E-8</v>
      </c>
      <c r="V112" s="347"/>
      <c r="W112" s="13">
        <v>4.9092804121542211E-2</v>
      </c>
      <c r="X112" s="13">
        <v>9.2339030946971459E-3</v>
      </c>
      <c r="Y112" s="13">
        <v>1.2154738642578347E-8</v>
      </c>
      <c r="Z112" s="347"/>
      <c r="AA112" s="13">
        <v>5.6109263417954559E-2</v>
      </c>
      <c r="AB112" s="13">
        <v>8.3110325121023253E-3</v>
      </c>
      <c r="AC112" s="13">
        <v>1.406394796251613E-8</v>
      </c>
      <c r="AD112" s="347"/>
      <c r="AE112" s="13">
        <v>6.4557489481576039E-2</v>
      </c>
      <c r="AF112" s="13">
        <v>7.2442828785908055E-3</v>
      </c>
      <c r="AG112" s="13">
        <v>1.6376558839328746E-8</v>
      </c>
      <c r="AH112" s="347"/>
      <c r="AI112" s="13">
        <v>7.4505505826153437E-2</v>
      </c>
      <c r="AJ112" s="13">
        <v>6.0425093738518156E-3</v>
      </c>
      <c r="AK112" s="13">
        <v>1.9116462236980511E-8</v>
      </c>
      <c r="AL112" s="347"/>
      <c r="AM112" s="13">
        <v>8.5914614182636975E-2</v>
      </c>
      <c r="AN112" s="13">
        <v>4.7741912376381033E-3</v>
      </c>
      <c r="AO112" s="13">
        <v>2.2273572990491828E-8</v>
      </c>
      <c r="AP112" s="347"/>
      <c r="AQ112" s="13">
        <v>9.8760048282858295E-2</v>
      </c>
      <c r="AR112" s="13">
        <v>3.5610712056190503E-3</v>
      </c>
      <c r="AS112" s="13">
        <v>2.584692136872411E-8</v>
      </c>
      <c r="AT112" s="347"/>
      <c r="AU112">
        <v>0.13080458962112168</v>
      </c>
      <c r="AV112">
        <v>1.7742891851088777E-3</v>
      </c>
      <c r="AW112">
        <v>3.4954789205919222E-8</v>
      </c>
      <c r="AX112" s="347"/>
      <c r="AY112">
        <v>0.15261983766363868</v>
      </c>
      <c r="AZ112">
        <v>1.3006014806276416E-3</v>
      </c>
      <c r="BA112">
        <v>4.1376856771171612E-8</v>
      </c>
      <c r="BB112" s="347"/>
      <c r="BC112">
        <v>0.18370071762224727</v>
      </c>
      <c r="BD112">
        <v>1.1810960602871633E-3</v>
      </c>
      <c r="BE112">
        <v>5.0749716335013783E-8</v>
      </c>
      <c r="BF112" s="347"/>
      <c r="BG112">
        <v>0.25487128253857499</v>
      </c>
      <c r="BH112">
        <v>4.8933218126662398E-3</v>
      </c>
      <c r="BI112">
        <v>7.1691488701580357E-8</v>
      </c>
      <c r="BV112" s="328">
        <v>399</v>
      </c>
      <c r="BW112">
        <f>J121-Z121-AA121</f>
        <v>-1.9555157998680444E-2</v>
      </c>
      <c r="BY112">
        <f t="shared" si="15"/>
        <v>39.9</v>
      </c>
      <c r="BZ112">
        <f>T124*(S91+T91+U91-W91-X91-Y91)/0.25+BZ111</f>
        <v>72.703262650789313</v>
      </c>
      <c r="CA112">
        <f t="shared" si="14"/>
        <v>16.894008324817612</v>
      </c>
    </row>
    <row r="113" spans="1:79">
      <c r="A113" s="344" t="s">
        <v>38</v>
      </c>
      <c r="B113" t="s">
        <v>17</v>
      </c>
      <c r="C113" s="79">
        <v>8.6835041791191031E-3</v>
      </c>
      <c r="D113" s="348">
        <v>5.7449285951053218E-10</v>
      </c>
      <c r="E113" s="13"/>
      <c r="F113" s="347"/>
      <c r="G113" s="13">
        <v>8.6782409338612091E-3</v>
      </c>
      <c r="H113" s="13">
        <v>9.0289947940927973E-10</v>
      </c>
      <c r="I113" s="13"/>
      <c r="J113" s="347"/>
      <c r="K113" s="13">
        <v>4.327409924598271E-2</v>
      </c>
      <c r="L113" s="13">
        <v>7.9252583009826547E-3</v>
      </c>
      <c r="M113" s="13">
        <v>1.0256588608376133E-9</v>
      </c>
      <c r="N113" s="347"/>
      <c r="O113" s="13">
        <v>4.8889928667618057E-2</v>
      </c>
      <c r="P113" s="13">
        <v>6.9235991979469478E-3</v>
      </c>
      <c r="Q113" s="13">
        <v>1.1663895027901596E-9</v>
      </c>
      <c r="R113" s="347"/>
      <c r="S113" s="13">
        <v>5.5269180181809027E-2</v>
      </c>
      <c r="T113" s="13">
        <v>5.9237395301307959E-3</v>
      </c>
      <c r="U113" s="13">
        <v>1.3290387741137808E-9</v>
      </c>
      <c r="V113" s="347"/>
      <c r="W113" s="13">
        <v>6.2046101268664007E-2</v>
      </c>
      <c r="X113" s="13">
        <v>4.8878846540991311E-3</v>
      </c>
      <c r="Y113" s="13">
        <v>1.5112001893878389E-9</v>
      </c>
      <c r="Z113" s="347"/>
      <c r="AA113" s="13">
        <v>6.907457406630281E-2</v>
      </c>
      <c r="AB113" s="13">
        <v>3.835148332931609E-3</v>
      </c>
      <c r="AC113" s="13">
        <v>1.7078373343558871E-9</v>
      </c>
      <c r="AD113" s="347"/>
      <c r="AE113" s="13">
        <v>7.6217052838407129E-2</v>
      </c>
      <c r="AF113" s="13">
        <v>2.8192595470196199E-3</v>
      </c>
      <c r="AG113" s="13">
        <v>1.9116752495546057E-9</v>
      </c>
      <c r="AH113" s="347"/>
      <c r="AI113" s="13">
        <v>8.323868973497095E-2</v>
      </c>
      <c r="AJ113" s="13">
        <v>1.9138305828145438E-3</v>
      </c>
      <c r="AK113" s="13">
        <v>2.1152764922920009E-9</v>
      </c>
      <c r="AL113" s="347"/>
      <c r="AM113" s="13">
        <v>9.0320554240193113E-2</v>
      </c>
      <c r="AN113" s="13">
        <v>1.1911203295970148E-3</v>
      </c>
      <c r="AO113" s="13">
        <v>2.3203220132199703E-9</v>
      </c>
      <c r="AP113" s="347"/>
      <c r="AQ113" s="13">
        <v>9.818038584425974E-2</v>
      </c>
      <c r="AR113" s="13">
        <v>6.8196940675232175E-4</v>
      </c>
      <c r="AS113" s="13">
        <v>2.5437676014056109E-9</v>
      </c>
      <c r="AT113" s="347"/>
      <c r="AU113">
        <v>0.12058622969667593</v>
      </c>
      <c r="AV113">
        <v>1.8830450307307989E-4</v>
      </c>
      <c r="AW113">
        <v>3.1772466560951905E-9</v>
      </c>
      <c r="AX113" s="347"/>
      <c r="AY113">
        <v>0.13902742088170039</v>
      </c>
      <c r="AZ113">
        <v>1.0072271470581561E-4</v>
      </c>
      <c r="BA113">
        <v>3.7109189108964241E-9</v>
      </c>
      <c r="BB113" s="347"/>
      <c r="BC113">
        <v>0.1672992943338322</v>
      </c>
      <c r="BD113">
        <v>6.5752702289125308E-5</v>
      </c>
      <c r="BE113">
        <v>4.552188787835078E-9</v>
      </c>
      <c r="BF113" s="347"/>
      <c r="BG113">
        <v>0.2498717166546659</v>
      </c>
      <c r="BH113">
        <v>2.0476161574529855E-4</v>
      </c>
      <c r="BI113">
        <v>6.9526632496055751E-9</v>
      </c>
      <c r="BV113" s="328">
        <v>363.2</v>
      </c>
      <c r="BW113">
        <f>J121-AD121-AE121</f>
        <v>-2.2380140848076092E-2</v>
      </c>
      <c r="BY113">
        <f t="shared" si="15"/>
        <v>36.32</v>
      </c>
      <c r="BZ113">
        <f>X124*(W91+X91+Y91-AA91-AB91-AC91)/0.25+BZ112</f>
        <v>83.938594591259218</v>
      </c>
      <c r="CA113">
        <f t="shared" si="14"/>
        <v>19.504754863746527</v>
      </c>
    </row>
    <row r="114" spans="1:79">
      <c r="A114" s="344" t="s">
        <v>39</v>
      </c>
      <c r="B114" t="s">
        <v>17</v>
      </c>
      <c r="C114" s="79">
        <v>7.3722045953882797E-3</v>
      </c>
      <c r="D114" s="348">
        <v>5.6615512101817004E-11</v>
      </c>
      <c r="E114" s="13"/>
      <c r="F114" s="347"/>
      <c r="G114" s="13">
        <v>7.3677368283372466E-3</v>
      </c>
      <c r="H114" s="13">
        <v>1.0986526756413541E-10</v>
      </c>
      <c r="I114" s="13"/>
      <c r="J114" s="347"/>
      <c r="K114" s="13">
        <v>7.7044813793378714E-2</v>
      </c>
      <c r="L114" s="13">
        <v>5.8537879551463943E-3</v>
      </c>
      <c r="M114" s="13">
        <v>1.2018875287670728E-10</v>
      </c>
      <c r="N114" s="347"/>
      <c r="O114" s="13">
        <v>8.066640642233687E-2</v>
      </c>
      <c r="P114" s="13">
        <v>4.1793070146970814E-3</v>
      </c>
      <c r="Q114" s="13">
        <v>1.2615242828511908E-10</v>
      </c>
      <c r="R114" s="347"/>
      <c r="S114" s="13">
        <v>8.3879194616973823E-2</v>
      </c>
      <c r="T114" s="13">
        <v>2.8742293555560649E-3</v>
      </c>
      <c r="U114" s="13">
        <v>1.3173712197262134E-10</v>
      </c>
      <c r="V114" s="347"/>
      <c r="W114" s="13">
        <v>8.5836778175104947E-2</v>
      </c>
      <c r="X114" s="13">
        <v>1.8672102990499224E-3</v>
      </c>
      <c r="Y114" s="13">
        <v>1.3643754293053232E-10</v>
      </c>
      <c r="Z114" s="347"/>
      <c r="AA114" s="13">
        <v>8.6967435139963814E-2</v>
      </c>
      <c r="AB114" s="13">
        <v>1.1311716988259815E-3</v>
      </c>
      <c r="AC114" s="13">
        <v>1.403696288720543E-10</v>
      </c>
      <c r="AD114" s="347"/>
      <c r="AE114" s="13">
        <v>8.7961496208546347E-2</v>
      </c>
      <c r="AF114" s="13">
        <v>6.3076415810265133E-4</v>
      </c>
      <c r="AG114" s="13">
        <v>1.4394781099606915E-10</v>
      </c>
      <c r="AH114" s="347"/>
      <c r="AI114" s="13">
        <v>8.936765246635224E-2</v>
      </c>
      <c r="AJ114" s="13">
        <v>3.194951023969498E-4</v>
      </c>
      <c r="AK114" s="13">
        <v>1.4787425261708317E-10</v>
      </c>
      <c r="AL114" s="347"/>
      <c r="AM114" s="13">
        <v>9.2005075658012109E-2</v>
      </c>
      <c r="AN114" s="13">
        <v>1.4576078520063006E-4</v>
      </c>
      <c r="AO114" s="13">
        <v>1.5321425721247931E-10</v>
      </c>
      <c r="AP114" s="347"/>
      <c r="AQ114" s="13">
        <v>9.6764034827988218E-2</v>
      </c>
      <c r="AR114" s="13">
        <v>5.9809039115400334E-5</v>
      </c>
      <c r="AS114" s="13">
        <v>1.6129483727583024E-10</v>
      </c>
      <c r="AT114" s="347"/>
      <c r="AU114">
        <v>0.11556388978040491</v>
      </c>
      <c r="AV114">
        <v>7.7370890419347842E-6</v>
      </c>
      <c r="AW114">
        <v>1.9170143816181241E-10</v>
      </c>
      <c r="AX114" s="347"/>
      <c r="AY114">
        <v>0.13283155710205777</v>
      </c>
      <c r="AZ114">
        <v>2.6997706308462066E-6</v>
      </c>
      <c r="BA114">
        <v>2.2054279785817137E-10</v>
      </c>
      <c r="BB114" s="347"/>
      <c r="BC114">
        <v>0.15972290764795471</v>
      </c>
      <c r="BD114">
        <v>1.1146808188544769E-6</v>
      </c>
      <c r="BE114">
        <v>2.6736339054434652E-10</v>
      </c>
      <c r="BF114" s="347"/>
      <c r="BG114">
        <v>0.23931053817044975</v>
      </c>
      <c r="BH114">
        <v>2.1199496694283029E-6</v>
      </c>
      <c r="BI114">
        <v>4.0568318799244939E-10</v>
      </c>
      <c r="BV114" s="328">
        <v>327.39999999999998</v>
      </c>
      <c r="BW114">
        <f>J121-AH121-AI121</f>
        <v>-2.4942387886038093E-2</v>
      </c>
      <c r="BY114">
        <f t="shared" si="15"/>
        <v>32.739999999999995</v>
      </c>
      <c r="BZ114">
        <f>AB124*(AA91+AB91+AC91-AE91-AF91-AG91)/0.25+BZ113</f>
        <v>95.02417068041197</v>
      </c>
      <c r="CA114">
        <f t="shared" si="14"/>
        <v>22.080702736059962</v>
      </c>
    </row>
    <row r="115" spans="1:79">
      <c r="A115" s="344" t="s">
        <v>251</v>
      </c>
      <c r="B115" t="s">
        <v>17</v>
      </c>
      <c r="C115" s="13">
        <v>3.1377782218420084E-10</v>
      </c>
      <c r="D115" s="13">
        <v>2.802635178492198E-2</v>
      </c>
      <c r="E115" s="13"/>
      <c r="F115" s="347"/>
      <c r="G115" s="13">
        <v>5.6809661150352921E-10</v>
      </c>
      <c r="H115" s="13">
        <v>2.8032039001085435E-2</v>
      </c>
      <c r="I115" s="13"/>
      <c r="J115" s="347"/>
      <c r="K115" s="13">
        <v>2.0579873312730998E-8</v>
      </c>
      <c r="L115" s="13">
        <v>6.0094845866186893E-10</v>
      </c>
      <c r="M115" s="13">
        <v>2.803417367178053E-2</v>
      </c>
      <c r="N115" s="347"/>
      <c r="O115" s="13">
        <v>2.5154680617077236E-8</v>
      </c>
      <c r="P115" s="13">
        <v>6.4181056162191971E-10</v>
      </c>
      <c r="Q115" s="13">
        <v>2.8036824375296358E-2</v>
      </c>
      <c r="R115" s="347"/>
      <c r="S115" s="13">
        <v>3.0303305245832954E-8</v>
      </c>
      <c r="T115" s="13">
        <v>7.2655910179064589E-10</v>
      </c>
      <c r="U115" s="13">
        <v>2.8039797487782292E-2</v>
      </c>
      <c r="V115" s="347"/>
      <c r="W115" s="13">
        <v>3.5228711767261774E-8</v>
      </c>
      <c r="X115" s="13">
        <v>8.7154944615884743E-10</v>
      </c>
      <c r="Y115" s="13">
        <v>2.8043018926193288E-2</v>
      </c>
      <c r="Z115" s="347"/>
      <c r="AA115" s="13">
        <v>3.9941472380970093E-8</v>
      </c>
      <c r="AB115" s="13">
        <v>1.1141178203644604E-9</v>
      </c>
      <c r="AC115" s="13">
        <v>2.8046330566760546E-2</v>
      </c>
      <c r="AD115" s="347"/>
      <c r="AE115" s="13">
        <v>4.4729814402529331E-8</v>
      </c>
      <c r="AF115" s="13">
        <v>1.5295032247885873E-9</v>
      </c>
      <c r="AG115" s="13">
        <v>2.8050189956922357E-2</v>
      </c>
      <c r="AH115" s="347"/>
      <c r="AI115" s="13">
        <v>4.9810134314830365E-8</v>
      </c>
      <c r="AJ115" s="13">
        <v>2.2713716497128495E-9</v>
      </c>
      <c r="AK115" s="13">
        <v>2.8054476315404493E-2</v>
      </c>
      <c r="AL115" s="347"/>
      <c r="AM115" s="13">
        <v>5.5926255120816623E-8</v>
      </c>
      <c r="AN115" s="13">
        <v>3.6712785132824094E-9</v>
      </c>
      <c r="AO115" s="13">
        <v>2.8059347639581192E-2</v>
      </c>
      <c r="AP115" s="347"/>
      <c r="AQ115" s="13">
        <v>6.4465059525760395E-8</v>
      </c>
      <c r="AR115" s="13">
        <v>6.4762806420071495E-9</v>
      </c>
      <c r="AS115" s="13">
        <v>2.8065218189830963E-2</v>
      </c>
      <c r="AT115" s="347"/>
      <c r="AU115">
        <v>9.9791633172641862E-8</v>
      </c>
      <c r="AV115">
        <v>2.6173752777142936E-8</v>
      </c>
      <c r="AW115">
        <v>2.8084320409637372E-2</v>
      </c>
      <c r="AX115" s="347"/>
      <c r="AY115">
        <v>1.4298735345957596E-7</v>
      </c>
      <c r="AZ115">
        <v>6.1258260093196542E-8</v>
      </c>
      <c r="BA115">
        <v>2.8098291012755131E-2</v>
      </c>
      <c r="BB115" s="347"/>
      <c r="BC115">
        <v>2.4254330363962927E-7</v>
      </c>
      <c r="BD115">
        <v>1.8010695407664436E-7</v>
      </c>
      <c r="BE115">
        <v>2.8124475193045551E-2</v>
      </c>
      <c r="BF115" s="347"/>
      <c r="BG115">
        <v>8.827372895919659E-7</v>
      </c>
      <c r="BH115">
        <v>2.1589276861831972E-6</v>
      </c>
      <c r="BI115">
        <v>2.8392225883027113E-2</v>
      </c>
      <c r="BV115" s="328">
        <v>291.60000000000002</v>
      </c>
      <c r="BW115">
        <f>J121-AL121-AM121</f>
        <v>-2.717185255264078E-2</v>
      </c>
      <c r="BY115">
        <f t="shared" si="15"/>
        <v>29.160000000000004</v>
      </c>
      <c r="BZ115">
        <f>AF124*(AE91+AF91+AG91-AI91-AJ91-AK91)/0.25+BZ114</f>
        <v>105.88899582861302</v>
      </c>
      <c r="CA115">
        <f t="shared" si="14"/>
        <v>24.605354860449918</v>
      </c>
    </row>
    <row r="116" spans="1:79">
      <c r="A116" s="344" t="s">
        <v>41</v>
      </c>
      <c r="B116" t="s">
        <v>17</v>
      </c>
      <c r="C116" s="13"/>
      <c r="D116" s="13"/>
      <c r="E116" s="13"/>
      <c r="F116" s="347"/>
      <c r="G116" s="13"/>
      <c r="H116" s="13"/>
      <c r="I116" s="13"/>
      <c r="J116" s="347"/>
      <c r="K116" s="13"/>
      <c r="L116" s="13"/>
      <c r="M116" s="13"/>
      <c r="N116" s="347"/>
      <c r="O116" s="13"/>
      <c r="P116" s="13"/>
      <c r="Q116" s="13"/>
      <c r="R116" s="347"/>
      <c r="S116" s="13"/>
      <c r="T116" s="13"/>
      <c r="U116" s="13"/>
      <c r="V116" s="347"/>
      <c r="W116" s="13"/>
      <c r="X116" s="13"/>
      <c r="Y116" s="13"/>
      <c r="Z116" s="347"/>
      <c r="AA116" s="13"/>
      <c r="AB116" s="13"/>
      <c r="AC116" s="13"/>
      <c r="AD116" s="347"/>
      <c r="AE116" s="13"/>
      <c r="AF116" s="13"/>
      <c r="AG116" s="13"/>
      <c r="AH116" s="347"/>
      <c r="AI116" s="13"/>
      <c r="AJ116" s="13"/>
      <c r="AK116" s="13"/>
      <c r="AL116" s="347"/>
      <c r="AM116" s="13">
        <f>AM91/($AM$9+$AN$9+$AO$9)</f>
        <v>2.6645012828720782E-2</v>
      </c>
      <c r="AN116" s="13">
        <f>AN91/($AM$9+$AN$9+$AO$9)</f>
        <v>0.22136423436275848</v>
      </c>
      <c r="AO116" s="13">
        <f>AO91/($AM$9+$AN$9+$AO$9)</f>
        <v>1.213394057416483</v>
      </c>
      <c r="AP116" s="347"/>
      <c r="AQ116" s="13">
        <f>AQ91/($AQ$9+$AR$9+$AS$9)</f>
        <v>2.868548366673785E-2</v>
      </c>
      <c r="AR116" s="13">
        <f>AR91/($AQ$9+$AR$9+$AS$9)</f>
        <v>0.21915707983816043</v>
      </c>
      <c r="AS116" s="13">
        <f>AS91/($AQ$9+$AR$9+$AS$9)</f>
        <v>1.3643886646050343</v>
      </c>
      <c r="AT116" s="347"/>
      <c r="AX116" s="347"/>
      <c r="BB116" s="347"/>
      <c r="BF116" s="347"/>
      <c r="BV116" s="328">
        <v>255.8</v>
      </c>
      <c r="BW116">
        <f>J121-AP121-AQ121</f>
        <v>-2.8964940877371871E-2</v>
      </c>
      <c r="BY116">
        <f t="shared" si="15"/>
        <v>25.580000000000002</v>
      </c>
      <c r="BZ116">
        <f>AJ124*(AI91+AJ91+AK91-AM91-AN91-AO91)/0.25+BZ115</f>
        <v>116.38443180317407</v>
      </c>
      <c r="CA116">
        <f t="shared" si="14"/>
        <v>27.044172270591272</v>
      </c>
    </row>
    <row r="117" spans="1:79">
      <c r="A117" s="344" t="s">
        <v>42</v>
      </c>
      <c r="B117" t="s">
        <v>17</v>
      </c>
      <c r="C117" s="13"/>
      <c r="D117" s="13"/>
      <c r="E117" s="13"/>
      <c r="F117" s="347"/>
      <c r="G117" s="13"/>
      <c r="H117" s="13"/>
      <c r="I117" s="13"/>
      <c r="J117" s="347"/>
      <c r="K117" s="13"/>
      <c r="L117" s="13"/>
      <c r="M117" s="13"/>
      <c r="N117" s="347"/>
      <c r="O117" s="13"/>
      <c r="P117" s="13"/>
      <c r="Q117" s="13"/>
      <c r="R117" s="347"/>
      <c r="S117" s="13"/>
      <c r="T117" s="13"/>
      <c r="U117" s="13"/>
      <c r="V117" s="347"/>
      <c r="W117" s="13"/>
      <c r="X117" s="13"/>
      <c r="Y117" s="13"/>
      <c r="Z117" s="347"/>
      <c r="AA117" s="13"/>
      <c r="AB117" s="13"/>
      <c r="AC117" s="13"/>
      <c r="AD117" s="347"/>
      <c r="AE117" s="13"/>
      <c r="AF117" s="13"/>
      <c r="AG117" s="13"/>
      <c r="AH117" s="347"/>
      <c r="AI117" s="13"/>
      <c r="AJ117" s="13"/>
      <c r="AK117" s="13"/>
      <c r="AL117" s="347"/>
      <c r="AM117" s="13"/>
      <c r="AN117" s="13"/>
      <c r="AO117" s="13"/>
      <c r="AP117" s="347"/>
      <c r="AQ117" s="13"/>
      <c r="AR117" s="13"/>
      <c r="AS117" s="13"/>
      <c r="AT117" s="347"/>
      <c r="AX117" s="347"/>
      <c r="BB117" s="347"/>
      <c r="BF117" s="347"/>
      <c r="BV117" s="360">
        <v>220</v>
      </c>
      <c r="BW117">
        <f>F121-AT121-AU121</f>
        <v>-3.1113803917631577E-2</v>
      </c>
      <c r="BY117">
        <f t="shared" si="15"/>
        <v>22</v>
      </c>
      <c r="BZ117">
        <f>AN124*(AM91+AN91+AO91-AQ91-AR91-AS91)/0.25+BZ116</f>
        <v>126.32607216196207</v>
      </c>
      <c r="CA117">
        <f t="shared" si="14"/>
        <v>29.354304565347149</v>
      </c>
    </row>
    <row r="118" spans="1:79">
      <c r="A118" s="344" t="s">
        <v>43</v>
      </c>
      <c r="B118" t="s">
        <v>17</v>
      </c>
      <c r="C118" s="13"/>
      <c r="D118" s="13"/>
      <c r="E118" s="13"/>
      <c r="F118" s="347"/>
      <c r="G118" s="13"/>
      <c r="H118" s="13"/>
      <c r="I118" s="13"/>
      <c r="J118" s="347"/>
      <c r="K118" s="13"/>
      <c r="L118" s="13"/>
      <c r="M118" s="13"/>
      <c r="N118" s="347"/>
      <c r="O118" s="13"/>
      <c r="P118" s="13"/>
      <c r="Q118" s="13"/>
      <c r="R118" s="347"/>
      <c r="S118" s="13"/>
      <c r="T118" s="13"/>
      <c r="U118" s="13"/>
      <c r="V118" s="347"/>
      <c r="W118" s="13"/>
      <c r="X118" s="13"/>
      <c r="Y118" s="13"/>
      <c r="Z118" s="347"/>
      <c r="AA118" s="13"/>
      <c r="AB118" s="13"/>
      <c r="AC118" s="13"/>
      <c r="AD118" s="347"/>
      <c r="AE118" s="13"/>
      <c r="AF118" s="13"/>
      <c r="AG118" s="13"/>
      <c r="AH118" s="347"/>
      <c r="AI118" s="13"/>
      <c r="AJ118" s="13"/>
      <c r="AK118" s="13"/>
      <c r="AL118" s="347"/>
      <c r="AM118" s="13"/>
      <c r="AN118" s="13"/>
      <c r="AO118" s="13"/>
      <c r="AP118" s="347"/>
      <c r="AQ118" s="13"/>
      <c r="AR118" s="13"/>
      <c r="AS118" s="13"/>
      <c r="AT118" s="347"/>
      <c r="AX118" s="347"/>
      <c r="BB118" s="347"/>
      <c r="BF118" s="347"/>
      <c r="BV118" s="360">
        <v>184.2</v>
      </c>
      <c r="BW118">
        <f>J121-AX121-AY121</f>
        <v>-3.1191456745625651E-2</v>
      </c>
      <c r="BY118">
        <f t="shared" si="15"/>
        <v>18.419999999999998</v>
      </c>
      <c r="BZ118">
        <f>AR124*(AQ91+AR91+AS91-AU91-AV91-AW91)/0.25+BZ117</f>
        <v>135.53873884589578</v>
      </c>
      <c r="CA118">
        <f t="shared" si="14"/>
        <v>31.495045736753934</v>
      </c>
    </row>
    <row r="119" spans="1:79">
      <c r="A119" s="344" t="s">
        <v>44</v>
      </c>
      <c r="B119" t="s">
        <v>17</v>
      </c>
      <c r="C119" s="13"/>
      <c r="D119" s="13"/>
      <c r="E119" s="13"/>
      <c r="F119" s="347"/>
      <c r="G119" s="13"/>
      <c r="H119" s="13"/>
      <c r="I119" s="13"/>
      <c r="J119" s="347"/>
      <c r="K119" s="13"/>
      <c r="L119" s="13"/>
      <c r="M119" s="13"/>
      <c r="N119" s="347"/>
      <c r="O119" s="13"/>
      <c r="P119" s="13"/>
      <c r="Q119" s="13"/>
      <c r="R119" s="347"/>
      <c r="S119" s="13"/>
      <c r="T119" s="13"/>
      <c r="U119" s="13"/>
      <c r="V119" s="347"/>
      <c r="W119" s="13"/>
      <c r="X119" s="13"/>
      <c r="Y119" s="13"/>
      <c r="Z119" s="347"/>
      <c r="AA119" s="13"/>
      <c r="AB119" s="13"/>
      <c r="AC119" s="13"/>
      <c r="AD119" s="347"/>
      <c r="AE119" s="13"/>
      <c r="AF119" s="13"/>
      <c r="AG119" s="13"/>
      <c r="AH119" s="347"/>
      <c r="AI119" s="13"/>
      <c r="AJ119" s="13"/>
      <c r="AK119" s="13"/>
      <c r="AL119" s="347"/>
      <c r="AM119" s="13"/>
      <c r="AN119" s="13"/>
      <c r="AO119" s="13"/>
      <c r="AP119" s="347"/>
      <c r="AQ119" s="13"/>
      <c r="AR119" s="13"/>
      <c r="AS119" s="13"/>
      <c r="AT119" s="347"/>
      <c r="AX119" s="347"/>
      <c r="BB119" s="347"/>
      <c r="BF119" s="347"/>
      <c r="BV119" s="360">
        <v>112.6</v>
      </c>
      <c r="BW119">
        <f>J121-BB121-BC121</f>
        <v>-3.0481107282609651E-2</v>
      </c>
      <c r="BY119">
        <f t="shared" si="15"/>
        <v>11.26</v>
      </c>
      <c r="BZ119">
        <f>AV124*(AU91+AV91+AW91-AY91-AZ91-BA91)/0.25+BZ118</f>
        <v>150.4157354031644</v>
      </c>
      <c r="CA119">
        <f t="shared" si="14"/>
        <v>34.952003437455566</v>
      </c>
    </row>
    <row r="120" spans="1:79">
      <c r="A120" s="344" t="s">
        <v>45</v>
      </c>
      <c r="B120" t="s">
        <v>17</v>
      </c>
      <c r="F120" s="345"/>
      <c r="J120" s="345"/>
      <c r="N120" s="345"/>
      <c r="R120" s="345"/>
      <c r="V120" s="345"/>
      <c r="Z120" s="345"/>
      <c r="AD120" s="345"/>
      <c r="AH120" s="345"/>
      <c r="AL120" s="345"/>
      <c r="AP120" s="345"/>
      <c r="AT120" s="345"/>
      <c r="AX120" s="345"/>
      <c r="BB120" s="345"/>
      <c r="BF120" s="345"/>
      <c r="BV120" s="360">
        <v>76.8</v>
      </c>
      <c r="BW120">
        <f>J121-BF121-BG121</f>
        <v>-2.4867462683070468E-2</v>
      </c>
      <c r="BY120">
        <f t="shared" si="15"/>
        <v>7.68</v>
      </c>
      <c r="BZ120">
        <f>AZ124*(AY91+AZ91+BA91-BC91-BD91-BE91)/0.25+BZ119</f>
        <v>157.65038815892763</v>
      </c>
      <c r="CA120">
        <f t="shared" si="14"/>
        <v>36.633114840530979</v>
      </c>
    </row>
    <row r="121" spans="1:79">
      <c r="A121" s="344" t="s">
        <v>225</v>
      </c>
      <c r="C121" s="13">
        <f>SUM(C107:C114)*C91/$P$85</f>
        <v>6.3970403260955322E-2</v>
      </c>
      <c r="D121" s="13">
        <f>SUM(D107:D114)*D91/$P$85</f>
        <v>5.9673904466610005E-7</v>
      </c>
      <c r="F121" s="345"/>
      <c r="G121" s="13">
        <f>SUM(G107:G114)*G91/$P$85</f>
        <v>6.397031903854368E-2</v>
      </c>
      <c r="H121" s="13">
        <f>SUM(H107:H114)*H91/$P$85</f>
        <v>6.809614563222995E-7</v>
      </c>
      <c r="I121" s="13"/>
      <c r="J121" s="345"/>
      <c r="K121" s="13">
        <f>SUM(K107:K114)*K91/$P$85</f>
        <v>4.3806638272795373E-3</v>
      </c>
      <c r="L121" s="13">
        <f>SUM(L107:L114)*L91/$P$85</f>
        <v>5.3861391194014965E-2</v>
      </c>
      <c r="M121" s="13">
        <f>SUM(M107:M114)*M91/$P$85</f>
        <v>7.1816968098819065E-7</v>
      </c>
      <c r="N121" s="345"/>
      <c r="O121" s="13">
        <f>SUM(O107:O114)*O91/$P$85</f>
        <v>9.1558951686650462E-3</v>
      </c>
      <c r="P121" s="13">
        <f>SUM(P107:P114)*P91/$P$85</f>
        <v>4.7330351109096731E-2</v>
      </c>
      <c r="Q121" s="13">
        <f>SUM(Q107:Q114)*Q91/$P$85</f>
        <v>7.6487623060430945E-7</v>
      </c>
      <c r="R121" s="345"/>
      <c r="S121" s="13">
        <f>SUM(S107:S114)*S91/$P$85</f>
        <v>1.303995320522007E-2</v>
      </c>
      <c r="T121" s="13">
        <f>SUM(T107:T114)*T91/$P$85</f>
        <v>4.1585461987532789E-2</v>
      </c>
      <c r="U121" s="13">
        <f>SUM(U107:U114)*U91/$P$85</f>
        <v>8.1989147997517726E-7</v>
      </c>
      <c r="V121" s="345"/>
      <c r="W121" s="13">
        <f>SUM(W107:W114)*W91/$P$85</f>
        <v>1.6458593525607093E-2</v>
      </c>
      <c r="X121" s="13">
        <f>SUM(X107:X114)*X91/$P$85</f>
        <v>3.6233322141938924E-2</v>
      </c>
      <c r="Y121" s="13">
        <f>SUM(Y107:Y114)*Y91/$P$85</f>
        <v>8.8572799977927949E-7</v>
      </c>
      <c r="Z121" s="345"/>
      <c r="AA121" s="13">
        <f>SUM(AA107:AA114)*AA91/$P$85</f>
        <v>1.9555157998680444E-2</v>
      </c>
      <c r="AB121" s="13">
        <f>SUM(AB107:AB114)*AB91/$P$85</f>
        <v>3.1125795191658603E-2</v>
      </c>
      <c r="AC121" s="13">
        <f>SUM(AC107:AC114)*AC91/$P$85</f>
        <v>9.6543044795728775E-7</v>
      </c>
      <c r="AD121" s="345"/>
      <c r="AE121" s="13">
        <f>SUM(AE107:AE114)*AE91/$P$85</f>
        <v>2.2380140848076092E-2</v>
      </c>
      <c r="AF121" s="13">
        <f>SUM(AF107:AF114)*AF91/$P$85</f>
        <v>2.6217540220927128E-2</v>
      </c>
      <c r="AG121" s="13">
        <f>SUM(AG107:AG114)*AG91/$P$85</f>
        <v>1.0627667910119727E-6</v>
      </c>
      <c r="AH121" s="345"/>
      <c r="AI121" s="13">
        <f>SUM(AI107:AI114)*AI91/$P$85</f>
        <v>2.4942387886038093E-2</v>
      </c>
      <c r="AJ121" s="13">
        <f>SUM(AJ107:AJ114)*AJ91/$P$85</f>
        <v>2.1512046543093119E-2</v>
      </c>
      <c r="AK121" s="13">
        <f>SUM(AK107:AK114)*AK91/$P$85</f>
        <v>1.1817860551960487E-6</v>
      </c>
      <c r="AL121" s="345"/>
      <c r="AM121" s="13">
        <f>SUM(AM107:AM114)*AM91/$P$85</f>
        <v>2.717185255264078E-2</v>
      </c>
      <c r="AN121" s="13">
        <f>SUM(AN107:AN114)*AN91/$P$85</f>
        <v>1.7110364324498833E-2</v>
      </c>
      <c r="AO121" s="13">
        <f>SUM(AO107:AO114)*AO91/$P$85</f>
        <v>1.3262226032879904E-6</v>
      </c>
      <c r="AP121" s="345"/>
      <c r="AQ121" s="13">
        <f>SUM(AQ107:AQ114)*AQ91/$P$85</f>
        <v>2.8964940877371871E-2</v>
      </c>
      <c r="AR121" s="13">
        <f>SUM(AR107:AR114)*AR91/$P$85</f>
        <v>1.3160961236482135E-2</v>
      </c>
      <c r="AS121" s="13">
        <f>SUM(AS107:AS114)*AS91/$P$85</f>
        <v>1.4986868322857277E-6</v>
      </c>
      <c r="AT121" s="345"/>
      <c r="AU121" s="13">
        <f>SUM(AU107:AU114)*AU91/$P$85</f>
        <v>3.1113803917631577E-2</v>
      </c>
      <c r="AV121" s="13">
        <f>SUM(AV107:AV114)*AV91/$P$85</f>
        <v>8.9222858220137941E-3</v>
      </c>
      <c r="AW121" s="13">
        <f>SUM(AW107:AW114)*AW91/$P$85</f>
        <v>1.9275879350854444E-6</v>
      </c>
      <c r="AX121" s="345"/>
      <c r="AY121" s="13">
        <f>SUM(AY107:AY114)*AY91/$P$85</f>
        <v>3.1191456745625651E-2</v>
      </c>
      <c r="AZ121" s="13">
        <f>SUM(AZ107:AZ114)*AZ91/$P$85</f>
        <v>5.1998850861562345E-3</v>
      </c>
      <c r="BA121" s="13">
        <f>SUM(BA107:BA114)*BA91/$P$85</f>
        <v>2.161271737370816E-6</v>
      </c>
      <c r="BB121" s="345"/>
      <c r="BC121" s="13">
        <f>SUM(BC107:BC114)*BC91/$P$85</f>
        <v>3.0481107282609651E-2</v>
      </c>
      <c r="BD121" s="13">
        <f>SUM(BD107:BD114)*BD91/$P$85</f>
        <v>4.0870686010152394E-3</v>
      </c>
      <c r="BE121" s="13">
        <f>SUM(BE107:BE114)*BE91/$P$85</f>
        <v>2.3461271496010808E-6</v>
      </c>
      <c r="BF121" s="345"/>
      <c r="BG121" s="13">
        <f>SUM(BG107:BG114)*BG91/$P$85</f>
        <v>2.4867462683070468E-2</v>
      </c>
      <c r="BH121" s="13">
        <f>SUM(BH107:BH114)*BH91/$P$85</f>
        <v>7.6169572631119582E-3</v>
      </c>
      <c r="BI121" s="13"/>
      <c r="BV121" s="360">
        <v>41</v>
      </c>
      <c r="BY121">
        <f t="shared" si="15"/>
        <v>4.0999999999999996</v>
      </c>
      <c r="BZ121">
        <f>BD124*(BC91+BD91+BE91-BG91-BH91)/0.25+BZ120</f>
        <v>435.1914690161243</v>
      </c>
      <c r="CA121">
        <f t="shared" si="14"/>
        <v>101.12514944153186</v>
      </c>
    </row>
    <row r="122" spans="1:79">
      <c r="A122" s="344" t="s">
        <v>226</v>
      </c>
      <c r="C122">
        <f>(C107*$BL$8+C108*$BL$9+$BL$10*C109+C110*$BL$11+$BL$12*C111+C112*$BL$13+$BL$14*C113+C114*$BL$15)/0.02404/(1-C121)*C91/$P$85</f>
        <v>430.34682471298538</v>
      </c>
      <c r="D122">
        <f>(D107*$BL$8+D108*$BL$9+$BL$10*D109+D110*$BL$11+$BL$12*D111+D112*$BL$13+$BL$14*D113+D114*$BL$15)/0.02404/(1-D121)*D91/$P$85</f>
        <v>2.1492463600053763E-3</v>
      </c>
      <c r="F122" s="345"/>
      <c r="G122">
        <f>(G107*$BL$8+G108*$BL$9+$BL$10*G109+G110*$BL$11+$BL$12*G111+G112*$BL$13+$BL$14*G113+G114*$BL$15)/0.02404/(1-G121)*G91/$P$85</f>
        <v>430.3464223096754</v>
      </c>
      <c r="H122">
        <f>(H107*$BL$8+H108*$BL$9+$BL$10*H109+H110*$BL$11+$BL$12*H111+H112*$BL$13+$BL$14*H113+H114*$BL$15)/0.02404/(1-H121)*H91/$P$85</f>
        <v>2.4896633672794404E-3</v>
      </c>
      <c r="J122" s="345"/>
      <c r="K122">
        <f>(K107*$BL$8+K108*$BL$9+$BL$10*K109+K110*$BL$11+$BL$12*K111+K112*$BL$13+$BL$14*K113+K114*$BL$15)/0.02404/(1-K121)*K91/$P$85</f>
        <v>39.098630984476173</v>
      </c>
      <c r="L122">
        <f>(L107*$BL$8+L108*$BL$9+$BL$10*L109+L110*$BL$11+$BL$12*L111+L112*$BL$13+$BL$14*L113+L114*$BL$15)/0.02404/(1-L121)*L91/$P$85</f>
        <v>346.48120335167238</v>
      </c>
      <c r="M122">
        <f>(M107*$BL$8+M108*$BL$9+$BL$10*M109+M110*$BL$11+$BL$12*M111+M112*$BL$13+$BL$14*M113+M114*$BL$15)/0.02404/(1-M121)*M91/$P$85</f>
        <v>2.6379430582845402E-3</v>
      </c>
      <c r="N122" s="345"/>
      <c r="O122">
        <f>(O107*$BL$8+O108*$BL$9+$BL$10*O109+O110*$BL$11+$BL$12*O111+O112*$BL$13+$BL$14*O113+O114*$BL$15)/0.02404/(1-O121)*O91/$P$85</f>
        <v>81.520509237645214</v>
      </c>
      <c r="P122">
        <f>(P107*$BL$8+P108*$BL$9+$BL$10*P109+P110*$BL$11+$BL$12*P111+P112*$BL$13+$BL$14*P113+P114*$BL$15)/0.02404/(1-P121)*P91/$P$85</f>
        <v>288.96282603425243</v>
      </c>
      <c r="Q122">
        <f>(Q107*$BL$8+Q108*$BL$9+$BL$10*Q109+Q110*$BL$11+$BL$12*Q111+Q112*$BL$13+$BL$14*Q113+Q114*$BL$15)/0.02404/(1-Q121)*Q91/$P$85</f>
        <v>2.8235177261155919E-3</v>
      </c>
      <c r="R122" s="345"/>
      <c r="S122">
        <f>(S107*$BL$8+S108*$BL$9+$BL$10*S109+S110*$BL$11+$BL$12*S111+S112*$BL$13+$BL$14*S113+S114*$BL$15)/0.02404/(1-S121)*S91/$P$85</f>
        <v>115.40703748135687</v>
      </c>
      <c r="T122">
        <f>(T107*$BL$8+T108*$BL$9+$BL$10*T109+T110*$BL$11+$BL$12*T111+T112*$BL$13+$BL$14*T113+T114*$BL$15)/0.02404/(1-T121)*T91/$P$85</f>
        <v>241.37269405636903</v>
      </c>
      <c r="U122">
        <f>(U107*$BL$8+U108*$BL$9+$BL$10*U109+U110*$BL$11+$BL$12*U111+U112*$BL$13+$BL$14*U113+U114*$BL$15)/0.02404/(1-U121)*U91/$P$85</f>
        <v>3.0428301831183012E-3</v>
      </c>
      <c r="V122" s="345"/>
      <c r="W122">
        <f>(W107*$BL$8+W108*$BL$9+$BL$10*W109+W110*$BL$11+$BL$12*W111+W112*$BL$13+$BL$14*W113+W114*$BL$15)/0.02404/(1-W121)*W91/$P$85</f>
        <v>144.08654582398731</v>
      </c>
      <c r="X122">
        <f>(X107*$BL$8+X108*$BL$9+$BL$10*X109+X110*$BL$11+$BL$12*X111+X112*$BL$13+$BL$14*X113+X114*$BL$15)/0.02404/(1-X121)*X91/$P$85</f>
        <v>200.01357643787725</v>
      </c>
      <c r="Y122">
        <f>(Y107*$BL$8+Y108*$BL$9+$BL$10*Y109+Y110*$BL$11+$BL$12*Y111+Y112*$BL$13+$BL$14*Y113+Y114*$BL$15)/0.02404/(1-Y121)*Y91/$P$85</f>
        <v>3.3057466454444705E-3</v>
      </c>
      <c r="Z122" s="345"/>
      <c r="AA122">
        <f>(AA107*$BL$8+AA108*$BL$9+$BL$10*AA109+AA110*$BL$11+$BL$12*AA111+AA112*$BL$13+$BL$14*AA113+AA114*$BL$15)/0.02404/(1-AA121)*AA91/$P$85</f>
        <v>168.69987614654397</v>
      </c>
      <c r="AB122">
        <f>(AB107*$BL$8+AB108*$BL$9+$BL$10*AB109+AB110*$BL$11+$BL$12*AB111+AB112*$BL$13+$BL$14*AB113+AB114*$BL$15)/0.02404/(1-AB121)*AB91/$P$85</f>
        <v>163.47022082906236</v>
      </c>
      <c r="AC122">
        <f>(AC107*$BL$8+AC108*$BL$9+$BL$10*AC109+AC110*$BL$11+$BL$12*AC111+AC112*$BL$13+$BL$14*AC113+AC114*$BL$15)/0.02404/(1-AC121)*AC91/$P$85</f>
        <v>3.6241696524588925E-3</v>
      </c>
      <c r="AD122" s="345"/>
      <c r="AE122">
        <f>(AE107*$BL$8+AE108*$BL$9+$BL$10*AE109+AE110*$BL$11+$BL$12*AE111+AE112*$BL$13+$BL$14*AE113+AE114*$BL$15)/0.02404/(1-AE121)*AE91/$P$85</f>
        <v>189.79275018710689</v>
      </c>
      <c r="AF122">
        <f>(AF107*$BL$8+AF108*$BL$9+$BL$10*AF109+AF110*$BL$11+$BL$12*AF111+AF112*$BL$13+$BL$14*AF113+AF114*$BL$15)/0.02404/(1-AF121)*AF91/$P$85</f>
        <v>131.07375222344854</v>
      </c>
      <c r="AG122">
        <f>(AG107*$BL$8+AG108*$BL$9+$BL$10*AG109+AG110*$BL$11+$BL$12*AG111+AG112*$BL$13+$BL$14*AG113+AG114*$BL$15)/0.02404/(1-AG121)*AG91/$P$85</f>
        <v>4.01265480453871E-3</v>
      </c>
      <c r="AH122" s="345"/>
      <c r="AI122">
        <f>(AI107*$BL$8+AI108*$BL$9+$BL$10*AI109+AI110*$BL$11+$BL$12*AI111+AI112*$BL$13+$BL$14*AI113+AI114*$BL$15)/0.02404/(1-AI121)*AI91/$P$85</f>
        <v>207.67267499257434</v>
      </c>
      <c r="AJ122">
        <f>(AJ107*$BL$8+AJ108*$BL$9+$BL$10*AJ109+AJ110*$BL$11+$BL$12*AJ111+AJ112*$BL$13+$BL$14*AJ113+AJ114*$BL$15)/0.02404/(1-AJ121)*AJ91/$P$85</f>
        <v>102.45971424593056</v>
      </c>
      <c r="AK122">
        <f>(AK107*$BL$8+AK108*$BL$9+$BL$10*AK109+AK110*$BL$11+$BL$12*AK111+AK112*$BL$13+$BL$14*AK113+AK114*$BL$15)/0.02404/(1-AK121)*AK91/$P$85</f>
        <v>4.4864441520950224E-3</v>
      </c>
      <c r="AL122" s="345"/>
      <c r="AM122">
        <f>(AM107*$BL$8+AM108*$BL$9+$BL$10*AM109+AM110*$BL$11+$BL$12*AM111+AM112*$BL$13+$BL$14*AM113+AM114*$BL$15)/0.02404/(1-AM121)*AM91/$P$85</f>
        <v>222.24218251147659</v>
      </c>
      <c r="AN122">
        <f>(AN107*$BL$8+AN108*$BL$9+$BL$10*AN109+AN110*$BL$11+$BL$12*AN111+AN112*$BL$13+$BL$14*AN113+AN114*$BL$15)/0.02404/(1-AN121)*AN91/$P$85</f>
        <v>77.751943209576481</v>
      </c>
      <c r="AO122">
        <f>(AO107*$BL$8+AO108*$BL$9+$BL$10*AO109+AO110*$BL$11+$BL$12*AO111+AO112*$BL$13+$BL$14*AO113+AO114*$BL$15)/0.02404/(1-AO121)*AO91/$P$85</f>
        <v>5.0594822670789541E-3</v>
      </c>
      <c r="AP122" s="345"/>
      <c r="AQ122">
        <f>(AQ107*$BL$8+AQ108*$BL$9+$BL$10*AQ109+AQ110*$BL$11+$BL$12*AQ111+AQ112*$BL$13+$BL$14*AQ113+AQ114*$BL$15)/0.02404/(1-AQ121)*AQ91/$P$85</f>
        <v>233.31029008030029</v>
      </c>
      <c r="AR122">
        <f>(AR107*$BL$8+AR108*$BL$9+$BL$10*AR109+AR110*$BL$11+$BL$12*AR111+AR112*$BL$13+$BL$14*AR113+AR114*$BL$15)/0.02404/(1-AR121)*AR91/$P$85</f>
        <v>57.194434744664584</v>
      </c>
      <c r="AS122">
        <f>(AS107*$BL$8+AS108*$BL$9+$BL$10*AS109+AS110*$BL$11+$BL$12*AS111+AS112*$BL$13+$BL$14*AS113+AS114*$BL$15)/0.02404/(1-AS121)*AS91/$P$85</f>
        <v>5.742187950096061E-3</v>
      </c>
      <c r="AT122" s="345"/>
      <c r="AU122">
        <f>(AU107*$BL$8+AU108*$BL$9+$BL$10*AU109+AU110*$BL$11+$BL$12*AU111+AU112*$BL$13+$BL$14*AU113+AU114*$BL$15)/0.02404/(1-AU121)*AU91/$P$85</f>
        <v>246.04660529698876</v>
      </c>
      <c r="AV122">
        <f>(AV107*$BL$8+AV108*$BL$9+$BL$10*AV109+AV110*$BL$11+$BL$12*AV111+AV112*$BL$13+$BL$14*AV113+AV114*$BL$15)/0.02404/(1-AV121)*AV91/$P$85</f>
        <v>35.96169005462913</v>
      </c>
      <c r="AW122">
        <f>(AW107*$BL$8+AW108*$BL$9+$BL$10*AW109+AW110*$BL$11+$BL$12*AW111+AW112*$BL$13+$BL$14*AW113+AW114*$BL$15)/0.02404/(1-AW121)*AW91/$P$85</f>
        <v>7.45859873859796E-3</v>
      </c>
      <c r="AX122" s="345"/>
      <c r="AY122">
        <f>(AY107*$BL$8+AY108*$BL$9+$BL$10*AY109+AY110*$BL$11+$BL$12*AY111+AY112*$BL$13+$BL$14*AY113+AY114*$BL$15)/0.02404/(1-AY121)*AY91/$P$85</f>
        <v>246.9608164790931</v>
      </c>
      <c r="AZ122">
        <f>(AZ107*$BL$8+AZ108*$BL$9+$BL$10*AZ109+AZ110*$BL$11+$BL$12*AZ111+AZ112*$BL$13+$BL$14*AZ113+AZ114*$BL$15)/0.02404/(1-AZ121)*AZ91/$P$85</f>
        <v>20.320604861362693</v>
      </c>
      <c r="BA122">
        <f>(BA107*$BL$8+BA108*$BL$9+$BL$10*BA109+BA110*$BL$11+$BL$12*BA111+BA112*$BL$13+$BL$14*BA113+BA114*$BL$15)/0.02404/(1-BA121)*BA91/$P$85</f>
        <v>8.43669739521671E-3</v>
      </c>
      <c r="BB122" s="345"/>
      <c r="BC122">
        <f>(BC107*$BL$8+BC108*$BL$9+$BL$10*BC109+BC110*$BL$11+$BL$12*BC111+BC112*$BL$13+$BL$14*BC113+BC114*$BL$15)/0.02404/(1-BC121)*BC91/$P$85</f>
        <v>244.17888272516933</v>
      </c>
      <c r="BD122">
        <f>(BD107*$BL$8+BD108*$BL$9+$BL$10*BD109+BD110*$BL$11+$BL$12*BD111+BD112*$BL$13+$BL$14*BD113+BD114*$BL$15)/0.02404/(1-BD121)*BD91/$P$85</f>
        <v>15.712995842646002</v>
      </c>
      <c r="BE122">
        <f>(BE107*$BL$8+BE108*$BL$9+$BL$10*BE109+BE110*$BL$11+$BL$12*BE111+BE112*$BL$13+$BL$14*BE113+BE114*$BL$15)/0.02404/(1-BE121)*BE91/$P$85</f>
        <v>9.3352555544265921E-3</v>
      </c>
      <c r="BF122" s="345"/>
      <c r="BG122">
        <f>(BG107*$BL$8+BG108*$BL$9+$BL$10*BG109+BG110*$BL$11+$BL$12*BG111+BG112*$BL$13+$BL$14*BG113+BG114*$BL$15)/0.02404/(1-BG121)*BG91/$P$85</f>
        <v>218.42049044644241</v>
      </c>
      <c r="BH122">
        <f>(BH107*$BL$8+BH108*$BL$9+$BL$10*BH109+BH110*$BL$11+$BL$12*BH111+BH112*$BL$13+$BL$14*BH113+BH114*$BL$15)/0.02404/(1-BH121)*BH91/$P$85</f>
        <v>31.657988026309557</v>
      </c>
      <c r="BV122" s="360"/>
    </row>
    <row r="123" spans="1:79">
      <c r="C123" s="13">
        <f>SUM(C107:C114)</f>
        <v>6.3790465536813015E-2</v>
      </c>
      <c r="G123" s="13">
        <f>SUM(G107:G114)</f>
        <v>6.3751724129453041E-2</v>
      </c>
      <c r="L123" s="13">
        <f>SUM(L107:L114)</f>
        <v>6.0220995539611966E-2</v>
      </c>
      <c r="P123" s="13">
        <f>SUM(P107:P114)</f>
        <v>5.5845972699286643E-2</v>
      </c>
      <c r="T123" s="13">
        <f>SUM(T107:T114)</f>
        <v>5.179461948547491E-2</v>
      </c>
      <c r="X123" s="13">
        <f>SUM(X107:X114)</f>
        <v>4.7808998585059492E-2</v>
      </c>
      <c r="AB123" s="13">
        <f>SUM(AB107:AB114)</f>
        <v>4.3790552560470555E-2</v>
      </c>
      <c r="AF123" s="13">
        <f>SUM(AF107:AF114)</f>
        <v>3.9690934358255249E-2</v>
      </c>
      <c r="AJ123" s="13">
        <f>SUM(AJ107:AJ114)</f>
        <v>3.5503066278743542E-2</v>
      </c>
      <c r="AN123" s="13">
        <f>SUM(AN107:AN114)</f>
        <v>3.132939311871006E-2</v>
      </c>
      <c r="AR123" s="13">
        <f>SUM(AR107:AR114)</f>
        <v>2.7375331379289724E-2</v>
      </c>
      <c r="AV123" s="13">
        <f>SUM(AV107:AV114)</f>
        <v>2.1420621667033499E-2</v>
      </c>
      <c r="AZ123" s="13">
        <f>SUM(AZ107:AZ114)</f>
        <v>2.0412612104849754E-2</v>
      </c>
      <c r="BD123" s="13">
        <f>SUM(BD107:BD114)</f>
        <v>2.3227167531765722E-2</v>
      </c>
      <c r="BV123" s="360"/>
    </row>
    <row r="124" spans="1:79">
      <c r="C124">
        <f>(C107*$BL$8+C108*$BL$9+$BL$10*C109+C110*$BL$11+$BL$12*C111+C112*$BL$13+$BL$14*C113+C114*$BL$15)/0.02404/(1-C123)</f>
        <v>429.05385402941721</v>
      </c>
      <c r="G124">
        <f>(G107*$BL$8+G108*$BL$9+$BL$10*G109+G110*$BL$11+$BL$12*G111+G112*$BL$13+$BL$14*G113+G114*$BL$15)/0.02404/(1-G123)</f>
        <v>428.77573876980813</v>
      </c>
      <c r="L124">
        <f>(L107*$BL$8+L108*$BL$9+$BL$10*L109+L110*$BL$11+$BL$12*L111+L112*$BL$13+$BL$14*L113+L114*$BL$15)/0.02404/(1-L123)</f>
        <v>390.01298795051571</v>
      </c>
      <c r="P124">
        <f>(P107*$BL$8+P108*$BL$9+$BL$10*P109+P110*$BL$11+$BL$12*P111+P112*$BL$13+$BL$14*P113+P114*$BL$15)/0.02404/(1-P123)</f>
        <v>344.02784006979181</v>
      </c>
      <c r="T124">
        <f>(T107*$BL$8+T108*$BL$9+$BL$10*T109+T110*$BL$11+$BL$12*T111+T112*$BL$13+$BL$14*T113+T114*$BL$15)/0.02404/(1-T123)</f>
        <v>303.86608574138324</v>
      </c>
      <c r="X124">
        <f>(X107*$BL$8+X108*$BL$9+$BL$10*X109+X110*$BL$11+$BL$12*X111+X112*$BL$13+$BL$14*X113+X114*$BL$15)/0.02404/(1-X123)</f>
        <v>267.12147301029592</v>
      </c>
      <c r="AB124">
        <f>(AB107*$BL$8+AB108*$BL$9+$BL$10*AB109+AB110*$BL$11+$BL$12*AB111+AB112*$BL$13+$BL$14*AB113+AB114*$BL$15)/0.02404/(1-AB123)</f>
        <v>233.03061552601508</v>
      </c>
      <c r="AF124">
        <f>(AF107*$BL$8+AF108*$BL$9+$BL$10*AF109+AF110*$BL$11+$BL$12*AF111+AF112*$BL$13+$BL$14*AF113+AF114*$BL$15)/0.02404/(1-AF123)</f>
        <v>201.21763054355941</v>
      </c>
      <c r="AJ124">
        <f>(AJ107*$BL$8+AJ108*$BL$9+$BL$10*AJ109+AJ110*$BL$11+$BL$12*AJ111+AJ112*$BL$13+$BL$14*AJ113+AJ114*$BL$15)/0.02404/(1-AJ123)</f>
        <v>171.55046779032864</v>
      </c>
      <c r="AN124">
        <f>(AN107*$BL$8+AN108*$BL$9+$BL$10*AN109+AN110*$BL$11+$BL$12*AN111+AN112*$BL$13+$BL$14*AN113+AN114*$BL$15)/0.02404/(1-AN123)</f>
        <v>144.45501077623686</v>
      </c>
      <c r="AR124">
        <f>(AR107*$BL$8+AR108*$BL$9+$BL$10*AR109+AR110*$BL$11+$BL$12*AR111+AR112*$BL$13+$BL$14*AR113+AR114*$BL$15)/0.02404/(1-AR123)</f>
        <v>120.70536912246888</v>
      </c>
      <c r="AV124">
        <f>(AV107*$BL$8+AV108*$BL$9+$BL$10*AV109+AV110*$BL$11+$BL$12*AV111+AV112*$BL$13+$BL$14*AV113+AV114*$BL$15)/0.02404/(1-AV123)</f>
        <v>87.439503649383326</v>
      </c>
      <c r="AZ124">
        <f>(AZ107*$BL$8+AZ108*$BL$9+$BL$10*AZ109+AZ110*$BL$11+$BL$12*AZ111+AZ112*$BL$13+$BL$14*AZ113+AZ114*$BL$15)/0.02404/(1-AZ123)</f>
        <v>81.009156378208544</v>
      </c>
      <c r="BD124">
        <f>(BD107*$BL$8+BD108*$BL$9+$BL$10*BD109+BD110*$BL$11+$BL$12*BD111+BD112*$BL$13+$BL$14*BD113+BD114*$BL$15)/0.02404/(1-BD123)</f>
        <v>91.04814884251708</v>
      </c>
      <c r="BV124" s="360"/>
    </row>
    <row r="125" spans="1:79">
      <c r="BV125" s="360"/>
    </row>
    <row r="126" spans="1:79">
      <c r="BV126" s="360">
        <v>5.2</v>
      </c>
      <c r="BY126">
        <f>BV126/10</f>
        <v>0.52</v>
      </c>
    </row>
  </sheetData>
  <mergeCells count="123">
    <mergeCell ref="BK86:BN86"/>
    <mergeCell ref="W89:Y89"/>
    <mergeCell ref="AA89:AC89"/>
    <mergeCell ref="AE89:AG89"/>
    <mergeCell ref="AI89:AK89"/>
    <mergeCell ref="AM89:AO89"/>
    <mergeCell ref="AQ89:AS89"/>
    <mergeCell ref="AE88:AG88"/>
    <mergeCell ref="AI88:AK88"/>
    <mergeCell ref="AM88:AO88"/>
    <mergeCell ref="AQ88:AS88"/>
    <mergeCell ref="AU88:AW88"/>
    <mergeCell ref="C89:E89"/>
    <mergeCell ref="G89:I89"/>
    <mergeCell ref="K89:M89"/>
    <mergeCell ref="O89:Q89"/>
    <mergeCell ref="S89:U89"/>
    <mergeCell ref="AU89:AW89"/>
    <mergeCell ref="AY87:BA87"/>
    <mergeCell ref="BC87:BE87"/>
    <mergeCell ref="BG87:BI87"/>
    <mergeCell ref="C88:E88"/>
    <mergeCell ref="G88:I88"/>
    <mergeCell ref="K88:M88"/>
    <mergeCell ref="O88:Q88"/>
    <mergeCell ref="S88:U88"/>
    <mergeCell ref="W88:Y88"/>
    <mergeCell ref="AA88:AC88"/>
    <mergeCell ref="AA87:AC87"/>
    <mergeCell ref="AE87:AG87"/>
    <mergeCell ref="AI87:AK87"/>
    <mergeCell ref="AM87:AO87"/>
    <mergeCell ref="AQ87:AS87"/>
    <mergeCell ref="AU87:AW87"/>
    <mergeCell ref="C87:E87"/>
    <mergeCell ref="G87:I87"/>
    <mergeCell ref="K87:M87"/>
    <mergeCell ref="O87:Q87"/>
    <mergeCell ref="S87:U87"/>
    <mergeCell ref="W87:Y87"/>
    <mergeCell ref="AY5:BA5"/>
    <mergeCell ref="BC5:BE5"/>
    <mergeCell ref="BG5:BI5"/>
    <mergeCell ref="AU6:AW6"/>
    <mergeCell ref="AU7:AW7"/>
    <mergeCell ref="AQ46:AS46"/>
    <mergeCell ref="A43:O44"/>
    <mergeCell ref="C46:E46"/>
    <mergeCell ref="G46:I46"/>
    <mergeCell ref="K46:M46"/>
    <mergeCell ref="O46:Q46"/>
    <mergeCell ref="S46:U46"/>
    <mergeCell ref="W47:Y47"/>
    <mergeCell ref="W46:Y46"/>
    <mergeCell ref="AA46:AC46"/>
    <mergeCell ref="AE46:AG46"/>
    <mergeCell ref="AI46:AK46"/>
    <mergeCell ref="AM46:AO46"/>
    <mergeCell ref="C48:E48"/>
    <mergeCell ref="G48:I48"/>
    <mergeCell ref="BN16:BQ16"/>
    <mergeCell ref="AA7:AC7"/>
    <mergeCell ref="AE7:AG7"/>
    <mergeCell ref="AI7:AK7"/>
    <mergeCell ref="AM7:AO7"/>
    <mergeCell ref="AQ7:AS7"/>
    <mergeCell ref="AE6:AG6"/>
    <mergeCell ref="AI6:AK6"/>
    <mergeCell ref="AM6:AO6"/>
    <mergeCell ref="AQ6:AS6"/>
    <mergeCell ref="C7:E7"/>
    <mergeCell ref="G7:I7"/>
    <mergeCell ref="K7:M7"/>
    <mergeCell ref="O7:Q7"/>
    <mergeCell ref="S7:U7"/>
    <mergeCell ref="W7:Y7"/>
    <mergeCell ref="AM5:AO5"/>
    <mergeCell ref="AQ5:AS5"/>
    <mergeCell ref="AU5:AW5"/>
    <mergeCell ref="C6:E6"/>
    <mergeCell ref="G6:I6"/>
    <mergeCell ref="K6:M6"/>
    <mergeCell ref="O6:Q6"/>
    <mergeCell ref="S6:U6"/>
    <mergeCell ref="W6:Y6"/>
    <mergeCell ref="AA6:AC6"/>
    <mergeCell ref="A1:AU3"/>
    <mergeCell ref="C5:E5"/>
    <mergeCell ref="G5:I5"/>
    <mergeCell ref="K5:M5"/>
    <mergeCell ref="O5:Q5"/>
    <mergeCell ref="S5:U5"/>
    <mergeCell ref="W5:Y5"/>
    <mergeCell ref="AA5:AC5"/>
    <mergeCell ref="AE5:AG5"/>
    <mergeCell ref="AI5:AK5"/>
    <mergeCell ref="BK46:BN46"/>
    <mergeCell ref="K48:M48"/>
    <mergeCell ref="O48:Q48"/>
    <mergeCell ref="S48:U48"/>
    <mergeCell ref="C47:E47"/>
    <mergeCell ref="G47:I47"/>
    <mergeCell ref="K47:M47"/>
    <mergeCell ref="O47:Q47"/>
    <mergeCell ref="S47:U47"/>
    <mergeCell ref="AE48:AG48"/>
    <mergeCell ref="A84:O85"/>
    <mergeCell ref="AU46:AW46"/>
    <mergeCell ref="AY46:BA46"/>
    <mergeCell ref="BC46:BE46"/>
    <mergeCell ref="BG46:BI46"/>
    <mergeCell ref="AU47:AW47"/>
    <mergeCell ref="AU48:AW48"/>
    <mergeCell ref="W48:Y48"/>
    <mergeCell ref="AA48:AC48"/>
    <mergeCell ref="AI48:AK48"/>
    <mergeCell ref="AM48:AO48"/>
    <mergeCell ref="AQ48:AS48"/>
    <mergeCell ref="AA47:AC47"/>
    <mergeCell ref="AE47:AG47"/>
    <mergeCell ref="AI47:AK47"/>
    <mergeCell ref="AM47:AO47"/>
    <mergeCell ref="AQ47:AS47"/>
  </mergeCell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Лист9"/>
  <dimension ref="A1:BG123"/>
  <sheetViews>
    <sheetView topLeftCell="P1" workbookViewId="0">
      <selection activeCell="AS40" sqref="AS40"/>
    </sheetView>
  </sheetViews>
  <sheetFormatPr defaultRowHeight="12.75"/>
  <sheetData>
    <row r="1" spans="1:58">
      <c r="A1" s="479" t="s">
        <v>203</v>
      </c>
      <c r="B1" s="479"/>
      <c r="C1" s="479"/>
      <c r="D1" s="479"/>
      <c r="E1" s="479"/>
      <c r="F1" s="479"/>
      <c r="G1" s="479"/>
      <c r="H1" s="479"/>
      <c r="I1" s="479"/>
      <c r="J1" s="479"/>
      <c r="K1" s="479"/>
      <c r="L1" s="479"/>
      <c r="M1" s="479"/>
      <c r="N1" s="479"/>
      <c r="O1" s="475"/>
      <c r="P1" s="475"/>
      <c r="Q1" s="475"/>
      <c r="R1" s="475"/>
      <c r="S1" s="475"/>
      <c r="T1" s="475"/>
      <c r="U1" s="475"/>
      <c r="V1" s="475"/>
      <c r="W1" s="475"/>
      <c r="X1" s="475"/>
      <c r="Y1" s="475"/>
      <c r="Z1" s="475"/>
      <c r="AA1" s="475"/>
      <c r="AB1" s="475"/>
      <c r="AC1" s="475"/>
      <c r="AD1" s="475"/>
      <c r="AE1" s="475"/>
      <c r="AF1" s="475"/>
      <c r="AG1" s="475"/>
      <c r="AH1" s="475"/>
      <c r="AI1" s="475"/>
      <c r="AJ1" s="475"/>
      <c r="AK1" s="475"/>
      <c r="AL1" s="475"/>
      <c r="AM1" s="475"/>
      <c r="AN1" s="475"/>
      <c r="AO1" s="475"/>
      <c r="AP1" s="475"/>
      <c r="AQ1" s="475"/>
      <c r="AR1" s="475"/>
      <c r="AS1" s="475"/>
      <c r="AT1" s="475"/>
      <c r="AU1" s="475"/>
    </row>
    <row r="2" spans="1:58">
      <c r="A2" s="479"/>
      <c r="B2" s="479"/>
      <c r="C2" s="479"/>
      <c r="D2" s="479"/>
      <c r="E2" s="479"/>
      <c r="F2" s="479"/>
      <c r="G2" s="479"/>
      <c r="H2" s="479"/>
      <c r="I2" s="479"/>
      <c r="J2" s="479"/>
      <c r="K2" s="479"/>
      <c r="L2" s="479"/>
      <c r="M2" s="479"/>
      <c r="N2" s="479"/>
      <c r="O2" s="475"/>
      <c r="P2" s="475"/>
      <c r="Q2" s="475"/>
      <c r="R2" s="475"/>
      <c r="S2" s="475"/>
      <c r="T2" s="475"/>
      <c r="U2" s="475"/>
      <c r="V2" s="475"/>
      <c r="W2" s="475"/>
      <c r="X2" s="475"/>
      <c r="Y2" s="475"/>
      <c r="Z2" s="475"/>
      <c r="AA2" s="475"/>
      <c r="AB2" s="475"/>
      <c r="AC2" s="475"/>
      <c r="AD2" s="475"/>
      <c r="AE2" s="475"/>
      <c r="AF2" s="475"/>
      <c r="AG2" s="475"/>
      <c r="AH2" s="475"/>
      <c r="AI2" s="475"/>
      <c r="AJ2" s="475"/>
      <c r="AK2" s="475"/>
      <c r="AL2" s="475"/>
      <c r="AM2" s="475"/>
      <c r="AN2" s="475"/>
      <c r="AO2" s="475"/>
      <c r="AP2" s="475"/>
      <c r="AQ2" s="475"/>
      <c r="AR2" s="475"/>
      <c r="AS2" s="475"/>
      <c r="AT2" s="475"/>
      <c r="AU2" s="475"/>
    </row>
    <row r="3" spans="1:58">
      <c r="A3" s="479"/>
      <c r="B3" s="479"/>
      <c r="C3" s="479"/>
      <c r="D3" s="479"/>
      <c r="E3" s="479"/>
      <c r="F3" s="479"/>
      <c r="G3" s="479"/>
      <c r="H3" s="479"/>
      <c r="I3" s="479"/>
      <c r="J3" s="479"/>
      <c r="K3" s="479"/>
      <c r="L3" s="479"/>
      <c r="M3" s="479"/>
      <c r="N3" s="479"/>
      <c r="O3" s="475"/>
      <c r="P3" s="475"/>
      <c r="Q3" s="475"/>
      <c r="R3" s="475"/>
      <c r="S3" s="475"/>
      <c r="T3" s="475"/>
      <c r="U3" s="475"/>
      <c r="V3" s="475"/>
      <c r="W3" s="475"/>
      <c r="X3" s="475"/>
      <c r="Y3" s="475"/>
      <c r="Z3" s="475"/>
      <c r="AA3" s="475"/>
      <c r="AB3" s="475"/>
      <c r="AC3" s="475"/>
      <c r="AD3" s="475"/>
      <c r="AE3" s="475"/>
      <c r="AF3" s="475"/>
      <c r="AG3" s="475"/>
      <c r="AH3" s="475"/>
      <c r="AI3" s="475"/>
      <c r="AJ3" s="475"/>
      <c r="AK3" s="475"/>
      <c r="AL3" s="475"/>
      <c r="AM3" s="475"/>
      <c r="AN3" s="475"/>
      <c r="AO3" s="475"/>
      <c r="AP3" s="475"/>
      <c r="AQ3" s="475"/>
      <c r="AR3" s="475"/>
      <c r="AS3" s="475"/>
      <c r="AT3" s="475"/>
      <c r="AU3" s="475"/>
    </row>
    <row r="4" spans="1:58">
      <c r="A4" s="344" t="s">
        <v>214</v>
      </c>
      <c r="B4" s="344">
        <v>59.046169379532842</v>
      </c>
      <c r="F4" s="345"/>
      <c r="J4" s="345"/>
      <c r="N4" s="345"/>
      <c r="R4" s="345"/>
      <c r="V4" s="345"/>
      <c r="Z4" s="345"/>
      <c r="AD4" s="345"/>
      <c r="AH4" s="345"/>
      <c r="AL4" s="345"/>
      <c r="AP4" s="345"/>
      <c r="AT4" s="345"/>
    </row>
    <row r="5" spans="1:58" ht="15">
      <c r="A5" s="344" t="s">
        <v>204</v>
      </c>
      <c r="B5" s="344"/>
      <c r="C5" s="476" t="s">
        <v>209</v>
      </c>
      <c r="D5" s="476"/>
      <c r="E5" s="476"/>
      <c r="F5" s="345"/>
      <c r="G5" s="476" t="s">
        <v>215</v>
      </c>
      <c r="H5" s="476"/>
      <c r="I5" s="476"/>
      <c r="J5" s="345"/>
      <c r="K5" s="476" t="s">
        <v>216</v>
      </c>
      <c r="L5" s="476"/>
      <c r="M5" s="476"/>
      <c r="N5" s="345"/>
      <c r="O5" s="476" t="s">
        <v>217</v>
      </c>
      <c r="P5" s="476"/>
      <c r="Q5" s="476"/>
      <c r="R5" s="345"/>
      <c r="S5" s="476" t="s">
        <v>218</v>
      </c>
      <c r="T5" s="476"/>
      <c r="U5" s="476"/>
      <c r="V5" s="345"/>
      <c r="W5" s="476" t="s">
        <v>219</v>
      </c>
      <c r="X5" s="476"/>
      <c r="Y5" s="476"/>
      <c r="Z5" s="345"/>
      <c r="AA5" s="476" t="s">
        <v>220</v>
      </c>
      <c r="AB5" s="476"/>
      <c r="AC5" s="476"/>
      <c r="AD5" s="345"/>
      <c r="AE5" s="476" t="s">
        <v>221</v>
      </c>
      <c r="AF5" s="476"/>
      <c r="AG5" s="476"/>
      <c r="AH5" s="345"/>
      <c r="AI5" s="476" t="s">
        <v>222</v>
      </c>
      <c r="AJ5" s="476"/>
      <c r="AK5" s="476"/>
      <c r="AL5" s="345"/>
      <c r="AM5" s="476" t="s">
        <v>223</v>
      </c>
      <c r="AN5" s="476"/>
      <c r="AO5" s="476"/>
      <c r="AP5" s="345"/>
      <c r="AQ5" s="476"/>
      <c r="AR5" s="476"/>
      <c r="AS5" s="476"/>
      <c r="AT5" s="345"/>
      <c r="AU5" s="476"/>
      <c r="AV5" s="476"/>
      <c r="AW5" s="476"/>
    </row>
    <row r="6" spans="1:58" ht="15">
      <c r="A6" s="346" t="s">
        <v>211</v>
      </c>
      <c r="B6" s="344" t="s">
        <v>213</v>
      </c>
      <c r="C6" s="476">
        <v>61.2</v>
      </c>
      <c r="D6" s="476"/>
      <c r="E6" s="476"/>
      <c r="F6" s="345"/>
      <c r="G6" s="476">
        <v>55.08</v>
      </c>
      <c r="H6" s="476"/>
      <c r="I6" s="476"/>
      <c r="J6" s="345"/>
      <c r="K6" s="476">
        <v>48.96</v>
      </c>
      <c r="L6" s="476"/>
      <c r="M6" s="476"/>
      <c r="N6" s="345"/>
      <c r="O6" s="476">
        <v>42.839999999999996</v>
      </c>
      <c r="P6" s="476"/>
      <c r="Q6" s="476"/>
      <c r="R6" s="345"/>
      <c r="S6" s="476">
        <v>36.72</v>
      </c>
      <c r="T6" s="476"/>
      <c r="U6" s="476"/>
      <c r="V6" s="345"/>
      <c r="W6" s="476">
        <v>30.6</v>
      </c>
      <c r="X6" s="476"/>
      <c r="Y6" s="476"/>
      <c r="Z6" s="345"/>
      <c r="AA6" s="476">
        <v>24.48</v>
      </c>
      <c r="AB6" s="476"/>
      <c r="AC6" s="476"/>
      <c r="AD6" s="345"/>
      <c r="AE6" s="476">
        <v>18.36</v>
      </c>
      <c r="AF6" s="476"/>
      <c r="AG6" s="476"/>
      <c r="AH6" s="345"/>
      <c r="AI6" s="476">
        <v>12.24</v>
      </c>
      <c r="AJ6" s="476"/>
      <c r="AK6" s="476"/>
      <c r="AL6" s="345"/>
      <c r="AM6" s="476">
        <v>6.12</v>
      </c>
      <c r="AN6" s="476"/>
      <c r="AO6" s="476"/>
      <c r="AP6" s="345"/>
      <c r="AQ6" s="476"/>
      <c r="AR6" s="476"/>
      <c r="AS6" s="476"/>
      <c r="AT6" s="345"/>
      <c r="AU6" s="476"/>
      <c r="AV6" s="476"/>
      <c r="AW6" s="476"/>
    </row>
    <row r="7" spans="1:58" ht="15">
      <c r="A7" s="346" t="s">
        <v>212</v>
      </c>
      <c r="B7" s="344" t="s">
        <v>29</v>
      </c>
      <c r="C7" s="478">
        <v>383.15</v>
      </c>
      <c r="D7" s="476"/>
      <c r="E7" s="476"/>
      <c r="F7" s="345"/>
      <c r="G7" s="476">
        <v>383.15</v>
      </c>
      <c r="H7" s="476"/>
      <c r="I7" s="476"/>
      <c r="J7" s="345"/>
      <c r="K7" s="476">
        <v>383.15</v>
      </c>
      <c r="L7" s="476"/>
      <c r="M7" s="476"/>
      <c r="N7" s="345"/>
      <c r="O7" s="476">
        <v>383.15</v>
      </c>
      <c r="P7" s="476"/>
      <c r="Q7" s="476"/>
      <c r="R7" s="345"/>
      <c r="S7" s="476">
        <v>383.15</v>
      </c>
      <c r="T7" s="476"/>
      <c r="U7" s="476"/>
      <c r="V7" s="345"/>
      <c r="W7" s="476">
        <v>383.15</v>
      </c>
      <c r="X7" s="476"/>
      <c r="Y7" s="476"/>
      <c r="Z7" s="345"/>
      <c r="AA7" s="476">
        <v>383.15</v>
      </c>
      <c r="AB7" s="476"/>
      <c r="AC7" s="476"/>
      <c r="AD7" s="345"/>
      <c r="AE7" s="476">
        <v>383.15</v>
      </c>
      <c r="AF7" s="476"/>
      <c r="AG7" s="476"/>
      <c r="AH7" s="345"/>
      <c r="AI7" s="476">
        <v>383.15</v>
      </c>
      <c r="AJ7" s="476"/>
      <c r="AK7" s="476"/>
      <c r="AL7" s="345"/>
      <c r="AM7" s="476">
        <v>383.15</v>
      </c>
      <c r="AN7" s="476"/>
      <c r="AO7" s="476"/>
    </row>
    <row r="8" spans="1:58">
      <c r="A8" s="344"/>
      <c r="B8" s="344"/>
      <c r="C8" s="344" t="s">
        <v>160</v>
      </c>
      <c r="D8" s="344" t="s">
        <v>161</v>
      </c>
      <c r="E8" s="344" t="s">
        <v>162</v>
      </c>
      <c r="F8" s="345"/>
      <c r="G8" s="344" t="s">
        <v>160</v>
      </c>
      <c r="H8" s="344" t="s">
        <v>161</v>
      </c>
      <c r="I8" s="344" t="s">
        <v>162</v>
      </c>
      <c r="J8" s="345"/>
      <c r="K8" s="344" t="s">
        <v>160</v>
      </c>
      <c r="L8" s="344" t="s">
        <v>161</v>
      </c>
      <c r="M8" s="344" t="s">
        <v>162</v>
      </c>
      <c r="N8" s="345"/>
      <c r="O8" s="344" t="s">
        <v>160</v>
      </c>
      <c r="P8" s="344" t="s">
        <v>161</v>
      </c>
      <c r="Q8" s="344" t="s">
        <v>162</v>
      </c>
      <c r="R8" s="345"/>
      <c r="S8" s="344" t="s">
        <v>160</v>
      </c>
      <c r="T8" s="344" t="s">
        <v>161</v>
      </c>
      <c r="U8" s="344" t="s">
        <v>162</v>
      </c>
      <c r="V8" s="345"/>
      <c r="W8" s="344" t="s">
        <v>160</v>
      </c>
      <c r="X8" s="344" t="s">
        <v>161</v>
      </c>
      <c r="Y8" s="344" t="s">
        <v>162</v>
      </c>
      <c r="Z8" s="345"/>
      <c r="AA8" s="344" t="s">
        <v>160</v>
      </c>
      <c r="AB8" s="344" t="s">
        <v>161</v>
      </c>
      <c r="AC8" s="344" t="s">
        <v>162</v>
      </c>
      <c r="AD8" s="345"/>
      <c r="AE8" s="344" t="s">
        <v>160</v>
      </c>
      <c r="AF8" s="344" t="s">
        <v>161</v>
      </c>
      <c r="AG8" s="344" t="s">
        <v>162</v>
      </c>
      <c r="AH8" s="345"/>
      <c r="AI8" s="344" t="s">
        <v>160</v>
      </c>
      <c r="AJ8" s="344" t="s">
        <v>161</v>
      </c>
      <c r="AK8" s="344" t="s">
        <v>162</v>
      </c>
      <c r="AL8" s="345"/>
      <c r="AM8" s="344" t="s">
        <v>160</v>
      </c>
      <c r="AN8" s="344" t="s">
        <v>161</v>
      </c>
      <c r="AO8" s="344" t="s">
        <v>162</v>
      </c>
      <c r="AY8" s="345"/>
    </row>
    <row r="9" spans="1:58" ht="15">
      <c r="A9" s="344" t="s">
        <v>205</v>
      </c>
      <c r="B9" s="344"/>
      <c r="C9" s="13">
        <v>1</v>
      </c>
      <c r="D9" s="13"/>
      <c r="E9" s="13"/>
      <c r="F9" s="347"/>
      <c r="G9" s="13">
        <v>1.0000000000000002</v>
      </c>
      <c r="H9" s="13"/>
      <c r="I9" s="13"/>
      <c r="J9" s="347"/>
      <c r="K9" s="13">
        <v>0.95883222504958276</v>
      </c>
      <c r="L9" s="13"/>
      <c r="M9" s="13"/>
      <c r="N9" s="347"/>
      <c r="O9" s="13">
        <v>0.91147530010537803</v>
      </c>
      <c r="P9" s="13"/>
      <c r="Q9" s="13"/>
      <c r="R9" s="347"/>
      <c r="S9" s="13">
        <v>2.7189751773247562E-3</v>
      </c>
      <c r="T9" s="13">
        <v>0.85330883442240091</v>
      </c>
      <c r="U9" s="13"/>
      <c r="V9" s="347"/>
      <c r="W9" s="13">
        <v>1.0157238724010321E-2</v>
      </c>
      <c r="X9" s="13">
        <v>0.77824542352201653</v>
      </c>
      <c r="Y9" s="13"/>
      <c r="Z9" s="347"/>
      <c r="AA9" s="13">
        <v>1.5958995828437645E-2</v>
      </c>
      <c r="AB9" s="13">
        <v>0.68539707341174216</v>
      </c>
      <c r="AC9" s="13"/>
      <c r="AD9" s="347"/>
      <c r="AE9" s="13">
        <v>1.7768601988064601E-2</v>
      </c>
      <c r="AF9" s="13">
        <v>0.57264213727500446</v>
      </c>
      <c r="AG9" s="13"/>
      <c r="AH9" s="347"/>
      <c r="AI9" s="13">
        <v>1.6118331844438619E-2</v>
      </c>
      <c r="AJ9" s="13">
        <v>0.43546327603276785</v>
      </c>
      <c r="AK9" s="13"/>
      <c r="AL9" s="347"/>
      <c r="AM9" s="13">
        <v>1.1706354836159023E-2</v>
      </c>
      <c r="AN9" s="13">
        <v>0.28052325963653035</v>
      </c>
      <c r="AO9" s="13"/>
      <c r="AQ9" s="344" t="s">
        <v>127</v>
      </c>
      <c r="AR9" s="344" t="s">
        <v>246</v>
      </c>
      <c r="AZ9" s="476"/>
      <c r="BA9" s="476"/>
      <c r="BB9" s="476"/>
    </row>
    <row r="10" spans="1:58" ht="15">
      <c r="A10" s="344" t="s">
        <v>206</v>
      </c>
      <c r="B10" s="344" t="s">
        <v>210</v>
      </c>
      <c r="C10" s="13">
        <v>59.158401278728149</v>
      </c>
      <c r="D10" s="13"/>
      <c r="E10" s="13"/>
      <c r="F10" s="347"/>
      <c r="G10" s="13">
        <v>61.698386571925013</v>
      </c>
      <c r="H10" s="13"/>
      <c r="I10" s="13"/>
      <c r="J10" s="347"/>
      <c r="K10" s="13">
        <v>64.904009216584043</v>
      </c>
      <c r="L10" s="13"/>
      <c r="M10" s="13"/>
      <c r="N10" s="347"/>
      <c r="O10" s="13">
        <v>69.108036696132942</v>
      </c>
      <c r="P10" s="13"/>
      <c r="Q10" s="13"/>
      <c r="R10" s="347"/>
      <c r="S10" s="13">
        <v>0.28261527264027225</v>
      </c>
      <c r="T10" s="13">
        <v>63.943326251299034</v>
      </c>
      <c r="U10" s="13"/>
      <c r="V10" s="347"/>
      <c r="W10" s="13">
        <v>1.1024142110761306</v>
      </c>
      <c r="X10" s="13">
        <v>65.367307131745221</v>
      </c>
      <c r="Y10" s="13"/>
      <c r="Z10" s="347"/>
      <c r="AA10" s="13">
        <v>1.8266897904453725</v>
      </c>
      <c r="AB10" s="13">
        <v>68.404331115459243</v>
      </c>
      <c r="AC10" s="13"/>
      <c r="AD10" s="347"/>
      <c r="AE10" s="13">
        <v>2.2122317734526296</v>
      </c>
      <c r="AF10" s="13">
        <v>75.170121163815168</v>
      </c>
      <c r="AG10" s="13"/>
      <c r="AH10" s="347"/>
      <c r="AI10" s="13">
        <v>2.2586382340271571</v>
      </c>
      <c r="AJ10" s="13">
        <v>89.738300387723939</v>
      </c>
      <c r="AK10" s="13"/>
      <c r="AL10" s="347"/>
      <c r="AM10" s="13">
        <v>1.9985760901845382</v>
      </c>
      <c r="AN10" s="13">
        <v>128.0824511678349</v>
      </c>
      <c r="AO10" s="13"/>
      <c r="AQ10" t="s">
        <v>8</v>
      </c>
      <c r="AR10">
        <v>72.2</v>
      </c>
      <c r="AW10" s="476"/>
      <c r="AX10" s="476"/>
      <c r="AY10" s="476"/>
      <c r="AZ10" s="345"/>
      <c r="BA10" s="476"/>
      <c r="BB10" s="476"/>
      <c r="BC10" s="476"/>
      <c r="BE10" t="s">
        <v>239</v>
      </c>
      <c r="BF10" t="s">
        <v>240</v>
      </c>
    </row>
    <row r="11" spans="1:58">
      <c r="A11" s="344" t="s">
        <v>207</v>
      </c>
      <c r="B11" s="344"/>
      <c r="C11" s="13">
        <v>30.896878113395999</v>
      </c>
      <c r="D11" s="13"/>
      <c r="E11" s="13"/>
      <c r="F11" s="347"/>
      <c r="G11" s="13">
        <v>30.896878113395999</v>
      </c>
      <c r="H11" s="13"/>
      <c r="I11" s="13"/>
      <c r="J11" s="347"/>
      <c r="K11" s="13">
        <v>30.896878113395999</v>
      </c>
      <c r="L11" s="13"/>
      <c r="M11" s="13"/>
      <c r="N11" s="347"/>
      <c r="O11" s="13">
        <v>30.896878113395999</v>
      </c>
      <c r="P11" s="13"/>
      <c r="Q11" s="13"/>
      <c r="R11" s="347"/>
      <c r="S11" s="13">
        <v>89.539713717510153</v>
      </c>
      <c r="T11" s="13">
        <v>30.710019138188674</v>
      </c>
      <c r="U11" s="13"/>
      <c r="V11" s="347"/>
      <c r="W11" s="13">
        <v>92.241262619519091</v>
      </c>
      <c r="X11" s="13">
        <v>30.112481349055567</v>
      </c>
      <c r="Y11" s="13"/>
      <c r="Z11" s="347"/>
      <c r="AA11" s="13">
        <v>96.173937714836129</v>
      </c>
      <c r="AB11" s="13">
        <v>29.495003306058667</v>
      </c>
      <c r="AC11" s="13"/>
      <c r="AD11" s="347"/>
      <c r="AE11" s="13">
        <v>105.84655366630676</v>
      </c>
      <c r="AF11" s="13">
        <v>28.984158129976052</v>
      </c>
      <c r="AG11" s="13"/>
      <c r="AH11" s="347"/>
      <c r="AI11" s="13">
        <v>123.10244152468574</v>
      </c>
      <c r="AJ11" s="13">
        <v>28.636729498039688</v>
      </c>
      <c r="AK11" s="13"/>
      <c r="AL11" s="347"/>
      <c r="AM11" s="13">
        <v>160.10123167706041</v>
      </c>
      <c r="AN11" s="13">
        <v>28.578479723952757</v>
      </c>
      <c r="AO11" s="13"/>
      <c r="AQ11" t="s">
        <v>9</v>
      </c>
      <c r="AR11">
        <v>72.2</v>
      </c>
      <c r="AW11" s="344"/>
      <c r="AX11" s="344"/>
      <c r="AY11" s="344"/>
      <c r="AZ11" s="345"/>
      <c r="BA11" s="344"/>
      <c r="BC11" t="s">
        <v>237</v>
      </c>
      <c r="BD11" s="7">
        <v>61.2</v>
      </c>
      <c r="BE11">
        <v>0</v>
      </c>
      <c r="BF11">
        <f>C40</f>
        <v>269.53978161749791</v>
      </c>
    </row>
    <row r="12" spans="1:58" ht="16.5" thickBot="1">
      <c r="A12" s="344" t="s">
        <v>16</v>
      </c>
      <c r="B12" s="344"/>
      <c r="C12" s="13">
        <v>1.1620810843602667</v>
      </c>
      <c r="D12" s="13"/>
      <c r="E12" s="13"/>
      <c r="F12" s="347"/>
      <c r="G12" s="13">
        <v>1.0897891734643983</v>
      </c>
      <c r="H12" s="13"/>
      <c r="I12" s="13"/>
      <c r="J12" s="347"/>
      <c r="K12" s="13">
        <v>1.0179681795368696</v>
      </c>
      <c r="L12" s="13"/>
      <c r="M12" s="13"/>
      <c r="N12" s="347"/>
      <c r="O12" s="13">
        <v>0.94725679365586302</v>
      </c>
      <c r="P12" s="13"/>
      <c r="Q12" s="13"/>
      <c r="R12" s="347"/>
      <c r="S12" s="13">
        <v>1.4266261321602967</v>
      </c>
      <c r="T12" s="13">
        <v>0.87847268667352285</v>
      </c>
      <c r="U12" s="13"/>
      <c r="V12" s="347"/>
      <c r="W12" s="13">
        <v>1.2414600198236996</v>
      </c>
      <c r="X12" s="13">
        <v>0.8172527992488704</v>
      </c>
      <c r="Y12" s="13"/>
      <c r="Z12" s="347"/>
      <c r="AA12" s="13">
        <v>1.0470587795347766</v>
      </c>
      <c r="AB12" s="13">
        <v>0.77382304058413598</v>
      </c>
      <c r="AC12" s="13"/>
      <c r="AD12" s="347"/>
      <c r="AE12" s="13">
        <v>0.85728955015880237</v>
      </c>
      <c r="AF12" s="13">
        <v>0.76090843179185208</v>
      </c>
      <c r="AG12" s="13"/>
      <c r="AH12" s="347"/>
      <c r="AI12" s="13">
        <v>0.64834323343783862</v>
      </c>
      <c r="AJ12" s="13">
        <v>0.79443007566902923</v>
      </c>
      <c r="AK12" s="13"/>
      <c r="AL12" s="347"/>
      <c r="AM12" s="13">
        <v>0.40667592407543973</v>
      </c>
      <c r="AN12" s="13">
        <v>0.87834610970411053</v>
      </c>
      <c r="AO12" s="13"/>
      <c r="AQ12" t="s">
        <v>10</v>
      </c>
      <c r="AR12">
        <v>84</v>
      </c>
      <c r="AW12" s="396" t="s">
        <v>149</v>
      </c>
      <c r="AX12" s="397"/>
      <c r="AY12" s="397"/>
      <c r="AZ12" s="398"/>
      <c r="BA12" s="13"/>
      <c r="BB12" t="s">
        <v>238</v>
      </c>
      <c r="BC12">
        <v>38.56</v>
      </c>
      <c r="BD12" s="7">
        <v>55.08</v>
      </c>
      <c r="BE12">
        <v>0</v>
      </c>
      <c r="BF12">
        <f>G40</f>
        <v>269.53978161749797</v>
      </c>
    </row>
    <row r="13" spans="1:58" ht="14.25" thickTop="1" thickBot="1">
      <c r="A13" s="344" t="s">
        <v>208</v>
      </c>
      <c r="B13" s="344" t="s">
        <v>27</v>
      </c>
      <c r="C13" s="13">
        <v>522.27371675957932</v>
      </c>
      <c r="D13" s="13"/>
      <c r="E13" s="13"/>
      <c r="F13" s="347"/>
      <c r="G13" s="13">
        <v>500.77286992550285</v>
      </c>
      <c r="H13" s="13"/>
      <c r="I13" s="13"/>
      <c r="J13" s="347"/>
      <c r="K13" s="13">
        <v>476.03959272058864</v>
      </c>
      <c r="L13" s="13"/>
      <c r="M13" s="13"/>
      <c r="N13" s="347"/>
      <c r="O13" s="13">
        <v>447.08082576921026</v>
      </c>
      <c r="P13" s="13"/>
      <c r="Q13" s="13"/>
      <c r="R13" s="347"/>
      <c r="S13" s="13">
        <v>861.4405609018844</v>
      </c>
      <c r="T13" s="13">
        <v>409.81807128566498</v>
      </c>
      <c r="U13" s="13"/>
      <c r="V13" s="347"/>
      <c r="W13" s="13">
        <v>849.87703824681876</v>
      </c>
      <c r="X13" s="13">
        <v>358.51103294744047</v>
      </c>
      <c r="Y13" s="13"/>
      <c r="Z13" s="347"/>
      <c r="AA13" s="13">
        <v>840.22994972850677</v>
      </c>
      <c r="AB13" s="13">
        <v>295.53375665818834</v>
      </c>
      <c r="AC13" s="13"/>
      <c r="AD13" s="347"/>
      <c r="AE13" s="13">
        <v>850.15743217974227</v>
      </c>
      <c r="AF13" s="13">
        <v>220.7998337862968</v>
      </c>
      <c r="AG13" s="13"/>
      <c r="AH13" s="347"/>
      <c r="AI13" s="13">
        <v>878.49659740225036</v>
      </c>
      <c r="AJ13" s="13">
        <v>138.96233813434773</v>
      </c>
      <c r="AK13" s="13"/>
      <c r="AL13" s="347"/>
      <c r="AM13" s="13">
        <v>937.7685627894798</v>
      </c>
      <c r="AN13" s="13">
        <v>62.59193366868508</v>
      </c>
      <c r="AO13" s="13"/>
      <c r="AQ13" t="s">
        <v>247</v>
      </c>
      <c r="AR13">
        <v>112.9729</v>
      </c>
      <c r="AS13">
        <f>AR13*C28</f>
        <v>1.6950849321149999</v>
      </c>
      <c r="AW13" s="125" t="s">
        <v>79</v>
      </c>
      <c r="AX13" s="198" t="s">
        <v>31</v>
      </c>
      <c r="AY13" s="126" t="s">
        <v>52</v>
      </c>
      <c r="AZ13" s="127" t="s">
        <v>54</v>
      </c>
      <c r="BA13" s="13"/>
      <c r="BB13" s="13"/>
      <c r="BC13" s="13"/>
      <c r="BD13" s="7">
        <v>48.96</v>
      </c>
      <c r="BE13">
        <v>0</v>
      </c>
      <c r="BF13">
        <v>269.53978161749797</v>
      </c>
    </row>
    <row r="14" spans="1:58" ht="13.5" thickTop="1">
      <c r="F14" s="345"/>
      <c r="J14" s="345"/>
      <c r="N14" s="345"/>
      <c r="R14" s="345"/>
      <c r="V14" s="345"/>
      <c r="Z14" s="345"/>
      <c r="AD14" s="345"/>
      <c r="AH14" s="345"/>
      <c r="AL14" s="345"/>
      <c r="AQ14" t="s">
        <v>163</v>
      </c>
      <c r="AR14">
        <v>159.60640000000001</v>
      </c>
      <c r="AS14">
        <f t="shared" ref="AS14:AS17" si="0">AR14*C29</f>
        <v>1.110881292832</v>
      </c>
      <c r="AW14" s="328">
        <v>612</v>
      </c>
      <c r="AX14" s="7">
        <v>61.2</v>
      </c>
      <c r="AY14" s="252">
        <v>0</v>
      </c>
      <c r="AZ14" s="252">
        <v>0</v>
      </c>
      <c r="BA14" s="13"/>
      <c r="BB14" s="13"/>
      <c r="BC14" s="13"/>
      <c r="BD14" s="7">
        <v>42.839999999999996</v>
      </c>
      <c r="BE14">
        <v>0</v>
      </c>
      <c r="BF14">
        <v>269.53978161749797</v>
      </c>
    </row>
    <row r="15" spans="1:58">
      <c r="A15" s="344" t="s">
        <v>22</v>
      </c>
      <c r="B15" t="s">
        <v>17</v>
      </c>
      <c r="C15" s="79">
        <v>0.13339999999999999</v>
      </c>
      <c r="D15" s="348"/>
      <c r="E15" s="13"/>
      <c r="F15" s="347"/>
      <c r="G15" s="13">
        <v>0.13339999999999999</v>
      </c>
      <c r="H15" s="13"/>
      <c r="I15" s="13"/>
      <c r="J15" s="347"/>
      <c r="K15" s="13">
        <v>0.13339999999999999</v>
      </c>
      <c r="L15" s="13"/>
      <c r="M15" s="13"/>
      <c r="N15" s="347"/>
      <c r="O15" s="13">
        <v>0.13339999999999999</v>
      </c>
      <c r="P15" s="13"/>
      <c r="Q15" s="13"/>
      <c r="R15" s="347"/>
      <c r="S15" s="13">
        <v>0.10914753497000639</v>
      </c>
      <c r="T15" s="13">
        <v>0.13347727782456409</v>
      </c>
      <c r="U15" s="13"/>
      <c r="V15" s="347"/>
      <c r="W15" s="13">
        <v>0.10459425501832842</v>
      </c>
      <c r="X15" s="13">
        <v>0.13376924200958099</v>
      </c>
      <c r="Y15" s="13"/>
      <c r="Z15" s="347"/>
      <c r="AA15" s="13">
        <v>9.7942184513482813E-2</v>
      </c>
      <c r="AB15" s="13">
        <v>0.13417109162956017</v>
      </c>
      <c r="AC15" s="13"/>
      <c r="AD15" s="347"/>
      <c r="AE15" s="13">
        <v>8.6923466159312485E-2</v>
      </c>
      <c r="AF15" s="13">
        <v>0.13462748010905856</v>
      </c>
      <c r="AG15" s="13"/>
      <c r="AH15" s="347"/>
      <c r="AI15" s="13">
        <v>6.9282603584751384E-2</v>
      </c>
      <c r="AJ15" s="13">
        <v>0.1350996594600242</v>
      </c>
      <c r="AK15" s="13"/>
      <c r="AL15" s="347"/>
      <c r="AM15" s="13">
        <v>4.1135427743884859E-2</v>
      </c>
      <c r="AN15" s="13">
        <v>0.13523910419200572</v>
      </c>
      <c r="AO15" s="13"/>
      <c r="AQ15" t="s">
        <v>178</v>
      </c>
      <c r="AR15">
        <v>197.18260000000001</v>
      </c>
      <c r="AS15">
        <f t="shared" si="0"/>
        <v>0.63622740533400002</v>
      </c>
      <c r="AW15" s="328">
        <v>550.79999999999995</v>
      </c>
      <c r="AX15" s="7">
        <v>55.08</v>
      </c>
      <c r="AY15" s="8">
        <v>0</v>
      </c>
      <c r="AZ15" s="8">
        <v>0</v>
      </c>
      <c r="BA15" s="13"/>
      <c r="BB15" s="13"/>
      <c r="BC15" s="13"/>
      <c r="BD15" s="7">
        <v>38.56</v>
      </c>
      <c r="BE15">
        <v>0</v>
      </c>
      <c r="BF15">
        <f>BF14</f>
        <v>269.53978161749797</v>
      </c>
    </row>
    <row r="16" spans="1:58">
      <c r="A16" s="344" t="s">
        <v>23</v>
      </c>
      <c r="B16" t="s">
        <v>17</v>
      </c>
      <c r="C16" s="79">
        <v>2.2000000000000001E-3</v>
      </c>
      <c r="D16" s="348"/>
      <c r="E16" s="13"/>
      <c r="F16" s="347"/>
      <c r="G16" s="13">
        <v>2.2000000000000001E-3</v>
      </c>
      <c r="H16" s="13"/>
      <c r="I16" s="13"/>
      <c r="J16" s="347"/>
      <c r="K16" s="13">
        <v>2.2000000000000001E-3</v>
      </c>
      <c r="L16" s="13"/>
      <c r="M16" s="13"/>
      <c r="N16" s="347"/>
      <c r="O16" s="13">
        <v>2.2000000000000001E-3</v>
      </c>
      <c r="P16" s="13"/>
      <c r="Q16" s="13"/>
      <c r="R16" s="347"/>
      <c r="S16" s="13">
        <v>1.1621320845020839E-3</v>
      </c>
      <c r="T16" s="13">
        <v>2.2033070524829276E-3</v>
      </c>
      <c r="U16" s="13"/>
      <c r="V16" s="347"/>
      <c r="W16" s="13">
        <v>1.0249838529263451E-3</v>
      </c>
      <c r="X16" s="13">
        <v>2.2150483115543802E-3</v>
      </c>
      <c r="Y16" s="13"/>
      <c r="Z16" s="347"/>
      <c r="AA16" s="13">
        <v>8.5538661617646486E-4</v>
      </c>
      <c r="AB16" s="13">
        <v>2.229070937115846E-3</v>
      </c>
      <c r="AC16" s="13"/>
      <c r="AD16" s="347"/>
      <c r="AE16" s="13">
        <v>6.4335484278068926E-4</v>
      </c>
      <c r="AF16" s="13">
        <v>2.2399910832102379E-3</v>
      </c>
      <c r="AG16" s="13"/>
      <c r="AH16" s="347"/>
      <c r="AI16" s="13">
        <v>4.1364654543232896E-4</v>
      </c>
      <c r="AJ16" s="13">
        <v>2.2424428018855678E-3</v>
      </c>
      <c r="AK16" s="13"/>
      <c r="AL16" s="347"/>
      <c r="AM16" s="13">
        <v>1.915742237623744E-4</v>
      </c>
      <c r="AN16" s="13">
        <v>2.222947271829959E-3</v>
      </c>
      <c r="AO16" s="13"/>
      <c r="AQ16" t="s">
        <v>249</v>
      </c>
      <c r="AR16">
        <v>257.05349999999999</v>
      </c>
      <c r="AS16">
        <f t="shared" si="0"/>
        <v>1.255482710955</v>
      </c>
      <c r="AW16" s="358">
        <v>489.6</v>
      </c>
      <c r="AX16" s="7">
        <v>48.96</v>
      </c>
      <c r="AY16" s="8">
        <v>0</v>
      </c>
      <c r="AZ16" s="114">
        <v>0</v>
      </c>
      <c r="BA16" s="13"/>
      <c r="BB16" s="13"/>
      <c r="BC16" s="13"/>
      <c r="BD16" s="7">
        <v>36.72</v>
      </c>
      <c r="BE16">
        <f>S40</f>
        <v>7.728472205405712</v>
      </c>
      <c r="BF16">
        <f t="shared" ref="BF16:BF21" si="1">$BF$11-BE16</f>
        <v>261.81130941209221</v>
      </c>
    </row>
    <row r="17" spans="1:59" ht="15">
      <c r="A17" s="344" t="s">
        <v>157</v>
      </c>
      <c r="B17" t="s">
        <v>17</v>
      </c>
      <c r="C17" s="79"/>
      <c r="D17" s="348"/>
      <c r="E17" s="13"/>
      <c r="F17" s="347"/>
      <c r="G17" s="13"/>
      <c r="H17" s="13"/>
      <c r="I17" s="13"/>
      <c r="J17" s="347"/>
      <c r="K17" s="13"/>
      <c r="L17" s="13"/>
      <c r="M17" s="13"/>
      <c r="N17" s="347"/>
      <c r="O17" s="13"/>
      <c r="P17" s="13"/>
      <c r="Q17" s="13"/>
      <c r="R17" s="347"/>
      <c r="S17" s="13"/>
      <c r="T17" s="13"/>
      <c r="U17" s="13"/>
      <c r="V17" s="347"/>
      <c r="W17" s="13"/>
      <c r="X17" s="13"/>
      <c r="Y17" s="13"/>
      <c r="Z17" s="347"/>
      <c r="AA17" s="13"/>
      <c r="AB17" s="13"/>
      <c r="AC17" s="13"/>
      <c r="AD17" s="347"/>
      <c r="AE17" s="13"/>
      <c r="AF17" s="13"/>
      <c r="AG17" s="13"/>
      <c r="AH17" s="347"/>
      <c r="AI17" s="13"/>
      <c r="AJ17" s="13"/>
      <c r="AK17" s="13"/>
      <c r="AL17" s="347"/>
      <c r="AM17" s="13"/>
      <c r="AN17" s="13"/>
      <c r="AO17" s="13"/>
      <c r="AQ17" t="s">
        <v>248</v>
      </c>
      <c r="AR17">
        <v>400.78919999999999</v>
      </c>
      <c r="AS17">
        <f t="shared" si="0"/>
        <v>0.61112337216000001</v>
      </c>
      <c r="AW17" s="376">
        <v>38.56</v>
      </c>
      <c r="AX17" s="7">
        <v>38.56</v>
      </c>
      <c r="AY17" s="8">
        <v>0</v>
      </c>
      <c r="AZ17">
        <v>0</v>
      </c>
      <c r="BD17" s="7">
        <v>30.6</v>
      </c>
      <c r="BE17">
        <f>W40</f>
        <v>30.290682670453645</v>
      </c>
      <c r="BF17">
        <f t="shared" si="1"/>
        <v>239.24909894704427</v>
      </c>
    </row>
    <row r="18" spans="1:59">
      <c r="A18" s="344" t="s">
        <v>159</v>
      </c>
      <c r="B18" t="s">
        <v>17</v>
      </c>
      <c r="C18" s="79"/>
      <c r="D18" s="348"/>
      <c r="E18" s="13"/>
      <c r="F18" s="347"/>
      <c r="G18" s="13"/>
      <c r="H18" s="13"/>
      <c r="I18" s="13"/>
      <c r="J18" s="347"/>
      <c r="K18" s="13"/>
      <c r="L18" s="13"/>
      <c r="M18" s="13"/>
      <c r="N18" s="347"/>
      <c r="O18" s="13"/>
      <c r="P18" s="13"/>
      <c r="Q18" s="13"/>
      <c r="R18" s="347"/>
      <c r="S18" s="13"/>
      <c r="T18" s="13"/>
      <c r="U18" s="13"/>
      <c r="V18" s="347"/>
      <c r="W18" s="13"/>
      <c r="X18" s="13"/>
      <c r="Y18" s="13"/>
      <c r="Z18" s="347"/>
      <c r="AA18" s="13"/>
      <c r="AB18" s="13"/>
      <c r="AC18" s="13"/>
      <c r="AD18" s="347"/>
      <c r="AE18" s="13"/>
      <c r="AF18" s="13"/>
      <c r="AG18" s="13"/>
      <c r="AH18" s="347"/>
      <c r="AI18" s="13"/>
      <c r="AJ18" s="13"/>
      <c r="AK18" s="13"/>
      <c r="AL18" s="347"/>
      <c r="AM18" s="13"/>
      <c r="AN18" s="13"/>
      <c r="AO18" s="13"/>
      <c r="AS18">
        <f>SUM(AS13:AS17)/SUM(C28:C32)</f>
        <v>167.99999093025315</v>
      </c>
      <c r="AW18" s="328">
        <v>367.2</v>
      </c>
      <c r="AX18" s="7">
        <v>36.72</v>
      </c>
      <c r="AY18" s="8">
        <v>0</v>
      </c>
      <c r="AZ18" s="114">
        <v>4.7772635252381892E-3</v>
      </c>
      <c r="BA18" s="13"/>
      <c r="BB18" s="13"/>
      <c r="BC18" s="13"/>
      <c r="BD18" s="7">
        <v>24.48</v>
      </c>
      <c r="BE18">
        <f>AA40</f>
        <v>50.831541176994371</v>
      </c>
      <c r="BF18">
        <f t="shared" si="1"/>
        <v>218.70824044050354</v>
      </c>
    </row>
    <row r="19" spans="1:59">
      <c r="A19" s="344" t="s">
        <v>193</v>
      </c>
      <c r="B19" t="s">
        <v>17</v>
      </c>
      <c r="C19" s="79">
        <v>0.25769999999999998</v>
      </c>
      <c r="D19" s="348"/>
      <c r="E19" s="13"/>
      <c r="F19" s="347"/>
      <c r="G19" s="13">
        <v>0.25769999999999998</v>
      </c>
      <c r="H19" s="13"/>
      <c r="I19" s="13"/>
      <c r="J19" s="347"/>
      <c r="K19" s="13">
        <v>0.25769999999999998</v>
      </c>
      <c r="L19" s="13"/>
      <c r="M19" s="13"/>
      <c r="N19" s="347"/>
      <c r="O19" s="13">
        <v>0.25769999999999998</v>
      </c>
      <c r="P19" s="13"/>
      <c r="Q19" s="13"/>
      <c r="R19" s="347"/>
      <c r="S19" s="13">
        <v>0.27906667105589672</v>
      </c>
      <c r="T19" s="13">
        <v>0.25763191744198644</v>
      </c>
      <c r="U19" s="13"/>
      <c r="V19" s="347"/>
      <c r="W19" s="13">
        <v>0.27987563358261724</v>
      </c>
      <c r="X19" s="13">
        <v>0.25741649160474539</v>
      </c>
      <c r="Y19" s="13"/>
      <c r="Z19" s="347"/>
      <c r="AA19" s="13">
        <v>0.27893097168252168</v>
      </c>
      <c r="AB19" s="13">
        <v>0.25724837499661202</v>
      </c>
      <c r="AC19" s="13"/>
      <c r="AD19" s="347"/>
      <c r="AE19" s="13">
        <v>0.27078449563832729</v>
      </c>
      <c r="AF19" s="13">
        <v>0.2574326341054809</v>
      </c>
      <c r="AG19" s="13"/>
      <c r="AH19" s="347"/>
      <c r="AI19" s="13">
        <v>0.24252734476803009</v>
      </c>
      <c r="AJ19" s="13">
        <v>0.25852914979218916</v>
      </c>
      <c r="AK19" s="13"/>
      <c r="AL19" s="347"/>
      <c r="AM19" s="13">
        <v>0.16545368606193922</v>
      </c>
      <c r="AN19" s="13">
        <v>0.26149379522855876</v>
      </c>
      <c r="AO19" s="13"/>
      <c r="AW19" s="328">
        <v>306</v>
      </c>
      <c r="AX19" s="7">
        <v>30.6</v>
      </c>
      <c r="AY19" s="8">
        <v>629.90371989429821</v>
      </c>
      <c r="AZ19" s="114">
        <v>1.8634956105085459E-2</v>
      </c>
      <c r="BA19" s="13"/>
      <c r="BB19" s="13"/>
      <c r="BC19" s="13"/>
      <c r="BD19" s="7">
        <v>18.36</v>
      </c>
      <c r="BE19">
        <f>AE40</f>
        <v>64.954590397819203</v>
      </c>
      <c r="BF19">
        <f t="shared" si="1"/>
        <v>204.58519121967871</v>
      </c>
    </row>
    <row r="20" spans="1:59">
      <c r="A20" s="344" t="s">
        <v>24</v>
      </c>
      <c r="B20" t="s">
        <v>17</v>
      </c>
      <c r="C20" s="79">
        <v>0.52339999999999998</v>
      </c>
      <c r="D20" s="348"/>
      <c r="E20" s="13"/>
      <c r="F20" s="347"/>
      <c r="G20" s="13">
        <v>0.52339999999999998</v>
      </c>
      <c r="H20" s="13"/>
      <c r="I20" s="13"/>
      <c r="J20" s="347"/>
      <c r="K20" s="13">
        <v>0.52339999999999998</v>
      </c>
      <c r="L20" s="13"/>
      <c r="M20" s="13"/>
      <c r="N20" s="347"/>
      <c r="O20" s="13">
        <v>0.52339999999999998</v>
      </c>
      <c r="P20" s="13"/>
      <c r="Q20" s="13"/>
      <c r="R20" s="347"/>
      <c r="S20" s="13">
        <v>0.3193650318975213</v>
      </c>
      <c r="T20" s="13">
        <v>0.52405013508731846</v>
      </c>
      <c r="U20" s="13"/>
      <c r="V20" s="347"/>
      <c r="W20" s="13">
        <v>0.29656209868636979</v>
      </c>
      <c r="X20" s="13">
        <v>0.52630407263044099</v>
      </c>
      <c r="Y20" s="13"/>
      <c r="Z20" s="347"/>
      <c r="AA20" s="13">
        <v>0.26569182486035819</v>
      </c>
      <c r="AB20" s="13">
        <v>0.52896758808964772</v>
      </c>
      <c r="AC20" s="13"/>
      <c r="AD20" s="347"/>
      <c r="AE20" s="13">
        <v>0.21967644457305346</v>
      </c>
      <c r="AF20" s="13">
        <v>0.53122738410576464</v>
      </c>
      <c r="AG20" s="13"/>
      <c r="AH20" s="347"/>
      <c r="AI20" s="13">
        <v>0.1592305858718473</v>
      </c>
      <c r="AJ20" s="13">
        <v>0.53228405919357169</v>
      </c>
      <c r="AK20" s="13"/>
      <c r="AL20" s="347"/>
      <c r="AM20" s="13">
        <v>8.4020347658240457E-2</v>
      </c>
      <c r="AN20" s="13">
        <v>0.52955535280285893</v>
      </c>
      <c r="AO20" s="13"/>
      <c r="AW20" s="328">
        <v>244.8</v>
      </c>
      <c r="AX20" s="7">
        <v>24.48</v>
      </c>
      <c r="AY20" s="8">
        <v>1290.5834153757746</v>
      </c>
      <c r="AZ20" s="114">
        <v>3.0877943807825711E-2</v>
      </c>
      <c r="BA20" s="13"/>
      <c r="BB20" s="13"/>
      <c r="BC20" s="13"/>
      <c r="BD20" s="7">
        <v>12.24</v>
      </c>
      <c r="BE20">
        <f>AI40</f>
        <v>72.457570874380565</v>
      </c>
      <c r="BF20">
        <f t="shared" si="1"/>
        <v>197.08221074311734</v>
      </c>
    </row>
    <row r="21" spans="1:59">
      <c r="A21" s="344" t="s">
        <v>4</v>
      </c>
      <c r="B21" t="s">
        <v>17</v>
      </c>
      <c r="C21" s="79">
        <v>2.1899999999999999E-2</v>
      </c>
      <c r="D21" s="348"/>
      <c r="E21" s="13"/>
      <c r="F21" s="347"/>
      <c r="G21" s="13">
        <v>2.1899999999999999E-2</v>
      </c>
      <c r="H21" s="13"/>
      <c r="I21" s="13"/>
      <c r="J21" s="347"/>
      <c r="K21" s="13">
        <v>2.1899999999999999E-2</v>
      </c>
      <c r="L21" s="13"/>
      <c r="M21" s="13"/>
      <c r="N21" s="347"/>
      <c r="O21" s="13">
        <v>2.1899999999999999E-2</v>
      </c>
      <c r="P21" s="13"/>
      <c r="Q21" s="13"/>
      <c r="R21" s="347"/>
      <c r="S21" s="13">
        <v>2.0447224008986142E-2</v>
      </c>
      <c r="T21" s="13">
        <v>2.190462911163981E-2</v>
      </c>
      <c r="U21" s="13"/>
      <c r="V21" s="347"/>
      <c r="W21" s="13">
        <v>2.0047981461354957E-2</v>
      </c>
      <c r="X21" s="13">
        <v>2.1923769301434283E-2</v>
      </c>
      <c r="Y21" s="13"/>
      <c r="Z21" s="347"/>
      <c r="AA21" s="13">
        <v>1.9453850947200087E-2</v>
      </c>
      <c r="AB21" s="13">
        <v>2.1953481409370715E-2</v>
      </c>
      <c r="AC21" s="13"/>
      <c r="AD21" s="347"/>
      <c r="AE21" s="13">
        <v>1.8294074183473369E-2</v>
      </c>
      <c r="AF21" s="13">
        <v>2.1997367384144404E-2</v>
      </c>
      <c r="AG21" s="13"/>
      <c r="AH21" s="347"/>
      <c r="AI21" s="13">
        <v>1.5932597453572461E-2</v>
      </c>
      <c r="AJ21" s="13">
        <v>2.2070741266930555E-2</v>
      </c>
      <c r="AK21" s="13"/>
      <c r="AL21" s="347"/>
      <c r="AM21" s="13">
        <v>1.0679187353008676E-2</v>
      </c>
      <c r="AN21" s="13">
        <v>2.2193429608010028E-2</v>
      </c>
      <c r="AO21" s="13"/>
      <c r="AW21" s="328">
        <v>183.6</v>
      </c>
      <c r="AX21" s="7">
        <v>18.36</v>
      </c>
      <c r="AY21" s="8">
        <v>1648.5705820625788</v>
      </c>
      <c r="AZ21" s="114">
        <v>3.7395056756682359E-2</v>
      </c>
      <c r="BA21" s="13"/>
      <c r="BB21" s="13"/>
      <c r="BC21" s="13"/>
      <c r="BD21" s="7">
        <v>6.12</v>
      </c>
      <c r="BE21">
        <f>AM40</f>
        <v>73.43380961707453</v>
      </c>
      <c r="BF21">
        <f t="shared" si="1"/>
        <v>196.10597200042338</v>
      </c>
    </row>
    <row r="22" spans="1:59">
      <c r="A22" s="344" t="s">
        <v>5</v>
      </c>
      <c r="B22" t="s">
        <v>17</v>
      </c>
      <c r="C22" s="79">
        <v>9.7999999999999997E-3</v>
      </c>
      <c r="D22" s="348"/>
      <c r="E22" s="13"/>
      <c r="F22" s="347"/>
      <c r="G22" s="13">
        <v>9.7999999999999997E-3</v>
      </c>
      <c r="H22" s="13"/>
      <c r="I22" s="13"/>
      <c r="J22" s="347"/>
      <c r="K22" s="13">
        <v>9.7999999999999997E-3</v>
      </c>
      <c r="L22" s="13"/>
      <c r="M22" s="13"/>
      <c r="N22" s="347"/>
      <c r="O22" s="13">
        <v>9.7999999999999997E-3</v>
      </c>
      <c r="P22" s="13"/>
      <c r="Q22" s="13"/>
      <c r="R22" s="347"/>
      <c r="S22" s="13">
        <v>1.1313409105704145E-2</v>
      </c>
      <c r="T22" s="13">
        <v>9.7951776875785743E-3</v>
      </c>
      <c r="U22" s="13"/>
      <c r="V22" s="347"/>
      <c r="W22" s="13">
        <v>1.1564986562545995E-2</v>
      </c>
      <c r="X22" s="13">
        <v>9.7773833809485077E-3</v>
      </c>
      <c r="Y22" s="13"/>
      <c r="Z22" s="347"/>
      <c r="AA22" s="13">
        <v>1.1938741689170217E-2</v>
      </c>
      <c r="AB22" s="13">
        <v>9.7535490276967965E-3</v>
      </c>
      <c r="AC22" s="13"/>
      <c r="AD22" s="347"/>
      <c r="AE22" s="13">
        <v>1.2354490225710408E-2</v>
      </c>
      <c r="AF22" s="13">
        <v>9.7337432753170517E-3</v>
      </c>
      <c r="AG22" s="13"/>
      <c r="AH22" s="347"/>
      <c r="AI22" s="13">
        <v>1.236622761269892E-2</v>
      </c>
      <c r="AJ22" s="13">
        <v>9.7432406395619644E-3</v>
      </c>
      <c r="AK22" s="13"/>
      <c r="AL22" s="347"/>
      <c r="AM22" s="13">
        <v>9.9846435981136641E-3</v>
      </c>
      <c r="AN22" s="13">
        <v>9.8838786237935537E-3</v>
      </c>
      <c r="AO22" s="13"/>
      <c r="AP22" s="347"/>
      <c r="AQ22" s="13"/>
      <c r="AW22" s="360">
        <v>122.4</v>
      </c>
      <c r="AX22" s="7">
        <v>12.24</v>
      </c>
      <c r="AY22" s="8">
        <v>1674.7409433147538</v>
      </c>
      <c r="AZ22" s="114">
        <v>3.8179500885858218E-2</v>
      </c>
      <c r="BA22" s="13"/>
      <c r="BB22" s="13"/>
      <c r="BC22" s="13"/>
    </row>
    <row r="23" spans="1:59" ht="13.5" thickBot="1">
      <c r="A23" s="344" t="s">
        <v>6</v>
      </c>
      <c r="B23" t="s">
        <v>17</v>
      </c>
      <c r="C23" s="79">
        <v>2.8999999999999998E-3</v>
      </c>
      <c r="D23" s="348"/>
      <c r="E23" s="13"/>
      <c r="F23" s="347"/>
      <c r="G23" s="13">
        <v>2.8999999999999998E-3</v>
      </c>
      <c r="H23" s="13"/>
      <c r="I23" s="13"/>
      <c r="J23" s="347"/>
      <c r="K23" s="13">
        <v>2.8999999999999998E-3</v>
      </c>
      <c r="L23" s="13"/>
      <c r="M23" s="13"/>
      <c r="N23" s="347"/>
      <c r="O23" s="13">
        <v>2.8999999999999998E-3</v>
      </c>
      <c r="P23" s="13"/>
      <c r="Q23" s="13"/>
      <c r="R23" s="347"/>
      <c r="S23" s="13">
        <v>3.7687236061869195E-3</v>
      </c>
      <c r="T23" s="13">
        <v>2.8972319073401163E-3</v>
      </c>
      <c r="U23" s="13"/>
      <c r="V23" s="347"/>
      <c r="W23" s="13">
        <v>3.9512055453815968E-3</v>
      </c>
      <c r="X23" s="13">
        <v>2.8865207649394755E-3</v>
      </c>
      <c r="Y23" s="13"/>
      <c r="Z23" s="347"/>
      <c r="AA23" s="13">
        <v>4.2416057964981694E-3</v>
      </c>
      <c r="AB23" s="13">
        <v>2.8707466402685968E-3</v>
      </c>
      <c r="AC23" s="13"/>
      <c r="AD23" s="347"/>
      <c r="AE23" s="13">
        <v>4.6709689171589462E-3</v>
      </c>
      <c r="AF23" s="13">
        <v>2.853091813782062E-3</v>
      </c>
      <c r="AG23" s="13"/>
      <c r="AH23" s="347"/>
      <c r="AI23" s="13">
        <v>5.1373966682203747E-3</v>
      </c>
      <c r="AJ23" s="13">
        <v>2.8427165440101992E-3</v>
      </c>
      <c r="AK23" s="13"/>
      <c r="AL23" s="347"/>
      <c r="AM23" s="13">
        <v>4.7342728220520214E-3</v>
      </c>
      <c r="AN23" s="13">
        <v>2.8956290431547175E-3</v>
      </c>
      <c r="AO23" s="13"/>
      <c r="AP23" s="347"/>
      <c r="AQ23" s="13"/>
      <c r="AR23" s="13"/>
      <c r="AS23" s="13"/>
      <c r="AT23" s="347"/>
      <c r="AW23" s="360">
        <v>61.2</v>
      </c>
      <c r="AX23" s="7">
        <v>6.12</v>
      </c>
      <c r="AY23" s="8">
        <v>1466.0820101888103</v>
      </c>
      <c r="AZ23" s="114">
        <v>3.3783470259247439E-2</v>
      </c>
      <c r="BA23" s="13"/>
      <c r="BB23" s="13"/>
      <c r="BC23" s="13"/>
    </row>
    <row r="24" spans="1:59" ht="13.5" thickBot="1">
      <c r="A24" s="344" t="s">
        <v>7</v>
      </c>
      <c r="B24" t="s">
        <v>17</v>
      </c>
      <c r="C24" s="79">
        <v>5.5999999999999999E-3</v>
      </c>
      <c r="D24" s="348"/>
      <c r="E24" s="13"/>
      <c r="F24" s="347"/>
      <c r="G24" s="13">
        <v>5.5999999999999999E-3</v>
      </c>
      <c r="H24" s="13"/>
      <c r="I24" s="13"/>
      <c r="J24" s="347"/>
      <c r="K24" s="13">
        <v>5.5999999999999999E-3</v>
      </c>
      <c r="L24" s="13"/>
      <c r="M24" s="13"/>
      <c r="N24" s="347"/>
      <c r="O24" s="13">
        <v>5.5999999999999999E-3</v>
      </c>
      <c r="P24" s="13"/>
      <c r="Q24" s="13"/>
      <c r="R24" s="347"/>
      <c r="S24" s="13">
        <v>7.7621566210259356E-3</v>
      </c>
      <c r="T24" s="13">
        <v>5.5931105246483977E-3</v>
      </c>
      <c r="U24" s="13"/>
      <c r="V24" s="347"/>
      <c r="W24" s="13">
        <v>8.2469385782568353E-3</v>
      </c>
      <c r="X24" s="13">
        <v>5.5660522446483009E-3</v>
      </c>
      <c r="Y24" s="13"/>
      <c r="Z24" s="347"/>
      <c r="AA24" s="13">
        <v>9.0147155644960224E-3</v>
      </c>
      <c r="AB24" s="13">
        <v>5.5254818918828276E-3</v>
      </c>
      <c r="AC24" s="13"/>
      <c r="AD24" s="347"/>
      <c r="AE24" s="13">
        <v>1.0185813312725212E-2</v>
      </c>
      <c r="AF24" s="13">
        <v>5.4781173918605095E-3</v>
      </c>
      <c r="AG24" s="13"/>
      <c r="AH24" s="347"/>
      <c r="AI24" s="13">
        <v>1.1582774289884294E-2</v>
      </c>
      <c r="AJ24" s="13">
        <v>5.4442506770494116E-3</v>
      </c>
      <c r="AK24" s="13"/>
      <c r="AL24" s="347"/>
      <c r="AM24" s="13">
        <v>1.1141026804851784E-2</v>
      </c>
      <c r="AN24" s="13">
        <v>5.559229655598897E-3</v>
      </c>
      <c r="AO24" s="13"/>
      <c r="AP24" s="347"/>
      <c r="AQ24" s="13"/>
      <c r="AR24" s="13"/>
      <c r="AS24" s="377">
        <v>1.89</v>
      </c>
      <c r="AT24" s="347"/>
      <c r="AW24" s="13"/>
      <c r="AX24" s="13"/>
      <c r="AY24" s="13"/>
      <c r="AZ24" s="347"/>
      <c r="BA24" s="13"/>
      <c r="BB24" s="13"/>
      <c r="BC24" t="s">
        <v>241</v>
      </c>
    </row>
    <row r="25" spans="1:59" ht="13.5" thickBot="1">
      <c r="A25" s="344" t="s">
        <v>8</v>
      </c>
      <c r="B25" t="s">
        <v>17</v>
      </c>
      <c r="C25" s="79">
        <v>3.3999999999999998E-3</v>
      </c>
      <c r="D25" s="348"/>
      <c r="E25" s="13"/>
      <c r="F25" s="347"/>
      <c r="G25" s="13">
        <v>3.3999999999999998E-3</v>
      </c>
      <c r="H25" s="13"/>
      <c r="I25" s="13"/>
      <c r="J25" s="347"/>
      <c r="K25" s="13">
        <v>3.3999999999999998E-3</v>
      </c>
      <c r="L25" s="13"/>
      <c r="M25" s="13"/>
      <c r="N25" s="347"/>
      <c r="O25" s="13">
        <v>3.3999999999999998E-3</v>
      </c>
      <c r="P25" s="13"/>
      <c r="Q25" s="13"/>
      <c r="R25" s="347"/>
      <c r="S25" s="13">
        <v>5.6500791744148399E-3</v>
      </c>
      <c r="T25" s="13">
        <v>3.3928303690581255E-3</v>
      </c>
      <c r="U25" s="13"/>
      <c r="V25" s="347"/>
      <c r="W25" s="13">
        <v>6.1819911039602618E-3</v>
      </c>
      <c r="X25" s="13">
        <v>3.3643139560058126E-3</v>
      </c>
      <c r="Y25" s="13"/>
      <c r="Z25" s="347"/>
      <c r="AA25" s="13">
        <v>7.062298622346432E-3</v>
      </c>
      <c r="AB25" s="13">
        <v>3.3199654993170654E-3</v>
      </c>
      <c r="AC25" s="13"/>
      <c r="AD25" s="347"/>
      <c r="AE25" s="13">
        <v>8.550756906369375E-3</v>
      </c>
      <c r="AF25" s="13">
        <v>3.2619537503851188E-3</v>
      </c>
      <c r="AG25" s="13"/>
      <c r="AH25" s="347"/>
      <c r="AI25" s="13">
        <v>1.0766108010499084E-2</v>
      </c>
      <c r="AJ25" s="13">
        <v>3.1999971818536315E-3</v>
      </c>
      <c r="AK25" s="13"/>
      <c r="AL25" s="347"/>
      <c r="AM25" s="13">
        <v>1.2011389391240759E-2</v>
      </c>
      <c r="AN25" s="13">
        <v>3.2670283482838891E-3</v>
      </c>
      <c r="AO25" s="13"/>
      <c r="AP25" s="347"/>
      <c r="AQ25" s="13"/>
      <c r="AR25" s="13"/>
      <c r="AS25" s="378">
        <v>1.952</v>
      </c>
      <c r="AT25" s="347"/>
    </row>
    <row r="26" spans="1:59" ht="13.5" thickBot="1">
      <c r="A26" s="344" t="s">
        <v>9</v>
      </c>
      <c r="B26" t="s">
        <v>17</v>
      </c>
      <c r="C26" s="79">
        <v>2.8999999999999998E-3</v>
      </c>
      <c r="D26" s="348"/>
      <c r="E26" s="13"/>
      <c r="F26" s="347"/>
      <c r="G26" s="13">
        <v>2.8999999999999998E-3</v>
      </c>
      <c r="H26" s="13"/>
      <c r="I26" s="13"/>
      <c r="J26" s="347"/>
      <c r="K26" s="13">
        <v>2.8999999999999998E-3</v>
      </c>
      <c r="L26" s="13"/>
      <c r="M26" s="13"/>
      <c r="N26" s="347"/>
      <c r="O26" s="13">
        <v>2.8999999999999998E-3</v>
      </c>
      <c r="P26" s="13"/>
      <c r="Q26" s="13"/>
      <c r="R26" s="347"/>
      <c r="S26" s="13">
        <v>4.8039862426382546E-3</v>
      </c>
      <c r="T26" s="13">
        <v>2.8939331562936347E-3</v>
      </c>
      <c r="U26" s="13"/>
      <c r="V26" s="347"/>
      <c r="W26" s="13">
        <v>5.2894104279292272E-3</v>
      </c>
      <c r="X26" s="13">
        <v>2.8693418808445753E-3</v>
      </c>
      <c r="Y26" s="13"/>
      <c r="Z26" s="347"/>
      <c r="AA26" s="13">
        <v>6.096169914821317E-3</v>
      </c>
      <c r="AB26" s="13">
        <v>2.8300716209963199E-3</v>
      </c>
      <c r="AC26" s="13"/>
      <c r="AD26" s="347"/>
      <c r="AE26" s="13">
        <v>7.4716375992479479E-3</v>
      </c>
      <c r="AF26" s="13">
        <v>2.7770708244309445E-3</v>
      </c>
      <c r="AG26" s="13"/>
      <c r="AH26" s="347"/>
      <c r="AI26" s="13">
        <v>9.5553486835288602E-3</v>
      </c>
      <c r="AJ26" s="13">
        <v>2.717734837309286E-3</v>
      </c>
      <c r="AK26" s="13"/>
      <c r="AL26" s="347"/>
      <c r="AM26" s="13">
        <v>1.0866753107094396E-2</v>
      </c>
      <c r="AN26" s="13">
        <v>2.7705491015676026E-3</v>
      </c>
      <c r="AO26" s="13"/>
      <c r="AP26" s="347"/>
      <c r="AQ26" s="13"/>
      <c r="AR26" s="13"/>
      <c r="AS26" s="378">
        <v>3.2629999999999999</v>
      </c>
      <c r="AT26" s="347"/>
    </row>
    <row r="27" spans="1:59" ht="13.5" thickBot="1">
      <c r="A27" s="344" t="s">
        <v>10</v>
      </c>
      <c r="B27" t="s">
        <v>17</v>
      </c>
      <c r="C27" s="79">
        <v>5.1999999999999998E-3</v>
      </c>
      <c r="D27" s="348"/>
      <c r="E27" s="13"/>
      <c r="F27" s="347"/>
      <c r="G27" s="13">
        <v>5.1999999999999998E-3</v>
      </c>
      <c r="H27" s="13"/>
      <c r="I27" s="13"/>
      <c r="J27" s="347"/>
      <c r="K27" s="13">
        <v>5.1999999999999998E-3</v>
      </c>
      <c r="L27" s="13"/>
      <c r="M27" s="13"/>
      <c r="N27" s="347"/>
      <c r="O27" s="13">
        <v>5.1999999999999998E-3</v>
      </c>
      <c r="P27" s="13"/>
      <c r="Q27" s="13"/>
      <c r="R27" s="347"/>
      <c r="S27" s="13">
        <v>1.0267915098754948E-2</v>
      </c>
      <c r="T27" s="13">
        <v>5.1838516433928266E-3</v>
      </c>
      <c r="U27" s="13"/>
      <c r="V27" s="347"/>
      <c r="W27" s="13">
        <v>1.1779459992896941E-2</v>
      </c>
      <c r="X27" s="13">
        <v>5.1155316448500904E-3</v>
      </c>
      <c r="Y27" s="13"/>
      <c r="Z27" s="347"/>
      <c r="AA27" s="13">
        <v>1.4421733736852368E-2</v>
      </c>
      <c r="AB27" s="13">
        <v>4.9975992339460059E-3</v>
      </c>
      <c r="AC27" s="13"/>
      <c r="AD27" s="347"/>
      <c r="AE27" s="13">
        <v>1.9343273595568113E-2</v>
      </c>
      <c r="AF27" s="13">
        <v>4.8151068046238836E-3</v>
      </c>
      <c r="AG27" s="13"/>
      <c r="AH27" s="347"/>
      <c r="AI27" s="13">
        <v>2.7992346872017373E-2</v>
      </c>
      <c r="AJ27" s="13">
        <v>4.5500253622308513E-3</v>
      </c>
      <c r="AK27" s="13"/>
      <c r="AL27" s="347"/>
      <c r="AM27" s="13">
        <v>3.7871331255451751E-2</v>
      </c>
      <c r="AN27" s="13">
        <v>4.5064642218558479E-3</v>
      </c>
      <c r="AO27" s="13"/>
      <c r="AP27" s="347"/>
      <c r="AQ27" s="13"/>
      <c r="AR27" s="13"/>
      <c r="AS27" s="378">
        <v>2.2839999999999998</v>
      </c>
      <c r="AT27" s="347"/>
      <c r="BC27" s="7">
        <v>61.2</v>
      </c>
      <c r="BD27">
        <v>0</v>
      </c>
      <c r="BE27">
        <v>0</v>
      </c>
      <c r="BF27">
        <v>0</v>
      </c>
      <c r="BG27">
        <v>0</v>
      </c>
    </row>
    <row r="28" spans="1:59" ht="13.5" thickBot="1">
      <c r="A28" s="344" t="s">
        <v>35</v>
      </c>
      <c r="B28" t="s">
        <v>17</v>
      </c>
      <c r="C28" s="79">
        <v>1.500435E-2</v>
      </c>
      <c r="D28" s="348"/>
      <c r="E28" s="13"/>
      <c r="F28" s="347"/>
      <c r="G28" s="13">
        <v>1.500435E-2</v>
      </c>
      <c r="H28" s="13"/>
      <c r="I28" s="13"/>
      <c r="J28" s="347"/>
      <c r="K28" s="13">
        <v>1.500435E-2</v>
      </c>
      <c r="L28" s="13"/>
      <c r="M28" s="13"/>
      <c r="N28" s="347"/>
      <c r="O28" s="13">
        <v>1.500435E-2</v>
      </c>
      <c r="P28" s="13"/>
      <c r="Q28" s="13"/>
      <c r="R28" s="347"/>
      <c r="S28" s="13">
        <v>2.9982348480883322E-2</v>
      </c>
      <c r="T28" s="13">
        <v>1.4956624247690058E-2</v>
      </c>
      <c r="U28" s="13"/>
      <c r="V28" s="347"/>
      <c r="W28" s="13">
        <v>3.4491447407090141E-2</v>
      </c>
      <c r="X28" s="13">
        <v>1.4754162034244719E-2</v>
      </c>
      <c r="Y28" s="13"/>
      <c r="Z28" s="347"/>
      <c r="AA28" s="13">
        <v>4.2431647090833691E-2</v>
      </c>
      <c r="AB28" s="13">
        <v>1.4402207585324968E-2</v>
      </c>
      <c r="AC28" s="13"/>
      <c r="AD28" s="347"/>
      <c r="AE28" s="13">
        <v>5.7365933243588851E-2</v>
      </c>
      <c r="AF28" s="13">
        <v>1.385023347718763E-2</v>
      </c>
      <c r="AG28" s="13"/>
      <c r="AH28" s="347"/>
      <c r="AI28" s="13">
        <v>8.4016548220440634E-2</v>
      </c>
      <c r="AJ28" s="13">
        <v>1.3028692797084771E-2</v>
      </c>
      <c r="AK28" s="13"/>
      <c r="AL28" s="347"/>
      <c r="AM28" s="13">
        <v>0.11563651548601071</v>
      </c>
      <c r="AN28" s="13">
        <v>1.2825651627531232E-2</v>
      </c>
      <c r="AO28" s="13"/>
      <c r="AP28" s="347"/>
      <c r="AQ28" s="13"/>
      <c r="AS28" s="378">
        <v>2.2930000000000001</v>
      </c>
      <c r="AT28" s="347"/>
      <c r="BC28" s="7">
        <v>55.08</v>
      </c>
      <c r="BD28">
        <f>G42*(1-K9)</f>
        <v>11.096353069813762</v>
      </c>
      <c r="BE28">
        <f>G40-K40</f>
        <v>11.574684655504882</v>
      </c>
      <c r="BF28">
        <f>BE28/$C$40*100</f>
        <v>4.2942398283643479</v>
      </c>
      <c r="BG28">
        <f>BD28/$C$40*100</f>
        <v>4.116777495041724</v>
      </c>
    </row>
    <row r="29" spans="1:59" ht="13.5" thickBot="1">
      <c r="A29" s="344" t="s">
        <v>163</v>
      </c>
      <c r="B29" t="s">
        <v>17</v>
      </c>
      <c r="C29" s="79">
        <v>6.9601300000000001E-3</v>
      </c>
      <c r="D29" s="348"/>
      <c r="E29" s="13"/>
      <c r="F29" s="347"/>
      <c r="G29" s="13">
        <v>6.9601300000000001E-3</v>
      </c>
      <c r="H29" s="13"/>
      <c r="I29" s="13"/>
      <c r="J29" s="347"/>
      <c r="K29" s="13">
        <v>6.9601300000000001E-3</v>
      </c>
      <c r="L29" s="13"/>
      <c r="M29" s="13"/>
      <c r="N29" s="347"/>
      <c r="O29" s="13">
        <v>6.9601300000000001E-3</v>
      </c>
      <c r="P29" s="13"/>
      <c r="Q29" s="13"/>
      <c r="R29" s="347"/>
      <c r="S29" s="13">
        <v>1.5874598449479884E-2</v>
      </c>
      <c r="T29" s="13">
        <v>6.9317250222763289E-3</v>
      </c>
      <c r="U29" s="13"/>
      <c r="V29" s="347"/>
      <c r="W29" s="13">
        <v>1.8746399320377052E-2</v>
      </c>
      <c r="X29" s="13">
        <v>6.808770214528582E-3</v>
      </c>
      <c r="Y29" s="13"/>
      <c r="Z29" s="347"/>
      <c r="AA29" s="13">
        <v>2.3934181478099753E-2</v>
      </c>
      <c r="AB29" s="13">
        <v>6.5869265210153584E-3</v>
      </c>
      <c r="AC29" s="13"/>
      <c r="AD29" s="347"/>
      <c r="AE29" s="13">
        <v>3.4097717487197254E-2</v>
      </c>
      <c r="AF29" s="13">
        <v>6.2167415280479713E-3</v>
      </c>
      <c r="AG29" s="13"/>
      <c r="AH29" s="347"/>
      <c r="AI29" s="13">
        <v>5.3178300022830152E-2</v>
      </c>
      <c r="AJ29" s="13">
        <v>5.6161489332448352E-3</v>
      </c>
      <c r="AK29" s="13"/>
      <c r="AL29" s="347"/>
      <c r="AM29" s="13">
        <v>7.9498618800726215E-2</v>
      </c>
      <c r="AN29" s="13">
        <v>5.2658326205418165E-3</v>
      </c>
      <c r="AO29" s="13"/>
      <c r="AP29" s="347"/>
      <c r="AQ29" s="13"/>
      <c r="AR29" s="13"/>
      <c r="AS29" s="378">
        <v>4.7779999999999996</v>
      </c>
      <c r="AT29" s="347"/>
      <c r="BC29" s="7">
        <v>48.96</v>
      </c>
      <c r="BD29">
        <f>K42*(K9-O9)+BD28</f>
        <v>23.860928277350947</v>
      </c>
      <c r="BE29">
        <f>G40-O40</f>
        <v>24.836624785648468</v>
      </c>
      <c r="BF29">
        <f t="shared" ref="BF29:BF35" si="2">BE29/$C$40*100</f>
        <v>9.2144560764295473</v>
      </c>
      <c r="BG29">
        <f t="shared" ref="BG29:BG35" si="3">BD29/$C$40*100</f>
        <v>8.8524699894621968</v>
      </c>
    </row>
    <row r="30" spans="1:59" ht="13.5" thickBot="1">
      <c r="A30" s="344" t="s">
        <v>37</v>
      </c>
      <c r="B30" t="s">
        <v>17</v>
      </c>
      <c r="C30" s="79">
        <v>3.2265900000000001E-3</v>
      </c>
      <c r="D30" s="348"/>
      <c r="E30" s="13"/>
      <c r="F30" s="347"/>
      <c r="G30" s="13">
        <v>3.2265900000000001E-3</v>
      </c>
      <c r="H30" s="13"/>
      <c r="I30" s="13"/>
      <c r="J30" s="347"/>
      <c r="K30" s="13">
        <v>3.2265900000000001E-3</v>
      </c>
      <c r="L30" s="13"/>
      <c r="M30" s="13"/>
      <c r="N30" s="347"/>
      <c r="O30" s="13">
        <v>3.2265900000000001E-3</v>
      </c>
      <c r="P30" s="13"/>
      <c r="Q30" s="13"/>
      <c r="R30" s="347"/>
      <c r="S30" s="13">
        <v>7.8142396855411279E-3</v>
      </c>
      <c r="T30" s="13">
        <v>3.2119719565507116E-3</v>
      </c>
      <c r="U30" s="13"/>
      <c r="V30" s="347"/>
      <c r="W30" s="13">
        <v>9.2842820887078532E-3</v>
      </c>
      <c r="X30" s="13">
        <v>3.1487985019847714E-3</v>
      </c>
      <c r="Y30" s="13"/>
      <c r="Z30" s="347"/>
      <c r="AA30" s="13">
        <v>1.196499454712581E-2</v>
      </c>
      <c r="AB30" s="13">
        <v>3.0344442576058835E-3</v>
      </c>
      <c r="AC30" s="13"/>
      <c r="AD30" s="347"/>
      <c r="AE30" s="13">
        <v>1.7288320926512453E-2</v>
      </c>
      <c r="AF30" s="13">
        <v>2.841044507060676E-3</v>
      </c>
      <c r="AG30" s="13"/>
      <c r="AH30" s="347"/>
      <c r="AI30" s="13">
        <v>2.7429713744342558E-2</v>
      </c>
      <c r="AJ30" s="13">
        <v>2.5204194772238263E-3</v>
      </c>
      <c r="AK30" s="13"/>
      <c r="AL30" s="347"/>
      <c r="AM30" s="13">
        <v>4.1986951160653846E-2</v>
      </c>
      <c r="AN30" s="13">
        <v>2.3047049118471163E-3</v>
      </c>
      <c r="AO30" s="13"/>
      <c r="AP30" s="347"/>
      <c r="AQ30" s="13"/>
      <c r="AR30" s="377"/>
      <c r="AS30" s="13"/>
      <c r="AT30" s="347"/>
      <c r="BC30" s="7">
        <v>42.839999999999996</v>
      </c>
      <c r="BD30">
        <f>O42*(O9-S9-T9)+BD29</f>
        <v>38.806232759482768</v>
      </c>
      <c r="BE30">
        <f>G40-T40-S40</f>
        <v>40.738242882972955</v>
      </c>
      <c r="BF30">
        <f t="shared" si="2"/>
        <v>15.114000107332698</v>
      </c>
      <c r="BG30">
        <f t="shared" si="3"/>
        <v>14.397219040027432</v>
      </c>
    </row>
    <row r="31" spans="1:59" ht="13.5" thickBot="1">
      <c r="A31" s="344" t="s">
        <v>38</v>
      </c>
      <c r="B31" t="s">
        <v>17</v>
      </c>
      <c r="C31" s="79">
        <v>4.8841300000000004E-3</v>
      </c>
      <c r="D31" s="348"/>
      <c r="E31" s="13"/>
      <c r="F31" s="347"/>
      <c r="G31" s="13">
        <v>4.8841300000000004E-3</v>
      </c>
      <c r="H31" s="13"/>
      <c r="I31" s="13"/>
      <c r="J31" s="347"/>
      <c r="K31" s="13">
        <v>4.8841300000000004E-3</v>
      </c>
      <c r="L31" s="13"/>
      <c r="M31" s="13"/>
      <c r="N31" s="347"/>
      <c r="O31" s="13">
        <v>4.8841300000000004E-3</v>
      </c>
      <c r="P31" s="13"/>
      <c r="Q31" s="13"/>
      <c r="R31" s="347"/>
      <c r="S31" s="13">
        <v>7.2075582141545899E-2</v>
      </c>
      <c r="T31" s="13">
        <v>4.6700317941318669E-3</v>
      </c>
      <c r="U31" s="13"/>
      <c r="V31" s="347"/>
      <c r="W31" s="13">
        <v>0.10113954444627296</v>
      </c>
      <c r="X31" s="13">
        <v>3.6464602737454606E-3</v>
      </c>
      <c r="Y31" s="13"/>
      <c r="Z31" s="347"/>
      <c r="AA31" s="13">
        <v>0.13577317238090761</v>
      </c>
      <c r="AB31" s="13">
        <v>2.0147796599136636E-3</v>
      </c>
      <c r="AC31" s="13"/>
      <c r="AD31" s="347"/>
      <c r="AE31" s="13">
        <v>0.16658590524740913</v>
      </c>
      <c r="AF31" s="13">
        <v>6.3599674045141004E-4</v>
      </c>
      <c r="AG31" s="13"/>
      <c r="AH31" s="347"/>
      <c r="AI31" s="13">
        <v>0.19778900020239792</v>
      </c>
      <c r="AJ31" s="13">
        <v>1.0993708784755097E-4</v>
      </c>
      <c r="AK31" s="13"/>
      <c r="AL31" s="347"/>
      <c r="AM31" s="13">
        <v>0.27453401978253955</v>
      </c>
      <c r="AN31" s="13">
        <v>1.6365703900753728E-5</v>
      </c>
      <c r="AO31" s="13"/>
      <c r="AP31" s="347"/>
      <c r="AQ31" s="13"/>
      <c r="AR31" s="378"/>
      <c r="AS31" s="13"/>
      <c r="AT31" s="347"/>
      <c r="BC31" s="7">
        <v>36.72</v>
      </c>
      <c r="BD31">
        <f>T42*(S9+T9-W9-X9)+BD30</f>
        <v>56.440310084428909</v>
      </c>
      <c r="BE31">
        <f>G40-W40-X40</f>
        <v>59.950810167221277</v>
      </c>
      <c r="BF31">
        <f t="shared" si="2"/>
        <v>22.241915389060111</v>
      </c>
      <c r="BG31">
        <f t="shared" si="3"/>
        <v>20.939510207262458</v>
      </c>
    </row>
    <row r="32" spans="1:59" ht="13.5" thickBot="1">
      <c r="A32" s="344" t="s">
        <v>39</v>
      </c>
      <c r="B32" t="s">
        <v>17</v>
      </c>
      <c r="C32" s="79">
        <v>1.5248E-3</v>
      </c>
      <c r="D32" s="348"/>
      <c r="E32" s="13"/>
      <c r="F32" s="347"/>
      <c r="G32" s="13">
        <v>1.5248E-3</v>
      </c>
      <c r="H32" s="13"/>
      <c r="I32" s="13"/>
      <c r="J32" s="347"/>
      <c r="K32" s="13">
        <v>1.5248E-3</v>
      </c>
      <c r="L32" s="13"/>
      <c r="M32" s="13"/>
      <c r="N32" s="347"/>
      <c r="O32" s="13">
        <v>1.5248E-3</v>
      </c>
      <c r="P32" s="13"/>
      <c r="Q32" s="13"/>
      <c r="R32" s="347"/>
      <c r="S32" s="13">
        <v>0.10149836737687754</v>
      </c>
      <c r="T32" s="13">
        <v>1.2062451730476629E-3</v>
      </c>
      <c r="U32" s="13"/>
      <c r="V32" s="347"/>
      <c r="W32" s="13">
        <v>8.7219381925010886E-2</v>
      </c>
      <c r="X32" s="13">
        <v>4.3404124550320877E-4</v>
      </c>
      <c r="Y32" s="13"/>
      <c r="Z32" s="347"/>
      <c r="AA32" s="13">
        <v>7.0246520559045192E-2</v>
      </c>
      <c r="AB32" s="13">
        <v>9.4620999727469034E-5</v>
      </c>
      <c r="AC32" s="13"/>
      <c r="AD32" s="347"/>
      <c r="AE32" s="13">
        <v>6.5763347141571935E-2</v>
      </c>
      <c r="AF32" s="13">
        <v>1.2043099193381446E-5</v>
      </c>
      <c r="AG32" s="13"/>
      <c r="AH32" s="347"/>
      <c r="AI32" s="13">
        <v>7.2799457449471486E-2</v>
      </c>
      <c r="AJ32" s="13">
        <v>7.839479835349333E-7</v>
      </c>
      <c r="AK32" s="13"/>
      <c r="AL32" s="347"/>
      <c r="AM32" s="13">
        <v>0.10025425475045326</v>
      </c>
      <c r="AN32" s="13">
        <v>3.7038659266920059E-8</v>
      </c>
      <c r="AO32" s="13"/>
      <c r="AP32" s="347"/>
      <c r="AQ32" s="13"/>
      <c r="AR32" s="378"/>
      <c r="AS32" s="13"/>
      <c r="AT32" s="347"/>
      <c r="BC32" s="7">
        <v>30.6</v>
      </c>
      <c r="BD32">
        <f>X42*(W9+X9-AA9-AB9)+BD31</f>
        <v>76.680768730296919</v>
      </c>
      <c r="BE32">
        <f>G40-AA40-AB40</f>
        <v>81.300290625103855</v>
      </c>
      <c r="BF32">
        <f t="shared" si="2"/>
        <v>30.162631333016567</v>
      </c>
      <c r="BG32">
        <f t="shared" si="3"/>
        <v>28.448776010034049</v>
      </c>
    </row>
    <row r="33" spans="1:59" ht="13.5" thickBot="1">
      <c r="A33" s="344" t="s">
        <v>40</v>
      </c>
      <c r="B33" t="s">
        <v>17</v>
      </c>
      <c r="C33" s="13"/>
      <c r="D33" s="13"/>
      <c r="E33" s="13"/>
      <c r="F33" s="347"/>
      <c r="G33" s="13"/>
      <c r="H33" s="13"/>
      <c r="I33" s="13"/>
      <c r="J33" s="347"/>
      <c r="K33" s="13"/>
      <c r="L33" s="13"/>
      <c r="M33" s="13"/>
      <c r="N33" s="347"/>
      <c r="O33" s="13"/>
      <c r="P33" s="13"/>
      <c r="Q33" s="13"/>
      <c r="R33" s="347"/>
      <c r="S33" s="13"/>
      <c r="T33" s="13"/>
      <c r="U33" s="13"/>
      <c r="V33" s="347"/>
      <c r="W33" s="13"/>
      <c r="X33" s="13"/>
      <c r="Y33" s="13"/>
      <c r="Z33" s="347"/>
      <c r="AA33" s="13"/>
      <c r="AB33" s="13"/>
      <c r="AC33" s="13"/>
      <c r="AD33" s="347"/>
      <c r="AE33" s="13"/>
      <c r="AF33" s="13"/>
      <c r="AG33" s="13"/>
      <c r="AH33" s="347"/>
      <c r="AI33" s="13"/>
      <c r="AJ33" s="13"/>
      <c r="AK33" s="13"/>
      <c r="AL33" s="347"/>
      <c r="AM33" s="13"/>
      <c r="AN33" s="13"/>
      <c r="AO33" s="13"/>
      <c r="AP33" s="347"/>
      <c r="AQ33" s="13"/>
      <c r="AR33" s="378"/>
      <c r="AS33" s="13"/>
      <c r="AT33" s="347"/>
      <c r="BC33" s="7">
        <v>24.48</v>
      </c>
      <c r="BD33">
        <f>AB42*(AA9+AB9-AE9-AF9)+BD32</f>
        <v>99.193986969116636</v>
      </c>
      <c r="BE33">
        <f>G40-AE40-AF40</f>
        <v>104.32826276880638</v>
      </c>
      <c r="BF33">
        <f t="shared" si="2"/>
        <v>38.706072306928675</v>
      </c>
      <c r="BG33">
        <f t="shared" si="3"/>
        <v>36.801241870071024</v>
      </c>
    </row>
    <row r="34" spans="1:59" ht="13.5" thickBot="1">
      <c r="A34" s="344" t="s">
        <v>41</v>
      </c>
      <c r="B34" t="s">
        <v>17</v>
      </c>
      <c r="C34" s="13"/>
      <c r="D34" s="13"/>
      <c r="E34" s="13"/>
      <c r="F34" s="347"/>
      <c r="G34" s="13"/>
      <c r="H34" s="13"/>
      <c r="I34" s="13"/>
      <c r="J34" s="347"/>
      <c r="K34" s="13"/>
      <c r="L34" s="13"/>
      <c r="M34" s="13"/>
      <c r="N34" s="347"/>
      <c r="O34" s="13"/>
      <c r="P34" s="13"/>
      <c r="Q34" s="13"/>
      <c r="R34" s="347"/>
      <c r="S34" s="13"/>
      <c r="T34" s="13"/>
      <c r="U34" s="13"/>
      <c r="V34" s="347"/>
      <c r="W34" s="13"/>
      <c r="X34" s="13"/>
      <c r="Y34" s="13"/>
      <c r="Z34" s="347"/>
      <c r="AA34" s="13"/>
      <c r="AB34" s="13"/>
      <c r="AC34" s="13"/>
      <c r="AD34" s="347"/>
      <c r="AE34" s="13"/>
      <c r="AF34" s="13"/>
      <c r="AG34" s="13"/>
      <c r="AH34" s="347"/>
      <c r="AI34" s="13"/>
      <c r="AJ34" s="13"/>
      <c r="AK34" s="13"/>
      <c r="AL34" s="347"/>
      <c r="AM34" s="13"/>
      <c r="AN34" s="13"/>
      <c r="AO34" s="13"/>
      <c r="AP34" s="347"/>
      <c r="AQ34" s="13"/>
      <c r="AR34" s="378"/>
      <c r="AS34" s="13"/>
      <c r="AT34" s="347"/>
      <c r="BC34" s="7">
        <v>18.36</v>
      </c>
      <c r="BD34">
        <f>AF42*(AE9+AF9-AI9-AJ9)+BD33</f>
        <v>123.87005365344812</v>
      </c>
      <c r="BE34">
        <f>G40-AI40-AJ40</f>
        <v>129.0602647886821</v>
      </c>
      <c r="BF34">
        <f t="shared" si="2"/>
        <v>47.88171304962718</v>
      </c>
      <c r="BG34">
        <f t="shared" si="3"/>
        <v>45.956130449504954</v>
      </c>
    </row>
    <row r="35" spans="1:59" ht="13.5" thickBot="1">
      <c r="A35" s="344" t="s">
        <v>42</v>
      </c>
      <c r="B35" t="s">
        <v>17</v>
      </c>
      <c r="C35" s="13"/>
      <c r="D35" s="13"/>
      <c r="E35" s="13"/>
      <c r="F35" s="347"/>
      <c r="G35" s="13"/>
      <c r="H35" s="13"/>
      <c r="I35" s="13"/>
      <c r="J35" s="347"/>
      <c r="K35" s="13"/>
      <c r="L35" s="13"/>
      <c r="M35" s="13"/>
      <c r="N35" s="347"/>
      <c r="O35" s="13"/>
      <c r="P35" s="13"/>
      <c r="Q35" s="13"/>
      <c r="R35" s="347"/>
      <c r="S35" s="13"/>
      <c r="T35" s="13"/>
      <c r="U35" s="13"/>
      <c r="V35" s="347"/>
      <c r="W35" s="13"/>
      <c r="X35" s="13"/>
      <c r="Y35" s="13"/>
      <c r="Z35" s="347"/>
      <c r="AA35" s="13"/>
      <c r="AB35" s="13"/>
      <c r="AC35" s="13"/>
      <c r="AD35" s="347"/>
      <c r="AE35" s="13"/>
      <c r="AF35" s="13"/>
      <c r="AG35" s="13"/>
      <c r="AH35" s="347"/>
      <c r="AI35" s="13"/>
      <c r="AJ35" s="13"/>
      <c r="AK35" s="13"/>
      <c r="AL35" s="347"/>
      <c r="AM35" s="13"/>
      <c r="AN35" s="13"/>
      <c r="AO35" s="13"/>
      <c r="AP35" s="347"/>
      <c r="AQ35" s="13"/>
      <c r="AR35" s="378"/>
      <c r="AS35" s="13"/>
      <c r="AT35" s="347"/>
      <c r="BC35" s="7">
        <v>12.24</v>
      </c>
      <c r="BD35">
        <f>AJ42*(AI9+AJ9-AM9-AN9)+BD34</f>
        <v>149.22247654115634</v>
      </c>
      <c r="BE35">
        <f>C40-AM40-AN40</f>
        <v>154.17048187001495</v>
      </c>
      <c r="BF35">
        <f t="shared" si="2"/>
        <v>57.19767261991673</v>
      </c>
      <c r="BG35">
        <f t="shared" si="3"/>
        <v>55.361949039832993</v>
      </c>
    </row>
    <row r="36" spans="1:59" ht="13.5" thickBot="1">
      <c r="A36" s="344" t="s">
        <v>43</v>
      </c>
      <c r="B36" t="s">
        <v>17</v>
      </c>
      <c r="C36" s="13"/>
      <c r="D36" s="13"/>
      <c r="E36" s="13"/>
      <c r="F36" s="347"/>
      <c r="G36" s="13"/>
      <c r="H36" s="13"/>
      <c r="I36" s="13"/>
      <c r="J36" s="347"/>
      <c r="K36" s="13"/>
      <c r="L36" s="13"/>
      <c r="M36" s="13"/>
      <c r="N36" s="347"/>
      <c r="O36" s="13"/>
      <c r="P36" s="13"/>
      <c r="Q36" s="13"/>
      <c r="R36" s="347"/>
      <c r="S36" s="13"/>
      <c r="T36" s="13"/>
      <c r="U36" s="13"/>
      <c r="V36" s="347"/>
      <c r="W36" s="13"/>
      <c r="X36" s="13"/>
      <c r="Y36" s="13"/>
      <c r="Z36" s="347"/>
      <c r="AA36" s="13"/>
      <c r="AB36" s="13"/>
      <c r="AC36" s="13"/>
      <c r="AD36" s="347"/>
      <c r="AE36" s="13"/>
      <c r="AF36" s="13"/>
      <c r="AG36" s="13"/>
      <c r="AH36" s="347"/>
      <c r="AI36" s="13"/>
      <c r="AJ36" s="13"/>
      <c r="AK36" s="13"/>
      <c r="AL36" s="347"/>
      <c r="AM36" s="13"/>
      <c r="AN36" s="13"/>
      <c r="AO36" s="13"/>
      <c r="AP36" s="347"/>
      <c r="AQ36" s="13"/>
      <c r="AR36" s="378">
        <f>SUM(AR37:AR39)</f>
        <v>9.68</v>
      </c>
      <c r="AS36" s="13"/>
      <c r="AT36" s="347"/>
      <c r="BC36" s="7">
        <v>6.12</v>
      </c>
    </row>
    <row r="37" spans="1:59" ht="13.5" thickBot="1">
      <c r="A37" s="344" t="s">
        <v>44</v>
      </c>
      <c r="B37" t="s">
        <v>17</v>
      </c>
      <c r="C37" s="13"/>
      <c r="D37" s="13"/>
      <c r="E37" s="13"/>
      <c r="F37" s="347"/>
      <c r="G37" s="13"/>
      <c r="H37" s="13"/>
      <c r="I37" s="13"/>
      <c r="J37" s="347"/>
      <c r="K37" s="13"/>
      <c r="L37" s="13"/>
      <c r="M37" s="13"/>
      <c r="N37" s="347"/>
      <c r="O37" s="13"/>
      <c r="P37" s="13"/>
      <c r="Q37" s="13"/>
      <c r="R37" s="347"/>
      <c r="S37" s="13"/>
      <c r="T37" s="13"/>
      <c r="U37" s="13"/>
      <c r="V37" s="347"/>
      <c r="W37" s="13"/>
      <c r="X37" s="13"/>
      <c r="Y37" s="13"/>
      <c r="Z37" s="347"/>
      <c r="AA37" s="13"/>
      <c r="AB37" s="13"/>
      <c r="AC37" s="13"/>
      <c r="AD37" s="347"/>
      <c r="AE37" s="13"/>
      <c r="AF37" s="13"/>
      <c r="AG37" s="13"/>
      <c r="AH37" s="347"/>
      <c r="AI37" s="13"/>
      <c r="AJ37" s="13"/>
      <c r="AK37" s="13"/>
      <c r="AL37" s="347"/>
      <c r="AM37" s="13"/>
      <c r="AN37" s="13"/>
      <c r="AO37" s="13"/>
      <c r="AP37" s="347"/>
      <c r="AQ37" s="13"/>
      <c r="AR37" s="378">
        <v>1.92</v>
      </c>
      <c r="AS37" s="13">
        <v>72.2</v>
      </c>
      <c r="AT37" s="347">
        <f>AS37*AR37</f>
        <v>138.624</v>
      </c>
    </row>
    <row r="38" spans="1:59">
      <c r="A38" s="344" t="s">
        <v>45</v>
      </c>
      <c r="B38" t="s">
        <v>17</v>
      </c>
      <c r="F38" s="345"/>
      <c r="J38" s="345"/>
      <c r="N38" s="345"/>
      <c r="R38" s="345"/>
      <c r="V38" s="345"/>
      <c r="Z38" s="345"/>
      <c r="AD38" s="345"/>
      <c r="AH38" s="345"/>
      <c r="AL38" s="345"/>
      <c r="AP38" s="345"/>
      <c r="AR38">
        <v>1</v>
      </c>
      <c r="AS38">
        <v>84</v>
      </c>
      <c r="AT38" s="347">
        <f>AS38*AR38</f>
        <v>84</v>
      </c>
      <c r="BC38" s="359"/>
    </row>
    <row r="39" spans="1:59">
      <c r="A39" s="344" t="s">
        <v>225</v>
      </c>
      <c r="C39" s="13">
        <f>SUM(C25:C32)*C9</f>
        <v>4.3099999999999999E-2</v>
      </c>
      <c r="D39" s="13"/>
      <c r="F39" s="345"/>
      <c r="G39" s="13">
        <f>SUM(G25:G32)*G9</f>
        <v>4.3100000000000006E-2</v>
      </c>
      <c r="H39" s="13"/>
      <c r="I39" s="13"/>
      <c r="J39" s="345"/>
      <c r="K39" s="13">
        <f>SUM(K25:K32)*K9</f>
        <v>4.1325668899637014E-2</v>
      </c>
      <c r="L39" s="13"/>
      <c r="M39" s="13"/>
      <c r="N39" s="345"/>
      <c r="O39" s="13">
        <f>SUM(O25:O32)*O9</f>
        <v>3.9284585434541795E-2</v>
      </c>
      <c r="P39" s="13"/>
      <c r="Q39" s="13"/>
      <c r="R39" s="345"/>
      <c r="S39" s="13">
        <f>SUM(S25:S32)*S9</f>
        <v>6.7421643496451151E-4</v>
      </c>
      <c r="T39" s="13">
        <f>SUM(T25:T32)*T9</f>
        <v>3.6220582158783682E-2</v>
      </c>
      <c r="U39" s="13"/>
      <c r="V39" s="345"/>
      <c r="W39" s="13">
        <f>SUM(W25:W32)*W9</f>
        <v>2.7844233199167904E-3</v>
      </c>
      <c r="X39" s="13">
        <f>SUM(X25:X32)*X9</f>
        <v>3.1239876215442431E-2</v>
      </c>
      <c r="Y39" s="13"/>
      <c r="Z39" s="345"/>
      <c r="AA39" s="13">
        <f>SUM(AA25:AA32)*AA9</f>
        <v>4.9781010325905418E-3</v>
      </c>
      <c r="AB39" s="13">
        <f>SUM(AB25:AB32)*AB9</f>
        <v>2.5552024674964945E-2</v>
      </c>
      <c r="AC39" s="13"/>
      <c r="AD39" s="345"/>
      <c r="AE39" s="13">
        <f>SUM(AE25:AE32)*AE9</f>
        <v>6.6892903682519503E-3</v>
      </c>
      <c r="AF39" s="13">
        <f>SUM(AF25:AF32)*AF9</f>
        <v>1.9704725164458571E-2</v>
      </c>
      <c r="AG39" s="13"/>
      <c r="AH39" s="345"/>
      <c r="AI39" s="13">
        <f>SUM(AI25:AI32)*AI9</f>
        <v>7.7936457921139049E-3</v>
      </c>
      <c r="AJ39" s="13">
        <f>SUM(AJ25:AJ32)*AJ9</f>
        <v>1.382323285053714E-2</v>
      </c>
      <c r="AK39" s="13"/>
      <c r="AL39" s="345"/>
      <c r="AM39" s="13">
        <f>SUM(AM25:AM32)*AM9</f>
        <v>7.8743946977239306E-3</v>
      </c>
      <c r="AN39" s="13">
        <f>SUM(AN25:AN32)*AN9</f>
        <v>8.6840557576047406E-3</v>
      </c>
      <c r="AO39" s="13"/>
      <c r="AP39" s="345"/>
      <c r="AQ39" s="13"/>
      <c r="AR39" s="13">
        <v>6.76</v>
      </c>
      <c r="AS39" s="13">
        <f>(AQ40*AR36-AT39)/AR39</f>
        <v>203.33964497041421</v>
      </c>
      <c r="AT39" s="347">
        <f>SUM(AT37:AT38)</f>
        <v>222.624</v>
      </c>
      <c r="AU39" s="13"/>
      <c r="AV39" s="13"/>
      <c r="AW39" s="13"/>
    </row>
    <row r="40" spans="1:59">
      <c r="A40" s="344" t="s">
        <v>226</v>
      </c>
      <c r="C40">
        <f>(C25*$AR$10+C26*$AR$11+$AR$12*C27+C28*$AR$13+$AR$14*C29+C30*$AR$15+$AR$16*C31+C32*$AR$17)/0.02404/(1-C39)*C9</f>
        <v>269.53978161749791</v>
      </c>
      <c r="F40" s="345"/>
      <c r="G40">
        <f>(G25*$AR$10+G26*$AR$11+$AR$12*G27+G28*$AR$13+$AR$14*G29+G30*$AR$15+$AR$16*G31+G32*$AR$17)/0.02404/(1-G39)*G9</f>
        <v>269.53978161749797</v>
      </c>
      <c r="J40" s="345"/>
      <c r="K40">
        <f>(K25*$AR$10+K26*$AR$11+$AR$12*K27+K28*$AR$13+$AR$14*K29+K30*$AR$15+$AR$16*K31+K32*$AR$17)/0.02404/(1-K39)*K9</f>
        <v>257.96509696199308</v>
      </c>
      <c r="N40" s="345"/>
      <c r="O40">
        <f>(O25*$AR$10+O26*$AR$11+$AR$12*O27+O28*$AR$13+$AR$14*O29+O30*$AR$15+$AR$16*O31+O32*$AR$17)/0.02404/(1-O39)*O9</f>
        <v>244.7031568318495</v>
      </c>
      <c r="R40" s="345"/>
      <c r="S40">
        <f>(S25*$AR$10+S26*$AR$11+$AR$12*S27+S28*$AR$13+$AR$14*S29+S30*$AR$15+$AR$16*S31+S32*$AR$17)/0.02404/(1-S39)*S9</f>
        <v>7.728472205405712</v>
      </c>
      <c r="T40">
        <f>(T25*$AR$10+T26*$AR$11+$AR$12*T27+T28*$AR$13+$AR$14*T29+T30*$AR$15+$AR$16*T31+T32*$AR$17)/0.02404/(1-T39)*T9</f>
        <v>221.0730665291193</v>
      </c>
      <c r="V40" s="345"/>
      <c r="W40">
        <f>(W25*$AR$10+W26*$AR$11+$AR$12*W27+W28*$AR$13+$AR$14*W29+W30*$AR$15+$AR$16*W31+W32*$AR$17)/0.02404/(1-W39)*W9</f>
        <v>30.290682670453645</v>
      </c>
      <c r="X40">
        <f>(X25*$AR$10+X26*$AR$11+$AR$12*X27+X28*$AR$13+$AR$14*X29+X30*$AR$15+$AR$16*X31+X32*$AR$17)/0.02404/(1-X39)*X9</f>
        <v>179.29828877982305</v>
      </c>
      <c r="Z40" s="345"/>
      <c r="AA40">
        <f>(AA25*$AR$10+AA26*$AR$11+$AR$12*AA27+AA28*$AR$13+$AR$14*AA29+AA30*$AR$15+$AR$16*AA31+AA32*$AR$17)/0.02404/(1-AA39)*AA9</f>
        <v>50.831541176994371</v>
      </c>
      <c r="AB40">
        <f>(AB25*$AR$10+AB26*$AR$11+$AR$12*AB27+AB28*$AR$13+$AR$14*AB29+AB30*$AR$15+$AR$16*AB31+AB32*$AR$17)/0.02404/(1-AB39)*AB9</f>
        <v>137.40794981539975</v>
      </c>
      <c r="AD40" s="345"/>
      <c r="AE40">
        <f>(AE25*$AR$10+AE26*$AR$11+$AR$12*AE27+AE28*$AR$13+$AR$14*AE29+AE30*$AR$15+$AR$16*AE31+AE32*$AR$17)/0.02404/(1-AE39)*AE9</f>
        <v>64.954590397819203</v>
      </c>
      <c r="AF40">
        <f>(AF25*$AR$10+AF26*$AR$11+$AR$12*AF27+AF28*$AR$13+$AR$14*AF29+AF30*$AR$15+$AR$16*AF31+AF32*$AR$17)/0.02404/(1-AF39)*AF9</f>
        <v>100.25692845087238</v>
      </c>
      <c r="AH40" s="345"/>
      <c r="AI40">
        <f>(AI25*$AR$10+AI26*$AR$11+$AR$12*AI27+AI28*$AR$13+$AR$14*AI29+AI30*$AR$15+$AR$16*AI31+AI32*$AR$17)/0.02404/(1-AI39)*AI9</f>
        <v>72.457570874380565</v>
      </c>
      <c r="AJ40">
        <f>(AJ25*$AR$10+AJ26*$AR$11+$AR$12*AJ27+AJ28*$AR$13+$AR$14*AJ29+AJ30*$AR$15+$AR$16*AJ31+AJ32*$AR$17)/0.02404/(1-AJ39)*AJ9</f>
        <v>68.02194595443531</v>
      </c>
      <c r="AL40" s="345"/>
      <c r="AM40">
        <f>(AM25*$AR$10+AM26*$AR$11+$AR$12*AM27+AM28*$AR$13+$AR$14*AM29+AM30*$AR$15+$AR$16*AM31+AM32*$AR$17)/0.02404/(1-AM39)*AM9</f>
        <v>73.43380961707453</v>
      </c>
      <c r="AN40">
        <f>(AN25*$AR$10+AN26*$AR$11+$AR$12*AN27+AN28*$AR$13+$AR$14*AN29+AN30*$AR$15+$AR$16*AN31+AN32*$AR$17)/0.02404/(1-AN39)*AN9</f>
        <v>41.935490130408432</v>
      </c>
      <c r="AP40" s="345"/>
      <c r="AQ40">
        <v>165</v>
      </c>
      <c r="AT40" s="345"/>
    </row>
    <row r="41" spans="1:59">
      <c r="A41" s="344"/>
      <c r="C41" s="13">
        <f>SUM(C25:C32)</f>
        <v>4.3099999999999999E-2</v>
      </c>
      <c r="F41" s="345"/>
      <c r="G41" s="13">
        <f>SUM(G25:G32)</f>
        <v>4.3099999999999999E-2</v>
      </c>
      <c r="J41" s="345"/>
      <c r="K41" s="13">
        <f>SUM(K25:K32)</f>
        <v>4.3099999999999999E-2</v>
      </c>
      <c r="N41" s="345"/>
      <c r="O41" s="13">
        <f>SUM(O25:O32)</f>
        <v>4.3099999999999999E-2</v>
      </c>
      <c r="R41" s="345"/>
      <c r="T41" s="13">
        <f>SUM(T25:T32)</f>
        <v>4.244721336244122E-2</v>
      </c>
      <c r="V41" s="345"/>
      <c r="X41" s="13">
        <f>SUM(X25:X32)</f>
        <v>4.0141419751707229E-2</v>
      </c>
      <c r="Z41" s="345"/>
      <c r="AB41" s="13">
        <f>SUM(AB25:AB32)</f>
        <v>3.7280615377846736E-2</v>
      </c>
      <c r="AD41" s="345"/>
      <c r="AF41" s="13">
        <f>SUM(AF25:AF32)</f>
        <v>3.4410190731381012E-2</v>
      </c>
      <c r="AH41" s="345"/>
      <c r="AJ41" s="13">
        <f>SUM(AJ25:AJ32)</f>
        <v>3.1743739624778292E-2</v>
      </c>
      <c r="AL41" s="345"/>
      <c r="AN41" s="13">
        <f>SUM(AN25:AN32)</f>
        <v>3.0956633574187528E-2</v>
      </c>
      <c r="AP41" s="345"/>
      <c r="AT41" s="345"/>
    </row>
    <row r="42" spans="1:59">
      <c r="A42" s="344"/>
      <c r="C42">
        <f>(C25*$AR$10+C26*$AR$11+$AR$12*C27+C28*$AR$13+$AR$14*C29+C30*$AR$15+$AR$16*C31+C32*$AR$17)/0.02404/(1-C41)</f>
        <v>269.53978161749791</v>
      </c>
      <c r="F42" s="345"/>
      <c r="G42">
        <f>(G25*$AR$10+G26*$AR$11+$AR$12*G27+G28*$AR$13+$AR$14*G29+G30*$AR$15+$AR$16*G31+G32*$AR$17)/0.02404/(1-G41)</f>
        <v>269.53978161749791</v>
      </c>
      <c r="J42" s="345"/>
      <c r="K42">
        <f>(K25*$AR$10+K26*$AR$11+$AR$12*K27+K28*$AR$13+$AR$14*K29+K30*$AR$15+$AR$16*K31+K32*$AR$17)/0.02404/(1-K41)</f>
        <v>269.53978161749791</v>
      </c>
      <c r="N42" s="345"/>
      <c r="O42">
        <f>(O25*$AR$10+O26*$AR$11+$AR$12*O27+O28*$AR$13+$AR$14*O29+O30*$AR$15+$AR$16*O31+O32*$AR$17)/0.02404/(1-O41)</f>
        <v>269.53978161749791</v>
      </c>
      <c r="R42" s="345"/>
      <c r="T42">
        <f>(T25*$AR$10+T26*$AR$11+$AR$12*T27+T28*$AR$13+$AR$14*T29+T30*$AR$15+$AR$16*T31+T32*$AR$17)/0.02404/(1-T41)</f>
        <v>260.76212792136153</v>
      </c>
      <c r="V42" s="345"/>
      <c r="X42">
        <f>(X25*$AR$10+X26*$AR$11+$AR$12*X27+X28*$AR$13+$AR$14*X29+X30*$AR$15+$AR$16*X31+X32*$AR$17)/0.02404/(1-X41)</f>
        <v>232.52442108226373</v>
      </c>
      <c r="Z42" s="345"/>
      <c r="AB42">
        <f>(AB25*$AR$10+AB26*$AR$11+$AR$12*AB27+AB28*$AR$13+$AR$14*AB29+AB30*$AR$15+$AR$16*AB31+AB32*$AR$17)/0.02404/(1-AB41)</f>
        <v>202.9217294992448</v>
      </c>
      <c r="AD42" s="345"/>
      <c r="AF42">
        <f>(AF25*$AR$10+AF26*$AR$11+$AR$12*AF27+AF28*$AR$13+$AR$14*AF29+AF30*$AR$15+$AR$16*AF31+AF32*$AR$17)/0.02404/(1-AF41)</f>
        <v>177.74415526483904</v>
      </c>
      <c r="AH42" s="345"/>
      <c r="AJ42">
        <f>(AJ25*$AR$10+AJ26*$AR$11+$AR$12*AJ27+AJ28*$AR$13+$AR$14*AJ29+AJ30*$AR$15+$AR$16*AJ31+AJ32*$AR$17)/0.02404/(1-AJ41)</f>
        <v>159.09699242576005</v>
      </c>
      <c r="AL42" s="345"/>
      <c r="AN42">
        <f>(AN25*$AR$10+AN26*$AR$11+$AR$12*AN27+AN28*$AR$13+$AR$14*AN29+AN30*$AR$15+$AR$16*AN31+AN32*$AR$17)/0.02404/(1-AN41)</f>
        <v>152.92613943354883</v>
      </c>
      <c r="AP42" s="345"/>
      <c r="AT42" s="345"/>
    </row>
    <row r="43" spans="1:59">
      <c r="A43" s="480" t="s">
        <v>244</v>
      </c>
      <c r="B43" s="480"/>
      <c r="C43" s="480"/>
      <c r="D43" s="480"/>
      <c r="E43" s="480"/>
      <c r="F43" s="480"/>
      <c r="G43" s="480"/>
      <c r="H43" s="480"/>
      <c r="I43" s="480"/>
      <c r="J43" s="480"/>
      <c r="K43" s="480"/>
      <c r="L43" s="480"/>
      <c r="M43" s="480"/>
      <c r="N43" s="480"/>
      <c r="O43" s="480"/>
    </row>
    <row r="44" spans="1:59">
      <c r="A44" s="480"/>
      <c r="B44" s="480"/>
      <c r="C44" s="480"/>
      <c r="D44" s="480"/>
      <c r="E44" s="480"/>
      <c r="F44" s="480"/>
      <c r="G44" s="480"/>
      <c r="H44" s="480"/>
      <c r="I44" s="480"/>
      <c r="J44" s="480"/>
      <c r="K44" s="480"/>
      <c r="L44" s="480"/>
      <c r="M44" s="480"/>
      <c r="N44" s="480"/>
      <c r="O44" s="480"/>
      <c r="P44">
        <v>0.7</v>
      </c>
    </row>
    <row r="45" spans="1:59" ht="15">
      <c r="A45" s="344" t="s">
        <v>204</v>
      </c>
      <c r="B45" s="344"/>
      <c r="C45" s="476" t="s">
        <v>209</v>
      </c>
      <c r="D45" s="476"/>
      <c r="E45" s="476"/>
      <c r="F45" s="345"/>
      <c r="G45" s="476" t="s">
        <v>215</v>
      </c>
      <c r="H45" s="476"/>
      <c r="I45" s="476"/>
      <c r="J45" s="345"/>
      <c r="K45" s="476" t="s">
        <v>216</v>
      </c>
      <c r="L45" s="476"/>
      <c r="M45" s="476"/>
      <c r="N45" s="345"/>
      <c r="O45" s="476" t="s">
        <v>217</v>
      </c>
      <c r="P45" s="476"/>
      <c r="Q45" s="476"/>
      <c r="R45" s="345"/>
      <c r="S45" s="476" t="s">
        <v>218</v>
      </c>
      <c r="T45" s="476"/>
      <c r="U45" s="476"/>
      <c r="V45" s="345"/>
      <c r="W45" s="476" t="s">
        <v>219</v>
      </c>
      <c r="X45" s="476"/>
      <c r="Y45" s="476"/>
      <c r="Z45" s="345"/>
      <c r="AA45" s="476" t="s">
        <v>220</v>
      </c>
      <c r="AB45" s="476"/>
      <c r="AC45" s="476"/>
      <c r="AD45" s="345"/>
      <c r="AE45" s="476" t="s">
        <v>221</v>
      </c>
      <c r="AF45" s="476"/>
      <c r="AG45" s="476"/>
      <c r="AH45" s="345"/>
      <c r="AI45" s="476" t="s">
        <v>222</v>
      </c>
      <c r="AJ45" s="476"/>
      <c r="AK45" s="476"/>
      <c r="AL45" s="345"/>
      <c r="AM45" s="476" t="s">
        <v>223</v>
      </c>
      <c r="AN45" s="476"/>
      <c r="AO45" s="476"/>
    </row>
    <row r="46" spans="1:59" ht="15">
      <c r="A46" s="346" t="s">
        <v>211</v>
      </c>
      <c r="B46" s="344" t="s">
        <v>213</v>
      </c>
      <c r="C46" s="476">
        <v>61.2</v>
      </c>
      <c r="D46" s="476"/>
      <c r="E46" s="476"/>
      <c r="F46" s="345"/>
      <c r="G46" s="476">
        <v>55.08</v>
      </c>
      <c r="H46" s="476"/>
      <c r="I46" s="476"/>
      <c r="J46" s="345"/>
      <c r="K46" s="476">
        <v>48.96</v>
      </c>
      <c r="L46" s="476"/>
      <c r="M46" s="476"/>
      <c r="N46" s="345"/>
      <c r="O46" s="476">
        <v>42.839999999999996</v>
      </c>
      <c r="P46" s="476"/>
      <c r="Q46" s="476"/>
      <c r="R46" s="345"/>
      <c r="S46" s="476">
        <v>36.72</v>
      </c>
      <c r="T46" s="476"/>
      <c r="U46" s="476"/>
      <c r="V46" s="345"/>
      <c r="W46" s="476">
        <v>30.6</v>
      </c>
      <c r="X46" s="476"/>
      <c r="Y46" s="476"/>
      <c r="Z46" s="345"/>
      <c r="AA46" s="476">
        <v>24.48</v>
      </c>
      <c r="AB46" s="476"/>
      <c r="AC46" s="476"/>
      <c r="AD46" s="345"/>
      <c r="AE46" s="476">
        <v>18.36</v>
      </c>
      <c r="AF46" s="476"/>
      <c r="AG46" s="476"/>
      <c r="AH46" s="345"/>
      <c r="AI46" s="476">
        <v>12.24</v>
      </c>
      <c r="AJ46" s="476"/>
      <c r="AK46" s="476"/>
      <c r="AL46" s="345"/>
      <c r="AM46" s="476">
        <v>6.12</v>
      </c>
      <c r="AN46" s="476"/>
      <c r="AO46" s="476"/>
    </row>
    <row r="47" spans="1:59" ht="16.5" thickBot="1">
      <c r="A47" s="346" t="s">
        <v>212</v>
      </c>
      <c r="B47" s="344" t="s">
        <v>29</v>
      </c>
      <c r="C47" s="478">
        <v>383.15</v>
      </c>
      <c r="D47" s="476"/>
      <c r="E47" s="476"/>
      <c r="F47" s="345"/>
      <c r="G47" s="476">
        <v>383.15</v>
      </c>
      <c r="H47" s="476"/>
      <c r="I47" s="476"/>
      <c r="J47" s="345"/>
      <c r="K47" s="476">
        <v>383.15</v>
      </c>
      <c r="L47" s="476"/>
      <c r="M47" s="476"/>
      <c r="N47" s="345"/>
      <c r="O47" s="476">
        <v>383.15</v>
      </c>
      <c r="P47" s="476"/>
      <c r="Q47" s="476"/>
      <c r="R47" s="345"/>
      <c r="S47" s="476">
        <v>383.15</v>
      </c>
      <c r="T47" s="476"/>
      <c r="U47" s="476"/>
      <c r="V47" s="345"/>
      <c r="W47" s="476">
        <v>383.15</v>
      </c>
      <c r="X47" s="476"/>
      <c r="Y47" s="476"/>
      <c r="Z47" s="345"/>
      <c r="AA47" s="476">
        <v>383.15</v>
      </c>
      <c r="AB47" s="476"/>
      <c r="AC47" s="476"/>
      <c r="AD47" s="345"/>
      <c r="AE47" s="476">
        <v>383.15</v>
      </c>
      <c r="AF47" s="476"/>
      <c r="AG47" s="476"/>
      <c r="AH47" s="345"/>
      <c r="AI47" s="476">
        <v>383.15</v>
      </c>
      <c r="AJ47" s="476"/>
      <c r="AK47" s="476"/>
      <c r="AL47" s="345"/>
      <c r="AM47" s="476">
        <v>383.15</v>
      </c>
      <c r="AN47" s="476"/>
      <c r="AO47" s="476"/>
      <c r="AR47" s="396" t="s">
        <v>149</v>
      </c>
      <c r="AS47" s="397"/>
      <c r="AT47" s="397"/>
      <c r="AU47" s="398"/>
    </row>
    <row r="48" spans="1:59" ht="14.25" thickTop="1" thickBot="1">
      <c r="A48" s="344"/>
      <c r="B48" s="344"/>
      <c r="C48" s="344" t="s">
        <v>160</v>
      </c>
      <c r="D48" s="344" t="s">
        <v>161</v>
      </c>
      <c r="E48" s="344" t="s">
        <v>162</v>
      </c>
      <c r="F48" s="345"/>
      <c r="G48" s="344" t="s">
        <v>160</v>
      </c>
      <c r="H48" s="344" t="s">
        <v>161</v>
      </c>
      <c r="I48" s="344" t="s">
        <v>162</v>
      </c>
      <c r="J48" s="345"/>
      <c r="K48" s="344" t="s">
        <v>160</v>
      </c>
      <c r="L48" s="344" t="s">
        <v>161</v>
      </c>
      <c r="M48" s="344" t="s">
        <v>162</v>
      </c>
      <c r="N48" s="345"/>
      <c r="O48" s="344" t="s">
        <v>160</v>
      </c>
      <c r="P48" s="344" t="s">
        <v>161</v>
      </c>
      <c r="Q48" s="344" t="s">
        <v>162</v>
      </c>
      <c r="R48" s="345"/>
      <c r="S48" s="344" t="s">
        <v>160</v>
      </c>
      <c r="T48" s="344" t="s">
        <v>161</v>
      </c>
      <c r="U48" s="344" t="s">
        <v>162</v>
      </c>
      <c r="V48" s="345"/>
      <c r="W48" s="344" t="s">
        <v>160</v>
      </c>
      <c r="X48" s="344" t="s">
        <v>161</v>
      </c>
      <c r="Y48" s="344" t="s">
        <v>162</v>
      </c>
      <c r="Z48" s="345"/>
      <c r="AA48" s="344" t="s">
        <v>160</v>
      </c>
      <c r="AB48" s="344" t="s">
        <v>161</v>
      </c>
      <c r="AC48" s="344" t="s">
        <v>162</v>
      </c>
      <c r="AD48" s="345"/>
      <c r="AE48" s="344" t="s">
        <v>160</v>
      </c>
      <c r="AF48" s="344" t="s">
        <v>161</v>
      </c>
      <c r="AG48" s="344" t="s">
        <v>162</v>
      </c>
      <c r="AH48" s="345"/>
      <c r="AI48" s="344" t="s">
        <v>160</v>
      </c>
      <c r="AJ48" s="344" t="s">
        <v>161</v>
      </c>
      <c r="AK48" s="344" t="s">
        <v>162</v>
      </c>
      <c r="AL48" s="345"/>
      <c r="AM48" s="344" t="s">
        <v>160</v>
      </c>
      <c r="AN48" s="344" t="s">
        <v>161</v>
      </c>
      <c r="AO48" s="344" t="s">
        <v>162</v>
      </c>
      <c r="AR48" s="125" t="s">
        <v>79</v>
      </c>
      <c r="AS48" s="198" t="s">
        <v>31</v>
      </c>
      <c r="AT48" s="126" t="s">
        <v>52</v>
      </c>
      <c r="AU48" s="127" t="s">
        <v>54</v>
      </c>
      <c r="AX48" t="s">
        <v>237</v>
      </c>
      <c r="BA48" t="s">
        <v>239</v>
      </c>
      <c r="BB48" t="s">
        <v>240</v>
      </c>
    </row>
    <row r="49" spans="1:59" ht="13.5" thickTop="1">
      <c r="A49" s="344" t="s">
        <v>205</v>
      </c>
      <c r="B49" s="344"/>
      <c r="C49" s="13">
        <v>0.71027758038971134</v>
      </c>
      <c r="D49" s="13">
        <v>0.28972241961028866</v>
      </c>
      <c r="E49" s="13"/>
      <c r="F49" s="347"/>
      <c r="G49" s="13">
        <v>0.71048686760709079</v>
      </c>
      <c r="H49" s="13">
        <v>0.28951313239290916</v>
      </c>
      <c r="I49" s="13"/>
      <c r="J49" s="347"/>
      <c r="K49" s="13">
        <v>0.68137046217006825</v>
      </c>
      <c r="L49" s="13">
        <v>0.28929933989075818</v>
      </c>
      <c r="M49" s="13"/>
      <c r="N49" s="347"/>
      <c r="O49" s="13">
        <v>0.64787401472859618</v>
      </c>
      <c r="P49" s="13">
        <v>0.28908108595212373</v>
      </c>
      <c r="Q49" s="13"/>
      <c r="R49" s="347"/>
      <c r="S49" s="13">
        <v>1.1910112518840861E-3</v>
      </c>
      <c r="T49" s="13">
        <v>0.60744379415445493</v>
      </c>
      <c r="U49" s="13">
        <v>0.28886687672203376</v>
      </c>
      <c r="V49" s="347"/>
      <c r="W49" s="13">
        <v>5.6973580911443052E-3</v>
      </c>
      <c r="X49" s="13">
        <v>0.55522861217199293</v>
      </c>
      <c r="Y49" s="13">
        <v>0.28869759120186367</v>
      </c>
      <c r="Z49" s="347"/>
      <c r="AA49" s="13">
        <v>9.6176646009401307E-3</v>
      </c>
      <c r="AB49" s="13">
        <v>0.48970559422727972</v>
      </c>
      <c r="AC49" s="13">
        <v>0.28853694662566176</v>
      </c>
      <c r="AD49" s="347"/>
      <c r="AE49" s="13">
        <v>1.126463832382632E-2</v>
      </c>
      <c r="AF49" s="13">
        <v>0.4092721072945078</v>
      </c>
      <c r="AG49" s="13">
        <v>0.28823953691061011</v>
      </c>
      <c r="AH49" s="347"/>
      <c r="AI49" s="13">
        <v>1.0482290475725705E-2</v>
      </c>
      <c r="AJ49" s="13">
        <v>0.3112075292641111</v>
      </c>
      <c r="AK49" s="13">
        <v>0.28743890080447232</v>
      </c>
      <c r="AL49" s="347"/>
      <c r="AM49" s="13">
        <v>7.7363680624387629E-3</v>
      </c>
      <c r="AN49" s="13">
        <v>0.20142573101695907</v>
      </c>
      <c r="AO49" s="13">
        <v>0.2851757959404651</v>
      </c>
      <c r="AR49" s="328">
        <v>612</v>
      </c>
      <c r="AS49" s="7">
        <v>61.2</v>
      </c>
      <c r="AT49" s="252">
        <v>0</v>
      </c>
      <c r="AU49" s="252">
        <v>0</v>
      </c>
      <c r="AV49">
        <v>0</v>
      </c>
      <c r="AW49" t="s">
        <v>238</v>
      </c>
      <c r="AX49">
        <v>38.1</v>
      </c>
      <c r="AZ49" s="7">
        <v>61.2</v>
      </c>
      <c r="BA49">
        <f>D80</f>
        <v>2.0878630848272868E-3</v>
      </c>
      <c r="BB49">
        <f>$C$80-BA49</f>
        <v>269.53536726929832</v>
      </c>
    </row>
    <row r="50" spans="1:59">
      <c r="A50" s="344" t="s">
        <v>206</v>
      </c>
      <c r="B50" s="344" t="s">
        <v>210</v>
      </c>
      <c r="C50" s="13">
        <v>41.637055659047867</v>
      </c>
      <c r="D50" s="13">
        <v>4.6848955468069775</v>
      </c>
      <c r="E50" s="13"/>
      <c r="F50" s="347"/>
      <c r="G50" s="13">
        <v>43.42457076142162</v>
      </c>
      <c r="H50" s="13">
        <v>4.6900261834681736</v>
      </c>
      <c r="I50" s="13"/>
      <c r="J50" s="347"/>
      <c r="K50" s="13">
        <v>43.793667000412974</v>
      </c>
      <c r="L50" s="13">
        <v>4.695226400964021</v>
      </c>
      <c r="M50" s="13"/>
      <c r="N50" s="347"/>
      <c r="O50" s="13">
        <v>44.320429143602638</v>
      </c>
      <c r="P50" s="13">
        <v>4.7004919262537905</v>
      </c>
      <c r="Q50" s="13"/>
      <c r="R50" s="347"/>
      <c r="S50" s="13">
        <v>0.1310272733724781</v>
      </c>
      <c r="T50" s="13">
        <v>45.034524524436513</v>
      </c>
      <c r="U50" s="13">
        <v>4.7059762083157013</v>
      </c>
      <c r="V50" s="347"/>
      <c r="W50" s="13">
        <v>0.65004280172837003</v>
      </c>
      <c r="X50" s="13">
        <v>46.086106082975618</v>
      </c>
      <c r="Y50" s="13">
        <v>4.7123979517940748</v>
      </c>
      <c r="Z50" s="347"/>
      <c r="AA50" s="13">
        <v>1.1443871703445361</v>
      </c>
      <c r="AB50" s="13">
        <v>48.250652658549669</v>
      </c>
      <c r="AC50" s="13">
        <v>4.71904391722253</v>
      </c>
      <c r="AD50" s="347"/>
      <c r="AE50" s="13">
        <v>1.4443883316558066</v>
      </c>
      <c r="AF50" s="13">
        <v>53.077346586223122</v>
      </c>
      <c r="AG50" s="13">
        <v>4.7232278728448067</v>
      </c>
      <c r="AH50" s="347"/>
      <c r="AI50" s="13">
        <v>1.5024610139202954</v>
      </c>
      <c r="AJ50" s="13">
        <v>63.537648828335442</v>
      </c>
      <c r="AK50" s="13">
        <v>4.7180968363811164</v>
      </c>
      <c r="AL50" s="347"/>
      <c r="AM50" s="13">
        <v>1.344651333942104</v>
      </c>
      <c r="AN50" s="13">
        <v>91.450731204392582</v>
      </c>
      <c r="AO50" s="13">
        <v>4.6860806523478065</v>
      </c>
      <c r="AR50" s="328">
        <v>550.79999999999995</v>
      </c>
      <c r="AS50" s="7">
        <v>55.08</v>
      </c>
      <c r="AT50" s="8">
        <v>0</v>
      </c>
      <c r="AU50" s="8">
        <v>0</v>
      </c>
      <c r="AV50">
        <v>0</v>
      </c>
      <c r="AZ50" s="7">
        <v>55.08</v>
      </c>
      <c r="BA50">
        <f>H80</f>
        <v>2.1815357542160304E-3</v>
      </c>
      <c r="BB50">
        <f>$C$80-BA50</f>
        <v>269.53527359662894</v>
      </c>
    </row>
    <row r="51" spans="1:59">
      <c r="A51" s="344" t="s">
        <v>207</v>
      </c>
      <c r="B51" s="344"/>
      <c r="C51" s="13">
        <v>30.688465066478216</v>
      </c>
      <c r="D51" s="13">
        <v>18.053438781577544</v>
      </c>
      <c r="E51" s="13"/>
      <c r="F51" s="347"/>
      <c r="G51" s="13">
        <v>30.685169281445706</v>
      </c>
      <c r="H51" s="13">
        <v>18.052393103593513</v>
      </c>
      <c r="I51" s="13"/>
      <c r="J51" s="347"/>
      <c r="K51" s="13">
        <v>30.681699171868672</v>
      </c>
      <c r="L51" s="13">
        <v>18.05123042322921</v>
      </c>
      <c r="M51" s="13"/>
      <c r="N51" s="347"/>
      <c r="O51" s="13">
        <v>30.678027970522344</v>
      </c>
      <c r="P51" s="13">
        <v>18.049922231118284</v>
      </c>
      <c r="Q51" s="13"/>
      <c r="R51" s="347"/>
      <c r="S51" s="13">
        <v>98.053993896135268</v>
      </c>
      <c r="T51" s="13">
        <v>30.542160769772728</v>
      </c>
      <c r="U51" s="13">
        <v>18.048472073827277</v>
      </c>
      <c r="V51" s="347"/>
      <c r="W51" s="13">
        <v>100.04604001234048</v>
      </c>
      <c r="X51" s="13">
        <v>29.970762030568402</v>
      </c>
      <c r="Y51" s="13">
        <v>18.046950732750627</v>
      </c>
      <c r="Z51" s="347"/>
      <c r="AA51" s="13">
        <v>102.41701012356</v>
      </c>
      <c r="AB51" s="13">
        <v>29.360369396812157</v>
      </c>
      <c r="AC51" s="13">
        <v>18.045139623464738</v>
      </c>
      <c r="AD51" s="347"/>
      <c r="AE51" s="13">
        <v>110.86231728234348</v>
      </c>
      <c r="AF51" s="13">
        <v>28.827742981741544</v>
      </c>
      <c r="AG51" s="13">
        <v>18.042253752180432</v>
      </c>
      <c r="AH51" s="347"/>
      <c r="AI51" s="13">
        <v>127.37319742900353</v>
      </c>
      <c r="AJ51" s="13">
        <v>28.455433700456656</v>
      </c>
      <c r="AK51" s="13">
        <v>18.036471411733842</v>
      </c>
      <c r="AL51" s="347"/>
      <c r="AM51" s="13">
        <v>164.14132473423589</v>
      </c>
      <c r="AN51" s="13">
        <v>28.291991032054732</v>
      </c>
      <c r="AO51" s="13">
        <v>18.024237180686182</v>
      </c>
      <c r="AR51" s="358">
        <v>489.6</v>
      </c>
      <c r="AS51" s="7">
        <v>48.96</v>
      </c>
      <c r="AT51" s="8">
        <v>0</v>
      </c>
      <c r="AU51" s="114">
        <v>0</v>
      </c>
      <c r="AV51">
        <v>0</v>
      </c>
      <c r="AZ51" s="7">
        <v>48.96</v>
      </c>
      <c r="BA51">
        <f>L80</f>
        <v>2.2975130892695832E-3</v>
      </c>
      <c r="BB51">
        <f>$C$80-BA51</f>
        <v>269.5351576192939</v>
      </c>
    </row>
    <row r="52" spans="1:59" ht="15">
      <c r="A52" s="344" t="s">
        <v>16</v>
      </c>
      <c r="B52" s="344"/>
      <c r="C52" s="13">
        <v>1.1534422750857332</v>
      </c>
      <c r="D52" s="13">
        <v>0.43012968899872794</v>
      </c>
      <c r="E52" s="13"/>
      <c r="F52" s="347"/>
      <c r="G52" s="13">
        <v>1.0813213085736508</v>
      </c>
      <c r="H52" s="13">
        <v>0.3876364793910777</v>
      </c>
      <c r="I52" s="13"/>
      <c r="J52" s="347"/>
      <c r="K52" s="13">
        <v>1.0096603649914946</v>
      </c>
      <c r="L52" s="13">
        <v>0.34503713756952836</v>
      </c>
      <c r="M52" s="13"/>
      <c r="N52" s="347"/>
      <c r="O52" s="13">
        <v>0.93909371123991381</v>
      </c>
      <c r="P52" s="13">
        <v>0.3023281844992709</v>
      </c>
      <c r="Q52" s="13"/>
      <c r="R52" s="347"/>
      <c r="S52" s="13">
        <v>1.5325203452905036</v>
      </c>
      <c r="T52" s="13">
        <v>0.87050219976835796</v>
      </c>
      <c r="U52" s="13">
        <v>0.25950649014992655</v>
      </c>
      <c r="V52" s="347"/>
      <c r="W52" s="13">
        <v>1.3230238593711416</v>
      </c>
      <c r="X52" s="13">
        <v>0.80884636708318813</v>
      </c>
      <c r="Y52" s="13">
        <v>0.21656934091470365</v>
      </c>
      <c r="Z52" s="347"/>
      <c r="AA52" s="13">
        <v>1.1008922635256095</v>
      </c>
      <c r="AB52" s="13">
        <v>0.7649234122925872</v>
      </c>
      <c r="AC52" s="13">
        <v>0.17351118179585895</v>
      </c>
      <c r="AD52" s="347"/>
      <c r="AE52" s="13">
        <v>0.89081881901709237</v>
      </c>
      <c r="AF52" s="13">
        <v>0.75241760720723483</v>
      </c>
      <c r="AG52" s="13">
        <v>0.13032450139832791</v>
      </c>
      <c r="AH52" s="347"/>
      <c r="AI52" s="13">
        <v>0.66770325938804531</v>
      </c>
      <c r="AJ52" s="13">
        <v>0.78754055092397413</v>
      </c>
      <c r="AK52" s="13">
        <v>8.7003237939475897E-2</v>
      </c>
      <c r="AL52" s="347"/>
      <c r="AM52" s="13">
        <v>0.41614684097945598</v>
      </c>
      <c r="AN52" s="13">
        <v>0.87374679355793106</v>
      </c>
      <c r="AO52" s="13">
        <v>4.3551200204945628E-2</v>
      </c>
      <c r="AR52" s="376">
        <v>428.4</v>
      </c>
      <c r="AS52" s="7">
        <v>38.1</v>
      </c>
      <c r="AT52" s="8">
        <v>0</v>
      </c>
      <c r="AU52" s="366">
        <v>0</v>
      </c>
      <c r="AV52">
        <v>0</v>
      </c>
      <c r="AZ52" s="7">
        <v>42.839999999999996</v>
      </c>
      <c r="BA52">
        <f>P80</f>
        <v>2.4485690818112135E-3</v>
      </c>
      <c r="BB52">
        <f>$C$80-BA52</f>
        <v>269.53500656330135</v>
      </c>
    </row>
    <row r="53" spans="1:59">
      <c r="A53" s="344" t="s">
        <v>208</v>
      </c>
      <c r="B53" s="344" t="s">
        <v>27</v>
      </c>
      <c r="C53" s="13">
        <v>523.5079274524951</v>
      </c>
      <c r="D53" s="13">
        <v>1116.4573284135952</v>
      </c>
      <c r="E53" s="13"/>
      <c r="F53" s="347"/>
      <c r="G53" s="13">
        <v>502.05239620090958</v>
      </c>
      <c r="H53" s="13">
        <v>1114.3658201807084</v>
      </c>
      <c r="I53" s="13"/>
      <c r="J53" s="347"/>
      <c r="K53" s="13">
        <v>477.36590646090491</v>
      </c>
      <c r="L53" s="13">
        <v>1112.2379624939836</v>
      </c>
      <c r="M53" s="13"/>
      <c r="N53" s="347"/>
      <c r="O53" s="13">
        <v>448.45001569862677</v>
      </c>
      <c r="P53" s="13">
        <v>1110.0734139717204</v>
      </c>
      <c r="Q53" s="13"/>
      <c r="R53" s="347"/>
      <c r="S53" s="13">
        <v>891.29085126028895</v>
      </c>
      <c r="T53" s="13">
        <v>411.96495834210725</v>
      </c>
      <c r="U53" s="13">
        <v>1107.8691278461256</v>
      </c>
      <c r="V53" s="347"/>
      <c r="W53" s="13">
        <v>876.86243742060094</v>
      </c>
      <c r="X53" s="13">
        <v>361.07681950844318</v>
      </c>
      <c r="Y53" s="13">
        <v>1105.6178315968102</v>
      </c>
      <c r="Z53" s="347"/>
      <c r="AA53" s="13">
        <v>860.73356843290742</v>
      </c>
      <c r="AB53" s="13">
        <v>297.98430383823353</v>
      </c>
      <c r="AC53" s="13">
        <v>1103.3356713180879</v>
      </c>
      <c r="AD53" s="347"/>
      <c r="AE53" s="13">
        <v>864.6039853390829</v>
      </c>
      <c r="AF53" s="13">
        <v>222.28675466124821</v>
      </c>
      <c r="AG53" s="13">
        <v>1101.0459385733473</v>
      </c>
      <c r="AH53" s="347"/>
      <c r="AI53" s="13">
        <v>888.65058188032492</v>
      </c>
      <c r="AJ53" s="13">
        <v>139.37477038194388</v>
      </c>
      <c r="AK53" s="13">
        <v>1098.8294002368548</v>
      </c>
      <c r="AL53" s="347"/>
      <c r="AM53" s="13">
        <v>944.3769327752052</v>
      </c>
      <c r="AN53" s="13">
        <v>62.314810395776817</v>
      </c>
      <c r="AO53" s="13">
        <v>1096.8817153513226</v>
      </c>
      <c r="AR53" s="328">
        <v>367.2</v>
      </c>
      <c r="AS53" s="7">
        <v>36.72</v>
      </c>
      <c r="AT53" s="8">
        <v>0</v>
      </c>
      <c r="AU53" s="114">
        <v>2.8286216353493538E-3</v>
      </c>
      <c r="AV53">
        <f t="shared" ref="AV53:AV58" si="4">AU53/0.9</f>
        <v>3.1429129281659485E-3</v>
      </c>
      <c r="AZ53" s="7">
        <v>38.1</v>
      </c>
      <c r="BA53">
        <v>2.4485690818112135E-3</v>
      </c>
      <c r="BB53">
        <f>$C$80-BA53</f>
        <v>269.53500656330135</v>
      </c>
    </row>
    <row r="54" spans="1:59">
      <c r="F54" s="345"/>
      <c r="J54" s="345"/>
      <c r="N54" s="345"/>
      <c r="R54" s="345"/>
      <c r="V54" s="345"/>
      <c r="Z54" s="345"/>
      <c r="AD54" s="345"/>
      <c r="AH54" s="345"/>
      <c r="AL54" s="345"/>
      <c r="AR54" s="328">
        <v>306</v>
      </c>
      <c r="AS54" s="7">
        <v>30.6</v>
      </c>
      <c r="AT54" s="8">
        <v>629.90371989429821</v>
      </c>
      <c r="AU54" s="114">
        <v>1.4033148103791623E-2</v>
      </c>
      <c r="AV54">
        <f t="shared" si="4"/>
        <v>1.5592386781990692E-2</v>
      </c>
      <c r="AZ54" s="7">
        <v>36.72</v>
      </c>
      <c r="BA54">
        <f>S80+U80</f>
        <v>5.4937920090805905</v>
      </c>
      <c r="BB54">
        <f t="shared" ref="BB54:BB59" si="5">$C$80-BA54</f>
        <v>264.04366312330257</v>
      </c>
    </row>
    <row r="55" spans="1:59">
      <c r="A55" s="344" t="s">
        <v>22</v>
      </c>
      <c r="B55" t="s">
        <v>17</v>
      </c>
      <c r="C55" s="79">
        <v>0.13127466203900426</v>
      </c>
      <c r="D55" s="348">
        <v>4.782187054951292E-4</v>
      </c>
      <c r="E55" s="13"/>
      <c r="F55" s="347"/>
      <c r="G55" s="13">
        <v>0.1312427242734483</v>
      </c>
      <c r="H55" s="13">
        <v>4.6204444555227725E-4</v>
      </c>
      <c r="I55" s="13"/>
      <c r="J55" s="347"/>
      <c r="K55" s="13">
        <v>0.13120936308552703</v>
      </c>
      <c r="L55" s="13">
        <v>4.4397112142053821E-4</v>
      </c>
      <c r="M55" s="13"/>
      <c r="N55" s="347"/>
      <c r="O55" s="13">
        <v>0.13117443654550759</v>
      </c>
      <c r="P55" s="13">
        <v>4.2351989020015721E-4</v>
      </c>
      <c r="Q55" s="13"/>
      <c r="R55" s="347"/>
      <c r="S55" s="13">
        <v>0.10578854286868998</v>
      </c>
      <c r="T55" s="13">
        <v>0.13118922591688917</v>
      </c>
      <c r="U55" s="13">
        <v>4.0012890773812086E-4</v>
      </c>
      <c r="V55" s="347"/>
      <c r="W55" s="13">
        <v>0.10142596225070581</v>
      </c>
      <c r="X55" s="13">
        <v>0.13141439465865765</v>
      </c>
      <c r="Y55" s="13">
        <v>3.7296776471543137E-4</v>
      </c>
      <c r="Z55" s="347"/>
      <c r="AA55" s="13">
        <v>9.5206324221757885E-2</v>
      </c>
      <c r="AB55" s="13">
        <v>0.13175341109241612</v>
      </c>
      <c r="AC55" s="13">
        <v>3.3939459684589061E-4</v>
      </c>
      <c r="AD55" s="347"/>
      <c r="AE55" s="13">
        <v>8.4672629999790014E-2</v>
      </c>
      <c r="AF55" s="13">
        <v>0.13212614254648933</v>
      </c>
      <c r="AG55" s="13">
        <v>2.9504937740799404E-4</v>
      </c>
      <c r="AH55" s="347"/>
      <c r="AI55" s="13">
        <v>6.7461523394373002E-2</v>
      </c>
      <c r="AJ55" s="13">
        <v>0.13230588110868033</v>
      </c>
      <c r="AK55" s="13">
        <v>2.317383172701084E-4</v>
      </c>
      <c r="AL55" s="347"/>
      <c r="AM55" s="13">
        <v>3.9721230212522225E-2</v>
      </c>
      <c r="AN55" s="13">
        <v>0.13113817951772852</v>
      </c>
      <c r="AO55" s="13">
        <v>1.3656563505722318E-4</v>
      </c>
      <c r="AR55" s="328">
        <v>244.8</v>
      </c>
      <c r="AS55" s="7">
        <v>24.48</v>
      </c>
      <c r="AT55" s="8">
        <v>1290.5834153757746</v>
      </c>
      <c r="AU55" s="114">
        <v>2.4705072661099208E-2</v>
      </c>
      <c r="AV55">
        <f t="shared" si="4"/>
        <v>2.7450080734554676E-2</v>
      </c>
      <c r="AZ55" s="7">
        <v>30.6</v>
      </c>
      <c r="BA55">
        <f>W80+Y80</f>
        <v>27.15879973265713</v>
      </c>
      <c r="BB55">
        <f t="shared" si="5"/>
        <v>242.37865539972603</v>
      </c>
    </row>
    <row r="56" spans="1:59">
      <c r="A56" s="344" t="s">
        <v>23</v>
      </c>
      <c r="B56" t="s">
        <v>17</v>
      </c>
      <c r="C56" s="79">
        <v>2.1680299776009348E-3</v>
      </c>
      <c r="D56" s="348">
        <v>3.3450396202694974E-7</v>
      </c>
      <c r="E56" s="13"/>
      <c r="F56" s="347"/>
      <c r="G56" s="13">
        <v>2.1674004301418868E-3</v>
      </c>
      <c r="H56" s="13">
        <v>3.1244709862219682E-7</v>
      </c>
      <c r="I56" s="13"/>
      <c r="J56" s="347"/>
      <c r="K56" s="13">
        <v>2.1667306888698045E-3</v>
      </c>
      <c r="L56" s="13">
        <v>2.8837085224844837E-7</v>
      </c>
      <c r="M56" s="13"/>
      <c r="N56" s="347"/>
      <c r="O56" s="13">
        <v>2.166012667205802E-3</v>
      </c>
      <c r="P56" s="13">
        <v>2.6191809908064674E-7</v>
      </c>
      <c r="Q56" s="13"/>
      <c r="R56" s="347"/>
      <c r="S56" s="13">
        <v>1.1489988591542476E-3</v>
      </c>
      <c r="T56" s="13">
        <v>2.1672571042224724E-3</v>
      </c>
      <c r="U56" s="13">
        <v>2.3223503222293806E-7</v>
      </c>
      <c r="V56" s="347"/>
      <c r="W56" s="13">
        <v>1.0128871766921746E-3</v>
      </c>
      <c r="X56" s="13">
        <v>2.176275403811918E-3</v>
      </c>
      <c r="Y56" s="13">
        <v>1.9772806674577192E-7</v>
      </c>
      <c r="Z56" s="347"/>
      <c r="AA56" s="13">
        <v>8.4668438292631197E-4</v>
      </c>
      <c r="AB56" s="13">
        <v>2.1881619635324215E-3</v>
      </c>
      <c r="AC56" s="13">
        <v>1.5902002258096889E-7</v>
      </c>
      <c r="AD56" s="347"/>
      <c r="AE56" s="13">
        <v>6.3656680414458922E-4</v>
      </c>
      <c r="AF56" s="13">
        <v>2.1977831123346785E-3</v>
      </c>
      <c r="AG56" s="13">
        <v>1.1695666988515904E-7</v>
      </c>
      <c r="AH56" s="347"/>
      <c r="AI56" s="13">
        <v>4.0741943898062573E-4</v>
      </c>
      <c r="AJ56" s="13">
        <v>2.1959621194191773E-3</v>
      </c>
      <c r="AK56" s="13">
        <v>7.4341898106402153E-8</v>
      </c>
      <c r="AL56" s="347"/>
      <c r="AM56" s="13">
        <v>1.8639482937117866E-4</v>
      </c>
      <c r="AN56" s="13">
        <v>2.1554535156082027E-3</v>
      </c>
      <c r="AO56" s="13">
        <v>3.4644007464102595E-8</v>
      </c>
      <c r="AR56" s="328">
        <v>183.6</v>
      </c>
      <c r="AS56" s="7">
        <v>18.36</v>
      </c>
      <c r="AT56" s="8">
        <v>1648.5705820625788</v>
      </c>
      <c r="AU56" s="114">
        <v>3.1181508853911227E-2</v>
      </c>
      <c r="AV56">
        <f t="shared" si="4"/>
        <v>3.464612094879025E-2</v>
      </c>
      <c r="AZ56" s="7">
        <v>24.48</v>
      </c>
      <c r="BA56">
        <f>AA80+AC80</f>
        <v>47.698926764753331</v>
      </c>
      <c r="BB56">
        <f t="shared" si="5"/>
        <v>221.83852836762983</v>
      </c>
    </row>
    <row r="57" spans="1:59">
      <c r="A57" s="344" t="s">
        <v>157</v>
      </c>
      <c r="B57" t="s">
        <v>17</v>
      </c>
      <c r="C57" s="79">
        <v>1.5727989176710307E-2</v>
      </c>
      <c r="D57" s="348">
        <v>0.99691546926772157</v>
      </c>
      <c r="E57" s="13"/>
      <c r="F57" s="347"/>
      <c r="G57" s="13">
        <v>1.599349776219882E-2</v>
      </c>
      <c r="H57" s="13">
        <v>0.99697318559330306</v>
      </c>
      <c r="I57" s="13"/>
      <c r="J57" s="347"/>
      <c r="K57" s="13">
        <v>1.6274056129544755E-2</v>
      </c>
      <c r="L57" s="13">
        <v>0.9970373472246552</v>
      </c>
      <c r="M57" s="13"/>
      <c r="N57" s="347"/>
      <c r="O57" s="13">
        <v>1.6572246386800625E-2</v>
      </c>
      <c r="P57" s="13">
        <v>0.99710952673774766</v>
      </c>
      <c r="Q57" s="13"/>
      <c r="R57" s="347"/>
      <c r="S57" s="13">
        <v>1.7611665406534213E-3</v>
      </c>
      <c r="T57" s="13">
        <v>1.6909973088044018E-2</v>
      </c>
      <c r="U57" s="13">
        <v>0.99718752221480944</v>
      </c>
      <c r="V57" s="347"/>
      <c r="W57" s="13">
        <v>1.6583885384569086E-3</v>
      </c>
      <c r="X57" s="13">
        <v>1.7293017550660528E-2</v>
      </c>
      <c r="Y57" s="13">
        <v>0.99726414526154117</v>
      </c>
      <c r="Z57" s="347"/>
      <c r="AA57" s="13">
        <v>1.5155034019006242E-3</v>
      </c>
      <c r="AB57" s="13">
        <v>1.7680906263967764E-2</v>
      </c>
      <c r="AC57" s="13">
        <v>0.99736861206630978</v>
      </c>
      <c r="AD57" s="347"/>
      <c r="AE57" s="13">
        <v>1.1205043250416401E-3</v>
      </c>
      <c r="AF57" s="13">
        <v>1.8354047302714858E-2</v>
      </c>
      <c r="AG57" s="13">
        <v>0.9975314776674824</v>
      </c>
      <c r="AH57" s="347"/>
      <c r="AI57" s="13">
        <v>5.9688490240691948E-4</v>
      </c>
      <c r="AJ57" s="13">
        <v>2.054670438891119E-2</v>
      </c>
      <c r="AK57" s="13">
        <v>0.99785711040580616</v>
      </c>
      <c r="AL57" s="347"/>
      <c r="AM57" s="13">
        <v>1.5398537532181818E-4</v>
      </c>
      <c r="AN57" s="13">
        <v>3.0241696955626309E-2</v>
      </c>
      <c r="AO57" s="13">
        <v>0.9985850149081843</v>
      </c>
      <c r="AR57" s="360">
        <v>122.4</v>
      </c>
      <c r="AS57" s="7">
        <v>12.24</v>
      </c>
      <c r="AT57" s="8">
        <v>1674.7409433147538</v>
      </c>
      <c r="AU57" s="114">
        <v>3.2435184071658719E-2</v>
      </c>
      <c r="AV57">
        <f t="shared" si="4"/>
        <v>3.603909341295413E-2</v>
      </c>
      <c r="AZ57" s="7">
        <v>18.36</v>
      </c>
      <c r="BA57">
        <f>AE80+AG80</f>
        <v>62.561490576622418</v>
      </c>
      <c r="BB57">
        <f t="shared" si="5"/>
        <v>206.97596455576075</v>
      </c>
    </row>
    <row r="58" spans="1:59">
      <c r="A58" s="344" t="s">
        <v>159</v>
      </c>
      <c r="B58" t="s">
        <v>17</v>
      </c>
      <c r="C58" s="79"/>
      <c r="D58" s="348"/>
      <c r="E58" s="13"/>
      <c r="F58" s="347"/>
      <c r="G58" s="13"/>
      <c r="H58" s="13"/>
      <c r="I58" s="13"/>
      <c r="J58" s="347"/>
      <c r="K58" s="13"/>
      <c r="L58" s="13"/>
      <c r="M58" s="13"/>
      <c r="N58" s="347"/>
      <c r="O58" s="13"/>
      <c r="P58" s="13"/>
      <c r="Q58" s="13"/>
      <c r="R58" s="347"/>
      <c r="S58" s="13"/>
      <c r="T58" s="13"/>
      <c r="U58" s="13"/>
      <c r="V58" s="347"/>
      <c r="W58" s="13"/>
      <c r="X58" s="13"/>
      <c r="Y58" s="13"/>
      <c r="Z58" s="347"/>
      <c r="AA58" s="13"/>
      <c r="AB58" s="13"/>
      <c r="AC58" s="13"/>
      <c r="AD58" s="347"/>
      <c r="AE58" s="13"/>
      <c r="AF58" s="13"/>
      <c r="AG58" s="13"/>
      <c r="AH58" s="347"/>
      <c r="AI58" s="13"/>
      <c r="AJ58" s="13"/>
      <c r="AK58" s="13"/>
      <c r="AL58" s="347"/>
      <c r="AM58" s="13"/>
      <c r="AN58" s="13"/>
      <c r="AO58" s="13"/>
      <c r="AR58" s="360">
        <v>61.2</v>
      </c>
      <c r="AS58" s="7">
        <v>6.12</v>
      </c>
      <c r="AT58" s="8">
        <v>1466.0820101888103</v>
      </c>
      <c r="AU58" s="114">
        <v>2.9028382849558103E-2</v>
      </c>
      <c r="AV58">
        <f t="shared" si="4"/>
        <v>3.2253758721731224E-2</v>
      </c>
      <c r="AZ58" s="7">
        <v>12.24</v>
      </c>
      <c r="BA58">
        <f>AI80+AK80</f>
        <v>70.27672607417135</v>
      </c>
      <c r="BB58">
        <f t="shared" si="5"/>
        <v>199.26072905821184</v>
      </c>
    </row>
    <row r="59" spans="1:59">
      <c r="A59" s="344" t="s">
        <v>193</v>
      </c>
      <c r="B59" t="s">
        <v>17</v>
      </c>
      <c r="C59" s="79">
        <v>0.25297010937304465</v>
      </c>
      <c r="D59" s="348">
        <v>2.4540827891384059E-3</v>
      </c>
      <c r="E59" s="13"/>
      <c r="F59" s="347"/>
      <c r="G59" s="13">
        <v>0.25291143654247378</v>
      </c>
      <c r="H59" s="13">
        <v>2.4169738455199763E-3</v>
      </c>
      <c r="I59" s="13"/>
      <c r="J59" s="347"/>
      <c r="K59" s="13">
        <v>0.25285030415389398</v>
      </c>
      <c r="L59" s="13">
        <v>2.3758398626381847E-3</v>
      </c>
      <c r="M59" s="13"/>
      <c r="N59" s="347"/>
      <c r="O59" s="13">
        <v>0.25278651600531421</v>
      </c>
      <c r="P59" s="13">
        <v>2.3296924144144107E-3</v>
      </c>
      <c r="Q59" s="13"/>
      <c r="R59" s="347"/>
      <c r="S59" s="13">
        <v>0.2661093422305032</v>
      </c>
      <c r="T59" s="13">
        <v>0.25269547180524499</v>
      </c>
      <c r="U59" s="13">
        <v>2.2804878634158305E-3</v>
      </c>
      <c r="V59" s="347"/>
      <c r="W59" s="13">
        <v>0.26736577137123341</v>
      </c>
      <c r="X59" s="13">
        <v>0.25252105030492472</v>
      </c>
      <c r="Y59" s="13">
        <v>2.2349256454269897E-3</v>
      </c>
      <c r="Z59" s="347"/>
      <c r="AA59" s="13">
        <v>0.26743057743407633</v>
      </c>
      <c r="AB59" s="13">
        <v>0.25235419241741591</v>
      </c>
      <c r="AC59" s="13">
        <v>2.1749159749756414E-3</v>
      </c>
      <c r="AD59" s="347"/>
      <c r="AE59" s="13">
        <v>0.26062923169219038</v>
      </c>
      <c r="AF59" s="13">
        <v>0.25237468897493026</v>
      </c>
      <c r="AG59" s="13">
        <v>2.0673314048710143E-3</v>
      </c>
      <c r="AH59" s="347"/>
      <c r="AI59" s="13">
        <v>0.23394575436143239</v>
      </c>
      <c r="AJ59" s="13">
        <v>0.25288201526852616</v>
      </c>
      <c r="AK59" s="13">
        <v>1.8164016029338507E-3</v>
      </c>
      <c r="AL59" s="347"/>
      <c r="AM59" s="13">
        <v>0.15881376954706469</v>
      </c>
      <c r="AN59" s="13">
        <v>0.25353786981131127</v>
      </c>
      <c r="AO59" s="13">
        <v>1.2166220631173142E-3</v>
      </c>
      <c r="AZ59" s="7">
        <v>6.12</v>
      </c>
      <c r="BA59">
        <f>AM80+AO80</f>
        <v>71.366621405729475</v>
      </c>
      <c r="BB59">
        <f t="shared" si="5"/>
        <v>198.17083372665371</v>
      </c>
    </row>
    <row r="60" spans="1:59">
      <c r="A60" s="344" t="s">
        <v>24</v>
      </c>
      <c r="B60" t="s">
        <v>17</v>
      </c>
      <c r="C60" s="79">
        <v>0.51581334560433623</v>
      </c>
      <c r="D60" s="348">
        <v>3.2254843938586007E-5</v>
      </c>
      <c r="E60" s="13"/>
      <c r="F60" s="347"/>
      <c r="G60" s="13">
        <v>0.51566203761292695</v>
      </c>
      <c r="H60" s="13">
        <v>3.0721067566012924E-5</v>
      </c>
      <c r="I60" s="13"/>
      <c r="J60" s="347"/>
      <c r="K60" s="13">
        <v>0.51550097538354889</v>
      </c>
      <c r="L60" s="13">
        <v>2.9009816920438935E-5</v>
      </c>
      <c r="M60" s="13"/>
      <c r="N60" s="347"/>
      <c r="O60" s="13">
        <v>0.51532818471365371</v>
      </c>
      <c r="P60" s="13">
        <v>2.7082324064845199E-5</v>
      </c>
      <c r="Q60" s="13"/>
      <c r="R60" s="347"/>
      <c r="S60" s="13">
        <v>0.30877822779544195</v>
      </c>
      <c r="T60" s="13">
        <v>0.51555250340888104</v>
      </c>
      <c r="U60" s="13">
        <v>2.4867016524071002E-5</v>
      </c>
      <c r="V60" s="347"/>
      <c r="W60" s="13">
        <v>0.28699847787509442</v>
      </c>
      <c r="X60" s="13">
        <v>0.51729839738552708</v>
      </c>
      <c r="Y60" s="13">
        <v>2.2241376471451154E-5</v>
      </c>
      <c r="Z60" s="347"/>
      <c r="AA60" s="13">
        <v>0.25823833593014228</v>
      </c>
      <c r="AB60" s="13">
        <v>0.51953902960161191</v>
      </c>
      <c r="AC60" s="13">
        <v>1.9135822987556317E-5</v>
      </c>
      <c r="AD60" s="347"/>
      <c r="AE60" s="13">
        <v>0.21416108831667688</v>
      </c>
      <c r="AF60" s="13">
        <v>0.52142880389206236</v>
      </c>
      <c r="AG60" s="13">
        <v>1.5414817801059214E-5</v>
      </c>
      <c r="AH60" s="347"/>
      <c r="AI60" s="13">
        <v>0.15509982841817066</v>
      </c>
      <c r="AJ60" s="13">
        <v>0.52130837966700905</v>
      </c>
      <c r="AK60" s="13">
        <v>1.0967215464372303E-5</v>
      </c>
      <c r="AL60" s="347"/>
      <c r="AM60" s="13">
        <v>8.1089456966362175E-2</v>
      </c>
      <c r="AN60" s="13">
        <v>0.51330905596009491</v>
      </c>
      <c r="AO60" s="13">
        <v>5.7427916151736325E-6</v>
      </c>
    </row>
    <row r="61" spans="1:59">
      <c r="A61" s="344" t="s">
        <v>4</v>
      </c>
      <c r="B61" t="s">
        <v>17</v>
      </c>
      <c r="C61" s="79">
        <v>2.1536784567644005E-2</v>
      </c>
      <c r="D61" s="348">
        <v>1.1357342646661084E-4</v>
      </c>
      <c r="E61" s="13"/>
      <c r="F61" s="347"/>
      <c r="G61" s="13">
        <v>2.1531657294069275E-2</v>
      </c>
      <c r="H61" s="13">
        <v>1.1066943486303029E-4</v>
      </c>
      <c r="I61" s="13"/>
      <c r="J61" s="347"/>
      <c r="K61" s="13">
        <v>2.1526317859421593E-2</v>
      </c>
      <c r="L61" s="13">
        <v>1.0741497344703298E-4</v>
      </c>
      <c r="M61" s="13"/>
      <c r="N61" s="347"/>
      <c r="O61" s="13">
        <v>2.1520743972029723E-2</v>
      </c>
      <c r="P61" s="13">
        <v>1.0373578734473018E-4</v>
      </c>
      <c r="Q61" s="13"/>
      <c r="R61" s="347"/>
      <c r="S61" s="13">
        <v>2.0005309451514817E-2</v>
      </c>
      <c r="T61" s="13">
        <v>2.1518118386942741E-2</v>
      </c>
      <c r="U61" s="13">
        <v>9.9623422801532058E-5</v>
      </c>
      <c r="V61" s="347"/>
      <c r="W61" s="13">
        <v>1.9582961010585511E-2</v>
      </c>
      <c r="X61" s="13">
        <v>2.1530509554029135E-2</v>
      </c>
      <c r="Y61" s="13">
        <v>9.518189113265677E-5</v>
      </c>
      <c r="Z61" s="347"/>
      <c r="AA61" s="13">
        <v>1.8997384438765599E-2</v>
      </c>
      <c r="AB61" s="13">
        <v>2.1553714848012332E-2</v>
      </c>
      <c r="AC61" s="13">
        <v>8.9843354330034037E-5</v>
      </c>
      <c r="AD61" s="347"/>
      <c r="AE61" s="13">
        <v>1.7866833621769548E-2</v>
      </c>
      <c r="AF61" s="13">
        <v>2.1584584822025382E-2</v>
      </c>
      <c r="AG61" s="13">
        <v>8.2653750251805285E-5</v>
      </c>
      <c r="AH61" s="347"/>
      <c r="AI61" s="13">
        <v>1.5540474538707296E-2</v>
      </c>
      <c r="AJ61" s="13">
        <v>2.1609312023261638E-2</v>
      </c>
      <c r="AK61" s="13">
        <v>7.0708545367275091E-5</v>
      </c>
      <c r="AL61" s="347"/>
      <c r="AM61" s="13">
        <v>1.0329596119300311E-2</v>
      </c>
      <c r="AN61" s="13">
        <v>2.1518604116109494E-2</v>
      </c>
      <c r="AO61" s="13">
        <v>4.6777709107541325E-5</v>
      </c>
      <c r="BC61" t="s">
        <v>241</v>
      </c>
    </row>
    <row r="62" spans="1:59">
      <c r="A62" s="344" t="s">
        <v>5</v>
      </c>
      <c r="B62" t="s">
        <v>17</v>
      </c>
      <c r="C62" s="79">
        <v>9.6563060414569021E-3</v>
      </c>
      <c r="D62" s="348">
        <v>4.6330876749022075E-6</v>
      </c>
      <c r="E62" s="13"/>
      <c r="F62" s="347"/>
      <c r="G62" s="13">
        <v>9.6534739336500922E-3</v>
      </c>
      <c r="H62" s="13">
        <v>4.6061584261214101E-6</v>
      </c>
      <c r="I62" s="13"/>
      <c r="J62" s="347"/>
      <c r="K62" s="13">
        <v>9.6504593429267687E-3</v>
      </c>
      <c r="L62" s="13">
        <v>4.5757314289930497E-6</v>
      </c>
      <c r="M62" s="13"/>
      <c r="N62" s="347"/>
      <c r="O62" s="13">
        <v>9.647224540781988E-3</v>
      </c>
      <c r="P62" s="13">
        <v>4.5428415656005928E-6</v>
      </c>
      <c r="Q62" s="13"/>
      <c r="R62" s="347"/>
      <c r="S62" s="13">
        <v>1.1180883161385678E-2</v>
      </c>
      <c r="T62" s="13">
        <v>9.6408285261701029E-3</v>
      </c>
      <c r="U62" s="13">
        <v>4.5188280364321506E-6</v>
      </c>
      <c r="V62" s="347"/>
      <c r="W62" s="13">
        <v>1.1389628765816054E-2</v>
      </c>
      <c r="X62" s="13">
        <v>9.6232394737206239E-3</v>
      </c>
      <c r="Y62" s="13">
        <v>4.5373203455297024E-6</v>
      </c>
      <c r="Z62" s="347"/>
      <c r="AA62" s="13">
        <v>1.1725246344482951E-2</v>
      </c>
      <c r="AB62" s="13">
        <v>9.599320519583357E-3</v>
      </c>
      <c r="AC62" s="13">
        <v>4.5907227669193896E-6</v>
      </c>
      <c r="AD62" s="347"/>
      <c r="AE62" s="13">
        <v>1.2112568929666768E-2</v>
      </c>
      <c r="AF62" s="13">
        <v>9.5730785251409347E-3</v>
      </c>
      <c r="AG62" s="13">
        <v>4.6675952989442839E-6</v>
      </c>
      <c r="AH62" s="347"/>
      <c r="AI62" s="13">
        <v>1.2095331372459397E-2</v>
      </c>
      <c r="AJ62" s="13">
        <v>9.5554961621117027E-3</v>
      </c>
      <c r="AK62" s="13">
        <v>4.5924573242635326E-6</v>
      </c>
      <c r="AL62" s="347"/>
      <c r="AM62" s="13">
        <v>9.6633324384809965E-3</v>
      </c>
      <c r="AN62" s="13">
        <v>9.5775821120765645E-3</v>
      </c>
      <c r="AO62" s="13">
        <v>3.6304334081879931E-6</v>
      </c>
    </row>
    <row r="63" spans="1:59">
      <c r="A63" s="344" t="s">
        <v>6</v>
      </c>
      <c r="B63" t="s">
        <v>17</v>
      </c>
      <c r="C63" s="79">
        <v>2.8580111536940364E-3</v>
      </c>
      <c r="D63" s="348">
        <v>6.4727567226284574E-8</v>
      </c>
      <c r="E63" s="13"/>
      <c r="F63" s="347"/>
      <c r="G63" s="13">
        <v>2.857169092792794E-3</v>
      </c>
      <c r="H63" s="13">
        <v>6.5216516079947243E-8</v>
      </c>
      <c r="I63" s="13"/>
      <c r="J63" s="347"/>
      <c r="K63" s="13">
        <v>2.8562723848783765E-3</v>
      </c>
      <c r="L63" s="13">
        <v>6.5779598815561618E-8</v>
      </c>
      <c r="M63" s="13"/>
      <c r="N63" s="347"/>
      <c r="O63" s="13">
        <v>2.8553098782249701E-3</v>
      </c>
      <c r="P63" s="13">
        <v>6.6487734351947412E-8</v>
      </c>
      <c r="Q63" s="13"/>
      <c r="R63" s="347"/>
      <c r="S63" s="13">
        <v>3.7555370245723101E-3</v>
      </c>
      <c r="T63" s="13">
        <v>2.8525373817174498E-3</v>
      </c>
      <c r="U63" s="13">
        <v>6.7649684326751448E-8</v>
      </c>
      <c r="V63" s="347"/>
      <c r="W63" s="13">
        <v>3.9167848953069392E-3</v>
      </c>
      <c r="X63" s="13">
        <v>2.842682855402344E-3</v>
      </c>
      <c r="Y63" s="13">
        <v>7.0132211969716121E-8</v>
      </c>
      <c r="Z63" s="347"/>
      <c r="AA63" s="13">
        <v>4.1845395463731032E-3</v>
      </c>
      <c r="AB63" s="13">
        <v>2.8278906558470711E-3</v>
      </c>
      <c r="AC63" s="13">
        <v>7.4252683940225151E-8</v>
      </c>
      <c r="AD63" s="347"/>
      <c r="AE63" s="13">
        <v>4.5936062085480123E-3</v>
      </c>
      <c r="AF63" s="13">
        <v>2.8091128035788414E-3</v>
      </c>
      <c r="AG63" s="13">
        <v>8.0768181452607152E-8</v>
      </c>
      <c r="AH63" s="347"/>
      <c r="AI63" s="13">
        <v>5.0375598929315113E-3</v>
      </c>
      <c r="AJ63" s="13">
        <v>2.7914122148462407E-3</v>
      </c>
      <c r="AK63" s="13">
        <v>8.7681348045952935E-8</v>
      </c>
      <c r="AL63" s="347"/>
      <c r="AM63" s="13">
        <v>4.5906837499688517E-3</v>
      </c>
      <c r="AN63" s="13">
        <v>2.8078466336094801E-3</v>
      </c>
      <c r="AO63" s="13">
        <v>7.9162501241700291E-8</v>
      </c>
    </row>
    <row r="64" spans="1:59">
      <c r="A64" s="344" t="s">
        <v>7</v>
      </c>
      <c r="B64" t="s">
        <v>17</v>
      </c>
      <c r="C64" s="79">
        <v>5.5189166673195013E-3</v>
      </c>
      <c r="D64" s="348">
        <v>1.284787138849469E-7</v>
      </c>
      <c r="E64" s="13"/>
      <c r="F64" s="347"/>
      <c r="G64" s="13">
        <v>5.5172902747138474E-3</v>
      </c>
      <c r="H64" s="13">
        <v>1.3027056555594597E-7</v>
      </c>
      <c r="I64" s="13"/>
      <c r="J64" s="347"/>
      <c r="K64" s="13">
        <v>5.5155582710800892E-3</v>
      </c>
      <c r="L64" s="13">
        <v>1.3237452597308669E-7</v>
      </c>
      <c r="M64" s="13"/>
      <c r="N64" s="347"/>
      <c r="O64" s="13">
        <v>5.513699080400631E-3</v>
      </c>
      <c r="P64" s="13">
        <v>1.3499629721300226E-7</v>
      </c>
      <c r="Q64" s="13"/>
      <c r="R64" s="347"/>
      <c r="S64" s="13">
        <v>7.7446917107952592E-3</v>
      </c>
      <c r="T64" s="13">
        <v>5.5073786244790191E-3</v>
      </c>
      <c r="U64" s="13">
        <v>1.3890149619215274E-7</v>
      </c>
      <c r="V64" s="347"/>
      <c r="W64" s="13">
        <v>8.1849386281671321E-3</v>
      </c>
      <c r="X64" s="13">
        <v>5.4830197335256139E-3</v>
      </c>
      <c r="Y64" s="13">
        <v>1.4619004039742053E-7</v>
      </c>
      <c r="Z64" s="347"/>
      <c r="AA64" s="13">
        <v>8.9022577415512026E-3</v>
      </c>
      <c r="AB64" s="13">
        <v>5.445496257169417E-3</v>
      </c>
      <c r="AC64" s="13">
        <v>1.5789569468711853E-7</v>
      </c>
      <c r="AD64" s="347"/>
      <c r="AE64" s="13">
        <v>1.0026503095201918E-2</v>
      </c>
      <c r="AF64" s="13">
        <v>5.3966724617982862E-3</v>
      </c>
      <c r="AG64" s="13">
        <v>1.7631252983109111E-7</v>
      </c>
      <c r="AH64" s="347"/>
      <c r="AI64" s="13">
        <v>1.1369728035948113E-2</v>
      </c>
      <c r="AJ64" s="13">
        <v>5.3491648585419875E-3</v>
      </c>
      <c r="AK64" s="13">
        <v>1.9773689817141199E-7</v>
      </c>
      <c r="AL64" s="347"/>
      <c r="AM64" s="13">
        <v>1.081238500515011E-2</v>
      </c>
      <c r="AN64" s="13">
        <v>5.3925653445219823E-3</v>
      </c>
      <c r="AO64" s="13">
        <v>1.8568141264512866E-7</v>
      </c>
      <c r="BC64" s="7">
        <v>61.2</v>
      </c>
      <c r="BD64">
        <v>0</v>
      </c>
      <c r="BE64">
        <v>0</v>
      </c>
      <c r="BF64">
        <v>0</v>
      </c>
      <c r="BG64">
        <v>0</v>
      </c>
    </row>
    <row r="65" spans="1:59">
      <c r="A65" s="344" t="s">
        <v>8</v>
      </c>
      <c r="B65" t="s">
        <v>17</v>
      </c>
      <c r="C65" s="79">
        <v>3.3506783665708407E-3</v>
      </c>
      <c r="D65" s="348">
        <v>3.0469553592521565E-7</v>
      </c>
      <c r="E65" s="13"/>
      <c r="F65" s="347"/>
      <c r="G65" s="13">
        <v>3.3496883308513272E-3</v>
      </c>
      <c r="H65" s="13">
        <v>3.12353200243449E-7</v>
      </c>
      <c r="I65" s="13"/>
      <c r="J65" s="347"/>
      <c r="K65" s="13">
        <v>3.3486334815132188E-3</v>
      </c>
      <c r="L65" s="13">
        <v>3.2158830641828187E-7</v>
      </c>
      <c r="M65" s="13"/>
      <c r="N65" s="347"/>
      <c r="O65" s="13">
        <v>3.3475002768311303E-3</v>
      </c>
      <c r="P65" s="13">
        <v>3.3332068390674576E-7</v>
      </c>
      <c r="Q65" s="13"/>
      <c r="R65" s="347"/>
      <c r="S65" s="13">
        <v>5.7019011354679768E-3</v>
      </c>
      <c r="T65" s="13">
        <v>3.3416954925724594E-3</v>
      </c>
      <c r="U65" s="13">
        <v>3.5051962222114309E-7</v>
      </c>
      <c r="V65" s="347"/>
      <c r="W65" s="13">
        <v>6.1978935966081772E-3</v>
      </c>
      <c r="X65" s="13">
        <v>3.3164153905848514E-3</v>
      </c>
      <c r="Y65" s="13">
        <v>3.8114931956556989E-7</v>
      </c>
      <c r="Z65" s="347"/>
      <c r="AA65" s="13">
        <v>7.0318472992703853E-3</v>
      </c>
      <c r="AB65" s="13">
        <v>3.2758519267026202E-3</v>
      </c>
      <c r="AC65" s="13">
        <v>4.3135951049357292E-7</v>
      </c>
      <c r="AD65" s="347"/>
      <c r="AE65" s="13">
        <v>8.4728594489164605E-3</v>
      </c>
      <c r="AF65" s="13">
        <v>3.218635452519286E-3</v>
      </c>
      <c r="AG65" s="13">
        <v>5.1621496013179058E-7</v>
      </c>
      <c r="AH65" s="347"/>
      <c r="AI65" s="13">
        <v>1.0629899355209353E-2</v>
      </c>
      <c r="AJ65" s="13">
        <v>3.1507955632405975E-3</v>
      </c>
      <c r="AK65" s="13">
        <v>6.4025469153308495E-7</v>
      </c>
      <c r="AL65" s="347"/>
      <c r="AM65" s="13">
        <v>1.1716800364264094E-2</v>
      </c>
      <c r="AN65" s="13">
        <v>3.1755373132916053E-3</v>
      </c>
      <c r="AO65" s="13">
        <v>6.9501245354028545E-7</v>
      </c>
      <c r="BC65" s="7">
        <v>55.08</v>
      </c>
      <c r="BD65">
        <f>C80-K80-L80</f>
        <v>11.604515976721023</v>
      </c>
      <c r="BE65">
        <f t="shared" ref="BE65:BE72" si="6">BD65/$C$80*100</f>
        <v>4.3053444913700289</v>
      </c>
      <c r="BF65">
        <f>G82*(G49+H49-K49-L49)/0.7</f>
        <v>11.119602685268093</v>
      </c>
      <c r="BG65">
        <f>BF65/($C$82+$D$80)*100</f>
        <v>4.1887047358880034</v>
      </c>
    </row>
    <row r="66" spans="1:59">
      <c r="A66" s="344" t="s">
        <v>9</v>
      </c>
      <c r="B66" t="s">
        <v>17</v>
      </c>
      <c r="C66" s="79">
        <v>2.8579315068794956E-3</v>
      </c>
      <c r="D66" s="348">
        <v>2.5998807483085233E-7</v>
      </c>
      <c r="E66" s="13"/>
      <c r="F66" s="347"/>
      <c r="G66" s="13">
        <v>2.8570866859376916E-3</v>
      </c>
      <c r="H66" s="13">
        <v>2.6744909830207465E-7</v>
      </c>
      <c r="I66" s="13"/>
      <c r="J66" s="347"/>
      <c r="K66" s="13">
        <v>2.856186472025052E-3</v>
      </c>
      <c r="L66" s="13">
        <v>2.7648001026889123E-7</v>
      </c>
      <c r="M66" s="13"/>
      <c r="N66" s="347"/>
      <c r="O66" s="13">
        <v>2.855219254715886E-3</v>
      </c>
      <c r="P66" s="13">
        <v>2.8796937163891478E-7</v>
      </c>
      <c r="Q66" s="13"/>
      <c r="R66" s="347"/>
      <c r="S66" s="13">
        <v>4.8447828156230992E-3</v>
      </c>
      <c r="T66" s="13">
        <v>2.8503036187115301E-3</v>
      </c>
      <c r="U66" s="13">
        <v>3.046807552714525E-7</v>
      </c>
      <c r="V66" s="347"/>
      <c r="W66" s="13">
        <v>5.3001689439639323E-3</v>
      </c>
      <c r="X66" s="13">
        <v>2.8285589760698865E-3</v>
      </c>
      <c r="Y66" s="13">
        <v>3.3402403969113125E-7</v>
      </c>
      <c r="Z66" s="347"/>
      <c r="AA66" s="13">
        <v>6.0677943272172963E-3</v>
      </c>
      <c r="AB66" s="13">
        <v>2.7927405653599686E-3</v>
      </c>
      <c r="AC66" s="13">
        <v>3.8221537257534976E-7</v>
      </c>
      <c r="AD66" s="347"/>
      <c r="AE66" s="13">
        <v>7.4031644443085277E-3</v>
      </c>
      <c r="AF66" s="13">
        <v>2.7407201850313152E-3</v>
      </c>
      <c r="AG66" s="13">
        <v>4.6418641004738379E-7</v>
      </c>
      <c r="AH66" s="347"/>
      <c r="AI66" s="13">
        <v>9.4373094708105308E-3</v>
      </c>
      <c r="AJ66" s="13">
        <v>2.6767632147466497E-3</v>
      </c>
      <c r="AK66" s="13">
        <v>5.8628889666682029E-7</v>
      </c>
      <c r="AL66" s="347"/>
      <c r="AM66" s="13">
        <v>1.060581010768747E-2</v>
      </c>
      <c r="AN66" s="13">
        <v>2.6938877508334296E-3</v>
      </c>
      <c r="AO66" s="13">
        <v>6.5008556290924706E-7</v>
      </c>
      <c r="BC66" s="7">
        <v>48.96</v>
      </c>
      <c r="BD66">
        <f>C80-O80-P80</f>
        <v>24.888876085792571</v>
      </c>
      <c r="BE66">
        <f t="shared" si="6"/>
        <v>9.2339211533953272</v>
      </c>
      <c r="BF66">
        <f>K82*(K49+L49-O49-P49)/0.7+BF65</f>
        <v>23.897254373466836</v>
      </c>
      <c r="BG66">
        <f t="shared" ref="BG66:BG72" si="7">BF66/($C$82+$D$80)*100</f>
        <v>9.0019891359497315</v>
      </c>
    </row>
    <row r="67" spans="1:59">
      <c r="A67" s="344" t="s">
        <v>10</v>
      </c>
      <c r="B67" t="s">
        <v>17</v>
      </c>
      <c r="C67" s="79">
        <v>5.1246952951897609E-3</v>
      </c>
      <c r="D67" s="348">
        <v>1.5126719615872111E-7</v>
      </c>
      <c r="E67" s="13"/>
      <c r="F67" s="347"/>
      <c r="G67" s="13">
        <v>5.1231827171489145E-3</v>
      </c>
      <c r="H67" s="13">
        <v>1.5874621542425019E-7</v>
      </c>
      <c r="I67" s="13"/>
      <c r="J67" s="347"/>
      <c r="K67" s="13">
        <v>5.1215713544545951E-3</v>
      </c>
      <c r="L67" s="13">
        <v>1.6797828082545074E-7</v>
      </c>
      <c r="M67" s="13"/>
      <c r="N67" s="347"/>
      <c r="O67" s="13">
        <v>5.1198407314817567E-3</v>
      </c>
      <c r="P67" s="13">
        <v>1.7994445702183733E-7</v>
      </c>
      <c r="Q67" s="13"/>
      <c r="R67" s="347"/>
      <c r="S67" s="13">
        <v>1.039893675125832E-2</v>
      </c>
      <c r="T67" s="13">
        <v>5.1076763506507743E-3</v>
      </c>
      <c r="U67" s="13">
        <v>1.9737909933112434E-7</v>
      </c>
      <c r="V67" s="347"/>
      <c r="W67" s="13">
        <v>1.1839861968402711E-2</v>
      </c>
      <c r="X67" s="13">
        <v>5.0483727129762533E-3</v>
      </c>
      <c r="Y67" s="13">
        <v>2.2762764304412614E-7</v>
      </c>
      <c r="Z67" s="347"/>
      <c r="AA67" s="13">
        <v>1.4383478471387092E-2</v>
      </c>
      <c r="AB67" s="13">
        <v>4.9423615040594124E-3</v>
      </c>
      <c r="AC67" s="13">
        <v>2.7945806314202758E-7</v>
      </c>
      <c r="AD67" s="347"/>
      <c r="AE67" s="13">
        <v>1.9206015082203806E-2</v>
      </c>
      <c r="AF67" s="13">
        <v>4.7679769727067495E-3</v>
      </c>
      <c r="AG67" s="13">
        <v>3.748618004575757E-7</v>
      </c>
      <c r="AH67" s="347"/>
      <c r="AI67" s="13">
        <v>2.7755460408592909E-2</v>
      </c>
      <c r="AJ67" s="13">
        <v>4.5038865006367581E-3</v>
      </c>
      <c r="AK67" s="13">
        <v>5.4055841801034989E-7</v>
      </c>
      <c r="AL67" s="347"/>
      <c r="AM67" s="13">
        <v>3.7175665859022856E-2</v>
      </c>
      <c r="AN67" s="13">
        <v>4.4082035167640182E-3</v>
      </c>
      <c r="AO67" s="13">
        <v>7.169836853772494E-7</v>
      </c>
      <c r="BC67" s="7">
        <v>42.839999999999996</v>
      </c>
      <c r="BD67">
        <f>C80-S80-T80-U80</f>
        <v>40.673243539816355</v>
      </c>
      <c r="BE67">
        <f t="shared" si="6"/>
        <v>15.090015419133387</v>
      </c>
      <c r="BF67">
        <f>O82*(O49+P49-S49-T49-U49)/0.7+BF66</f>
        <v>38.844571816308715</v>
      </c>
      <c r="BG67">
        <f t="shared" si="7"/>
        <v>14.632576948642214</v>
      </c>
    </row>
    <row r="68" spans="1:59">
      <c r="A68" s="344" t="s">
        <v>35</v>
      </c>
      <c r="B68" t="s">
        <v>17</v>
      </c>
      <c r="C68" s="79">
        <v>1.4787087716741403E-2</v>
      </c>
      <c r="D68" s="348">
        <v>3.7316940345551775E-7</v>
      </c>
      <c r="E68" s="13"/>
      <c r="F68" s="347"/>
      <c r="G68" s="13">
        <v>1.4782724303787111E-2</v>
      </c>
      <c r="H68" s="13">
        <v>3.9208826951055703E-7</v>
      </c>
      <c r="I68" s="13"/>
      <c r="J68" s="347"/>
      <c r="K68" s="13">
        <v>1.4778076148166905E-2</v>
      </c>
      <c r="L68" s="13">
        <v>4.1546941928781598E-7</v>
      </c>
      <c r="M68" s="13"/>
      <c r="N68" s="347"/>
      <c r="O68" s="13">
        <v>1.4773084345267137E-2</v>
      </c>
      <c r="P68" s="13">
        <v>4.4583023808041633E-7</v>
      </c>
      <c r="Q68" s="13"/>
      <c r="R68" s="347"/>
      <c r="S68" s="13">
        <v>3.0363665372425835E-2</v>
      </c>
      <c r="T68" s="13">
        <v>1.4737285471711175E-2</v>
      </c>
      <c r="U68" s="13">
        <v>4.9017810508095895E-7</v>
      </c>
      <c r="V68" s="347"/>
      <c r="W68" s="13">
        <v>3.465921276725735E-2</v>
      </c>
      <c r="X68" s="13">
        <v>1.4561847502063125E-2</v>
      </c>
      <c r="Y68" s="13">
        <v>5.6740414790676293E-7</v>
      </c>
      <c r="Z68" s="347"/>
      <c r="AA68" s="13">
        <v>4.230194592581684E-2</v>
      </c>
      <c r="AB68" s="13">
        <v>1.4246003221592524E-2</v>
      </c>
      <c r="AC68" s="13">
        <v>7.006430585884785E-7</v>
      </c>
      <c r="AD68" s="347"/>
      <c r="AE68" s="13">
        <v>5.6937964914585248E-2</v>
      </c>
      <c r="AF68" s="13">
        <v>1.3719739586240304E-2</v>
      </c>
      <c r="AG68" s="13">
        <v>9.4861333824708979E-7</v>
      </c>
      <c r="AH68" s="347"/>
      <c r="AI68" s="13">
        <v>8.3301707225586719E-2</v>
      </c>
      <c r="AJ68" s="13">
        <v>1.2904687090259551E-2</v>
      </c>
      <c r="AK68" s="13">
        <v>1.3869491451246427E-6</v>
      </c>
      <c r="AL68" s="347"/>
      <c r="AM68" s="13">
        <v>0.11355633404119242</v>
      </c>
      <c r="AN68" s="13">
        <v>1.2556682033530522E-2</v>
      </c>
      <c r="AO68" s="13">
        <v>1.8760454186561178E-6</v>
      </c>
      <c r="BC68" s="7">
        <v>36.72</v>
      </c>
      <c r="BD68">
        <f>C80-W80-X80-Y80</f>
        <v>59.947292439930862</v>
      </c>
      <c r="BE68">
        <f t="shared" si="6"/>
        <v>22.240802270128945</v>
      </c>
      <c r="BF68">
        <f>T82*(S49+T49+U49-W49-X49-Y49)/0.7+BF67</f>
        <v>56.552382750513061</v>
      </c>
      <c r="BG68">
        <f t="shared" si="7"/>
        <v>21.303030347177721</v>
      </c>
    </row>
    <row r="69" spans="1:59">
      <c r="A69" s="344" t="s">
        <v>163</v>
      </c>
      <c r="B69" t="s">
        <v>17</v>
      </c>
      <c r="C69" s="79">
        <v>6.8593730899902793E-3</v>
      </c>
      <c r="D69" s="348">
        <v>1.1072201954228082E-7</v>
      </c>
      <c r="E69" s="13"/>
      <c r="F69" s="347"/>
      <c r="G69" s="13">
        <v>6.8573496710719476E-3</v>
      </c>
      <c r="H69" s="13">
        <v>1.1782579012918584E-7</v>
      </c>
      <c r="I69" s="13"/>
      <c r="J69" s="347"/>
      <c r="K69" s="13">
        <v>6.8551943090843529E-3</v>
      </c>
      <c r="L69" s="13">
        <v>1.2672743366431389E-7</v>
      </c>
      <c r="M69" s="13"/>
      <c r="N69" s="347"/>
      <c r="O69" s="13">
        <v>6.8528797585827696E-3</v>
      </c>
      <c r="P69" s="13">
        <v>1.3845987351234532E-7</v>
      </c>
      <c r="Q69" s="13"/>
      <c r="R69" s="347"/>
      <c r="S69" s="13">
        <v>1.6128332840671802E-2</v>
      </c>
      <c r="T69" s="13">
        <v>6.8322686417605942E-3</v>
      </c>
      <c r="U69" s="13">
        <v>1.5578819992327515E-7</v>
      </c>
      <c r="V69" s="347"/>
      <c r="W69" s="13">
        <v>1.8885662091373552E-2</v>
      </c>
      <c r="X69" s="13">
        <v>6.7264273212188329E-3</v>
      </c>
      <c r="Y69" s="13">
        <v>1.8616635369828942E-7</v>
      </c>
      <c r="Z69" s="347"/>
      <c r="AA69" s="13">
        <v>2.3909168864239466E-2</v>
      </c>
      <c r="AB69" s="13">
        <v>6.5281890357560841E-3</v>
      </c>
      <c r="AC69" s="13">
        <v>2.3999909854665446E-7</v>
      </c>
      <c r="AD69" s="347"/>
      <c r="AE69" s="13">
        <v>3.3925566965734379E-2</v>
      </c>
      <c r="AF69" s="13">
        <v>6.1777409324021678E-3</v>
      </c>
      <c r="AG69" s="13">
        <v>3.4421560593825547E-7</v>
      </c>
      <c r="AH69" s="347"/>
      <c r="AI69" s="13">
        <v>5.2953439050025579E-2</v>
      </c>
      <c r="AJ69" s="13">
        <v>5.5905154556111945E-3</v>
      </c>
      <c r="AK69" s="13">
        <v>5.3873542789159779E-7</v>
      </c>
      <c r="AL69" s="347"/>
      <c r="AM69" s="13">
        <v>7.8566389179712842E-2</v>
      </c>
      <c r="AN69" s="13">
        <v>5.189276484500592E-3</v>
      </c>
      <c r="AO69" s="13">
        <v>7.9420469597268249E-7</v>
      </c>
      <c r="BC69" s="7">
        <v>30.6</v>
      </c>
      <c r="BD69">
        <f>C80-AA80-AB80-AC80</f>
        <v>81.573217530942685</v>
      </c>
      <c r="BE69">
        <f t="shared" si="6"/>
        <v>30.26414918508377</v>
      </c>
      <c r="BF69">
        <f>X82*(W49+X49+Y49-AA49-AB49-AC49)/0.7+BF68</f>
        <v>77.020011713294892</v>
      </c>
      <c r="BG69">
        <f t="shared" si="7"/>
        <v>29.01309488773785</v>
      </c>
    </row>
    <row r="70" spans="1:59">
      <c r="A70" s="344" t="s">
        <v>37</v>
      </c>
      <c r="B70" t="s">
        <v>17</v>
      </c>
      <c r="C70" s="79">
        <v>3.17988548577585E-3</v>
      </c>
      <c r="D70" s="348">
        <v>4.0146174338190097E-8</v>
      </c>
      <c r="E70" s="13"/>
      <c r="F70" s="347"/>
      <c r="G70" s="13">
        <v>3.1789477088194763E-3</v>
      </c>
      <c r="H70" s="13">
        <v>4.2830782872044128E-8</v>
      </c>
      <c r="I70" s="13"/>
      <c r="J70" s="347"/>
      <c r="K70" s="13">
        <v>3.1779488367742604E-3</v>
      </c>
      <c r="L70" s="13">
        <v>4.6204033298517845E-8</v>
      </c>
      <c r="M70" s="13"/>
      <c r="N70" s="347"/>
      <c r="O70" s="13">
        <v>3.1768762827070855E-3</v>
      </c>
      <c r="P70" s="13">
        <v>5.0666944863508838E-8</v>
      </c>
      <c r="Q70" s="13"/>
      <c r="R70" s="347"/>
      <c r="S70" s="13">
        <v>7.9520931550715844E-3</v>
      </c>
      <c r="T70" s="13">
        <v>3.1663901180827647E-3</v>
      </c>
      <c r="U70" s="13">
        <v>5.7290172461233985E-8</v>
      </c>
      <c r="V70" s="347"/>
      <c r="W70" s="13">
        <v>9.3637122022450243E-3</v>
      </c>
      <c r="X70" s="13">
        <v>3.1120919061965687E-3</v>
      </c>
      <c r="Y70" s="13">
        <v>6.8961813973947192E-8</v>
      </c>
      <c r="Z70" s="347"/>
      <c r="AA70" s="13">
        <v>1.196072872870646E-2</v>
      </c>
      <c r="AB70" s="13">
        <v>3.0100071957767489E-3</v>
      </c>
      <c r="AC70" s="13">
        <v>8.9834401424084192E-8</v>
      </c>
      <c r="AD70" s="347"/>
      <c r="AE70" s="13">
        <v>1.7212767105014608E-2</v>
      </c>
      <c r="AF70" s="13">
        <v>2.8272170695629408E-3</v>
      </c>
      <c r="AG70" s="13">
        <v>1.3079181459184671E-7</v>
      </c>
      <c r="AH70" s="347"/>
      <c r="AI70" s="13">
        <v>2.735153228938118E-2</v>
      </c>
      <c r="AJ70" s="13">
        <v>2.5145357334214122E-3</v>
      </c>
      <c r="AK70" s="13">
        <v>2.0851652298975368E-7</v>
      </c>
      <c r="AL70" s="347"/>
      <c r="AM70" s="13">
        <v>4.1589553615010669E-2</v>
      </c>
      <c r="AN70" s="13">
        <v>2.2778691720904253E-3</v>
      </c>
      <c r="AO70" s="13">
        <v>3.1526132864340165E-7</v>
      </c>
      <c r="BC70" s="7">
        <v>24.48</v>
      </c>
      <c r="BD70">
        <f>C80-AE80-AF80-AG80</f>
        <v>105.0603804258067</v>
      </c>
      <c r="BE70">
        <f t="shared" si="6"/>
        <v>38.978026402381197</v>
      </c>
      <c r="BF70">
        <f>AB82*(AA49+AB49+AC49-AE49-AF49-AG49)/0.7+BF69</f>
        <v>99.933738026877421</v>
      </c>
      <c r="BG70">
        <f t="shared" si="7"/>
        <v>37.644593390261065</v>
      </c>
    </row>
    <row r="71" spans="1:59">
      <c r="A71" s="344" t="s">
        <v>38</v>
      </c>
      <c r="B71" t="s">
        <v>17</v>
      </c>
      <c r="C71" s="79">
        <v>4.813457502989605E-3</v>
      </c>
      <c r="D71" s="348">
        <v>1.7764535468221752E-10</v>
      </c>
      <c r="E71" s="13"/>
      <c r="F71" s="347"/>
      <c r="G71" s="13">
        <v>4.8120395905872681E-3</v>
      </c>
      <c r="H71" s="13">
        <v>2.2272683617203795E-10</v>
      </c>
      <c r="I71" s="13"/>
      <c r="J71" s="347"/>
      <c r="K71" s="13">
        <v>4.8105296961374836E-3</v>
      </c>
      <c r="L71" s="13">
        <v>2.9027684784432507E-10</v>
      </c>
      <c r="M71" s="13"/>
      <c r="N71" s="347"/>
      <c r="O71" s="13">
        <v>4.8089090898095314E-3</v>
      </c>
      <c r="P71" s="13">
        <v>4.0006694088676467E-10</v>
      </c>
      <c r="Q71" s="13"/>
      <c r="R71" s="347"/>
      <c r="S71" s="13">
        <v>7.7571393735468522E-2</v>
      </c>
      <c r="T71" s="13">
        <v>4.6645482324279824E-3</v>
      </c>
      <c r="U71" s="13">
        <v>5.9524062348170047E-10</v>
      </c>
      <c r="V71" s="347"/>
      <c r="W71" s="13">
        <v>0.10881153772201316</v>
      </c>
      <c r="X71" s="13">
        <v>3.7508353146609177E-3</v>
      </c>
      <c r="Y71" s="13">
        <v>9.2423195323216691E-10</v>
      </c>
      <c r="Z71" s="347"/>
      <c r="AA71" s="13">
        <v>0.14702635379222645</v>
      </c>
      <c r="AB71" s="13">
        <v>2.1580209148248227E-3</v>
      </c>
      <c r="AC71" s="13">
        <v>1.3804759464687196E-9</v>
      </c>
      <c r="AD71" s="347"/>
      <c r="AE71" s="13">
        <v>0.17914034800469184</v>
      </c>
      <c r="AF71" s="13">
        <v>6.8958758122753753E-4</v>
      </c>
      <c r="AG71" s="13">
        <v>1.8017359675093293E-9</v>
      </c>
      <c r="AH71" s="347"/>
      <c r="AI71" s="13">
        <v>0.20939149346706168</v>
      </c>
      <c r="AJ71" s="13">
        <v>1.1748399045382867E-4</v>
      </c>
      <c r="AK71" s="13">
        <v>2.1918838602455923E-9</v>
      </c>
      <c r="AL71" s="347"/>
      <c r="AM71" s="13">
        <v>0.28625036213728117</v>
      </c>
      <c r="AN71" s="13">
        <v>1.7077694725004659E-5</v>
      </c>
      <c r="AO71" s="13">
        <v>3.0128893501611299E-9</v>
      </c>
      <c r="BC71" s="7">
        <v>18.36</v>
      </c>
      <c r="BD71">
        <f>C80-AI80-AJ80-AK80</f>
        <v>130.32209557049046</v>
      </c>
      <c r="BE71">
        <f t="shared" si="6"/>
        <v>48.350273065568139</v>
      </c>
      <c r="BF71">
        <f>AF82*(AE49+AF49+AG49-AI49-AJ49-AK49)/0.7+BF70</f>
        <v>125.11208563478226</v>
      </c>
      <c r="BG71">
        <f t="shared" si="7"/>
        <v>47.129164633691481</v>
      </c>
    </row>
    <row r="72" spans="1:59">
      <c r="A72" s="344" t="s">
        <v>39</v>
      </c>
      <c r="B72" t="s">
        <v>17</v>
      </c>
      <c r="C72" s="79">
        <v>1.5027364350593891E-3</v>
      </c>
      <c r="D72" s="348">
        <v>3.2533085229447162E-12</v>
      </c>
      <c r="E72" s="13"/>
      <c r="F72" s="347"/>
      <c r="G72" s="13">
        <v>1.5022937753621666E-3</v>
      </c>
      <c r="H72" s="13">
        <v>4.5500644923165607E-12</v>
      </c>
      <c r="I72" s="13"/>
      <c r="J72" s="347"/>
      <c r="K72" s="13">
        <v>1.5018224021579457E-3</v>
      </c>
      <c r="L72" s="13">
        <v>6.7408293347889593E-12</v>
      </c>
      <c r="M72" s="13"/>
      <c r="N72" s="347"/>
      <c r="O72" s="13">
        <v>1.5013164707077357E-3</v>
      </c>
      <c r="P72" s="13">
        <v>1.0846583838041182E-11</v>
      </c>
      <c r="Q72" s="13"/>
      <c r="R72" s="347"/>
      <c r="S72" s="13">
        <v>0.12076523013670465</v>
      </c>
      <c r="T72" s="13">
        <v>1.2669470324467049E-3</v>
      </c>
      <c r="U72" s="13">
        <v>1.7244706798798753E-11</v>
      </c>
      <c r="V72" s="347"/>
      <c r="W72" s="13">
        <v>0.10340203164730531</v>
      </c>
      <c r="X72" s="13">
        <v>4.7485740116116914E-4</v>
      </c>
      <c r="Y72" s="13">
        <v>1.7064022524970847E-11</v>
      </c>
      <c r="Z72" s="347"/>
      <c r="AA72" s="13">
        <v>8.0264802006630567E-2</v>
      </c>
      <c r="AB72" s="13">
        <v>1.0513273059471275E-4</v>
      </c>
      <c r="AC72" s="13">
        <v>1.5275318281510009E-11</v>
      </c>
      <c r="AD72" s="347"/>
      <c r="AE72" s="13">
        <v>7.1882128136429788E-2</v>
      </c>
      <c r="AF72" s="13">
        <v>1.3202823089808362E-5</v>
      </c>
      <c r="AG72" s="13">
        <v>1.4853935832157877E-11</v>
      </c>
      <c r="AH72" s="347"/>
      <c r="AI72" s="13">
        <v>7.7612048306146417E-2</v>
      </c>
      <c r="AJ72" s="13">
        <v>8.4206917726394759E-7</v>
      </c>
      <c r="AK72" s="13">
        <v>1.6532515803743162E-11</v>
      </c>
      <c r="AL72" s="347"/>
      <c r="AM72" s="13">
        <v>0.10517979635720294</v>
      </c>
      <c r="AN72" s="13">
        <v>3.8785620568766423E-8</v>
      </c>
      <c r="AO72" s="13">
        <v>2.1711651613432769E-11</v>
      </c>
      <c r="BC72" s="7">
        <v>12.24</v>
      </c>
      <c r="BD72">
        <f>C80-AM80-AN80-AO80</f>
        <v>155.97551716812606</v>
      </c>
      <c r="BE72">
        <f t="shared" si="6"/>
        <v>57.86784515403204</v>
      </c>
      <c r="BF72">
        <f>AJ82*(AI49+AJ49+AK49-AM49-AN49-AO49)/0.7+BF71</f>
        <v>150.99927528326518</v>
      </c>
      <c r="BG72">
        <f t="shared" si="7"/>
        <v>56.880753512230356</v>
      </c>
    </row>
    <row r="73" spans="1:59">
      <c r="A73" s="344" t="s">
        <v>40</v>
      </c>
      <c r="B73" t="s">
        <v>17</v>
      </c>
      <c r="C73" s="13"/>
      <c r="D73" s="13"/>
      <c r="E73" s="13"/>
      <c r="F73" s="347"/>
      <c r="G73" s="13"/>
      <c r="H73" s="13"/>
      <c r="I73" s="13"/>
      <c r="J73" s="347"/>
      <c r="K73" s="13"/>
      <c r="L73" s="13"/>
      <c r="M73" s="13"/>
      <c r="N73" s="347"/>
      <c r="O73" s="13"/>
      <c r="P73" s="13"/>
      <c r="Q73" s="13"/>
      <c r="R73" s="347"/>
      <c r="S73" s="13"/>
      <c r="T73" s="13"/>
      <c r="U73" s="13"/>
      <c r="V73" s="347"/>
      <c r="W73" s="13"/>
      <c r="X73" s="13"/>
      <c r="Y73" s="13"/>
      <c r="Z73" s="347"/>
      <c r="AA73" s="13"/>
      <c r="AB73" s="13"/>
      <c r="AC73" s="13"/>
      <c r="AD73" s="347"/>
      <c r="AE73" s="13"/>
      <c r="AF73" s="13"/>
      <c r="AG73" s="13"/>
      <c r="AH73" s="347"/>
      <c r="AI73" s="13"/>
      <c r="AJ73" s="13"/>
      <c r="AK73" s="13"/>
      <c r="BC73" s="7">
        <v>6.12</v>
      </c>
    </row>
    <row r="74" spans="1:59">
      <c r="A74" s="344" t="s">
        <v>41</v>
      </c>
      <c r="B74" t="s">
        <v>17</v>
      </c>
      <c r="C74" s="13"/>
      <c r="D74" s="13"/>
      <c r="E74" s="13"/>
      <c r="F74" s="347"/>
      <c r="G74" s="13"/>
      <c r="H74" s="13"/>
      <c r="I74" s="13"/>
      <c r="J74" s="347"/>
      <c r="K74" s="13"/>
      <c r="L74" s="13"/>
      <c r="M74" s="13"/>
      <c r="N74" s="347"/>
      <c r="O74" s="13"/>
      <c r="P74" s="13"/>
      <c r="Q74" s="13"/>
      <c r="R74" s="347"/>
      <c r="S74" s="13"/>
      <c r="T74" s="13"/>
      <c r="U74" s="13"/>
      <c r="V74" s="347"/>
      <c r="W74" s="13"/>
      <c r="X74" s="13"/>
      <c r="Y74" s="13"/>
      <c r="Z74" s="347"/>
      <c r="AA74" s="13"/>
      <c r="AB74" s="13"/>
      <c r="AC74" s="13"/>
      <c r="AD74" s="347"/>
      <c r="AE74" s="13"/>
      <c r="AF74" s="13"/>
      <c r="AG74" s="13"/>
      <c r="AH74" s="347"/>
      <c r="AI74" s="13"/>
      <c r="AJ74" s="13"/>
      <c r="AK74" s="13"/>
    </row>
    <row r="75" spans="1:59">
      <c r="A75" s="344" t="s">
        <v>42</v>
      </c>
      <c r="B75" t="s">
        <v>17</v>
      </c>
      <c r="C75" s="13"/>
      <c r="D75" s="13"/>
      <c r="E75" s="13"/>
      <c r="F75" s="347"/>
      <c r="G75" s="13"/>
      <c r="H75" s="13"/>
      <c r="I75" s="13"/>
      <c r="J75" s="347"/>
      <c r="K75" s="13"/>
      <c r="L75" s="13"/>
      <c r="M75" s="13"/>
      <c r="N75" s="347"/>
      <c r="O75" s="13"/>
      <c r="P75" s="13"/>
      <c r="Q75" s="13"/>
      <c r="R75" s="347"/>
      <c r="S75" s="13"/>
      <c r="T75" s="13"/>
      <c r="U75" s="13"/>
      <c r="V75" s="347"/>
      <c r="W75" s="13"/>
      <c r="X75" s="13"/>
      <c r="Y75" s="13"/>
      <c r="Z75" s="347"/>
      <c r="AA75" s="13"/>
      <c r="AB75" s="13"/>
      <c r="AC75" s="13"/>
      <c r="AD75" s="347"/>
      <c r="AE75" s="13"/>
      <c r="AF75" s="13"/>
      <c r="AG75" s="13"/>
      <c r="AH75" s="347"/>
      <c r="AI75" s="13"/>
      <c r="AJ75" s="13"/>
      <c r="AK75" s="13"/>
    </row>
    <row r="76" spans="1:59">
      <c r="A76" s="344" t="s">
        <v>43</v>
      </c>
      <c r="B76" t="s">
        <v>17</v>
      </c>
      <c r="C76" s="13"/>
      <c r="D76" s="13"/>
      <c r="E76" s="13"/>
      <c r="F76" s="347"/>
      <c r="G76" s="13"/>
      <c r="H76" s="13"/>
      <c r="I76" s="13"/>
      <c r="J76" s="347"/>
      <c r="K76" s="13"/>
      <c r="L76" s="13"/>
      <c r="M76" s="13"/>
      <c r="N76" s="347"/>
      <c r="O76" s="13"/>
      <c r="P76" s="13"/>
      <c r="Q76" s="13"/>
      <c r="R76" s="347"/>
      <c r="S76" s="13"/>
      <c r="T76" s="13"/>
      <c r="U76" s="13"/>
      <c r="V76" s="347"/>
      <c r="W76" s="13"/>
      <c r="X76" s="13"/>
      <c r="Y76" s="13"/>
      <c r="Z76" s="347"/>
      <c r="AA76" s="13"/>
      <c r="AB76" s="13"/>
      <c r="AC76" s="13"/>
      <c r="AD76" s="347"/>
      <c r="AE76" s="13"/>
      <c r="AF76" s="13"/>
      <c r="AG76" s="13"/>
      <c r="AH76" s="347"/>
      <c r="AI76" s="13"/>
      <c r="AJ76" s="13"/>
      <c r="AK76" s="13"/>
    </row>
    <row r="77" spans="1:59">
      <c r="A77" s="344" t="s">
        <v>44</v>
      </c>
      <c r="B77" t="s">
        <v>17</v>
      </c>
      <c r="C77" s="13"/>
      <c r="D77" s="13"/>
      <c r="E77" s="13"/>
      <c r="F77" s="347"/>
      <c r="G77" s="13"/>
      <c r="H77" s="13"/>
      <c r="I77" s="13"/>
      <c r="J77" s="347"/>
      <c r="K77" s="13"/>
      <c r="L77" s="13"/>
      <c r="M77" s="13"/>
      <c r="N77" s="347"/>
      <c r="O77" s="13"/>
      <c r="P77" s="13"/>
      <c r="Q77" s="13"/>
      <c r="R77" s="347"/>
      <c r="S77" s="13"/>
      <c r="T77" s="13"/>
      <c r="U77" s="13"/>
      <c r="V77" s="347"/>
      <c r="W77" s="13"/>
      <c r="X77" s="13"/>
      <c r="Y77" s="13"/>
      <c r="Z77" s="347"/>
      <c r="AA77" s="13"/>
      <c r="AB77" s="13"/>
      <c r="AC77" s="13"/>
      <c r="AD77" s="347"/>
      <c r="AE77" s="13"/>
      <c r="AF77" s="13"/>
      <c r="AG77" s="13"/>
      <c r="AH77" s="347"/>
      <c r="AI77" s="13"/>
      <c r="AJ77" s="13"/>
      <c r="AK77" s="13"/>
    </row>
    <row r="78" spans="1:59">
      <c r="A78" s="344" t="s">
        <v>45</v>
      </c>
      <c r="B78" t="s">
        <v>17</v>
      </c>
      <c r="F78" s="345"/>
      <c r="J78" s="345"/>
      <c r="N78" s="345"/>
      <c r="R78" s="345"/>
      <c r="V78" s="345"/>
      <c r="Z78" s="345"/>
      <c r="AD78" s="345"/>
      <c r="AH78" s="345"/>
    </row>
    <row r="79" spans="1:59">
      <c r="A79" s="344" t="s">
        <v>225</v>
      </c>
      <c r="C79" s="13">
        <f>SUM(C65:C72)*C49/$P$44</f>
        <v>4.3099486707355479E-2</v>
      </c>
      <c r="D79" s="13">
        <f>SUM(D65:D72)*D49/$P$44</f>
        <v>5.1329264452377735E-7</v>
      </c>
      <c r="F79" s="345"/>
      <c r="G79" s="13">
        <f>SUM(G65:G72)*G49/$P$44</f>
        <v>4.3099465839736964E-2</v>
      </c>
      <c r="H79" s="13">
        <f>SUM(H65:H72)*H49/$P$44</f>
        <v>5.3416026302937432E-7</v>
      </c>
      <c r="I79" s="13"/>
      <c r="J79" s="345"/>
      <c r="K79" s="13">
        <f>SUM(K65:K72)*K49/$P$44</f>
        <v>4.1320215291735685E-2</v>
      </c>
      <c r="L79" s="13">
        <f>SUM(L65:L72)*L49/$P$44</f>
        <v>5.5989527141050957E-7</v>
      </c>
      <c r="M79" s="13"/>
      <c r="N79" s="345"/>
      <c r="O79" s="13">
        <f>SUM(O65:O72)*O49/$P$44</f>
        <v>3.9275627886087856E-2</v>
      </c>
      <c r="P79" s="13">
        <f>SUM(P65:P72)*P49/$P$44</f>
        <v>5.9327800819519329E-7</v>
      </c>
      <c r="Q79" s="13"/>
      <c r="R79" s="345"/>
      <c r="S79" s="13">
        <f>SUM(S65:S72)*S49/$P$44</f>
        <v>4.6573020863535614E-4</v>
      </c>
      <c r="T79" s="13">
        <f>SUM(T65:T72)*T49/$P$44</f>
        <v>3.6418090771463997E-2</v>
      </c>
      <c r="U79" s="13">
        <f>SUM(U65:U72)*U49/$P$44</f>
        <v>6.4229485647394125E-7</v>
      </c>
      <c r="V79" s="345"/>
      <c r="W79" s="13">
        <f>SUM(W65:W72)*W49/$P$44</f>
        <v>2.4291913671747999E-3</v>
      </c>
      <c r="X79" s="13">
        <f>SUM(X65:X72)*X49/$P$44</f>
        <v>3.158410546050025E-2</v>
      </c>
      <c r="Y79" s="13">
        <f>SUM(Y65:Y72)*Y49/$P$44</f>
        <v>7.2845603774444156E-7</v>
      </c>
      <c r="Z79" s="345"/>
      <c r="AA79" s="13">
        <f>SUM(AA65:AA72)*AA49/$P$44</f>
        <v>4.5745201524611256E-3</v>
      </c>
      <c r="AB79" s="13">
        <f>SUM(AB65:AB72)*AB49/$P$44</f>
        <v>2.5925228995501239E-2</v>
      </c>
      <c r="AC79" s="13">
        <f>SUM(AC65:AC72)*AC49/$P$44</f>
        <v>8.7587667777876457E-7</v>
      </c>
      <c r="AD79" s="345"/>
      <c r="AE79" s="13">
        <f>SUM(AE65:AE72)*AE49/$P$44</f>
        <v>6.3432918643559263E-3</v>
      </c>
      <c r="AF79" s="13">
        <f>SUM(AF65:AF72)*AF49/$P$44</f>
        <v>1.9969450574808124E-2</v>
      </c>
      <c r="AG79" s="13">
        <f>SUM(AG65:AG72)*AG49/$P$44</f>
        <v>1.1450111856787242E-6</v>
      </c>
      <c r="AH79" s="345"/>
      <c r="AI79" s="13">
        <f>SUM(AI65:AI72)*AI49/$P$44</f>
        <v>7.4638833302250783E-3</v>
      </c>
      <c r="AJ79" s="13">
        <f>SUM(AJ65:AJ72)*AJ49/$P$44</f>
        <v>1.3986337514196321E-2</v>
      </c>
      <c r="AK79" s="13">
        <f>SUM(AK65:AK72)*AK49/$P$44</f>
        <v>1.6028872288310954E-6</v>
      </c>
      <c r="AM79" s="13">
        <f>SUM(AM65:AM72)*AM49/$P$44</f>
        <v>7.5666179084891479E-3</v>
      </c>
      <c r="AN79" s="13">
        <f>SUM(AN65:AN72)*AN49/$P$44</f>
        <v>8.7242009711896735E-3</v>
      </c>
      <c r="AO79" s="13">
        <f>SUM(AO65:AO72)*AO49/$P$44</f>
        <v>2.057595410704687E-6</v>
      </c>
    </row>
    <row r="80" spans="1:59">
      <c r="A80" s="344" t="s">
        <v>226</v>
      </c>
      <c r="C80">
        <f>(C65*$AR$10+C66*$AR$11+$AR$12*C67+C68*$AR$13+$AR$14*C69+C70*$AR$15+$AR$16*C71+C72*$AR$17)/0.02404/(1-C79)*C49/$P$44</f>
        <v>269.53745513238317</v>
      </c>
      <c r="D80">
        <f>(D65*$AR$10+D66*$AR$11+$AR$12*D67+D68*$AR$13+$AR$14*D69+D70*$AR$15+$AR$16*D71+D72*$AR$17)/0.02404/(1-D79)*D49/$P$44</f>
        <v>2.0878630848272868E-3</v>
      </c>
      <c r="F80" s="345"/>
      <c r="G80">
        <f>(G65*$AR$10+G66*$AR$11+$AR$12*G67+G68*$AR$13+$AR$14*G69+G70*$AR$15+$AR$16*G71+G72*$AR$17)/0.02404/(1-G79)*G49/$P$44</f>
        <v>269.53735136278846</v>
      </c>
      <c r="H80">
        <f>(H65*$AR$10+H66*$AR$11+$AR$12*H67+H68*$AR$13+$AR$14*H69+H70*$AR$15+$AR$16*H71+H72*$AR$17)/0.02404/(1-H79)*H49/$P$44</f>
        <v>2.1815357542160304E-3</v>
      </c>
      <c r="J80" s="345"/>
      <c r="K80">
        <f>(K65*$AR$10+K66*$AR$11+$AR$12*K67+K68*$AR$13+$AR$14*K69+K70*$AR$15+$AR$16*K71+K72*$AR$17)/0.02404/(1-K79)*K49/$P$44</f>
        <v>257.93064164257288</v>
      </c>
      <c r="L80">
        <f>(L65*$AR$10+L66*$AR$11+$AR$12*L67+L68*$AR$13+$AR$14*L69+L70*$AR$15+$AR$16*L71+L72*$AR$17)/0.02404/(1-L79)*L49/$P$44</f>
        <v>2.2975130892695832E-3</v>
      </c>
      <c r="N80" s="345"/>
      <c r="O80">
        <f>(O65*$AR$10+O66*$AR$11+$AR$12*O67+O68*$AR$13+$AR$14*O69+O70*$AR$15+$AR$16*O71+O72*$AR$17)/0.02404/(1-O79)*O49/$P$44</f>
        <v>244.64613047750879</v>
      </c>
      <c r="P80">
        <f>(P65*$AR$10+P66*$AR$11+$AR$12*P67+P68*$AR$13+$AR$14*P69+P70*$AR$15+$AR$16*P71+P72*$AR$17)/0.02404/(1-P79)*P49/$P$44</f>
        <v>2.4485690818112135E-3</v>
      </c>
      <c r="R80" s="345"/>
      <c r="S80">
        <f>(S65*$AR$10+S66*$AR$11+$AR$12*S67+S68*$AR$13+$AR$14*S69+S70*$AR$15+$AR$16*S71+S72*$AR$17)/0.02404/(1-S79)*S49/$P$44</f>
        <v>5.4911212849016637</v>
      </c>
      <c r="T80">
        <f>(T65*$AR$10+T66*$AR$11+$AR$12*T67+T68*$AR$13+$AR$14*T69+T70*$AR$15+$AR$16*T71+T72*$AR$17)/0.02404/(1-T79)*T49/$P$44</f>
        <v>223.37041958348621</v>
      </c>
      <c r="U80">
        <f>(U65*$AR$10+U66*$AR$11+$AR$12*U67+U68*$AR$13+$AR$14*U69+U70*$AR$15+$AR$16*U71+U72*$AR$17)/0.02404/(1-U79)*U49/$P$44</f>
        <v>2.6707241789270726E-3</v>
      </c>
      <c r="V80" s="345"/>
      <c r="W80">
        <f>(W65*$AR$10+W66*$AR$11+$AR$12*W67+W68*$AR$13+$AR$14*W69+W70*$AR$15+$AR$16*W71+W72*$AR$17)/0.02404/(1-W79)*W49/$P$44</f>
        <v>27.155738908778673</v>
      </c>
      <c r="X80">
        <f>(X65*$AR$10+X66*$AR$11+$AR$12*X67+X68*$AR$13+$AR$14*X69+X70*$AR$15+$AR$16*X71+X72*$AR$17)/0.02404/(1-X79)*X49/$P$44</f>
        <v>182.43136295979517</v>
      </c>
      <c r="Y80">
        <f>(Y65*$AR$10+Y66*$AR$11+$AR$12*Y67+Y68*$AR$13+$AR$14*Y69+Y70*$AR$15+$AR$16*Y71+Y72*$AR$17)/0.02404/(1-Y79)*Y49/$P$44</f>
        <v>3.060823878455255E-3</v>
      </c>
      <c r="Z80" s="345"/>
      <c r="AA80">
        <f>(AA65*$AR$10+AA66*$AR$11+$AR$12*AA67+AA68*$AR$13+$AR$14*AA69+AA70*$AR$15+$AR$16*AA71+AA72*$AR$17)/0.02404/(1-AA79)*AA49/$P$44</f>
        <v>47.695193194670246</v>
      </c>
      <c r="AB80">
        <f>(AB65*$AR$10+AB66*$AR$11+$AR$12*AB67+AB68*$AR$13+$AR$14*AB69+AB70*$AR$15+$AR$16*AB71+AB72*$AR$17)/0.02404/(1-AB79)*AB49/$P$44</f>
        <v>140.26531083668715</v>
      </c>
      <c r="AC80">
        <f>(AC65*$AR$10+AC66*$AR$11+$AR$12*AC67+AC68*$AR$13+$AR$14*AC69+AC70*$AR$15+$AR$16*AC71+AC72*$AR$17)/0.02404/(1-AC79)*AC49/$P$44</f>
        <v>3.733570083082274E-3</v>
      </c>
      <c r="AD80" s="345"/>
      <c r="AE80">
        <f>(AE65*$AR$10+AE66*$AR$11+$AR$12*AE67+AE68*$AR$13+$AR$14*AE69+AE70*$AR$15+$AR$16*AE71+AE72*$AR$17)/0.02404/(1-AE79)*AE49/$P$44</f>
        <v>62.556512342004673</v>
      </c>
      <c r="AF80">
        <f>(AF65*$AR$10+AF66*$AR$11+$AR$12*AF67+AF68*$AR$13+$AR$14*AF69+AF70*$AR$15+$AR$16*AF71+AF72*$AR$17)/0.02404/(1-AF79)*AF49/$P$44</f>
        <v>101.91558412995404</v>
      </c>
      <c r="AG80">
        <f>(AG65*$AR$10+AG66*$AR$11+$AR$12*AG67+AG68*$AR$13+$AR$14*AG69+AG70*$AR$15+$AR$16*AG71+AG72*$AR$17)/0.02404/(1-AG79)*AG49/$P$44</f>
        <v>4.9782346177481528E-3</v>
      </c>
      <c r="AH80" s="345"/>
      <c r="AI80">
        <f>(AI65*$AR$10+AI66*$AR$11+$AR$12*AI67+AI68*$AR$13+$AR$14*AI69+AI70*$AR$15+$AR$16*AI71+AI72*$AR$17)/0.02404/(1-AI79)*AI49/$P$44</f>
        <v>70.269580699721104</v>
      </c>
      <c r="AJ80">
        <f>(AJ65*$AR$10+AJ66*$AR$11+$AR$12*AJ67+AJ68*$AR$13+$AR$14*AJ69+AJ70*$AR$15+$AR$16*AJ71+AJ72*$AR$17)/0.02404/(1-AJ79)*AJ49/$P$44</f>
        <v>68.93863348772139</v>
      </c>
      <c r="AK80">
        <f>(AK65*$AR$10+AK66*$AR$11+$AR$12*AK67+AK68*$AR$13+$AR$14*AK69+AK70*$AR$15+$AR$16*AK71+AK72*$AR$17)/0.02404/(1-AK79)*AK49/$P$44</f>
        <v>7.1453744502398431E-3</v>
      </c>
      <c r="AM80">
        <f>(AM65*$AR$10+AM66*$AR$11+$AR$12*AM67+AM68*$AR$13+$AR$14*AM69+AM70*$AR$15+$AR$16*AM71+AM72*$AR$17)/0.02404/(1-AM79)*AM49/$P$44</f>
        <v>71.357148418847444</v>
      </c>
      <c r="AN80">
        <f>(AN65*$AR$10+AN66*$AR$11+$AR$12*AN67+AN68*$AR$13+$AR$14*AN69+AN70*$AR$15+$AR$16*AN71+AN72*$AR$17)/0.02404/(1-AN79)*AN49/$P$44</f>
        <v>42.195316558527651</v>
      </c>
      <c r="AO80">
        <f>(AO65*$AR$10+AO66*$AR$11+$AR$12*AO67+AO68*$AR$13+$AR$14*AO69+AO70*$AR$15+$AR$16*AO71+AO72*$AR$17)/0.02404/(1-AO79)*AO49/$P$44</f>
        <v>9.4729868820334143E-3</v>
      </c>
    </row>
    <row r="81" spans="1:57">
      <c r="A81" s="344"/>
      <c r="C81" s="13">
        <f>SUM(C65:C72)</f>
        <v>4.2475845399196625E-2</v>
      </c>
      <c r="F81" s="345"/>
      <c r="G81" s="13">
        <f>SUM(G65:G72)</f>
        <v>4.2463312783565903E-2</v>
      </c>
      <c r="J81" s="345"/>
      <c r="K81" s="13">
        <f>SUM(K65:K72)</f>
        <v>4.2449962700313808E-2</v>
      </c>
      <c r="N81" s="345"/>
      <c r="O81" s="13">
        <f>SUM(O65:O72)</f>
        <v>4.2435626210103036E-2</v>
      </c>
      <c r="R81" s="345"/>
      <c r="S81" s="13"/>
      <c r="T81" s="13">
        <f>SUM(T65:T72)</f>
        <v>4.1967114958363978E-2</v>
      </c>
      <c r="U81" s="13"/>
      <c r="V81" s="345"/>
      <c r="X81" s="13">
        <f>SUM(X65:X72)</f>
        <v>3.9819406524931607E-2</v>
      </c>
      <c r="Z81" s="345"/>
      <c r="AB81" s="13">
        <f>SUM(AB65:AB72)</f>
        <v>3.7058307094666891E-2</v>
      </c>
      <c r="AD81" s="345"/>
      <c r="AF81" s="13">
        <f>SUM(AF65:AF72)</f>
        <v>3.4154820602780106E-2</v>
      </c>
      <c r="AH81" s="345"/>
      <c r="AJ81" s="13">
        <f>SUM(AJ65:AJ72)</f>
        <v>3.145950961754726E-2</v>
      </c>
      <c r="AN81" s="13">
        <f>SUM(AN65:AN72)</f>
        <v>3.0318572751356167E-2</v>
      </c>
    </row>
    <row r="82" spans="1:57">
      <c r="A82" s="344"/>
      <c r="C82">
        <f>(C65*$AR$10+C66*$AR$11+$AR$12*C67+C68*$AR$13+$AR$14*C69+C70*$AR$15+$AR$16*C71+C72*$AR$17)/0.02404/(1-C81)</f>
        <v>265.46428865177216</v>
      </c>
      <c r="F82" s="345"/>
      <c r="G82">
        <f>(G65*$AR$10+G66*$AR$11+$AR$12*G67+G68*$AR$13+$AR$14*G69+G70*$AR$15+$AR$16*G71+G72*$AR$17)/0.02404/(1-G81)</f>
        <v>265.38252131233259</v>
      </c>
      <c r="J82" s="345"/>
      <c r="K82">
        <f>(K65*$AR$10+K66*$AR$11+$AR$12*K67+K68*$AR$13+$AR$14*K69+K70*$AR$15+$AR$16*K71+K72*$AR$17)/0.02404/(1-K81)</f>
        <v>265.29542945964727</v>
      </c>
      <c r="N82" s="345"/>
      <c r="O82">
        <f>(O65*$AR$10+O66*$AR$11+$AR$12*O67+O68*$AR$13+$AR$14*O69+O70*$AR$15+$AR$16*O71+O72*$AR$17)/0.02404/(1-O81)</f>
        <v>265.20191643486419</v>
      </c>
      <c r="R82" s="345"/>
      <c r="T82">
        <f>(T65*$AR$10+T66*$AR$11+$AR$12*T67+T68*$AR$13+$AR$14*T69+T70*$AR$15+$AR$16*T71+T72*$AR$17)/0.02404/(1-T81)</f>
        <v>258.89628670044971</v>
      </c>
      <c r="V82" s="345"/>
      <c r="X82">
        <f>(X65*$AR$10+X66*$AR$11+$AR$12*X67+X68*$AR$13+$AR$14*X69+X70*$AR$15+$AR$16*X71+X72*$AR$17)/0.02404/(1-X81)</f>
        <v>231.97153132948148</v>
      </c>
      <c r="Z82" s="345"/>
      <c r="AB82">
        <f>(AB65*$AR$10+AB66*$AR$11+$AR$12*AB67+AB68*$AR$13+$AR$14*AB69+AB70*$AR$15+$AR$16*AB71+AB72*$AR$17)/0.02404/(1-AB81)</f>
        <v>202.81756172783395</v>
      </c>
      <c r="AD82" s="345"/>
      <c r="AF82">
        <f>(AF65*$AR$10+AF66*$AR$11+$AR$12*AF67+AF68*$AR$13+$AR$14*AF69+AF70*$AR$15+$AR$16*AF71+AF72*$AR$17)/0.02404/(1-AF81)</f>
        <v>176.87179670538256</v>
      </c>
      <c r="AH82" s="345"/>
      <c r="AJ82">
        <f>(AJ65*$AR$10+AJ66*$AR$11+$AR$12*AJ67+AJ68*$AR$13+$AR$14*AJ69+AJ70*$AR$15+$AR$16*AJ71+AJ72*$AR$17)/0.02404/(1-AJ81)</f>
        <v>157.8613331783987</v>
      </c>
      <c r="AN82">
        <f>(AN65*$AR$10+AN66*$AR$11+$AR$12*AN67+AN68*$AR$13+$AR$14*AN69+AN70*$AR$15+$AR$16*AN71+AN72*$AR$17)/0.02404/(1-AN81)</f>
        <v>149.90384307235945</v>
      </c>
    </row>
    <row r="83" spans="1:57">
      <c r="A83" s="480" t="s">
        <v>245</v>
      </c>
      <c r="B83" s="480"/>
      <c r="C83" s="480"/>
      <c r="D83" s="480"/>
      <c r="E83" s="480"/>
      <c r="F83" s="480"/>
      <c r="G83" s="480"/>
      <c r="H83" s="480"/>
      <c r="I83" s="480"/>
      <c r="J83" s="480"/>
      <c r="K83" s="480"/>
      <c r="L83" s="480"/>
      <c r="M83" s="480"/>
      <c r="N83" s="480"/>
      <c r="O83" s="480"/>
    </row>
    <row r="84" spans="1:57">
      <c r="A84" s="480"/>
      <c r="B84" s="480"/>
      <c r="C84" s="480"/>
      <c r="D84" s="480"/>
      <c r="E84" s="480"/>
      <c r="F84" s="480"/>
      <c r="G84" s="480"/>
      <c r="H84" s="480"/>
      <c r="I84" s="480"/>
      <c r="J84" s="480"/>
      <c r="K84" s="480"/>
      <c r="L84" s="480"/>
      <c r="M84" s="480"/>
      <c r="N84" s="480"/>
      <c r="O84" s="480"/>
      <c r="P84">
        <v>0.28999999999999998</v>
      </c>
    </row>
    <row r="85" spans="1:57" ht="16.5" thickBot="1">
      <c r="A85" s="344" t="s">
        <v>214</v>
      </c>
      <c r="B85" s="344">
        <v>29.925755484020669</v>
      </c>
      <c r="F85" s="345"/>
      <c r="J85" s="345"/>
      <c r="N85" s="345"/>
      <c r="R85" s="345"/>
      <c r="V85" s="345"/>
      <c r="Z85" s="345"/>
      <c r="AD85" s="345"/>
      <c r="AH85" s="345"/>
      <c r="AM85" s="396"/>
      <c r="AN85" s="397"/>
      <c r="AO85" s="397"/>
      <c r="AP85" s="398"/>
      <c r="AS85" t="s">
        <v>237</v>
      </c>
      <c r="AW85" t="s">
        <v>239</v>
      </c>
      <c r="AX85" t="s">
        <v>240</v>
      </c>
      <c r="BA85" t="s">
        <v>241</v>
      </c>
    </row>
    <row r="86" spans="1:57" ht="16.5" thickTop="1" thickBot="1">
      <c r="A86" s="344" t="s">
        <v>204</v>
      </c>
      <c r="B86" s="344"/>
      <c r="C86" s="476" t="s">
        <v>209</v>
      </c>
      <c r="D86" s="476"/>
      <c r="E86" s="476"/>
      <c r="F86" s="345"/>
      <c r="G86" s="476" t="s">
        <v>215</v>
      </c>
      <c r="H86" s="476"/>
      <c r="I86" s="476"/>
      <c r="J86" s="345"/>
      <c r="K86" s="476" t="s">
        <v>216</v>
      </c>
      <c r="L86" s="476"/>
      <c r="M86" s="476"/>
      <c r="N86" s="345"/>
      <c r="O86" s="476" t="s">
        <v>217</v>
      </c>
      <c r="P86" s="476"/>
      <c r="Q86" s="476"/>
      <c r="R86" s="345"/>
      <c r="S86" s="476" t="s">
        <v>218</v>
      </c>
      <c r="T86" s="476"/>
      <c r="U86" s="476"/>
      <c r="V86" s="345"/>
      <c r="W86" s="476" t="s">
        <v>219</v>
      </c>
      <c r="X86" s="476"/>
      <c r="Y86" s="476"/>
      <c r="Z86" s="345"/>
      <c r="AA86" s="476" t="s">
        <v>220</v>
      </c>
      <c r="AB86" s="476"/>
      <c r="AC86" s="476"/>
      <c r="AD86" s="345"/>
      <c r="AE86" s="476" t="s">
        <v>221</v>
      </c>
      <c r="AF86" s="476"/>
      <c r="AG86" s="476"/>
      <c r="AH86" s="345"/>
      <c r="AI86" s="476" t="s">
        <v>222</v>
      </c>
      <c r="AJ86" s="476"/>
      <c r="AK86" s="476"/>
      <c r="AL86" s="345"/>
      <c r="AM86" s="476" t="s">
        <v>223</v>
      </c>
      <c r="AN86" s="476"/>
      <c r="AO86" s="476"/>
      <c r="AP86" s="127"/>
      <c r="AR86" t="s">
        <v>238</v>
      </c>
      <c r="AS86">
        <v>38.409999999999997</v>
      </c>
      <c r="AV86" s="7">
        <v>61.2</v>
      </c>
      <c r="AW86">
        <f>D121</f>
        <v>1.2392538236666521E-2</v>
      </c>
      <c r="AX86">
        <f>C121</f>
        <v>269.52597288170659</v>
      </c>
    </row>
    <row r="87" spans="1:57" ht="15.75" thickTop="1">
      <c r="A87" s="346" t="s">
        <v>211</v>
      </c>
      <c r="B87" s="344" t="s">
        <v>213</v>
      </c>
      <c r="C87" s="476">
        <v>61.2</v>
      </c>
      <c r="D87" s="476"/>
      <c r="E87" s="476"/>
      <c r="F87" s="345"/>
      <c r="G87" s="476">
        <v>55.08</v>
      </c>
      <c r="H87" s="476"/>
      <c r="I87" s="476"/>
      <c r="J87" s="345"/>
      <c r="K87" s="476">
        <v>48.96</v>
      </c>
      <c r="L87" s="476"/>
      <c r="M87" s="476"/>
      <c r="N87" s="345"/>
      <c r="O87" s="476">
        <v>42.839999999999996</v>
      </c>
      <c r="P87" s="476"/>
      <c r="Q87" s="476"/>
      <c r="R87" s="345"/>
      <c r="S87" s="476">
        <v>36.72</v>
      </c>
      <c r="T87" s="476"/>
      <c r="U87" s="476"/>
      <c r="V87" s="345"/>
      <c r="W87" s="476">
        <v>30.6</v>
      </c>
      <c r="X87" s="476"/>
      <c r="Y87" s="476"/>
      <c r="Z87" s="345"/>
      <c r="AA87" s="476">
        <v>24.48</v>
      </c>
      <c r="AB87" s="476"/>
      <c r="AC87" s="476"/>
      <c r="AD87" s="345"/>
      <c r="AE87" s="476">
        <v>18.36</v>
      </c>
      <c r="AF87" s="476"/>
      <c r="AG87" s="476"/>
      <c r="AH87" s="345"/>
      <c r="AI87" s="476">
        <v>12.24</v>
      </c>
      <c r="AJ87" s="476"/>
      <c r="AK87" s="476"/>
      <c r="AL87" s="345"/>
      <c r="AM87" s="476">
        <v>6.12</v>
      </c>
      <c r="AN87" s="476"/>
      <c r="AO87" s="476"/>
      <c r="AP87" s="252"/>
      <c r="AV87" s="7">
        <v>55.08</v>
      </c>
      <c r="AW87">
        <f>H121</f>
        <v>1.2957662300413184E-2</v>
      </c>
      <c r="AX87">
        <f>G121</f>
        <v>269.52534681014322</v>
      </c>
    </row>
    <row r="88" spans="1:57" ht="15">
      <c r="A88" s="346" t="s">
        <v>212</v>
      </c>
      <c r="B88" s="344" t="s">
        <v>29</v>
      </c>
      <c r="C88" s="478">
        <v>383.15</v>
      </c>
      <c r="D88" s="476"/>
      <c r="E88" s="476"/>
      <c r="F88" s="345"/>
      <c r="G88" s="476">
        <v>383.15</v>
      </c>
      <c r="H88" s="476"/>
      <c r="I88" s="476"/>
      <c r="J88" s="345"/>
      <c r="K88" s="476">
        <v>383.15</v>
      </c>
      <c r="L88" s="476"/>
      <c r="M88" s="476"/>
      <c r="N88" s="345"/>
      <c r="O88" s="476">
        <v>383.15</v>
      </c>
      <c r="P88" s="476"/>
      <c r="Q88" s="476"/>
      <c r="R88" s="345"/>
      <c r="S88" s="476">
        <v>383.15</v>
      </c>
      <c r="T88" s="476"/>
      <c r="U88" s="476"/>
      <c r="V88" s="345"/>
      <c r="W88" s="476">
        <v>383.15</v>
      </c>
      <c r="X88" s="476"/>
      <c r="Y88" s="476"/>
      <c r="Z88" s="345"/>
      <c r="AA88" s="476">
        <v>383.15</v>
      </c>
      <c r="AB88" s="476"/>
      <c r="AC88" s="476"/>
      <c r="AD88" s="345"/>
      <c r="AE88" s="476">
        <v>383.15</v>
      </c>
      <c r="AF88" s="476"/>
      <c r="AG88" s="476"/>
      <c r="AH88" s="345"/>
      <c r="AI88" s="476">
        <v>383.15</v>
      </c>
      <c r="AJ88" s="476"/>
      <c r="AK88" s="476"/>
      <c r="AL88" s="345"/>
      <c r="AM88" s="476">
        <v>383.15</v>
      </c>
      <c r="AN88" s="476"/>
      <c r="AO88" s="476"/>
      <c r="AP88" s="8"/>
      <c r="AV88" s="7">
        <v>48.96</v>
      </c>
      <c r="AW88">
        <f>L121</f>
        <v>1.3656372689621473E-2</v>
      </c>
      <c r="AX88">
        <f t="shared" ref="AX88:AX96" si="8">$C$80-AW88</f>
        <v>269.52379875969353</v>
      </c>
      <c r="BA88" s="7">
        <v>61.2</v>
      </c>
      <c r="BB88">
        <v>0</v>
      </c>
      <c r="BC88">
        <v>0</v>
      </c>
      <c r="BD88" s="7">
        <v>0</v>
      </c>
      <c r="BE88">
        <v>0</v>
      </c>
    </row>
    <row r="89" spans="1:57" ht="16.5" thickBot="1">
      <c r="A89" s="344"/>
      <c r="B89" s="344"/>
      <c r="C89" s="344" t="s">
        <v>160</v>
      </c>
      <c r="D89" s="344" t="s">
        <v>161</v>
      </c>
      <c r="E89" s="344" t="s">
        <v>162</v>
      </c>
      <c r="F89" s="345"/>
      <c r="G89" s="344" t="s">
        <v>160</v>
      </c>
      <c r="H89" s="344" t="s">
        <v>161</v>
      </c>
      <c r="I89" s="344" t="s">
        <v>162</v>
      </c>
      <c r="J89" s="345"/>
      <c r="K89" s="344" t="s">
        <v>160</v>
      </c>
      <c r="L89" s="344" t="s">
        <v>161</v>
      </c>
      <c r="M89" s="344" t="s">
        <v>162</v>
      </c>
      <c r="N89" s="345"/>
      <c r="O89" s="344" t="s">
        <v>160</v>
      </c>
      <c r="P89" s="344" t="s">
        <v>161</v>
      </c>
      <c r="Q89" s="344" t="s">
        <v>162</v>
      </c>
      <c r="R89" s="345"/>
      <c r="S89" s="344" t="s">
        <v>160</v>
      </c>
      <c r="T89" s="344" t="s">
        <v>161</v>
      </c>
      <c r="U89" s="344" t="s">
        <v>162</v>
      </c>
      <c r="V89" s="345"/>
      <c r="W89" s="344" t="s">
        <v>160</v>
      </c>
      <c r="X89" s="344" t="s">
        <v>161</v>
      </c>
      <c r="Y89" s="344" t="s">
        <v>162</v>
      </c>
      <c r="Z89" s="345"/>
      <c r="AA89" s="344" t="s">
        <v>160</v>
      </c>
      <c r="AB89" s="344" t="s">
        <v>161</v>
      </c>
      <c r="AC89" s="344" t="s">
        <v>162</v>
      </c>
      <c r="AD89" s="345"/>
      <c r="AE89" s="344" t="s">
        <v>160</v>
      </c>
      <c r="AF89" s="344" t="s">
        <v>161</v>
      </c>
      <c r="AG89" s="344" t="s">
        <v>162</v>
      </c>
      <c r="AH89" s="345"/>
      <c r="AI89" s="344" t="s">
        <v>160</v>
      </c>
      <c r="AJ89" s="344" t="s">
        <v>161</v>
      </c>
      <c r="AK89" s="344" t="s">
        <v>162</v>
      </c>
      <c r="AL89" s="345"/>
      <c r="AM89" s="344" t="s">
        <v>160</v>
      </c>
      <c r="AN89" s="344" t="s">
        <v>161</v>
      </c>
      <c r="AO89" s="344" t="s">
        <v>162</v>
      </c>
      <c r="AP89" s="114"/>
      <c r="AQ89" s="396" t="s">
        <v>149</v>
      </c>
      <c r="AR89" s="397"/>
      <c r="AS89" s="397"/>
      <c r="AT89" s="398"/>
      <c r="AV89" s="7">
        <v>42.839999999999996</v>
      </c>
      <c r="AW89">
        <f>P121</f>
        <v>1.4564881977508904E-2</v>
      </c>
      <c r="AX89">
        <f t="shared" si="8"/>
        <v>269.52289025040568</v>
      </c>
      <c r="BA89" s="7">
        <v>55.08</v>
      </c>
      <c r="BB89">
        <f>C121+D121-K121-L121</f>
        <v>11.920377867696534</v>
      </c>
      <c r="BC89">
        <f>BB89/$C$80*100</f>
        <v>4.4225311327666299</v>
      </c>
      <c r="BD89" s="7">
        <f>G123*(G90+H90-K90-L90)/0.29</f>
        <v>11.423891234262634</v>
      </c>
      <c r="BE89">
        <f>BD89/$C$80*100</f>
        <v>4.2383316369340198</v>
      </c>
    </row>
    <row r="90" spans="1:57" ht="14.25" thickTop="1" thickBot="1">
      <c r="A90" s="344" t="s">
        <v>205</v>
      </c>
      <c r="B90" s="344"/>
      <c r="C90" s="13">
        <v>0.2923864392108757</v>
      </c>
      <c r="D90" s="13">
        <v>0.7076135607891243</v>
      </c>
      <c r="E90" s="13"/>
      <c r="F90" s="347"/>
      <c r="G90" s="13">
        <v>0.29250826721687495</v>
      </c>
      <c r="H90" s="13">
        <v>0.70749173278312505</v>
      </c>
      <c r="I90" s="13"/>
      <c r="J90" s="347"/>
      <c r="K90" s="13">
        <v>0.28023316521674946</v>
      </c>
      <c r="L90" s="13">
        <v>0.70736401927573256</v>
      </c>
      <c r="M90" s="13"/>
      <c r="N90" s="347"/>
      <c r="O90" s="13">
        <v>0.26617821484646365</v>
      </c>
      <c r="P90" s="13">
        <v>0.70722944330807269</v>
      </c>
      <c r="Q90" s="13"/>
      <c r="R90" s="347"/>
      <c r="S90" s="13">
        <v>5.9207841095565796E-4</v>
      </c>
      <c r="T90" s="13">
        <v>0.24919420526616134</v>
      </c>
      <c r="U90" s="13">
        <v>0.70709533107970368</v>
      </c>
      <c r="V90" s="347"/>
      <c r="W90" s="13">
        <v>2.419992516330763E-3</v>
      </c>
      <c r="X90" s="13">
        <v>0.22747483836667917</v>
      </c>
      <c r="Y90" s="13">
        <v>0.7069757886152167</v>
      </c>
      <c r="Z90" s="347"/>
      <c r="AA90" s="13">
        <v>4.0047650781886452E-3</v>
      </c>
      <c r="AB90" s="13">
        <v>0.20041235461235388</v>
      </c>
      <c r="AC90" s="13">
        <v>0.70684376383038627</v>
      </c>
      <c r="AD90" s="347"/>
      <c r="AE90" s="13">
        <v>4.6548098702780278E-3</v>
      </c>
      <c r="AF90" s="13">
        <v>0.16735236613009802</v>
      </c>
      <c r="AG90" s="13">
        <v>0.7066215591469559</v>
      </c>
      <c r="AH90" s="347"/>
      <c r="AI90" s="13">
        <v>4.3282749335738571E-3</v>
      </c>
      <c r="AJ90" s="13">
        <v>0.12727838258163462</v>
      </c>
      <c r="AK90" s="13">
        <v>0.7060947109916913</v>
      </c>
      <c r="AL90" s="347"/>
      <c r="AM90" s="13">
        <v>3.19531463757861E-3</v>
      </c>
      <c r="AN90" s="13">
        <v>8.2680824363093694E-2</v>
      </c>
      <c r="AO90" s="13">
        <v>0.70474490823656888</v>
      </c>
      <c r="AP90" s="114"/>
      <c r="AQ90" s="125" t="s">
        <v>79</v>
      </c>
      <c r="AR90" s="198" t="s">
        <v>31</v>
      </c>
      <c r="AS90" s="126" t="s">
        <v>52</v>
      </c>
      <c r="AT90" s="127" t="s">
        <v>54</v>
      </c>
      <c r="AV90" s="7">
        <v>38.409999999999997</v>
      </c>
      <c r="AW90">
        <v>1.4564881977508904E-2</v>
      </c>
      <c r="AX90">
        <f t="shared" si="8"/>
        <v>269.52289025040568</v>
      </c>
      <c r="BA90" s="7">
        <v>48.96</v>
      </c>
      <c r="BB90">
        <f>C121+D121-O121-P121</f>
        <v>25.496075192939553</v>
      </c>
      <c r="BC90">
        <f t="shared" ref="BC90:BC96" si="9">BB90/$C$80*100</f>
        <v>9.459195635878201</v>
      </c>
      <c r="BD90" s="7">
        <f>K123*(K90+L90-O90-P90)/0.29+BD89</f>
        <v>24.48721131603828</v>
      </c>
      <c r="BE90">
        <f t="shared" ref="BE90:BE96" si="10">BD90/$C$80*100</f>
        <v>9.084901133317965</v>
      </c>
    </row>
    <row r="91" spans="1:57" ht="13.5" thickTop="1">
      <c r="A91" s="344" t="s">
        <v>206</v>
      </c>
      <c r="B91" s="344" t="s">
        <v>210</v>
      </c>
      <c r="C91" s="13">
        <v>17.156711178092213</v>
      </c>
      <c r="D91" s="13">
        <v>11.441808893806535</v>
      </c>
      <c r="E91" s="13"/>
      <c r="F91" s="347"/>
      <c r="G91" s="13">
        <v>17.896710042716347</v>
      </c>
      <c r="H91" s="13">
        <v>11.460658983994264</v>
      </c>
      <c r="I91" s="13"/>
      <c r="J91" s="347"/>
      <c r="K91" s="13">
        <v>18.031766307296756</v>
      </c>
      <c r="L91" s="13">
        <v>11.479787105031802</v>
      </c>
      <c r="M91" s="13"/>
      <c r="N91" s="347"/>
      <c r="O91" s="13">
        <v>18.231266849754778</v>
      </c>
      <c r="P91" s="13">
        <v>11.499166693455559</v>
      </c>
      <c r="Q91" s="13"/>
      <c r="R91" s="347"/>
      <c r="S91" s="13">
        <v>6.5207455252146732E-2</v>
      </c>
      <c r="T91" s="13">
        <v>18.499949070619337</v>
      </c>
      <c r="U91" s="13">
        <v>11.518961466496503</v>
      </c>
      <c r="V91" s="347"/>
      <c r="W91" s="13">
        <v>0.27635778052300969</v>
      </c>
      <c r="X91" s="13">
        <v>18.911772501663354</v>
      </c>
      <c r="Y91" s="13">
        <v>11.539528573183492</v>
      </c>
      <c r="Z91" s="347"/>
      <c r="AA91" s="13">
        <v>0.47726694070912767</v>
      </c>
      <c r="AB91" s="13">
        <v>19.7821947154541</v>
      </c>
      <c r="AC91" s="13">
        <v>11.560094934959613</v>
      </c>
      <c r="AD91" s="347"/>
      <c r="AE91" s="13">
        <v>0.59786074694511282</v>
      </c>
      <c r="AF91" s="13">
        <v>21.738258784845854</v>
      </c>
      <c r="AG91" s="13">
        <v>11.578666500281567</v>
      </c>
      <c r="AH91" s="347"/>
      <c r="AI91" s="13">
        <v>0.6210450599755456</v>
      </c>
      <c r="AJ91" s="13">
        <v>26.00804120695193</v>
      </c>
      <c r="AK91" s="13">
        <v>11.58981796433519</v>
      </c>
      <c r="AL91" s="347"/>
      <c r="AM91" s="13">
        <v>0.55542298667313506</v>
      </c>
      <c r="AN91" s="13">
        <v>37.531390879927457</v>
      </c>
      <c r="AO91" s="13">
        <v>11.580574148729434</v>
      </c>
      <c r="AP91" s="114"/>
      <c r="AQ91" s="328">
        <v>612</v>
      </c>
      <c r="AR91" s="7">
        <v>61.2</v>
      </c>
      <c r="AS91" s="252">
        <v>0</v>
      </c>
      <c r="AT91" s="252">
        <v>0</v>
      </c>
      <c r="AU91" s="367">
        <v>0</v>
      </c>
      <c r="AV91" s="7">
        <v>36.72</v>
      </c>
      <c r="AW91">
        <f>S121+U121</f>
        <v>6.6164698819963945</v>
      </c>
      <c r="AX91">
        <f t="shared" si="8"/>
        <v>262.92098525038676</v>
      </c>
      <c r="BA91" s="7">
        <v>42.839999999999996</v>
      </c>
      <c r="BB91">
        <f>C121+D121-S121-T121-U121</f>
        <v>41.601933374293274</v>
      </c>
      <c r="BC91">
        <f t="shared" si="9"/>
        <v>15.434564874800241</v>
      </c>
      <c r="BD91" s="7">
        <f>O123*(O90+P90-S90-T90-U90)/0.29+BD90</f>
        <v>39.693504237589565</v>
      </c>
      <c r="BE91">
        <f t="shared" si="10"/>
        <v>14.726526307111612</v>
      </c>
    </row>
    <row r="92" spans="1:57">
      <c r="A92" s="344" t="s">
        <v>207</v>
      </c>
      <c r="B92" s="344"/>
      <c r="C92" s="13">
        <v>30.66342630257601</v>
      </c>
      <c r="D92" s="13">
        <v>18.052967509587432</v>
      </c>
      <c r="E92" s="13"/>
      <c r="F92" s="347"/>
      <c r="G92" s="13">
        <v>30.660672011844305</v>
      </c>
      <c r="H92" s="13">
        <v>18.051934770678571</v>
      </c>
      <c r="I92" s="13"/>
      <c r="J92" s="347"/>
      <c r="K92" s="13">
        <v>30.657824180341581</v>
      </c>
      <c r="L92" s="13">
        <v>18.050786494545324</v>
      </c>
      <c r="M92" s="13"/>
      <c r="N92" s="347"/>
      <c r="O92" s="13">
        <v>30.654882949367835</v>
      </c>
      <c r="P92" s="13">
        <v>18.049494533789886</v>
      </c>
      <c r="Q92" s="13"/>
      <c r="R92" s="347"/>
      <c r="S92" s="13">
        <v>98.113857926425396</v>
      </c>
      <c r="T92" s="13">
        <v>30.491896790884773</v>
      </c>
      <c r="U92" s="13">
        <v>18.048057198310861</v>
      </c>
      <c r="V92" s="347"/>
      <c r="W92" s="13">
        <v>100.07471610742959</v>
      </c>
      <c r="X92" s="13">
        <v>29.925650894655792</v>
      </c>
      <c r="Y92" s="13">
        <v>18.046595659931285</v>
      </c>
      <c r="Z92" s="347"/>
      <c r="AA92" s="13">
        <v>102.58711603846264</v>
      </c>
      <c r="AB92" s="13">
        <v>29.319262519392346</v>
      </c>
      <c r="AC92" s="13">
        <v>18.044795413574466</v>
      </c>
      <c r="AD92" s="347"/>
      <c r="AE92" s="13">
        <v>111.1012737712491</v>
      </c>
      <c r="AF92" s="13">
        <v>28.795055950656412</v>
      </c>
      <c r="AG92" s="13">
        <v>18.04191239676279</v>
      </c>
      <c r="AH92" s="347"/>
      <c r="AI92" s="13">
        <v>127.55011626142783</v>
      </c>
      <c r="AJ92" s="13">
        <v>28.433314159534323</v>
      </c>
      <c r="AK92" s="13">
        <v>18.03632869714399</v>
      </c>
      <c r="AL92" s="347"/>
      <c r="AM92" s="13">
        <v>164.17974594969149</v>
      </c>
      <c r="AN92" s="13">
        <v>28.309635000785089</v>
      </c>
      <c r="AO92" s="13">
        <v>18.024188452943978</v>
      </c>
      <c r="AP92" s="114"/>
      <c r="AQ92" s="328">
        <v>550.79999999999995</v>
      </c>
      <c r="AR92" s="7">
        <v>55.08</v>
      </c>
      <c r="AS92" s="8">
        <v>0</v>
      </c>
      <c r="AT92" s="8">
        <v>0</v>
      </c>
      <c r="AU92" s="367">
        <v>0</v>
      </c>
      <c r="AV92" s="7">
        <v>30.6</v>
      </c>
      <c r="AW92">
        <f>W121+Y121</f>
        <v>27.895286298315135</v>
      </c>
      <c r="AX92">
        <f t="shared" si="8"/>
        <v>241.64216883406803</v>
      </c>
      <c r="BA92" s="7">
        <v>36.72</v>
      </c>
      <c r="BB92">
        <f>C121+D121-W121-X121-Y121</f>
        <v>61.013158809536328</v>
      </c>
      <c r="BC92">
        <f t="shared" si="9"/>
        <v>22.636245036731445</v>
      </c>
      <c r="BD92" s="7">
        <f>T123*(S90+T90+U90-W90-X90-Y90)/0.29+BD91</f>
        <v>57.576058138953421</v>
      </c>
      <c r="BE92">
        <f t="shared" si="10"/>
        <v>21.361060232120604</v>
      </c>
    </row>
    <row r="93" spans="1:57">
      <c r="A93" s="344" t="s">
        <v>16</v>
      </c>
      <c r="B93" s="344"/>
      <c r="C93" s="13">
        <v>1.1552358882388876</v>
      </c>
      <c r="D93" s="13">
        <v>0.43012151476350846</v>
      </c>
      <c r="E93" s="13"/>
      <c r="F93" s="347"/>
      <c r="G93" s="13">
        <v>1.0830402280605853</v>
      </c>
      <c r="H93" s="13">
        <v>0.38762926008369158</v>
      </c>
      <c r="I93" s="13"/>
      <c r="J93" s="347"/>
      <c r="K93" s="13">
        <v>1.0113065009775333</v>
      </c>
      <c r="L93" s="13">
        <v>0.34503086436874209</v>
      </c>
      <c r="M93" s="13"/>
      <c r="N93" s="347"/>
      <c r="O93" s="13">
        <v>0.94066912218066479</v>
      </c>
      <c r="P93" s="13">
        <v>0.30232284545014287</v>
      </c>
      <c r="Q93" s="13"/>
      <c r="R93" s="347"/>
      <c r="S93" s="13">
        <v>1.5344379009655664</v>
      </c>
      <c r="T93" s="13">
        <v>0.87193933638793897</v>
      </c>
      <c r="U93" s="13">
        <v>0.25950199956011583</v>
      </c>
      <c r="V93" s="347"/>
      <c r="W93" s="13">
        <v>1.3243037482895339</v>
      </c>
      <c r="X93" s="13">
        <v>0.81036016422031321</v>
      </c>
      <c r="Y93" s="13">
        <v>0.21656611638747569</v>
      </c>
      <c r="Z93" s="347"/>
      <c r="AA93" s="13">
        <v>1.1028213205008544</v>
      </c>
      <c r="AB93" s="13">
        <v>0.76646556378223774</v>
      </c>
      <c r="AC93" s="13">
        <v>0.17350865012487793</v>
      </c>
      <c r="AD93" s="347"/>
      <c r="AE93" s="13">
        <v>0.89248474463372152</v>
      </c>
      <c r="AF93" s="13">
        <v>0.75374540752571617</v>
      </c>
      <c r="AG93" s="13">
        <v>0.13032259370728999</v>
      </c>
      <c r="AH93" s="347"/>
      <c r="AI93" s="13">
        <v>0.66847483886847547</v>
      </c>
      <c r="AJ93" s="13">
        <v>0.78827308252054751</v>
      </c>
      <c r="AK93" s="13">
        <v>8.7002691542549027E-2</v>
      </c>
      <c r="AL93" s="347"/>
      <c r="AM93" s="13">
        <v>0.41623118735601505</v>
      </c>
      <c r="AN93" s="13">
        <v>0.8735619715274574</v>
      </c>
      <c r="AO93" s="13">
        <v>4.3551110136251958E-2</v>
      </c>
      <c r="AP93" s="114"/>
      <c r="AQ93" s="358">
        <v>489.6</v>
      </c>
      <c r="AR93" s="7">
        <v>48.96</v>
      </c>
      <c r="AS93" s="8">
        <v>0</v>
      </c>
      <c r="AT93" s="114">
        <v>0</v>
      </c>
      <c r="AU93" s="366">
        <v>0</v>
      </c>
      <c r="AV93" s="7">
        <v>24.48</v>
      </c>
      <c r="AW93">
        <f>AA121+AC121</f>
        <v>48.101453049256271</v>
      </c>
      <c r="AX93">
        <f t="shared" si="8"/>
        <v>221.43600208312691</v>
      </c>
      <c r="BA93" s="7">
        <v>30.6</v>
      </c>
      <c r="BB93">
        <f>C121+D121-AA121-AB121-AC121</f>
        <v>82.654557319503226</v>
      </c>
      <c r="BC93">
        <f t="shared" si="9"/>
        <v>30.665332682208295</v>
      </c>
      <c r="BD93" s="7">
        <f>X123*(W90+X90+Y90-AA90-AB90-AC90)/0.29+BD92</f>
        <v>78.094329297050351</v>
      </c>
      <c r="BE93">
        <f t="shared" si="10"/>
        <v>28.973460945787426</v>
      </c>
    </row>
    <row r="94" spans="1:57" ht="15">
      <c r="A94" s="344" t="s">
        <v>208</v>
      </c>
      <c r="B94" s="344" t="s">
        <v>27</v>
      </c>
      <c r="C94" s="13">
        <v>522.56926968984851</v>
      </c>
      <c r="D94" s="13">
        <v>1116.4777126442305</v>
      </c>
      <c r="E94" s="13"/>
      <c r="F94" s="347"/>
      <c r="G94" s="13">
        <v>501.12562702771947</v>
      </c>
      <c r="H94" s="13">
        <v>1114.3857110513359</v>
      </c>
      <c r="I94" s="13"/>
      <c r="J94" s="347"/>
      <c r="K94" s="13">
        <v>476.4557704609968</v>
      </c>
      <c r="L94" s="13">
        <v>1112.2572891855316</v>
      </c>
      <c r="M94" s="13"/>
      <c r="N94" s="347"/>
      <c r="O94" s="13">
        <v>447.56418119675425</v>
      </c>
      <c r="P94" s="13">
        <v>1110.0920885327503</v>
      </c>
      <c r="Q94" s="13"/>
      <c r="R94" s="347"/>
      <c r="S94" s="13">
        <v>890.86588135019565</v>
      </c>
      <c r="T94" s="13">
        <v>410.7256705873715</v>
      </c>
      <c r="U94" s="13">
        <v>1107.886072637981</v>
      </c>
      <c r="V94" s="347"/>
      <c r="W94" s="13">
        <v>876.32801072427662</v>
      </c>
      <c r="X94" s="13">
        <v>359.95211975401918</v>
      </c>
      <c r="Y94" s="13">
        <v>1105.6349587927825</v>
      </c>
      <c r="Z94" s="347"/>
      <c r="AA94" s="13">
        <v>860.81239813613638</v>
      </c>
      <c r="AB94" s="13">
        <v>297.03187748014602</v>
      </c>
      <c r="AC94" s="13">
        <v>1103.3517613343743</v>
      </c>
      <c r="AD94" s="347"/>
      <c r="AE94" s="13">
        <v>865.00963375397782</v>
      </c>
      <c r="AF94" s="13">
        <v>221.67924275288638</v>
      </c>
      <c r="AG94" s="13">
        <v>1101.0598040355765</v>
      </c>
      <c r="AH94" s="347"/>
      <c r="AI94" s="13">
        <v>888.9402823854806</v>
      </c>
      <c r="AJ94" s="13">
        <v>139.14720485346191</v>
      </c>
      <c r="AK94" s="13">
        <v>1098.8400627128879</v>
      </c>
      <c r="AL94" s="347"/>
      <c r="AM94" s="13">
        <v>944.51608596407596</v>
      </c>
      <c r="AN94" s="13">
        <v>62.365500036265274</v>
      </c>
      <c r="AO94" s="13">
        <v>1096.8761025291892</v>
      </c>
      <c r="AP94" s="114"/>
      <c r="AQ94" s="376">
        <v>38.409999999999997</v>
      </c>
      <c r="AR94" s="7">
        <v>38.409999999999997</v>
      </c>
      <c r="AS94" s="8"/>
      <c r="AT94" s="366">
        <v>0</v>
      </c>
      <c r="AU94" s="366">
        <v>0</v>
      </c>
      <c r="AV94" s="7">
        <v>18.36</v>
      </c>
      <c r="AW94">
        <f>AE121+AG121</f>
        <v>62.632578818625298</v>
      </c>
      <c r="AX94">
        <f t="shared" si="8"/>
        <v>206.90487631375788</v>
      </c>
      <c r="BA94" s="7">
        <v>24.48</v>
      </c>
      <c r="BB94">
        <f>C121+D121-AE121-AF121-AG121</f>
        <v>106.06725772396727</v>
      </c>
      <c r="BC94">
        <f t="shared" si="9"/>
        <v>39.351583872405563</v>
      </c>
      <c r="BD94" s="7">
        <f>AB123*(AA90+AB90+AC90-AE90-AF90-AG90)/0.29+BD93</f>
        <v>100.96110512679492</v>
      </c>
      <c r="BE94">
        <f t="shared" si="10"/>
        <v>37.457170869706374</v>
      </c>
    </row>
    <row r="95" spans="1:57">
      <c r="F95" s="345"/>
      <c r="J95" s="345"/>
      <c r="N95" s="345"/>
      <c r="R95" s="345"/>
      <c r="V95" s="345"/>
      <c r="Z95" s="345"/>
      <c r="AD95" s="345"/>
      <c r="AH95" s="345"/>
      <c r="AL95" s="345"/>
      <c r="AP95" s="114"/>
      <c r="AQ95" s="328">
        <v>367.2</v>
      </c>
      <c r="AR95" s="7">
        <v>36.72</v>
      </c>
      <c r="AS95" s="8"/>
      <c r="AT95" s="114">
        <v>2.2800989382740951E-3</v>
      </c>
      <c r="AU95">
        <f t="shared" ref="AU95:AU100" si="11">AT95/0.6</f>
        <v>3.8001648971234918E-3</v>
      </c>
      <c r="AV95" s="7">
        <v>12.24</v>
      </c>
      <c r="AW95">
        <f>AI121+AK121</f>
        <v>70.217351808281165</v>
      </c>
      <c r="AX95">
        <f t="shared" si="8"/>
        <v>199.32010332410201</v>
      </c>
      <c r="BA95" s="7">
        <v>18.36</v>
      </c>
      <c r="BB95">
        <f>C121+D121-AI121-AJ121-AK121</f>
        <v>131.16616021386253</v>
      </c>
      <c r="BC95">
        <f t="shared" si="9"/>
        <v>48.663426071690239</v>
      </c>
      <c r="BD95" s="7">
        <f>AF123*(AE90+AF90+AG90-AI90-AJ90-AK90)/0.29+BD94</f>
        <v>125.99200247936557</v>
      </c>
      <c r="BE95">
        <f t="shared" si="10"/>
        <v>46.743782758312626</v>
      </c>
    </row>
    <row r="96" spans="1:57">
      <c r="A96" s="344" t="s">
        <v>22</v>
      </c>
      <c r="B96" t="s">
        <v>17</v>
      </c>
      <c r="C96" s="79">
        <v>0.13115537120920984</v>
      </c>
      <c r="D96" s="348">
        <v>4.7758840062597671E-4</v>
      </c>
      <c r="E96" s="13"/>
      <c r="F96" s="347"/>
      <c r="G96" s="13">
        <v>0.13113989473691351</v>
      </c>
      <c r="H96" s="13">
        <v>4.614847246591606E-4</v>
      </c>
      <c r="I96" s="13"/>
      <c r="J96" s="347"/>
      <c r="K96" s="13">
        <v>0.13112576276308449</v>
      </c>
      <c r="L96" s="13">
        <v>4.4348953409334484E-4</v>
      </c>
      <c r="M96" s="13"/>
      <c r="N96" s="347"/>
      <c r="O96" s="13">
        <v>0.13111379775042586</v>
      </c>
      <c r="P96" s="13">
        <v>4.2312575003152864E-4</v>
      </c>
      <c r="Q96" s="13"/>
      <c r="R96" s="347"/>
      <c r="S96" s="13">
        <v>0.10576198414944057</v>
      </c>
      <c r="T96" s="13">
        <v>0.13116965627108676</v>
      </c>
      <c r="U96" s="13">
        <v>3.9988054577364256E-4</v>
      </c>
      <c r="V96" s="347"/>
      <c r="W96" s="13">
        <v>0.1014388360624376</v>
      </c>
      <c r="X96" s="13">
        <v>0.13143510466637701</v>
      </c>
      <c r="Y96" s="13">
        <v>3.7284943082140077E-4</v>
      </c>
      <c r="Z96" s="347"/>
      <c r="AA96" s="13">
        <v>9.5230147546531668E-2</v>
      </c>
      <c r="AB96" s="13">
        <v>0.13182789387183877</v>
      </c>
      <c r="AC96" s="13">
        <v>3.3943090978886918E-4</v>
      </c>
      <c r="AD96" s="347"/>
      <c r="AE96" s="13">
        <v>8.4730275950208517E-2</v>
      </c>
      <c r="AF96" s="13">
        <v>0.13227404818400709</v>
      </c>
      <c r="AG96" s="13">
        <v>2.9525273359334809E-4</v>
      </c>
      <c r="AH96" s="347"/>
      <c r="AI96" s="13">
        <v>6.7562261970460807E-2</v>
      </c>
      <c r="AJ96" s="13">
        <v>0.13254004865529823</v>
      </c>
      <c r="AK96" s="13">
        <v>2.3208031201326393E-4</v>
      </c>
      <c r="AL96" s="347"/>
      <c r="AM96" s="13">
        <v>3.9789756739969734E-2</v>
      </c>
      <c r="AN96" s="13">
        <v>0.13137492428525993</v>
      </c>
      <c r="AO96" s="13">
        <v>1.3682375044057099E-4</v>
      </c>
      <c r="AQ96" s="328">
        <v>306</v>
      </c>
      <c r="AR96" s="7">
        <v>30.6</v>
      </c>
      <c r="AS96" s="8"/>
      <c r="AT96" s="114">
        <v>9.6633594965133251E-3</v>
      </c>
      <c r="AU96">
        <f t="shared" si="11"/>
        <v>1.6105599160855542E-2</v>
      </c>
      <c r="AV96" s="7">
        <v>6.12</v>
      </c>
      <c r="AW96">
        <f>AM121+AO121</f>
        <v>71.204752301575382</v>
      </c>
      <c r="AX96">
        <f t="shared" si="8"/>
        <v>198.33270283080779</v>
      </c>
      <c r="BA96" s="7">
        <v>12.24</v>
      </c>
      <c r="BB96">
        <f>C121+D121-AM121-AN121-AO121</f>
        <v>156.5973283768212</v>
      </c>
      <c r="BC96">
        <f t="shared" si="9"/>
        <v>58.098540813152852</v>
      </c>
      <c r="BD96" s="7">
        <f>AJ123*(AI90+AJ90+AK90-AM90-AN90-AO90)/0.29+BD95</f>
        <v>151.66281441927228</v>
      </c>
      <c r="BE96">
        <f t="shared" si="10"/>
        <v>56.267806767257319</v>
      </c>
    </row>
    <row r="97" spans="1:56">
      <c r="A97" s="344" t="s">
        <v>23</v>
      </c>
      <c r="B97" t="s">
        <v>17</v>
      </c>
      <c r="C97" s="79">
        <v>2.181232287074745E-3</v>
      </c>
      <c r="D97" s="348">
        <v>3.3529387163847511E-7</v>
      </c>
      <c r="E97" s="13"/>
      <c r="F97" s="347"/>
      <c r="G97" s="13">
        <v>2.1803774490757048E-3</v>
      </c>
      <c r="H97" s="13">
        <v>3.1317749996046224E-7</v>
      </c>
      <c r="I97" s="13"/>
      <c r="J97" s="347"/>
      <c r="K97" s="13">
        <v>2.1794448405275846E-3</v>
      </c>
      <c r="L97" s="13">
        <v>2.8903744102254715E-7</v>
      </c>
      <c r="M97" s="13"/>
      <c r="N97" s="347"/>
      <c r="O97" s="13">
        <v>2.1784135559607199E-3</v>
      </c>
      <c r="P97" s="13">
        <v>2.6251632251903595E-7</v>
      </c>
      <c r="Q97" s="13"/>
      <c r="R97" s="347"/>
      <c r="S97" s="13">
        <v>1.1526978461597814E-3</v>
      </c>
      <c r="T97" s="13">
        <v>2.1797630293721925E-3</v>
      </c>
      <c r="U97" s="13">
        <v>2.3268510249587561E-7</v>
      </c>
      <c r="V97" s="347"/>
      <c r="W97" s="13">
        <v>1.0162494329830295E-3</v>
      </c>
      <c r="X97" s="13">
        <v>2.1884298544652234E-3</v>
      </c>
      <c r="Y97" s="13">
        <v>1.981153306951735E-7</v>
      </c>
      <c r="Z97" s="347"/>
      <c r="AA97" s="13">
        <v>8.4904592395971699E-4</v>
      </c>
      <c r="AB97" s="13">
        <v>2.1997353031908543E-3</v>
      </c>
      <c r="AC97" s="13">
        <v>1.5934823452178059E-7</v>
      </c>
      <c r="AD97" s="347"/>
      <c r="AE97" s="13">
        <v>6.3825107423748568E-4</v>
      </c>
      <c r="AF97" s="13">
        <v>2.208102226793492E-3</v>
      </c>
      <c r="AG97" s="13">
        <v>1.1722951240311508E-7</v>
      </c>
      <c r="AH97" s="347"/>
      <c r="AI97" s="13">
        <v>4.0834295121194261E-4</v>
      </c>
      <c r="AJ97" s="13">
        <v>2.2029905528393374E-3</v>
      </c>
      <c r="AK97" s="13">
        <v>7.449741166829542E-8</v>
      </c>
      <c r="AL97" s="347"/>
      <c r="AM97" s="13">
        <v>1.8602742891154372E-4</v>
      </c>
      <c r="AN97" s="13">
        <v>2.1513670736285112E-3</v>
      </c>
      <c r="AO97" s="13">
        <v>3.4586830792111625E-8</v>
      </c>
      <c r="AQ97" s="328">
        <v>244.8</v>
      </c>
      <c r="AR97" s="7">
        <v>24.48</v>
      </c>
      <c r="AS97" s="8"/>
      <c r="AT97" s="114">
        <v>1.6688518829269628E-2</v>
      </c>
      <c r="AU97">
        <f t="shared" si="11"/>
        <v>2.7814198048782716E-2</v>
      </c>
      <c r="BA97" s="7">
        <v>6.12</v>
      </c>
      <c r="BD97" s="7"/>
    </row>
    <row r="98" spans="1:56">
      <c r="A98" s="344" t="s">
        <v>157</v>
      </c>
      <c r="B98" t="s">
        <v>17</v>
      </c>
      <c r="C98" s="79">
        <v>1.5556778572101176E-2</v>
      </c>
      <c r="D98" s="348">
        <v>0.99694444538484839</v>
      </c>
      <c r="E98" s="13"/>
      <c r="F98" s="347"/>
      <c r="G98" s="13">
        <v>1.5827758942024064E-2</v>
      </c>
      <c r="H98" s="13">
        <v>0.99700140223994183</v>
      </c>
      <c r="I98" s="13"/>
      <c r="J98" s="347"/>
      <c r="K98" s="13">
        <v>1.6115096942381404E-2</v>
      </c>
      <c r="L98" s="13">
        <v>0.99706471828203469</v>
      </c>
      <c r="M98" s="13"/>
      <c r="N98" s="347"/>
      <c r="O98" s="13">
        <v>1.6421803900812611E-2</v>
      </c>
      <c r="P98" s="13">
        <v>0.99713594486107182</v>
      </c>
      <c r="Q98" s="13"/>
      <c r="R98" s="347"/>
      <c r="S98" s="13">
        <v>1.7302828227481479E-3</v>
      </c>
      <c r="T98" s="13">
        <v>1.6771485586871169E-2</v>
      </c>
      <c r="U98" s="13">
        <v>0.99721102051085309</v>
      </c>
      <c r="V98" s="347"/>
      <c r="W98" s="13">
        <v>1.631051735030038E-3</v>
      </c>
      <c r="X98" s="13">
        <v>1.7165608961618062E-2</v>
      </c>
      <c r="Y98" s="13">
        <v>0.99728922003818121</v>
      </c>
      <c r="Z98" s="347"/>
      <c r="AA98" s="13">
        <v>1.4852776517820258E-3</v>
      </c>
      <c r="AB98" s="13">
        <v>1.7574507560565958E-2</v>
      </c>
      <c r="AC98" s="13">
        <v>0.99739200768741265</v>
      </c>
      <c r="AD98" s="347"/>
      <c r="AE98" s="13">
        <v>1.0977885684223276E-3</v>
      </c>
      <c r="AF98" s="13">
        <v>1.8278613338436972E-2</v>
      </c>
      <c r="AG98" s="13">
        <v>0.99755071877706403</v>
      </c>
      <c r="AH98" s="347"/>
      <c r="AI98" s="13">
        <v>5.8869645708218795E-4</v>
      </c>
      <c r="AJ98" s="13">
        <v>2.0511691305774758E-2</v>
      </c>
      <c r="AK98" s="13">
        <v>0.99787404438470928</v>
      </c>
      <c r="AL98" s="347"/>
      <c r="AM98" s="13">
        <v>1.544494274089793E-4</v>
      </c>
      <c r="AN98" s="13">
        <v>3.0247365016897974E-2</v>
      </c>
      <c r="AO98" s="13">
        <v>0.99857374218565731</v>
      </c>
      <c r="AQ98" s="328">
        <v>183.6</v>
      </c>
      <c r="AR98" s="7">
        <v>18.36</v>
      </c>
      <c r="AS98" s="8"/>
      <c r="AT98" s="114">
        <v>2.090530368152085E-2</v>
      </c>
      <c r="AU98">
        <f t="shared" si="11"/>
        <v>3.4842172802534752E-2</v>
      </c>
    </row>
    <row r="99" spans="1:56">
      <c r="A99" s="344" t="s">
        <v>159</v>
      </c>
      <c r="B99" t="s">
        <v>17</v>
      </c>
      <c r="C99" s="79"/>
      <c r="D99" s="348"/>
      <c r="E99" s="13"/>
      <c r="F99" s="347"/>
      <c r="G99" s="13"/>
      <c r="H99" s="13"/>
      <c r="I99" s="13"/>
      <c r="J99" s="347"/>
      <c r="K99" s="13"/>
      <c r="L99" s="13"/>
      <c r="M99" s="13"/>
      <c r="N99" s="347"/>
      <c r="O99" s="13"/>
      <c r="P99" s="13"/>
      <c r="Q99" s="13"/>
      <c r="R99" s="347"/>
      <c r="S99" s="13"/>
      <c r="T99" s="13"/>
      <c r="U99" s="13"/>
      <c r="V99" s="347"/>
      <c r="W99" s="13"/>
      <c r="X99" s="13"/>
      <c r="Y99" s="13"/>
      <c r="Z99" s="347"/>
      <c r="AA99" s="13"/>
      <c r="AB99" s="13"/>
      <c r="AC99" s="13"/>
      <c r="AD99" s="347"/>
      <c r="AE99" s="13"/>
      <c r="AF99" s="13"/>
      <c r="AG99" s="13"/>
      <c r="AH99" s="347"/>
      <c r="AI99" s="13"/>
      <c r="AJ99" s="13"/>
      <c r="AK99" s="13"/>
      <c r="AL99" s="347"/>
      <c r="AM99" s="13"/>
      <c r="AN99" s="13"/>
      <c r="AO99" s="13"/>
      <c r="AQ99" s="360">
        <v>122.4</v>
      </c>
      <c r="AR99" s="7">
        <v>12.24</v>
      </c>
      <c r="AS99" s="8"/>
      <c r="AT99" s="114">
        <v>2.1715985946622184E-2</v>
      </c>
      <c r="AU99">
        <f t="shared" si="11"/>
        <v>3.6193309911036975E-2</v>
      </c>
    </row>
    <row r="100" spans="1:56">
      <c r="A100" s="344" t="s">
        <v>193</v>
      </c>
      <c r="B100" t="s">
        <v>17</v>
      </c>
      <c r="C100" s="79">
        <v>0.24972506909991721</v>
      </c>
      <c r="D100" s="348">
        <v>2.4261494681797561E-3</v>
      </c>
      <c r="E100" s="13"/>
      <c r="F100" s="347"/>
      <c r="G100" s="13">
        <v>0.24971023256863939</v>
      </c>
      <c r="H100" s="13">
        <v>2.3896993939047247E-3</v>
      </c>
      <c r="I100" s="13"/>
      <c r="J100" s="347"/>
      <c r="K100" s="13">
        <v>0.24969949579953243</v>
      </c>
      <c r="L100" s="13">
        <v>2.349299581117922E-3</v>
      </c>
      <c r="M100" s="13"/>
      <c r="N100" s="347"/>
      <c r="O100" s="13">
        <v>0.24969485082312262</v>
      </c>
      <c r="P100" s="13">
        <v>2.3039804830777512E-3</v>
      </c>
      <c r="Q100" s="13"/>
      <c r="R100" s="347"/>
      <c r="S100" s="13">
        <v>0.26325518829712474</v>
      </c>
      <c r="T100" s="13">
        <v>0.2496643977663161</v>
      </c>
      <c r="U100" s="13">
        <v>2.2564364006936594E-3</v>
      </c>
      <c r="V100" s="347"/>
      <c r="W100" s="13">
        <v>0.2645413717462648</v>
      </c>
      <c r="X100" s="13">
        <v>0.24955090762380103</v>
      </c>
      <c r="Y100" s="13">
        <v>2.2115763670726755E-3</v>
      </c>
      <c r="Z100" s="347"/>
      <c r="AA100" s="13">
        <v>0.26461847804741362</v>
      </c>
      <c r="AB100" s="13">
        <v>0.24947620840581955</v>
      </c>
      <c r="AC100" s="13">
        <v>2.1525116248832586E-3</v>
      </c>
      <c r="AD100" s="347"/>
      <c r="AE100" s="13">
        <v>0.25800310988199598</v>
      </c>
      <c r="AF100" s="13">
        <v>0.24971879102956909</v>
      </c>
      <c r="AG100" s="13">
        <v>2.046934415501675E-3</v>
      </c>
      <c r="AH100" s="347"/>
      <c r="AI100" s="13">
        <v>0.23217716623147736</v>
      </c>
      <c r="AJ100" s="13">
        <v>0.25094730034984403</v>
      </c>
      <c r="AK100" s="13">
        <v>1.80282943456149E-3</v>
      </c>
      <c r="AL100" s="347"/>
      <c r="AM100" s="13">
        <v>0.15934441555650211</v>
      </c>
      <c r="AN100" s="13">
        <v>0.25439855437428627</v>
      </c>
      <c r="AO100" s="13">
        <v>1.2207880765069251E-3</v>
      </c>
      <c r="AQ100" s="360">
        <v>61.2</v>
      </c>
      <c r="AR100" s="7">
        <v>6.12</v>
      </c>
      <c r="AS100" s="8"/>
      <c r="AT100" s="114">
        <v>1.942138912351973E-2</v>
      </c>
      <c r="AU100">
        <f t="shared" si="11"/>
        <v>3.2368981872532884E-2</v>
      </c>
    </row>
    <row r="101" spans="1:56">
      <c r="A101" s="344" t="s">
        <v>24</v>
      </c>
      <c r="B101" t="s">
        <v>17</v>
      </c>
      <c r="C101" s="79">
        <v>0.51904969703873793</v>
      </c>
      <c r="D101" s="348">
        <v>3.2372626287785522E-5</v>
      </c>
      <c r="E101" s="13"/>
      <c r="F101" s="347"/>
      <c r="G101" s="13">
        <v>0.5188372573601846</v>
      </c>
      <c r="H101" s="13">
        <v>3.0831288912444773E-5</v>
      </c>
      <c r="I101" s="13"/>
      <c r="J101" s="347"/>
      <c r="K101" s="13">
        <v>0.51860515689143283</v>
      </c>
      <c r="L101" s="13">
        <v>2.9111750893086042E-5</v>
      </c>
      <c r="M101" s="13"/>
      <c r="N101" s="347"/>
      <c r="O101" s="13">
        <v>0.5183481176825302</v>
      </c>
      <c r="P101" s="13">
        <v>2.717513001040219E-5</v>
      </c>
      <c r="Q101" s="13"/>
      <c r="R101" s="347"/>
      <c r="S101" s="13">
        <v>0.31031253531020936</v>
      </c>
      <c r="T101" s="13">
        <v>0.51856977484435107</v>
      </c>
      <c r="U101" s="13">
        <v>2.4947028939622031E-5</v>
      </c>
      <c r="V101" s="347"/>
      <c r="W101" s="13">
        <v>0.28843781557331444</v>
      </c>
      <c r="X101" s="13">
        <v>0.52021166224432436</v>
      </c>
      <c r="Y101" s="13">
        <v>2.2311586724847774E-5</v>
      </c>
      <c r="Z101" s="347"/>
      <c r="AA101" s="13">
        <v>0.25932760285224332</v>
      </c>
      <c r="AB101" s="13">
        <v>0.52229443576624945</v>
      </c>
      <c r="AC101" s="13">
        <v>1.9194863096272149E-5</v>
      </c>
      <c r="AD101" s="347"/>
      <c r="AE101" s="13">
        <v>0.21493103943654013</v>
      </c>
      <c r="AF101" s="13">
        <v>0.5238730490954413</v>
      </c>
      <c r="AG101" s="13">
        <v>1.5460334256642284E-5</v>
      </c>
      <c r="AH101" s="347"/>
      <c r="AI101" s="13">
        <v>0.15550603743299016</v>
      </c>
      <c r="AJ101" s="13">
        <v>0.52295764814758916</v>
      </c>
      <c r="AK101" s="13">
        <v>1.0991719601352408E-5</v>
      </c>
      <c r="AL101" s="347"/>
      <c r="AM101" s="13">
        <v>8.0916907698298859E-2</v>
      </c>
      <c r="AN101" s="13">
        <v>0.51231260100999454</v>
      </c>
      <c r="AO101" s="13">
        <v>5.7332034225184692E-6</v>
      </c>
      <c r="AQ101" s="360"/>
      <c r="AR101" s="7"/>
      <c r="AS101" s="8"/>
      <c r="AT101" s="80"/>
    </row>
    <row r="102" spans="1:56">
      <c r="A102" s="344" t="s">
        <v>4</v>
      </c>
      <c r="B102" t="s">
        <v>17</v>
      </c>
      <c r="C102" s="79">
        <v>2.1447753675274985E-2</v>
      </c>
      <c r="D102" s="348">
        <v>1.1301037493571358E-4</v>
      </c>
      <c r="E102" s="13"/>
      <c r="F102" s="347"/>
      <c r="G102" s="13">
        <v>2.1445801713832185E-2</v>
      </c>
      <c r="H102" s="13">
        <v>1.1014362147203444E-4</v>
      </c>
      <c r="I102" s="13"/>
      <c r="J102" s="347"/>
      <c r="K102" s="13">
        <v>2.1444189160814503E-2</v>
      </c>
      <c r="L102" s="13">
        <v>1.0693033831182493E-4</v>
      </c>
      <c r="M102" s="13"/>
      <c r="N102" s="347"/>
      <c r="O102" s="13">
        <v>2.1443055200319187E-2</v>
      </c>
      <c r="P102" s="13">
        <v>1.0329693942379778E-4</v>
      </c>
      <c r="Q102" s="13"/>
      <c r="R102" s="347"/>
      <c r="S102" s="13">
        <v>1.99453484439624E-2</v>
      </c>
      <c r="T102" s="13">
        <v>2.1446587769543859E-2</v>
      </c>
      <c r="U102" s="13">
        <v>9.9258645926689947E-5</v>
      </c>
      <c r="V102" s="347"/>
      <c r="W102" s="13">
        <v>1.9533350254921283E-2</v>
      </c>
      <c r="X102" s="13">
        <v>2.1465442687915302E-2</v>
      </c>
      <c r="Y102" s="13">
        <v>9.4874107135499501E-5</v>
      </c>
      <c r="Z102" s="347"/>
      <c r="AA102" s="13">
        <v>1.8954364419189088E-2</v>
      </c>
      <c r="AB102" s="13">
        <v>2.1496810224493419E-2</v>
      </c>
      <c r="AC102" s="13">
        <v>8.9601007982860844E-5</v>
      </c>
      <c r="AD102" s="347"/>
      <c r="AE102" s="13">
        <v>1.7833530955588078E-2</v>
      </c>
      <c r="AF102" s="13">
        <v>2.1539507157028053E-2</v>
      </c>
      <c r="AG102" s="13">
        <v>8.2479452683713114E-5</v>
      </c>
      <c r="AH102" s="347"/>
      <c r="AI102" s="13">
        <v>1.552495231590138E-2</v>
      </c>
      <c r="AJ102" s="13">
        <v>2.1585436911230101E-2</v>
      </c>
      <c r="AK102" s="13">
        <v>7.0627745247787093E-5</v>
      </c>
      <c r="AL102" s="347"/>
      <c r="AM102" s="13">
        <v>1.034512156930391E-2</v>
      </c>
      <c r="AN102" s="13">
        <v>2.1553946076977446E-2</v>
      </c>
      <c r="AO102" s="13">
        <v>4.68572152691891E-5</v>
      </c>
      <c r="AQ102" s="360"/>
      <c r="AR102" s="7"/>
      <c r="AS102" s="1"/>
      <c r="AT102" s="80"/>
    </row>
    <row r="103" spans="1:56">
      <c r="A103" s="344" t="s">
        <v>5</v>
      </c>
      <c r="B103" t="s">
        <v>17</v>
      </c>
      <c r="C103" s="79">
        <v>9.7087459032932904E-3</v>
      </c>
      <c r="D103" s="348">
        <v>4.6555864887944229E-6</v>
      </c>
      <c r="E103" s="13"/>
      <c r="F103" s="347"/>
      <c r="G103" s="13">
        <v>9.7047696931374852E-3</v>
      </c>
      <c r="H103" s="13">
        <v>4.6285110762046616E-6</v>
      </c>
      <c r="I103" s="13"/>
      <c r="J103" s="347"/>
      <c r="K103" s="13">
        <v>9.7004262452457714E-3</v>
      </c>
      <c r="L103" s="13">
        <v>4.5978890749088372E-6</v>
      </c>
      <c r="M103" s="13"/>
      <c r="N103" s="347"/>
      <c r="O103" s="13">
        <v>9.6956122580896427E-3</v>
      </c>
      <c r="P103" s="13">
        <v>4.5647357948741606E-6</v>
      </c>
      <c r="Q103" s="13"/>
      <c r="R103" s="347"/>
      <c r="S103" s="13">
        <v>1.1249086170872235E-2</v>
      </c>
      <c r="T103" s="13">
        <v>9.6867688860958843E-3</v>
      </c>
      <c r="U103" s="13">
        <v>4.5424625770537656E-6</v>
      </c>
      <c r="V103" s="347"/>
      <c r="W103" s="13">
        <v>1.1458861034562446E-2</v>
      </c>
      <c r="X103" s="13">
        <v>9.6668373366609692E-3</v>
      </c>
      <c r="Y103" s="13">
        <v>4.5609262582275071E-6</v>
      </c>
      <c r="Z103" s="347"/>
      <c r="AA103" s="13">
        <v>1.1792617539808509E-2</v>
      </c>
      <c r="AB103" s="13">
        <v>9.6394453192777223E-3</v>
      </c>
      <c r="AC103" s="13">
        <v>4.6139398883395694E-6</v>
      </c>
      <c r="AD103" s="347"/>
      <c r="AE103" s="13">
        <v>1.2171013510607332E-2</v>
      </c>
      <c r="AF103" s="13">
        <v>9.6074526104362942E-3</v>
      </c>
      <c r="AG103" s="13">
        <v>4.6877151335353974E-6</v>
      </c>
      <c r="AH103" s="347"/>
      <c r="AI103" s="13">
        <v>1.2128932547245149E-2</v>
      </c>
      <c r="AJ103" s="13">
        <v>9.5761770078828645E-3</v>
      </c>
      <c r="AK103" s="13">
        <v>4.6037877408424089E-6</v>
      </c>
      <c r="AL103" s="347"/>
      <c r="AM103" s="13">
        <v>9.6428163107051511E-3</v>
      </c>
      <c r="AN103" s="13">
        <v>9.5593314160134415E-3</v>
      </c>
      <c r="AO103" s="13">
        <v>3.6235263727018931E-6</v>
      </c>
    </row>
    <row r="104" spans="1:56">
      <c r="A104" s="344" t="s">
        <v>6</v>
      </c>
      <c r="B104" t="s">
        <v>17</v>
      </c>
      <c r="C104" s="79">
        <v>2.8761728190708595E-3</v>
      </c>
      <c r="D104" s="348">
        <v>6.5107396632697317E-8</v>
      </c>
      <c r="E104" s="13"/>
      <c r="F104" s="347"/>
      <c r="G104" s="13">
        <v>2.8749737410849342E-3</v>
      </c>
      <c r="H104" s="13">
        <v>6.5601757700725991E-8</v>
      </c>
      <c r="I104" s="13"/>
      <c r="J104" s="347"/>
      <c r="K104" s="13">
        <v>2.8736620943746946E-3</v>
      </c>
      <c r="L104" s="13">
        <v>6.6170499311888622E-8</v>
      </c>
      <c r="M104" s="13"/>
      <c r="N104" s="347"/>
      <c r="O104" s="13">
        <v>2.8722073472478827E-3</v>
      </c>
      <c r="P104" s="13">
        <v>6.6884611476720001E-8</v>
      </c>
      <c r="Q104" s="13"/>
      <c r="R104" s="347"/>
      <c r="S104" s="13">
        <v>3.7844150388456309E-3</v>
      </c>
      <c r="T104" s="13">
        <v>2.8684907975411577E-3</v>
      </c>
      <c r="U104" s="13">
        <v>6.8093801137596803E-8</v>
      </c>
      <c r="V104" s="347"/>
      <c r="W104" s="13">
        <v>3.947055864192155E-3</v>
      </c>
      <c r="X104" s="13">
        <v>2.8578852831399651E-3</v>
      </c>
      <c r="Y104" s="13">
        <v>7.0595916084285038E-8</v>
      </c>
      <c r="Z104" s="347"/>
      <c r="AA104" s="13">
        <v>4.2158187777752857E-3</v>
      </c>
      <c r="AB104" s="13">
        <v>2.8420047750528205E-3</v>
      </c>
      <c r="AC104" s="13">
        <v>7.473780217687394E-8</v>
      </c>
      <c r="AD104" s="347"/>
      <c r="AE104" s="13">
        <v>4.6232224294701007E-3</v>
      </c>
      <c r="AF104" s="13">
        <v>2.8215359650231174E-3</v>
      </c>
      <c r="AG104" s="13">
        <v>8.1228474807356392E-8</v>
      </c>
      <c r="AH104" s="347"/>
      <c r="AI104" s="13">
        <v>5.0576365773635137E-3</v>
      </c>
      <c r="AJ104" s="13">
        <v>2.799668910346676E-3</v>
      </c>
      <c r="AK104" s="13">
        <v>8.7990792052122447E-8</v>
      </c>
      <c r="AL104" s="347"/>
      <c r="AM104" s="13">
        <v>4.5819071689501521E-3</v>
      </c>
      <c r="AN104" s="13">
        <v>2.803366552091379E-3</v>
      </c>
      <c r="AO104" s="13">
        <v>7.9032589758570846E-8</v>
      </c>
    </row>
    <row r="105" spans="1:56">
      <c r="A105" s="344" t="s">
        <v>7</v>
      </c>
      <c r="B105" t="s">
        <v>17</v>
      </c>
      <c r="C105" s="79">
        <v>5.5539803250390391E-3</v>
      </c>
      <c r="D105" s="348">
        <v>1.2926450204177636E-7</v>
      </c>
      <c r="E105" s="13"/>
      <c r="F105" s="347"/>
      <c r="G105" s="13">
        <v>5.5516628058998214E-3</v>
      </c>
      <c r="H105" s="13">
        <v>1.3107216603666479E-7</v>
      </c>
      <c r="I105" s="13"/>
      <c r="J105" s="347"/>
      <c r="K105" s="13">
        <v>5.5491273954156126E-3</v>
      </c>
      <c r="L105" s="13">
        <v>1.3319344441208874E-7</v>
      </c>
      <c r="M105" s="13"/>
      <c r="N105" s="347"/>
      <c r="O105" s="13">
        <v>5.5463148845972914E-3</v>
      </c>
      <c r="P105" s="13">
        <v>1.3583451741290796E-7</v>
      </c>
      <c r="Q105" s="13"/>
      <c r="R105" s="347"/>
      <c r="S105" s="13">
        <v>7.8059455775488342E-3</v>
      </c>
      <c r="T105" s="13">
        <v>5.5379498034608494E-3</v>
      </c>
      <c r="U105" s="13">
        <v>1.3985203002859936E-7</v>
      </c>
      <c r="V105" s="347"/>
      <c r="W105" s="13">
        <v>8.2498029033773821E-3</v>
      </c>
      <c r="X105" s="13">
        <v>5.512069897171526E-3</v>
      </c>
      <c r="Y105" s="13">
        <v>1.4719482383819557E-7</v>
      </c>
      <c r="Z105" s="347"/>
      <c r="AA105" s="13">
        <v>8.9706363807587168E-3</v>
      </c>
      <c r="AB105" s="13">
        <v>5.4723443967798898E-3</v>
      </c>
      <c r="AC105" s="13">
        <v>1.5896231186647593E-7</v>
      </c>
      <c r="AD105" s="347"/>
      <c r="AE105" s="13">
        <v>1.0092602132312129E-2</v>
      </c>
      <c r="AF105" s="13">
        <v>5.4202058128905474E-3</v>
      </c>
      <c r="AG105" s="13">
        <v>1.7734047824081741E-7</v>
      </c>
      <c r="AH105" s="347"/>
      <c r="AI105" s="13">
        <v>1.1415324028092585E-2</v>
      </c>
      <c r="AJ105" s="13">
        <v>5.3646596026312903E-3</v>
      </c>
      <c r="AK105" s="13">
        <v>1.98437377504757E-7</v>
      </c>
      <c r="AL105" s="347"/>
      <c r="AM105" s="13">
        <v>1.0792218212707962E-2</v>
      </c>
      <c r="AN105" s="13">
        <v>5.3841855038349162E-3</v>
      </c>
      <c r="AO105" s="13">
        <v>1.853824730285254E-7</v>
      </c>
    </row>
    <row r="106" spans="1:56">
      <c r="A106" s="344" t="s">
        <v>8</v>
      </c>
      <c r="B106" t="s">
        <v>17</v>
      </c>
      <c r="C106" s="79">
        <v>3.3715072093865243E-3</v>
      </c>
      <c r="D106" s="348">
        <v>3.0668190337671336E-7</v>
      </c>
      <c r="E106" s="13"/>
      <c r="F106" s="347"/>
      <c r="G106" s="13">
        <v>3.3700844249928683E-3</v>
      </c>
      <c r="H106" s="13">
        <v>3.1441281989602362E-7</v>
      </c>
      <c r="I106" s="13"/>
      <c r="J106" s="347"/>
      <c r="K106" s="13">
        <v>3.3685251614432353E-3</v>
      </c>
      <c r="L106" s="13">
        <v>3.2373222600177192E-7</v>
      </c>
      <c r="M106" s="13"/>
      <c r="N106" s="347"/>
      <c r="O106" s="13">
        <v>3.3667908089631778E-3</v>
      </c>
      <c r="P106" s="13">
        <v>3.3556414352901841E-7</v>
      </c>
      <c r="Q106" s="13"/>
      <c r="R106" s="347"/>
      <c r="S106" s="13">
        <v>5.7511832268582639E-3</v>
      </c>
      <c r="T106" s="13">
        <v>3.3592638145977993E-3</v>
      </c>
      <c r="U106" s="13">
        <v>3.5317604097278714E-7</v>
      </c>
      <c r="V106" s="347"/>
      <c r="W106" s="13">
        <v>6.2514622442693176E-3</v>
      </c>
      <c r="X106" s="13">
        <v>3.3328597821634465E-3</v>
      </c>
      <c r="Y106" s="13">
        <v>3.8404816425691686E-7</v>
      </c>
      <c r="Z106" s="347"/>
      <c r="AA106" s="13">
        <v>7.0910378797593206E-3</v>
      </c>
      <c r="AB106" s="13">
        <v>3.2906303438330568E-3</v>
      </c>
      <c r="AC106" s="13">
        <v>4.3456497351426534E-7</v>
      </c>
      <c r="AD106" s="347"/>
      <c r="AE106" s="13">
        <v>8.5328371369647049E-3</v>
      </c>
      <c r="AF106" s="13">
        <v>3.2310387096968784E-3</v>
      </c>
      <c r="AG106" s="13">
        <v>5.1943009270211848E-7</v>
      </c>
      <c r="AH106" s="347"/>
      <c r="AI106" s="13">
        <v>1.0671225049751345E-2</v>
      </c>
      <c r="AJ106" s="13">
        <v>3.1578673092524218E-3</v>
      </c>
      <c r="AK106" s="13">
        <v>6.4241074691137473E-7</v>
      </c>
      <c r="AL106" s="347"/>
      <c r="AM106" s="13">
        <v>1.1689664694811395E-2</v>
      </c>
      <c r="AN106" s="13">
        <v>3.1694832079351143E-3</v>
      </c>
      <c r="AO106" s="13">
        <v>6.9357530088725567E-7</v>
      </c>
    </row>
    <row r="107" spans="1:56">
      <c r="A107" s="344" t="s">
        <v>9</v>
      </c>
      <c r="B107" t="s">
        <v>17</v>
      </c>
      <c r="C107" s="79">
        <v>2.8756971616112612E-3</v>
      </c>
      <c r="D107" s="348">
        <v>2.6164940572134488E-7</v>
      </c>
      <c r="E107" s="13"/>
      <c r="F107" s="347"/>
      <c r="G107" s="13">
        <v>2.8744813413644943E-3</v>
      </c>
      <c r="H107" s="13">
        <v>2.6918150616934374E-7</v>
      </c>
      <c r="I107" s="13"/>
      <c r="J107" s="347"/>
      <c r="K107" s="13">
        <v>2.873148443293682E-3</v>
      </c>
      <c r="L107" s="13">
        <v>2.7829496005441745E-7</v>
      </c>
      <c r="M107" s="13"/>
      <c r="N107" s="347"/>
      <c r="O107" s="13">
        <v>2.8716651721752626E-3</v>
      </c>
      <c r="P107" s="13">
        <v>2.8988268217018717E-7</v>
      </c>
      <c r="Q107" s="13"/>
      <c r="R107" s="347"/>
      <c r="S107" s="13">
        <v>4.8864904050735236E-3</v>
      </c>
      <c r="T107" s="13">
        <v>2.8652841820827014E-3</v>
      </c>
      <c r="U107" s="13">
        <v>3.0697329724041436E-7</v>
      </c>
      <c r="V107" s="347"/>
      <c r="W107" s="13">
        <v>5.3458877471120499E-3</v>
      </c>
      <c r="X107" s="13">
        <v>2.842557589199976E-3</v>
      </c>
      <c r="Y107" s="13">
        <v>3.3655296897827557E-7</v>
      </c>
      <c r="Z107" s="347"/>
      <c r="AA107" s="13">
        <v>6.1188013862841766E-3</v>
      </c>
      <c r="AB107" s="13">
        <v>2.8052741220498194E-3</v>
      </c>
      <c r="AC107" s="13">
        <v>3.8504645868219159E-7</v>
      </c>
      <c r="AD107" s="347"/>
      <c r="AE107" s="13">
        <v>7.4553450715594011E-3</v>
      </c>
      <c r="AF107" s="13">
        <v>2.7511577168300764E-3</v>
      </c>
      <c r="AG107" s="13">
        <v>4.6705795449821778E-7</v>
      </c>
      <c r="AH107" s="347"/>
      <c r="AI107" s="13">
        <v>9.4732411455499144E-3</v>
      </c>
      <c r="AJ107" s="13">
        <v>2.6825469286369361E-3</v>
      </c>
      <c r="AK107" s="13">
        <v>5.8821220295914373E-7</v>
      </c>
      <c r="AL107" s="347"/>
      <c r="AM107" s="13">
        <v>1.0580392680549245E-2</v>
      </c>
      <c r="AN107" s="13">
        <v>2.6885114778917541E-3</v>
      </c>
      <c r="AO107" s="13">
        <v>6.4868842605570986E-7</v>
      </c>
    </row>
    <row r="108" spans="1:56">
      <c r="A108" s="344" t="s">
        <v>10</v>
      </c>
      <c r="B108" t="s">
        <v>17</v>
      </c>
      <c r="C108" s="79">
        <v>5.1571893571188592E-3</v>
      </c>
      <c r="D108" s="348">
        <v>1.5229716014986157E-7</v>
      </c>
      <c r="E108" s="13"/>
      <c r="F108" s="347"/>
      <c r="G108" s="13">
        <v>5.1550232064252761E-3</v>
      </c>
      <c r="H108" s="13">
        <v>1.5985264636156563E-7</v>
      </c>
      <c r="I108" s="13"/>
      <c r="J108" s="347"/>
      <c r="K108" s="13">
        <v>5.1526503911535444E-3</v>
      </c>
      <c r="L108" s="13">
        <v>1.6917720182750783E-7</v>
      </c>
      <c r="M108" s="13"/>
      <c r="N108" s="347"/>
      <c r="O108" s="13">
        <v>5.150013267933567E-3</v>
      </c>
      <c r="P108" s="13">
        <v>1.8125900341002806E-7</v>
      </c>
      <c r="Q108" s="13"/>
      <c r="R108" s="347"/>
      <c r="S108" s="13">
        <v>1.0499633304951289E-2</v>
      </c>
      <c r="T108" s="13">
        <v>5.1344806917873239E-3</v>
      </c>
      <c r="U108" s="13">
        <v>1.9904725736726422E-7</v>
      </c>
      <c r="V108" s="347"/>
      <c r="W108" s="13">
        <v>1.1955407795819347E-2</v>
      </c>
      <c r="X108" s="13">
        <v>5.0730877400189476E-3</v>
      </c>
      <c r="Y108" s="13">
        <v>2.295795430505324E-7</v>
      </c>
      <c r="Z108" s="347"/>
      <c r="AA108" s="13">
        <v>1.4521328298490666E-2</v>
      </c>
      <c r="AB108" s="13">
        <v>4.9638655149411327E-3</v>
      </c>
      <c r="AC108" s="13">
        <v>2.8181101167099438E-7</v>
      </c>
      <c r="AD108" s="347"/>
      <c r="AE108" s="13">
        <v>1.9359202671259672E-2</v>
      </c>
      <c r="AF108" s="13">
        <v>4.7851845198112726E-3</v>
      </c>
      <c r="AG108" s="13">
        <v>3.7746544141625082E-7</v>
      </c>
      <c r="AH108" s="347"/>
      <c r="AI108" s="13">
        <v>2.7869978126184598E-2</v>
      </c>
      <c r="AJ108" s="13">
        <v>4.5124327023393189E-3</v>
      </c>
      <c r="AK108" s="13">
        <v>5.4244816980533872E-7</v>
      </c>
      <c r="AL108" s="347"/>
      <c r="AM108" s="13">
        <v>3.7094680743361481E-2</v>
      </c>
      <c r="AN108" s="13">
        <v>4.4008608020747022E-3</v>
      </c>
      <c r="AO108" s="13">
        <v>7.156158925799836E-7</v>
      </c>
    </row>
    <row r="109" spans="1:56">
      <c r="A109" s="344" t="s">
        <v>35</v>
      </c>
      <c r="B109" t="s">
        <v>17</v>
      </c>
      <c r="C109" s="79">
        <v>1.4880976186105462E-2</v>
      </c>
      <c r="D109" s="348">
        <v>3.7571490643701164E-7</v>
      </c>
      <c r="E109" s="13"/>
      <c r="F109" s="347"/>
      <c r="G109" s="13">
        <v>1.4874732265959603E-2</v>
      </c>
      <c r="H109" s="13">
        <v>3.9483085988442309E-7</v>
      </c>
      <c r="I109" s="13"/>
      <c r="J109" s="347"/>
      <c r="K109" s="13">
        <v>1.4867893811216417E-2</v>
      </c>
      <c r="L109" s="13">
        <v>4.1845096699245321E-7</v>
      </c>
      <c r="M109" s="13"/>
      <c r="N109" s="347"/>
      <c r="O109" s="13">
        <v>1.4860295560194917E-2</v>
      </c>
      <c r="P109" s="13">
        <v>4.4911146875656878E-7</v>
      </c>
      <c r="Q109" s="13"/>
      <c r="R109" s="347"/>
      <c r="S109" s="13">
        <v>3.0661804156721737E-2</v>
      </c>
      <c r="T109" s="13">
        <v>1.4814625884849178E-2</v>
      </c>
      <c r="U109" s="13">
        <v>4.943659488014916E-7</v>
      </c>
      <c r="V109" s="347"/>
      <c r="W109" s="13">
        <v>3.5002800952090546E-2</v>
      </c>
      <c r="X109" s="13">
        <v>1.4633073942319301E-2</v>
      </c>
      <c r="Y109" s="13">
        <v>5.7233260659554698E-7</v>
      </c>
      <c r="Z109" s="347"/>
      <c r="AA109" s="13">
        <v>4.2714083172638348E-2</v>
      </c>
      <c r="AB109" s="13">
        <v>1.4307794401178605E-2</v>
      </c>
      <c r="AC109" s="13">
        <v>7.0663055616999065E-7</v>
      </c>
      <c r="AD109" s="347"/>
      <c r="AE109" s="13">
        <v>5.7399566781052361E-2</v>
      </c>
      <c r="AF109" s="13">
        <v>1.3768941461532562E-2</v>
      </c>
      <c r="AG109" s="13">
        <v>9.5530455435397844E-7</v>
      </c>
      <c r="AH109" s="347"/>
      <c r="AI109" s="13">
        <v>8.3650098816484317E-2</v>
      </c>
      <c r="AJ109" s="13">
        <v>1.2928779288200019E-2</v>
      </c>
      <c r="AK109" s="13">
        <v>1.3918580221245127E-6</v>
      </c>
      <c r="AL109" s="347"/>
      <c r="AM109" s="13">
        <v>0.11331169852054736</v>
      </c>
      <c r="AN109" s="13">
        <v>1.2536404498143647E-2</v>
      </c>
      <c r="AO109" s="13">
        <v>1.8725302837662537E-6</v>
      </c>
    </row>
    <row r="110" spans="1:56">
      <c r="A110" s="344" t="s">
        <v>163</v>
      </c>
      <c r="B110" t="s">
        <v>17</v>
      </c>
      <c r="C110" s="79">
        <v>6.903051975515993E-3</v>
      </c>
      <c r="D110" s="348">
        <v>1.1152017944643325E-7</v>
      </c>
      <c r="E110" s="13"/>
      <c r="F110" s="347"/>
      <c r="G110" s="13">
        <v>6.9001595745823482E-3</v>
      </c>
      <c r="H110" s="13">
        <v>1.1870007110613076E-7</v>
      </c>
      <c r="I110" s="13"/>
      <c r="J110" s="347"/>
      <c r="K110" s="13">
        <v>6.8969922413838385E-3</v>
      </c>
      <c r="L110" s="13">
        <v>1.2769598566470824E-7</v>
      </c>
      <c r="M110" s="13"/>
      <c r="N110" s="347"/>
      <c r="O110" s="13">
        <v>6.893473788646378E-3</v>
      </c>
      <c r="P110" s="13">
        <v>1.3954963336392354E-7</v>
      </c>
      <c r="Q110" s="13"/>
      <c r="R110" s="347"/>
      <c r="S110" s="13">
        <v>1.6297679360187257E-2</v>
      </c>
      <c r="T110" s="13">
        <v>6.8673696426342409E-3</v>
      </c>
      <c r="U110" s="13">
        <v>1.5721968761582011E-7</v>
      </c>
      <c r="V110" s="347"/>
      <c r="W110" s="13">
        <v>1.9085681423267668E-2</v>
      </c>
      <c r="X110" s="13">
        <v>6.7582263296035528E-3</v>
      </c>
      <c r="Y110" s="13">
        <v>1.8790491711669751E-7</v>
      </c>
      <c r="Z110" s="347"/>
      <c r="AA110" s="13">
        <v>2.4157655498551055E-2</v>
      </c>
      <c r="AB110" s="13">
        <v>6.5547514627532699E-3</v>
      </c>
      <c r="AC110" s="13">
        <v>2.4219040256818928E-7</v>
      </c>
      <c r="AD110" s="347"/>
      <c r="AE110" s="13">
        <v>3.421396277086193E-2</v>
      </c>
      <c r="AF110" s="13">
        <v>6.1975219598606251E-3</v>
      </c>
      <c r="AG110" s="13">
        <v>3.4675197146015537E-7</v>
      </c>
      <c r="AH110" s="347"/>
      <c r="AI110" s="13">
        <v>5.3168784447284456E-2</v>
      </c>
      <c r="AJ110" s="13">
        <v>5.5980867357371296E-3</v>
      </c>
      <c r="AK110" s="13">
        <v>5.4055409901201114E-7</v>
      </c>
      <c r="AL110" s="347"/>
      <c r="AM110" s="13">
        <v>7.8398445294498617E-2</v>
      </c>
      <c r="AN110" s="13">
        <v>5.1813722333243278E-3</v>
      </c>
      <c r="AO110" s="13">
        <v>7.9273396906275395E-7</v>
      </c>
    </row>
    <row r="111" spans="1:56">
      <c r="A111" s="344" t="s">
        <v>37</v>
      </c>
      <c r="B111" t="s">
        <v>17</v>
      </c>
      <c r="C111" s="79">
        <v>3.2001568964140697E-3</v>
      </c>
      <c r="D111" s="348">
        <v>4.0446004639667124E-8</v>
      </c>
      <c r="E111" s="13"/>
      <c r="F111" s="347"/>
      <c r="G111" s="13">
        <v>3.198817501417654E-3</v>
      </c>
      <c r="H111" s="13">
        <v>4.3160246111118265E-8</v>
      </c>
      <c r="I111" s="13"/>
      <c r="J111" s="347"/>
      <c r="K111" s="13">
        <v>3.1973510837283283E-3</v>
      </c>
      <c r="L111" s="13">
        <v>4.6570343424029947E-8</v>
      </c>
      <c r="M111" s="13"/>
      <c r="N111" s="347"/>
      <c r="O111" s="13">
        <v>3.1957225870398879E-3</v>
      </c>
      <c r="P111" s="13">
        <v>5.1080891804893794E-8</v>
      </c>
      <c r="Q111" s="13"/>
      <c r="R111" s="347"/>
      <c r="S111" s="13">
        <v>8.0385293446066045E-3</v>
      </c>
      <c r="T111" s="13">
        <v>3.1824771885212038E-3</v>
      </c>
      <c r="U111" s="13">
        <v>5.7836134947810226E-8</v>
      </c>
      <c r="V111" s="347"/>
      <c r="W111" s="13">
        <v>9.4662830332559091E-3</v>
      </c>
      <c r="X111" s="13">
        <v>3.1265572850082959E-3</v>
      </c>
      <c r="Y111" s="13">
        <v>6.9629023130922308E-8</v>
      </c>
      <c r="Z111" s="347"/>
      <c r="AA111" s="13">
        <v>1.20891024469267E-2</v>
      </c>
      <c r="AB111" s="13">
        <v>3.0218808342856126E-3</v>
      </c>
      <c r="AC111" s="13">
        <v>9.0681896072815397E-8</v>
      </c>
      <c r="AD111" s="347"/>
      <c r="AE111" s="13">
        <v>1.7362951328677805E-2</v>
      </c>
      <c r="AF111" s="13">
        <v>2.8357862975011876E-3</v>
      </c>
      <c r="AG111" s="13">
        <v>1.3178043464652571E-7</v>
      </c>
      <c r="AH111" s="347"/>
      <c r="AI111" s="13">
        <v>2.7462946296297221E-2</v>
      </c>
      <c r="AJ111" s="13">
        <v>2.5174245718016823E-3</v>
      </c>
      <c r="AK111" s="13">
        <v>2.0921769224387768E-7</v>
      </c>
      <c r="AL111" s="347"/>
      <c r="AM111" s="13">
        <v>4.1502997875085698E-2</v>
      </c>
      <c r="AN111" s="13">
        <v>2.2746575446106346E-3</v>
      </c>
      <c r="AO111" s="13">
        <v>3.1469851222850787E-7</v>
      </c>
    </row>
    <row r="112" spans="1:56">
      <c r="A112" s="344" t="s">
        <v>38</v>
      </c>
      <c r="B112" t="s">
        <v>17</v>
      </c>
      <c r="C112" s="79">
        <v>4.8442656111645967E-3</v>
      </c>
      <c r="D112" s="348">
        <v>1.7998508542064563E-10</v>
      </c>
      <c r="E112" s="13"/>
      <c r="F112" s="347"/>
      <c r="G112" s="13">
        <v>4.8422478917135199E-3</v>
      </c>
      <c r="H112" s="13">
        <v>2.2581226772451588E-10</v>
      </c>
      <c r="I112" s="13"/>
      <c r="J112" s="347"/>
      <c r="K112" s="13">
        <v>4.8400409115824548E-3</v>
      </c>
      <c r="L112" s="13">
        <v>2.9451045136421133E-10</v>
      </c>
      <c r="M112" s="13"/>
      <c r="N112" s="347"/>
      <c r="O112" s="13">
        <v>4.8375935582274654E-3</v>
      </c>
      <c r="P112" s="13">
        <v>4.0621051544951947E-10</v>
      </c>
      <c r="Q112" s="13"/>
      <c r="R112" s="347"/>
      <c r="S112" s="13">
        <v>7.8783055025742038E-2</v>
      </c>
      <c r="T112" s="13">
        <v>4.6592971520229903E-3</v>
      </c>
      <c r="U112" s="13">
        <v>6.0353229414919156E-10</v>
      </c>
      <c r="V112" s="347"/>
      <c r="W112" s="13">
        <v>0.11008729313634266</v>
      </c>
      <c r="X112" s="13">
        <v>3.7281827340553651E-3</v>
      </c>
      <c r="Y112" s="13">
        <v>9.3369638667250452E-10</v>
      </c>
      <c r="Z112" s="347"/>
      <c r="AA112" s="13">
        <v>0.1478846598762398</v>
      </c>
      <c r="AB112" s="13">
        <v>2.1293935440142853E-3</v>
      </c>
      <c r="AC112" s="13">
        <v>1.3856609303191184E-9</v>
      </c>
      <c r="AD112" s="347"/>
      <c r="AE112" s="13">
        <v>0.17953710796742739</v>
      </c>
      <c r="AF112" s="13">
        <v>6.8001436759651806E-4</v>
      </c>
      <c r="AG112" s="13">
        <v>1.8018533973370593E-9</v>
      </c>
      <c r="AH112" s="347"/>
      <c r="AI112" s="13">
        <v>0.20951618445711767</v>
      </c>
      <c r="AJ112" s="13">
        <v>1.1657907121528448E-4</v>
      </c>
      <c r="AK112" s="13">
        <v>2.1903036566262098E-9</v>
      </c>
      <c r="AL112" s="347"/>
      <c r="AM112" s="13">
        <v>0.28628725823800499</v>
      </c>
      <c r="AN112" s="13">
        <v>1.7109411798522865E-5</v>
      </c>
      <c r="AO112" s="13">
        <v>3.0143596644792137E-9</v>
      </c>
    </row>
    <row r="113" spans="1:41">
      <c r="A113" s="344" t="s">
        <v>39</v>
      </c>
      <c r="B113" t="s">
        <v>17</v>
      </c>
      <c r="C113" s="79">
        <v>1.5123546729625085E-3</v>
      </c>
      <c r="D113" s="348">
        <v>3.3189917419319053E-12</v>
      </c>
      <c r="E113" s="13"/>
      <c r="F113" s="347"/>
      <c r="G113" s="13">
        <v>1.5117247827577461E-3</v>
      </c>
      <c r="H113" s="13">
        <v>4.6456017584411024E-12</v>
      </c>
      <c r="I113" s="13"/>
      <c r="J113" s="347"/>
      <c r="K113" s="13">
        <v>1.5110358234057333E-3</v>
      </c>
      <c r="L113" s="13">
        <v>6.8881463642548586E-12</v>
      </c>
      <c r="M113" s="13"/>
      <c r="N113" s="347"/>
      <c r="O113" s="13">
        <v>1.5102718537424711E-3</v>
      </c>
      <c r="P113" s="13">
        <v>1.1093270212689647E-11</v>
      </c>
      <c r="Q113" s="13"/>
      <c r="R113" s="347"/>
      <c r="S113" s="13">
        <v>0.12007522853357817</v>
      </c>
      <c r="T113" s="13">
        <v>1.2277520364777418E-3</v>
      </c>
      <c r="U113" s="13">
        <v>1.712773398852708E-11</v>
      </c>
      <c r="V113" s="347"/>
      <c r="W113" s="13">
        <v>0.1025507253770548</v>
      </c>
      <c r="X113" s="13">
        <v>4.5852155019175108E-4</v>
      </c>
      <c r="Y113" s="13">
        <v>1.6910433035957044E-11</v>
      </c>
      <c r="Z113" s="347"/>
      <c r="AA113" s="13">
        <v>7.9987173570866238E-2</v>
      </c>
      <c r="AB113" s="13">
        <v>1.0179836204523283E-4</v>
      </c>
      <c r="AC113" s="13">
        <v>1.5189266234051324E-11</v>
      </c>
      <c r="AD113" s="347"/>
      <c r="AE113" s="13">
        <v>7.2021962403171311E-2</v>
      </c>
      <c r="AF113" s="13">
        <v>1.2913162955553761E-5</v>
      </c>
      <c r="AG113" s="13">
        <v>1.4843676623834143E-11</v>
      </c>
      <c r="AH113" s="347"/>
      <c r="AI113" s="13">
        <v>7.780812404881611E-2</v>
      </c>
      <c r="AJ113" s="13">
        <v>8.3387253224112271E-7</v>
      </c>
      <c r="AK113" s="13">
        <v>1.6547242470550624E-11</v>
      </c>
      <c r="AL113" s="347"/>
      <c r="AM113" s="13">
        <v>0.10541641140017242</v>
      </c>
      <c r="AN113" s="13">
        <v>3.8967507678005955E-8</v>
      </c>
      <c r="AO113" s="13">
        <v>2.1766246953240163E-11</v>
      </c>
    </row>
    <row r="114" spans="1:41">
      <c r="A114" s="344" t="s">
        <v>40</v>
      </c>
      <c r="B114" t="s">
        <v>17</v>
      </c>
      <c r="C114" s="13"/>
      <c r="D114" s="13"/>
      <c r="E114" s="13"/>
      <c r="F114" s="347"/>
      <c r="G114" s="13"/>
      <c r="H114" s="13"/>
      <c r="I114" s="13"/>
      <c r="J114" s="347"/>
      <c r="K114" s="13"/>
      <c r="L114" s="13"/>
      <c r="M114" s="13"/>
      <c r="N114" s="347"/>
      <c r="O114" s="13"/>
      <c r="P114" s="13"/>
      <c r="Q114" s="13"/>
      <c r="R114" s="347"/>
      <c r="S114" s="13"/>
      <c r="T114" s="13"/>
      <c r="U114" s="13"/>
      <c r="V114" s="347"/>
      <c r="W114" s="13"/>
      <c r="X114" s="13"/>
      <c r="Y114" s="13"/>
      <c r="Z114" s="347"/>
      <c r="AA114" s="13"/>
      <c r="AB114" s="13"/>
      <c r="AC114" s="13"/>
      <c r="AD114" s="347"/>
      <c r="AE114" s="13"/>
      <c r="AF114" s="13"/>
      <c r="AG114" s="13"/>
      <c r="AH114" s="347"/>
      <c r="AI114" s="13"/>
      <c r="AJ114" s="13"/>
      <c r="AK114" s="13"/>
    </row>
    <row r="115" spans="1:41">
      <c r="A115" s="344" t="s">
        <v>41</v>
      </c>
      <c r="B115" t="s">
        <v>17</v>
      </c>
      <c r="C115" s="13"/>
      <c r="D115" s="13"/>
      <c r="E115" s="13"/>
      <c r="F115" s="347"/>
      <c r="G115" s="13"/>
      <c r="H115" s="13"/>
      <c r="I115" s="13"/>
      <c r="J115" s="347"/>
      <c r="K115" s="13"/>
      <c r="L115" s="13"/>
      <c r="M115" s="13"/>
      <c r="N115" s="347"/>
      <c r="O115" s="13"/>
      <c r="P115" s="13"/>
      <c r="Q115" s="13"/>
      <c r="R115" s="347"/>
      <c r="S115" s="13"/>
      <c r="T115" s="13"/>
      <c r="U115" s="13"/>
      <c r="V115" s="347"/>
      <c r="W115" s="13"/>
      <c r="X115" s="13"/>
      <c r="Y115" s="13"/>
      <c r="Z115" s="347"/>
      <c r="AA115" s="13"/>
      <c r="AB115" s="13"/>
      <c r="AC115" s="13"/>
      <c r="AD115" s="347"/>
      <c r="AE115" s="13"/>
      <c r="AF115" s="13"/>
      <c r="AG115" s="13"/>
      <c r="AH115" s="347"/>
      <c r="AI115" s="13"/>
      <c r="AJ115" s="13"/>
      <c r="AK115" s="13"/>
    </row>
    <row r="116" spans="1:41">
      <c r="A116" s="344" t="s">
        <v>42</v>
      </c>
      <c r="B116" t="s">
        <v>17</v>
      </c>
      <c r="C116" s="13"/>
      <c r="D116" s="13"/>
      <c r="E116" s="13"/>
      <c r="F116" s="347"/>
      <c r="G116" s="13"/>
      <c r="H116" s="13"/>
      <c r="I116" s="13"/>
      <c r="J116" s="347"/>
      <c r="K116" s="13"/>
      <c r="L116" s="13"/>
      <c r="M116" s="13"/>
      <c r="N116" s="347"/>
      <c r="O116" s="13"/>
      <c r="P116" s="13"/>
      <c r="Q116" s="13"/>
      <c r="R116" s="347"/>
      <c r="S116" s="13"/>
      <c r="T116" s="13"/>
      <c r="U116" s="13"/>
      <c r="V116" s="347"/>
      <c r="W116" s="13"/>
      <c r="X116" s="13"/>
      <c r="Y116" s="13"/>
      <c r="Z116" s="347"/>
      <c r="AA116" s="13"/>
      <c r="AB116" s="13"/>
      <c r="AC116" s="13"/>
      <c r="AD116" s="347"/>
      <c r="AE116" s="13"/>
      <c r="AF116" s="13"/>
      <c r="AG116" s="13"/>
      <c r="AH116" s="347"/>
      <c r="AI116" s="13"/>
      <c r="AJ116" s="13"/>
      <c r="AK116" s="13"/>
    </row>
    <row r="117" spans="1:41">
      <c r="A117" s="344" t="s">
        <v>43</v>
      </c>
      <c r="B117" t="s">
        <v>17</v>
      </c>
      <c r="C117" s="13"/>
      <c r="D117" s="13"/>
      <c r="E117" s="13"/>
      <c r="F117" s="347"/>
      <c r="G117" s="13"/>
      <c r="H117" s="13"/>
      <c r="I117" s="13"/>
      <c r="J117" s="347"/>
      <c r="K117" s="13"/>
      <c r="L117" s="13"/>
      <c r="M117" s="13"/>
      <c r="N117" s="347"/>
      <c r="O117" s="13"/>
      <c r="P117" s="13"/>
      <c r="Q117" s="13"/>
      <c r="R117" s="347"/>
      <c r="S117" s="13"/>
      <c r="T117" s="13"/>
      <c r="U117" s="13"/>
      <c r="V117" s="347"/>
      <c r="W117" s="13"/>
      <c r="X117" s="13"/>
      <c r="Y117" s="13"/>
      <c r="Z117" s="347"/>
      <c r="AA117" s="13"/>
      <c r="AB117" s="13"/>
      <c r="AC117" s="13"/>
      <c r="AD117" s="347"/>
      <c r="AE117" s="13"/>
      <c r="AF117" s="13"/>
      <c r="AG117" s="13"/>
      <c r="AH117" s="347"/>
      <c r="AI117" s="13"/>
      <c r="AJ117" s="13"/>
      <c r="AK117" s="13"/>
    </row>
    <row r="118" spans="1:41">
      <c r="A118" s="344" t="s">
        <v>44</v>
      </c>
      <c r="B118" t="s">
        <v>17</v>
      </c>
      <c r="C118" s="13"/>
      <c r="D118" s="13"/>
      <c r="E118" s="13"/>
      <c r="F118" s="347"/>
      <c r="G118" s="13"/>
      <c r="H118" s="13"/>
      <c r="I118" s="13"/>
      <c r="J118" s="347"/>
      <c r="K118" s="13"/>
      <c r="L118" s="13"/>
      <c r="M118" s="13"/>
      <c r="N118" s="347"/>
      <c r="O118" s="13"/>
      <c r="P118" s="13"/>
      <c r="Q118" s="13"/>
      <c r="R118" s="347"/>
      <c r="S118" s="13"/>
      <c r="T118" s="13"/>
      <c r="U118" s="13"/>
      <c r="V118" s="347"/>
      <c r="W118" s="13"/>
      <c r="X118" s="13"/>
      <c r="Y118" s="13"/>
      <c r="Z118" s="347"/>
      <c r="AA118" s="13"/>
      <c r="AB118" s="13"/>
      <c r="AC118" s="13"/>
      <c r="AD118" s="347"/>
      <c r="AE118" s="13"/>
      <c r="AF118" s="13"/>
      <c r="AG118" s="13"/>
      <c r="AH118" s="347"/>
      <c r="AI118" s="13"/>
      <c r="AJ118" s="13"/>
      <c r="AK118" s="13"/>
    </row>
    <row r="119" spans="1:41">
      <c r="A119" s="344" t="s">
        <v>45</v>
      </c>
      <c r="B119" t="s">
        <v>17</v>
      </c>
      <c r="F119" s="345"/>
      <c r="J119" s="345"/>
      <c r="N119" s="345"/>
      <c r="R119" s="345"/>
      <c r="V119" s="345"/>
      <c r="Z119" s="345"/>
      <c r="AD119" s="345"/>
      <c r="AH119" s="345"/>
    </row>
    <row r="120" spans="1:41">
      <c r="A120" s="344" t="s">
        <v>225</v>
      </c>
      <c r="C120" s="13">
        <f>SUM(C106:C113)*C90/$P$84</f>
        <v>4.3096953619031007E-2</v>
      </c>
      <c r="D120" s="13">
        <f>SUM(D106:D113)*D90/$P$84</f>
        <v>3.0463809689911456E-6</v>
      </c>
      <c r="F120" s="345"/>
      <c r="G120" s="13">
        <f>SUM(G106:G113)*G90/$P$84</f>
        <v>4.3096827586071355E-2</v>
      </c>
      <c r="H120" s="13">
        <f>SUM(H106:H113)*H90/$P$84</f>
        <v>3.1724139286374228E-6</v>
      </c>
      <c r="I120" s="13"/>
      <c r="J120" s="345"/>
      <c r="K120" s="13">
        <f>SUM(K106:K113)*K90/$P$84</f>
        <v>4.1269298408476519E-2</v>
      </c>
      <c r="L120" s="13">
        <f>SUM(L106:L113)*L90/$P$84</f>
        <v>3.3275942167938705E-6</v>
      </c>
      <c r="M120" s="13"/>
      <c r="N120" s="345"/>
      <c r="O120" s="13">
        <f>SUM(O106:O113)*O90/$P$84</f>
        <v>3.9179438354533441E-2</v>
      </c>
      <c r="P120" s="13">
        <f>SUM(P106:P113)*P90/$P$84</f>
        <v>3.528502131665421E-6</v>
      </c>
      <c r="Q120" s="13"/>
      <c r="R120" s="345"/>
      <c r="S120" s="13">
        <f>SUM(S106:S113)*S90/$P$84</f>
        <v>5.6144060585865065E-4</v>
      </c>
      <c r="T120" s="13">
        <f>SUM(T106:T113)*T90/$P$84</f>
        <v>3.6185190304608386E-2</v>
      </c>
      <c r="U120" s="13">
        <f>SUM(U106:U113)*U90/$P$84</f>
        <v>3.8262123769695816E-6</v>
      </c>
      <c r="V120" s="345"/>
      <c r="W120" s="13">
        <f>SUM(W106:W113)*W90/$P$84</f>
        <v>2.5013171301372567E-3</v>
      </c>
      <c r="X120" s="13">
        <f>SUM(X106:X113)*X90/$P$84</f>
        <v>3.1339025680299448E-2</v>
      </c>
      <c r="Y120" s="13">
        <f>SUM(Y106:Y113)*Y90/$P$84</f>
        <v>4.3418011908617281E-6</v>
      </c>
      <c r="Z120" s="345"/>
      <c r="AA120" s="13">
        <f>SUM(AA106:AA113)*AA90/$P$84</f>
        <v>4.620171004778852E-3</v>
      </c>
      <c r="AB120" s="13">
        <f>SUM(AB106:AB113)*AB90/$P$84</f>
        <v>2.569105917230799E-2</v>
      </c>
      <c r="AC120" s="13">
        <f>SUM(AC106:AC113)*AC90/$P$84</f>
        <v>5.221689235941591E-6</v>
      </c>
      <c r="AD120" s="345"/>
      <c r="AE120" s="13">
        <f>SUM(AE106:AE113)*AE90/$P$84</f>
        <v>6.3543441330245051E-3</v>
      </c>
      <c r="AF120" s="13">
        <f>SUM(AF106:AF113)*AF90/$P$84</f>
        <v>1.9772138564602578E-2</v>
      </c>
      <c r="AG120" s="13">
        <f>SUM(AG106:AG113)*AG90/$P$84</f>
        <v>6.8215957469390543E-6</v>
      </c>
      <c r="AH120" s="345"/>
      <c r="AI120" s="13">
        <f>SUM(AI106:AI113)*AI90/$P$84</f>
        <v>7.4568801484321589E-3</v>
      </c>
      <c r="AJ120" s="13">
        <f>SUM(AJ106:AJ113)*AJ90/$P$84</f>
        <v>1.3831451768432437E-2</v>
      </c>
      <c r="AK120" s="13">
        <f>SUM(AK106:AK113)*AK90/$P$84</f>
        <v>9.5369236885967708E-6</v>
      </c>
      <c r="AM120" s="13">
        <f>SUM(AM106:AM113)*AM90/$P$84</f>
        <v>7.5396374178381739E-3</v>
      </c>
      <c r="AN120" s="13">
        <f>SUM(AN106:AN113)*AN90/$P$84</f>
        <v>8.6297221305869903E-3</v>
      </c>
      <c r="AO120" s="13">
        <f>SUM(AO106:AO113)*AO90/$P$84</f>
        <v>1.2250115390718292E-5</v>
      </c>
    </row>
    <row r="121" spans="1:41">
      <c r="A121" s="344" t="s">
        <v>226</v>
      </c>
      <c r="C121">
        <f>(C106*$AR$10+C107*$AR$11+$AR$12*C108+C109*$AR$13+$AR$14*C110+C111*$AR$15+$AR$16*C112+C113*$AR$17)/0.02404/(1-C120)*C90/$P$84</f>
        <v>269.52597288170659</v>
      </c>
      <c r="D121">
        <f>(D106*$AR$10+D107*$AR$11+$AR$12*D108+D109*$AR$13+$AR$14*D110+D111*$AR$15+$AR$16*D112+D113*$AR$17)/0.02404/(1-D120)*D90/$P$84</f>
        <v>1.2392538236666521E-2</v>
      </c>
      <c r="F121" s="345"/>
      <c r="G121">
        <f>(G106*$AR$10+G107*$AR$11+$AR$12*G108+G109*$AR$13+$AR$14*G110+G111*$AR$15+$AR$16*G112+G113*$AR$17)/0.02404/(1-G120)*G90/$P$84</f>
        <v>269.52534681014322</v>
      </c>
      <c r="H121">
        <f>(H106*$AR$10+H107*$AR$11+$AR$12*H108+H109*$AR$13+$AR$14*H110+H111*$AR$15+$AR$16*H112+H113*$AR$17)/0.02404/(1-H120)*H90/$P$84</f>
        <v>1.2957662300413184E-2</v>
      </c>
      <c r="J121" s="345"/>
      <c r="K121">
        <f>(K106*$AR$10+K107*$AR$11+$AR$12*K108+K109*$AR$13+$AR$14*K110+K111*$AR$15+$AR$16*K112+K113*$AR$17)/0.02404/(1-K120)*K90/$P$84</f>
        <v>257.60433117955711</v>
      </c>
      <c r="L121">
        <f>(L106*$AR$10+L107*$AR$11+$AR$12*L108+L109*$AR$13+$AR$14*L110+L111*$AR$15+$AR$16*L112+L113*$AR$17)/0.02404/(1-L120)*L90/$P$84</f>
        <v>1.3656372689621473E-2</v>
      </c>
      <c r="N121" s="345"/>
      <c r="O121">
        <f>(O106*$AR$10+O107*$AR$11+$AR$12*O108+O109*$AR$13+$AR$14*O110+O111*$AR$15+$AR$16*O112+O113*$AR$17)/0.02404/(1-O120)*O90/$P$84</f>
        <v>244.0277253450262</v>
      </c>
      <c r="P121">
        <f>(P106*$AR$10+P107*$AR$11+$AR$12*P108+P109*$AR$13+$AR$14*P110+P111*$AR$15+$AR$16*P112+P113*$AR$17)/0.02404/(1-P120)*P90/$P$84</f>
        <v>1.4564881977508904E-2</v>
      </c>
      <c r="R121" s="345"/>
      <c r="S121">
        <f>(S106*$AR$10+S107*$AR$11+$AR$12*S108+S109*$AR$13+$AR$14*S110+S111*$AR$15+$AR$16*S112+S113*$AR$17)/0.02404/(1-S120)*S90/$P$84</f>
        <v>6.6005570056883354</v>
      </c>
      <c r="T121">
        <f>(T106*$AR$10+T107*$AR$11+$AR$12*T108+T109*$AR$13+$AR$14*T110+T111*$AR$15+$AR$16*T112+T113*$AR$17)/0.02404/(1-T120)*T90/$P$84</f>
        <v>221.31996216365357</v>
      </c>
      <c r="U121">
        <f>(U106*$AR$10+U107*$AR$11+$AR$12*U108+U109*$AR$13+$AR$14*U110+U111*$AR$15+$AR$16*U112+U113*$AR$17)/0.02404/(1-U120)*U90/$P$84</f>
        <v>1.5912876308058731E-2</v>
      </c>
      <c r="V121" s="345"/>
      <c r="W121">
        <f>(W106*$AR$10+W107*$AR$11+$AR$12*W108+W109*$AR$13+$AR$14*W110+W111*$AR$15+$AR$16*W112+W113*$AR$17)/0.02404/(1-W120)*W90/$P$84</f>
        <v>27.877039132571383</v>
      </c>
      <c r="X121">
        <f>(X106*$AR$10+X107*$AR$11+$AR$12*X108+X109*$AR$13+$AR$14*X110+X111*$AR$15+$AR$16*X112+X113*$AR$17)/0.02404/(1-X120)*X90/$P$84</f>
        <v>180.6299203120918</v>
      </c>
      <c r="Y121">
        <f>(Y106*$AR$10+Y107*$AR$11+$AR$12*Y108+Y109*$AR$13+$AR$14*Y110+Y111*$AR$15+$AR$16*Y112+Y113*$AR$17)/0.02404/(1-Y120)*Y90/$P$84</f>
        <v>1.8247165743750363E-2</v>
      </c>
      <c r="Z121" s="345"/>
      <c r="AA121">
        <f>(AA106*$AR$10+AA107*$AR$11+$AR$12*AA108+AA109*$AR$13+$AR$14*AA110+AA111*$AR$15+$AR$16*AA112+AA113*$AR$17)/0.02404/(1-AA120)*AA90/$P$84</f>
        <v>48.0791902865625</v>
      </c>
      <c r="AB121">
        <f>(AB106*$AR$10+AB107*$AR$11+$AR$12*AB108+AB109*$AR$13+$AR$14*AB110+AB111*$AR$15+$AR$16*AB112+AB113*$AR$17)/0.02404/(1-AB120)*AB90/$P$84</f>
        <v>138.78235505118377</v>
      </c>
      <c r="AC121">
        <f>(AC106*$AR$10+AC107*$AR$11+$AR$12*AC108+AC109*$AR$13+$AR$14*AC110+AC111*$AR$15+$AR$16*AC112+AC113*$AR$17)/0.02404/(1-AC120)*AC90/$P$84</f>
        <v>2.2262762693769578E-2</v>
      </c>
      <c r="AD121" s="345"/>
      <c r="AE121">
        <f>(AE106*$AR$10+AE107*$AR$11+$AR$12*AE108+AE109*$AR$13+$AR$14*AE110+AE111*$AR$15+$AR$16*AE112+AE113*$AR$17)/0.02404/(1-AE120)*AE90/$P$84</f>
        <v>62.602916157859013</v>
      </c>
      <c r="AF121">
        <f>(AF106*$AR$10+AF107*$AR$11+$AR$12*AF108+AF109*$AR$13+$AR$14*AF110+AF111*$AR$15+$AR$16*AF112+AF113*$AR$17)/0.02404/(1-AF120)*AF90/$P$84</f>
        <v>100.8385288773507</v>
      </c>
      <c r="AG121">
        <f>(AG106*$AR$10+AG107*$AR$11+$AR$12*AG108+AG109*$AR$13+$AR$14*AG110+AG111*$AR$15+$AR$16*AG112+AG113*$AR$17)/0.02404/(1-AG120)*AG90/$P$84</f>
        <v>2.96626607662854E-2</v>
      </c>
      <c r="AH121" s="345"/>
      <c r="AI121">
        <f>(AI106*$AR$10+AI107*$AR$11+$AR$12*AI108+AI109*$AR$13+$AR$14*AI110+AI111*$AR$15+$AR$16*AI112+AI113*$AR$17)/0.02404/(1-AI120)*AI90/$P$84</f>
        <v>70.174837595862257</v>
      </c>
      <c r="AJ121">
        <f>(AJ106*$AR$10+AJ107*$AR$11+$AR$12*AJ108+AJ109*$AR$13+$AR$14*AJ110+AJ111*$AR$15+$AR$16*AJ112+AJ113*$AR$17)/0.02404/(1-AJ120)*AJ90/$P$84</f>
        <v>68.154853397799556</v>
      </c>
      <c r="AK121">
        <f>(AK106*$AR$10+AK107*$AR$11+$AR$12*AK108+AK109*$AR$13+$AR$14*AK110+AK111*$AR$15+$AR$16*AK112+AK113*$AR$17)/0.02404/(1-AK120)*AK90/$P$84</f>
        <v>4.2514212418910992E-2</v>
      </c>
      <c r="AM121">
        <f>(AM106*$AR$10+AM107*$AR$11+$AR$12*AM108+AM109*$AR$13+$AR$14*AM110+AM111*$AR$15+$AR$16*AM112+AM113*$AR$17)/0.02404/(1-AM120)*AM90/$P$84</f>
        <v>71.148351556404975</v>
      </c>
      <c r="AN121">
        <f>(AN106*$AR$10+AN107*$AR$11+$AR$12*AN108+AN109*$AR$13+$AR$14*AN110+AN111*$AR$15+$AR$16*AN112+AN113*$AR$17)/0.02404/(1-AN120)*AN90/$P$84</f>
        <v>41.73628474154669</v>
      </c>
      <c r="AO121">
        <f>(AO106*$AR$10+AO107*$AR$11+$AR$12*AO108+AO109*$AR$13+$AR$14*AO110+AO111*$AR$15+$AR$16*AO112+AO113*$AR$17)/0.02404/(1-AO120)*AO90/$P$84</f>
        <v>5.6400745170412173E-2</v>
      </c>
    </row>
    <row r="122" spans="1:41">
      <c r="C122" s="13">
        <f>SUM(C106:C113)</f>
        <v>4.2745199070279273E-2</v>
      </c>
      <c r="G122" s="13">
        <f>SUM(G106:G113)</f>
        <v>4.2727270989213507E-2</v>
      </c>
      <c r="K122" s="13">
        <f>SUM(K106:K113)</f>
        <v>4.2707637867207236E-2</v>
      </c>
      <c r="O122" s="13">
        <f>SUM(O106:O113)</f>
        <v>4.2685826596923132E-2</v>
      </c>
      <c r="T122" s="13">
        <f>SUM(T106:T113)</f>
        <v>4.2110550592973181E-2</v>
      </c>
      <c r="X122" s="13">
        <f>SUM(X106:X113)</f>
        <v>3.995306695256063E-2</v>
      </c>
      <c r="AB122" s="13">
        <f>SUM(AB106:AB113)</f>
        <v>3.7175388585101013E-2</v>
      </c>
      <c r="AF122" s="13">
        <f>SUM(AF106:AF113)</f>
        <v>3.4262558195784672E-2</v>
      </c>
      <c r="AJ122" s="13">
        <f>SUM(AJ106:AJ113)</f>
        <v>3.1514550479715027E-2</v>
      </c>
      <c r="AN122" s="13">
        <f>SUM(AN106:AN113)</f>
        <v>3.0268438143286381E-2</v>
      </c>
    </row>
    <row r="123" spans="1:41">
      <c r="C123">
        <f>(C106*$AR$10+C107*$AR$11+$AR$12*C108+C109*$AR$13+$AR$14*C110+C111*$AR$15+$AR$16*C112+C113*$AR$17)/0.02404/(1-C122)</f>
        <v>267.22788718839035</v>
      </c>
      <c r="G123">
        <f>(G106*$AR$10+G107*$AR$11+$AR$12*G108+G109*$AR$13+$AR$14*G110+G111*$AR$15+$AR$16*G112+G113*$AR$17)/0.02404/(1-G122)</f>
        <v>267.1110003956785</v>
      </c>
      <c r="K123">
        <f>(K106*$AR$10+K107*$AR$11+$AR$12*K108+K109*$AR$13+$AR$14*K110+K111*$AR$15+$AR$16*K112+K113*$AR$17)/0.02404/(1-K122)</f>
        <v>266.98303618381431</v>
      </c>
      <c r="O123">
        <f>(O106*$AR$10+O107*$AR$11+$AR$12*O108+O109*$AR$13+$AR$14*O110+O111*$AR$15+$AR$16*O112+O113*$AR$17)/0.02404/(1-O122)</f>
        <v>266.84093954753985</v>
      </c>
      <c r="T123">
        <f>(T106*$AR$10+T107*$AR$11+$AR$12*T108+T109*$AR$13+$AR$14*T110+T111*$AR$15+$AR$16*T112+T113*$AR$17)/0.02404/(1-T122)</f>
        <v>259.15455800072345</v>
      </c>
      <c r="X123">
        <f>(X106*$AR$10+X107*$AR$11+$AR$12*X108+X109*$AR$13+$AR$14*X110+X111*$AR$15+$AR$16*X112+X113*$AR$17)/0.02404/(1-X122)</f>
        <v>232.34517689377449</v>
      </c>
      <c r="AB123">
        <f>(AB106*$AR$10+AB107*$AR$11+$AR$12*AB108+AB109*$AR$13+$AR$14*AB110+AB111*$AR$15+$AR$16*AB112+AB113*$AR$17)/0.02404/(1-AB122)</f>
        <v>203.21570356647004</v>
      </c>
      <c r="AF123">
        <f>(AF106*$AR$10+AF107*$AR$11+$AR$12*AF108+AF109*$AR$13+$AR$14*AF110+AF111*$AR$15+$AR$16*AF112+AF113*$AR$17)/0.02404/(1-AF122)</f>
        <v>177.36201539715867</v>
      </c>
      <c r="AJ123">
        <f>(AJ106*$AR$10+AJ107*$AR$11+$AR$12*AJ108+AJ109*$AR$13+$AR$14*AJ110+AJ111*$AR$15+$AR$16*AJ112+AJ113*$AR$17)/0.02404/(1-AJ122)</f>
        <v>158.12414320483077</v>
      </c>
      <c r="AN123">
        <f>(AN106*$AR$10+AN107*$AR$11+$AR$12*AN108+AN109*$AR$13+$AR$14*AN110+AN111*$AR$15+$AR$16*AN112+AN113*$AR$17)/0.02404/(1-AN122)</f>
        <v>149.65504087578623</v>
      </c>
    </row>
  </sheetData>
  <mergeCells count="104">
    <mergeCell ref="AM88:AO88"/>
    <mergeCell ref="AQ89:AT89"/>
    <mergeCell ref="AM87:AO87"/>
    <mergeCell ref="C88:E88"/>
    <mergeCell ref="G88:I88"/>
    <mergeCell ref="K88:M88"/>
    <mergeCell ref="O88:Q88"/>
    <mergeCell ref="S88:U88"/>
    <mergeCell ref="W88:Y88"/>
    <mergeCell ref="AA88:AC88"/>
    <mergeCell ref="AE88:AG88"/>
    <mergeCell ref="AI88:AK88"/>
    <mergeCell ref="C87:E87"/>
    <mergeCell ref="G87:I87"/>
    <mergeCell ref="K87:M87"/>
    <mergeCell ref="O87:Q87"/>
    <mergeCell ref="S87:U87"/>
    <mergeCell ref="W87:Y87"/>
    <mergeCell ref="AA87:AC87"/>
    <mergeCell ref="AE87:AG87"/>
    <mergeCell ref="AI87:AK87"/>
    <mergeCell ref="AM85:AP85"/>
    <mergeCell ref="C86:E86"/>
    <mergeCell ref="G86:I86"/>
    <mergeCell ref="K86:M86"/>
    <mergeCell ref="O86:Q86"/>
    <mergeCell ref="S86:U86"/>
    <mergeCell ref="W86:Y86"/>
    <mergeCell ref="AA86:AC86"/>
    <mergeCell ref="AE86:AG86"/>
    <mergeCell ref="AI86:AK86"/>
    <mergeCell ref="AM86:AO86"/>
    <mergeCell ref="AR47:AU47"/>
    <mergeCell ref="A83:O84"/>
    <mergeCell ref="AA46:AC46"/>
    <mergeCell ref="AE46:AG46"/>
    <mergeCell ref="AI46:AK46"/>
    <mergeCell ref="AM46:AO46"/>
    <mergeCell ref="C47:E47"/>
    <mergeCell ref="G47:I47"/>
    <mergeCell ref="K47:M47"/>
    <mergeCell ref="O47:Q47"/>
    <mergeCell ref="S47:U47"/>
    <mergeCell ref="W47:Y47"/>
    <mergeCell ref="AI45:AK45"/>
    <mergeCell ref="AM45:AO45"/>
    <mergeCell ref="C46:E46"/>
    <mergeCell ref="G46:I46"/>
    <mergeCell ref="K46:M46"/>
    <mergeCell ref="O46:Q46"/>
    <mergeCell ref="S46:U46"/>
    <mergeCell ref="W46:Y46"/>
    <mergeCell ref="AA47:AC47"/>
    <mergeCell ref="AE47:AG47"/>
    <mergeCell ref="AI47:AK47"/>
    <mergeCell ref="AM47:AO47"/>
    <mergeCell ref="A43:O44"/>
    <mergeCell ref="C45:E45"/>
    <mergeCell ref="G45:I45"/>
    <mergeCell ref="K45:M45"/>
    <mergeCell ref="O45:Q45"/>
    <mergeCell ref="S45:U45"/>
    <mergeCell ref="W45:Y45"/>
    <mergeCell ref="AA45:AC45"/>
    <mergeCell ref="AE45:AG45"/>
    <mergeCell ref="AZ9:BB9"/>
    <mergeCell ref="AE6:AG6"/>
    <mergeCell ref="AI6:AK6"/>
    <mergeCell ref="AM6:AO6"/>
    <mergeCell ref="AQ6:AS6"/>
    <mergeCell ref="AU6:AW6"/>
    <mergeCell ref="AW10:AY10"/>
    <mergeCell ref="BA10:BC10"/>
    <mergeCell ref="AW12:AZ12"/>
    <mergeCell ref="C7:E7"/>
    <mergeCell ref="G7:I7"/>
    <mergeCell ref="K7:M7"/>
    <mergeCell ref="O7:Q7"/>
    <mergeCell ref="S7:U7"/>
    <mergeCell ref="AM5:AO5"/>
    <mergeCell ref="AQ5:AS5"/>
    <mergeCell ref="AU5:AW5"/>
    <mergeCell ref="C6:E6"/>
    <mergeCell ref="G6:I6"/>
    <mergeCell ref="K6:M6"/>
    <mergeCell ref="O6:Q6"/>
    <mergeCell ref="S6:U6"/>
    <mergeCell ref="W6:Y6"/>
    <mergeCell ref="AA6:AC6"/>
    <mergeCell ref="W7:Y7"/>
    <mergeCell ref="AA7:AC7"/>
    <mergeCell ref="AE7:AG7"/>
    <mergeCell ref="AI7:AK7"/>
    <mergeCell ref="AM7:AO7"/>
    <mergeCell ref="A1:AU3"/>
    <mergeCell ref="C5:E5"/>
    <mergeCell ref="G5:I5"/>
    <mergeCell ref="K5:M5"/>
    <mergeCell ref="O5:Q5"/>
    <mergeCell ref="S5:U5"/>
    <mergeCell ref="W5:Y5"/>
    <mergeCell ref="AA5:AC5"/>
    <mergeCell ref="AE5:AG5"/>
    <mergeCell ref="AI5:AK5"/>
  </mergeCell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Лист10"/>
  <dimension ref="A1:CA84"/>
  <sheetViews>
    <sheetView topLeftCell="A16" workbookViewId="0">
      <selection activeCell="BS28" sqref="BS28"/>
    </sheetView>
  </sheetViews>
  <sheetFormatPr defaultRowHeight="12.75"/>
  <sheetData>
    <row r="1" spans="1:74">
      <c r="A1" s="480" t="s">
        <v>242</v>
      </c>
      <c r="B1" s="480"/>
      <c r="C1" s="480"/>
      <c r="D1" s="480"/>
      <c r="E1" s="480"/>
      <c r="F1" s="480"/>
      <c r="G1" s="480"/>
      <c r="H1" s="480"/>
      <c r="I1" s="480"/>
      <c r="J1" s="480"/>
      <c r="K1" s="480"/>
      <c r="L1" s="480"/>
      <c r="M1" s="480"/>
      <c r="N1" s="480"/>
      <c r="O1" s="480"/>
      <c r="AT1" s="345"/>
      <c r="BC1" s="13"/>
      <c r="BG1" s="13"/>
      <c r="BS1" s="360">
        <v>5.2</v>
      </c>
      <c r="BV1">
        <f>BS1/10</f>
        <v>0.52</v>
      </c>
    </row>
    <row r="2" spans="1:74">
      <c r="A2" s="480"/>
      <c r="B2" s="480"/>
      <c r="C2" s="480"/>
      <c r="D2" s="480"/>
      <c r="E2" s="480"/>
      <c r="F2" s="480"/>
      <c r="G2" s="480"/>
      <c r="H2" s="480"/>
      <c r="I2" s="480"/>
      <c r="J2" s="480"/>
      <c r="K2" s="480"/>
      <c r="L2" s="480"/>
      <c r="M2" s="480"/>
      <c r="N2" s="480"/>
      <c r="O2" s="480"/>
      <c r="P2">
        <v>0.67</v>
      </c>
      <c r="AT2" s="345"/>
    </row>
    <row r="3" spans="1:74">
      <c r="A3" s="344" t="s">
        <v>214</v>
      </c>
      <c r="B3" s="344">
        <v>39.914369898196163</v>
      </c>
      <c r="F3" s="345"/>
      <c r="J3" s="345"/>
      <c r="N3" s="345"/>
      <c r="R3" s="345"/>
      <c r="V3" s="345"/>
      <c r="Z3" s="345"/>
      <c r="AD3" s="345"/>
      <c r="AH3" s="345"/>
      <c r="AL3" s="345"/>
      <c r="AP3" s="345"/>
      <c r="AT3" s="345"/>
    </row>
    <row r="4" spans="1:74" ht="16.5" thickBot="1">
      <c r="A4" s="344" t="s">
        <v>204</v>
      </c>
      <c r="B4" s="344"/>
      <c r="C4" s="476" t="s">
        <v>209</v>
      </c>
      <c r="D4" s="476"/>
      <c r="E4" s="476"/>
      <c r="F4" s="345"/>
      <c r="G4" s="476" t="s">
        <v>215</v>
      </c>
      <c r="H4" s="476"/>
      <c r="I4" s="476"/>
      <c r="J4" s="345"/>
      <c r="K4" s="476" t="s">
        <v>216</v>
      </c>
      <c r="L4" s="476"/>
      <c r="M4" s="476"/>
      <c r="N4" s="345"/>
      <c r="O4" s="476" t="s">
        <v>217</v>
      </c>
      <c r="P4" s="476"/>
      <c r="Q4" s="476"/>
      <c r="R4" s="345"/>
      <c r="S4" s="476" t="s">
        <v>218</v>
      </c>
      <c r="T4" s="476"/>
      <c r="U4" s="476"/>
      <c r="V4" s="345"/>
      <c r="W4" s="476" t="s">
        <v>219</v>
      </c>
      <c r="X4" s="476"/>
      <c r="Y4" s="476"/>
      <c r="Z4" s="345"/>
      <c r="AA4" s="476" t="s">
        <v>220</v>
      </c>
      <c r="AB4" s="476"/>
      <c r="AC4" s="476"/>
      <c r="AD4" s="345"/>
      <c r="AE4" s="476" t="s">
        <v>221</v>
      </c>
      <c r="AF4" s="476"/>
      <c r="AG4" s="476"/>
      <c r="AH4" s="345"/>
      <c r="AI4" s="476" t="s">
        <v>222</v>
      </c>
      <c r="AJ4" s="476"/>
      <c r="AK4" s="476"/>
      <c r="AL4" s="345"/>
      <c r="AM4" s="476" t="s">
        <v>223</v>
      </c>
      <c r="AN4" s="476"/>
      <c r="AO4" s="476"/>
      <c r="AP4" s="345"/>
      <c r="AQ4" s="476" t="s">
        <v>224</v>
      </c>
      <c r="AR4" s="476"/>
      <c r="AS4" s="476"/>
      <c r="AT4" s="345"/>
      <c r="AU4" s="476" t="s">
        <v>229</v>
      </c>
      <c r="AV4" s="476"/>
      <c r="AW4" s="476"/>
      <c r="AX4" s="345"/>
      <c r="AY4" s="476" t="s">
        <v>230</v>
      </c>
      <c r="AZ4" s="476"/>
      <c r="BA4" s="476"/>
      <c r="BB4" s="345"/>
      <c r="BC4" s="476" t="s">
        <v>231</v>
      </c>
      <c r="BD4" s="476"/>
      <c r="BE4" s="476"/>
      <c r="BF4" s="345"/>
      <c r="BG4" s="476" t="s">
        <v>232</v>
      </c>
      <c r="BH4" s="476"/>
      <c r="BI4" s="476"/>
      <c r="BK4" s="396" t="s">
        <v>149</v>
      </c>
      <c r="BL4" s="397"/>
      <c r="BM4" s="397"/>
      <c r="BN4" s="398"/>
    </row>
    <row r="5" spans="1:74" ht="16.5" thickTop="1" thickBot="1">
      <c r="A5" s="346" t="s">
        <v>211</v>
      </c>
      <c r="B5" s="344" t="s">
        <v>213</v>
      </c>
      <c r="C5" s="476">
        <v>65.400000000000006</v>
      </c>
      <c r="D5" s="476"/>
      <c r="E5" s="476"/>
      <c r="F5" s="345"/>
      <c r="G5" s="476">
        <v>50.64</v>
      </c>
      <c r="H5" s="476"/>
      <c r="I5" s="476"/>
      <c r="J5" s="345"/>
      <c r="K5" s="476">
        <v>47.06</v>
      </c>
      <c r="L5" s="476"/>
      <c r="M5" s="476"/>
      <c r="N5" s="345"/>
      <c r="O5" s="476">
        <v>43.480000000000004</v>
      </c>
      <c r="P5" s="476"/>
      <c r="Q5" s="476"/>
      <c r="R5" s="345"/>
      <c r="S5" s="476">
        <v>39.9</v>
      </c>
      <c r="T5" s="476"/>
      <c r="U5" s="476"/>
      <c r="V5" s="345"/>
      <c r="W5" s="476">
        <v>36.32</v>
      </c>
      <c r="X5" s="476"/>
      <c r="Y5" s="476"/>
      <c r="Z5" s="345"/>
      <c r="AA5" s="476">
        <v>32.739999999999995</v>
      </c>
      <c r="AB5" s="476"/>
      <c r="AC5" s="476"/>
      <c r="AD5" s="345"/>
      <c r="AE5" s="476">
        <v>29.160000000000004</v>
      </c>
      <c r="AF5" s="476"/>
      <c r="AG5" s="476"/>
      <c r="AH5" s="345"/>
      <c r="AI5" s="476">
        <v>25.580000000000002</v>
      </c>
      <c r="AJ5" s="476"/>
      <c r="AK5" s="476"/>
      <c r="AL5" s="345"/>
      <c r="AM5" s="476">
        <v>22</v>
      </c>
      <c r="AN5" s="476"/>
      <c r="AO5" s="476"/>
      <c r="AP5" s="345"/>
      <c r="AQ5" s="476">
        <v>18.419999999999998</v>
      </c>
      <c r="AR5" s="476"/>
      <c r="AS5" s="476"/>
      <c r="AT5" s="345"/>
      <c r="AU5" s="476">
        <v>11.26</v>
      </c>
      <c r="AV5" s="476"/>
      <c r="AW5" s="476"/>
      <c r="AX5" s="345"/>
      <c r="AY5">
        <v>7.68</v>
      </c>
      <c r="BB5" s="345"/>
      <c r="BC5">
        <v>4.0999999999999996</v>
      </c>
      <c r="BF5" s="345"/>
      <c r="BG5">
        <v>0.52</v>
      </c>
      <c r="BK5" s="125" t="s">
        <v>79</v>
      </c>
      <c r="BL5" s="198" t="s">
        <v>31</v>
      </c>
      <c r="BM5" s="126" t="s">
        <v>52</v>
      </c>
      <c r="BN5" s="127" t="s">
        <v>54</v>
      </c>
      <c r="BS5">
        <v>654</v>
      </c>
      <c r="BT5" t="e">
        <f>E39</f>
        <v>#DIV/0!</v>
      </c>
      <c r="BU5">
        <f>BS5/10</f>
        <v>65.400000000000006</v>
      </c>
    </row>
    <row r="6" spans="1:74" ht="15.75" thickTop="1">
      <c r="A6" s="346" t="s">
        <v>212</v>
      </c>
      <c r="B6" s="344" t="s">
        <v>29</v>
      </c>
      <c r="C6" s="478">
        <v>381.05</v>
      </c>
      <c r="D6" s="476"/>
      <c r="E6" s="476"/>
      <c r="F6" s="345"/>
      <c r="G6" s="476">
        <v>381.05</v>
      </c>
      <c r="H6" s="476"/>
      <c r="I6" s="476"/>
      <c r="J6" s="345"/>
      <c r="K6" s="476">
        <v>381.05</v>
      </c>
      <c r="L6" s="476"/>
      <c r="M6" s="476"/>
      <c r="N6" s="345"/>
      <c r="O6" s="476">
        <v>381.05</v>
      </c>
      <c r="P6" s="476"/>
      <c r="Q6" s="476"/>
      <c r="R6" s="345"/>
      <c r="S6" s="476">
        <v>381.05</v>
      </c>
      <c r="T6" s="476"/>
      <c r="U6" s="476"/>
      <c r="V6" s="345"/>
      <c r="W6" s="476">
        <v>381.05</v>
      </c>
      <c r="X6" s="476"/>
      <c r="Y6" s="476"/>
      <c r="Z6" s="345"/>
      <c r="AA6" s="476">
        <v>381.05</v>
      </c>
      <c r="AB6" s="476"/>
      <c r="AC6" s="476"/>
      <c r="AD6" s="345"/>
      <c r="AE6" s="476">
        <v>381.05</v>
      </c>
      <c r="AF6" s="476"/>
      <c r="AG6" s="476"/>
      <c r="AH6" s="345"/>
      <c r="AI6" s="476">
        <v>381.05</v>
      </c>
      <c r="AJ6" s="476"/>
      <c r="AK6" s="476"/>
      <c r="AL6" s="345"/>
      <c r="AM6" s="476">
        <v>381.05</v>
      </c>
      <c r="AN6" s="476"/>
      <c r="AO6" s="476"/>
      <c r="AP6" s="345"/>
      <c r="AQ6" s="476">
        <v>381.05</v>
      </c>
      <c r="AR6" s="476"/>
      <c r="AS6" s="476"/>
      <c r="AT6" s="345"/>
      <c r="AU6" s="476">
        <v>381.05</v>
      </c>
      <c r="AV6" s="476"/>
      <c r="AW6" s="476"/>
      <c r="AX6" s="345"/>
      <c r="AY6">
        <v>381.05</v>
      </c>
      <c r="BB6" s="345"/>
      <c r="BC6">
        <v>381.05</v>
      </c>
      <c r="BF6" s="345"/>
      <c r="BG6">
        <v>381.05</v>
      </c>
      <c r="BK6">
        <v>654</v>
      </c>
      <c r="BL6" s="7">
        <v>65.400000000000006</v>
      </c>
      <c r="BM6" s="252">
        <v>0</v>
      </c>
      <c r="BN6" s="252">
        <v>0</v>
      </c>
      <c r="BO6">
        <v>0</v>
      </c>
      <c r="BS6" s="328">
        <v>506.4</v>
      </c>
      <c r="BT6" t="e">
        <f>I39</f>
        <v>#DIV/0!</v>
      </c>
      <c r="BU6">
        <f t="shared" ref="BU6:BU19" si="0">BS6/10</f>
        <v>50.64</v>
      </c>
    </row>
    <row r="7" spans="1:74">
      <c r="A7" s="344"/>
      <c r="B7" s="344"/>
      <c r="C7" s="344" t="s">
        <v>160</v>
      </c>
      <c r="D7" s="344" t="s">
        <v>161</v>
      </c>
      <c r="E7" s="344" t="s">
        <v>162</v>
      </c>
      <c r="F7" s="345"/>
      <c r="G7" s="344" t="s">
        <v>160</v>
      </c>
      <c r="H7" s="344" t="s">
        <v>161</v>
      </c>
      <c r="I7" s="344" t="s">
        <v>162</v>
      </c>
      <c r="J7" s="345"/>
      <c r="K7" s="344" t="s">
        <v>160</v>
      </c>
      <c r="L7" s="344" t="s">
        <v>161</v>
      </c>
      <c r="M7" s="344" t="s">
        <v>162</v>
      </c>
      <c r="N7" s="345"/>
      <c r="O7" s="344" t="s">
        <v>160</v>
      </c>
      <c r="P7" s="344" t="s">
        <v>161</v>
      </c>
      <c r="Q7" s="344" t="s">
        <v>162</v>
      </c>
      <c r="R7" s="345"/>
      <c r="S7" s="344" t="s">
        <v>160</v>
      </c>
      <c r="T7" s="344" t="s">
        <v>161</v>
      </c>
      <c r="U7" s="344" t="s">
        <v>162</v>
      </c>
      <c r="V7" s="345"/>
      <c r="W7" s="344" t="s">
        <v>160</v>
      </c>
      <c r="X7" s="344" t="s">
        <v>161</v>
      </c>
      <c r="Y7" s="344" t="s">
        <v>162</v>
      </c>
      <c r="Z7" s="345"/>
      <c r="AA7" s="344" t="s">
        <v>160</v>
      </c>
      <c r="AB7" s="344" t="s">
        <v>161</v>
      </c>
      <c r="AC7" s="344" t="s">
        <v>162</v>
      </c>
      <c r="AD7" s="345"/>
      <c r="AE7" s="344" t="s">
        <v>160</v>
      </c>
      <c r="AF7" s="344" t="s">
        <v>161</v>
      </c>
      <c r="AG7" s="344" t="s">
        <v>162</v>
      </c>
      <c r="AH7" s="345"/>
      <c r="AI7" s="344" t="s">
        <v>160</v>
      </c>
      <c r="AJ7" s="344" t="s">
        <v>161</v>
      </c>
      <c r="AK7" s="344" t="s">
        <v>162</v>
      </c>
      <c r="AL7" s="345"/>
      <c r="AM7" s="344" t="s">
        <v>160</v>
      </c>
      <c r="AN7" s="344" t="s">
        <v>161</v>
      </c>
      <c r="AO7" s="344" t="s">
        <v>162</v>
      </c>
      <c r="AP7" s="345"/>
      <c r="AQ7" s="344" t="s">
        <v>160</v>
      </c>
      <c r="AR7" s="344" t="s">
        <v>161</v>
      </c>
      <c r="AS7" s="344" t="s">
        <v>162</v>
      </c>
      <c r="AT7" s="345"/>
      <c r="BK7" s="328">
        <v>506.4</v>
      </c>
      <c r="BL7" s="7">
        <v>50.28</v>
      </c>
      <c r="BM7" s="8">
        <v>0</v>
      </c>
      <c r="BN7" s="8">
        <v>0</v>
      </c>
      <c r="BO7">
        <v>0</v>
      </c>
      <c r="BS7">
        <v>502.8</v>
      </c>
      <c r="BT7">
        <v>430.34887235936537</v>
      </c>
      <c r="BU7">
        <f t="shared" si="0"/>
        <v>50.28</v>
      </c>
    </row>
    <row r="8" spans="1:74">
      <c r="A8" s="344" t="s">
        <v>205</v>
      </c>
      <c r="B8" s="344"/>
      <c r="C8" s="13">
        <v>0.67221750497211374</v>
      </c>
      <c r="D8" s="13">
        <v>0.32778249502788626</v>
      </c>
      <c r="E8" s="13"/>
      <c r="F8" s="347"/>
      <c r="G8" s="13">
        <v>0.67262463531747785</v>
      </c>
      <c r="H8" s="13">
        <v>0.32737536468252215</v>
      </c>
      <c r="I8" s="13"/>
      <c r="J8" s="347"/>
      <c r="K8" s="13">
        <v>1.2941662504026405E-2</v>
      </c>
      <c r="L8" s="13">
        <v>0.60168308776656365</v>
      </c>
      <c r="M8" s="13">
        <v>0.32720710316733959</v>
      </c>
      <c r="N8" s="347"/>
      <c r="O8" s="13">
        <v>2.3306253334737726E-2</v>
      </c>
      <c r="P8" s="13">
        <v>0.57225960004459597</v>
      </c>
      <c r="Q8" s="13">
        <v>0.32701826247258153</v>
      </c>
      <c r="R8" s="347"/>
      <c r="S8" s="13">
        <v>3.089518322762597E-2</v>
      </c>
      <c r="T8" s="13">
        <v>0.54312777586401051</v>
      </c>
      <c r="U8" s="13">
        <v>0.32681497640037666</v>
      </c>
      <c r="V8" s="347"/>
      <c r="W8" s="13">
        <v>3.6569828296797238E-2</v>
      </c>
      <c r="X8" s="13">
        <v>0.5131822369257204</v>
      </c>
      <c r="Y8" s="13">
        <v>0.32659032244420277</v>
      </c>
      <c r="Z8" s="347"/>
      <c r="AA8" s="13">
        <v>4.0711889520250968E-2</v>
      </c>
      <c r="AB8" s="13">
        <v>0.48152650411327186</v>
      </c>
      <c r="AC8" s="13">
        <v>0.32634123170194324</v>
      </c>
      <c r="AD8" s="347"/>
      <c r="AE8" s="13">
        <v>4.340081902632658E-2</v>
      </c>
      <c r="AF8" s="13">
        <v>0.44749481537743896</v>
      </c>
      <c r="AG8" s="13">
        <v>0.3260641405647931</v>
      </c>
      <c r="AH8" s="347"/>
      <c r="AI8" s="13">
        <v>4.4562975929585386E-2</v>
      </c>
      <c r="AJ8" s="13">
        <v>0.41055708323570006</v>
      </c>
      <c r="AK8" s="13">
        <v>0.32574984983617145</v>
      </c>
      <c r="AL8" s="347"/>
      <c r="AM8" s="13">
        <v>4.4174264824271926E-2</v>
      </c>
      <c r="AN8" s="13">
        <v>0.37022200938530248</v>
      </c>
      <c r="AO8" s="13">
        <v>0.32538578096179521</v>
      </c>
      <c r="AP8" s="347"/>
      <c r="AQ8" s="13">
        <v>4.2355752766627751E-2</v>
      </c>
      <c r="AR8" s="13">
        <v>0.32609547217958651</v>
      </c>
      <c r="AS8" s="13">
        <v>0.32495729589340916</v>
      </c>
      <c r="AT8" s="347"/>
      <c r="AU8">
        <v>3.5569590312548888E-2</v>
      </c>
      <c r="AV8">
        <v>0.28275346741352098</v>
      </c>
      <c r="AW8">
        <v>0.32357038615085287</v>
      </c>
      <c r="AX8" s="347"/>
      <c r="AY8">
        <v>3.0913873955238855E-2</v>
      </c>
      <c r="AZ8">
        <v>0.17329452586611677</v>
      </c>
      <c r="BA8">
        <v>0.32254576015048214</v>
      </c>
      <c r="BB8" s="347"/>
      <c r="BC8">
        <v>2.5682879604089125E-2</v>
      </c>
      <c r="BD8">
        <v>0.11982263054088602</v>
      </c>
      <c r="BE8">
        <v>0.32061815694243773</v>
      </c>
      <c r="BF8" s="347"/>
      <c r="BG8">
        <v>1.2207177232765097E-2</v>
      </c>
      <c r="BH8">
        <v>0.39287305909661607</v>
      </c>
      <c r="BK8" s="328">
        <v>470.6</v>
      </c>
      <c r="BL8" s="7">
        <v>47.06</v>
      </c>
      <c r="BM8" s="8">
        <v>0</v>
      </c>
      <c r="BN8" s="114">
        <v>2.6113764974399292E-2</v>
      </c>
      <c r="BO8">
        <f>BN8/0.9</f>
        <v>2.9015294415999211E-2</v>
      </c>
      <c r="BQ8" t="s">
        <v>237</v>
      </c>
      <c r="BS8" s="328">
        <v>470.6</v>
      </c>
      <c r="BT8" t="e">
        <f>G39-K39</f>
        <v>#DIV/0!</v>
      </c>
      <c r="BU8">
        <f t="shared" si="0"/>
        <v>47.06</v>
      </c>
    </row>
    <row r="9" spans="1:74">
      <c r="A9" s="344" t="s">
        <v>206</v>
      </c>
      <c r="B9" s="344" t="s">
        <v>210</v>
      </c>
      <c r="C9" s="13">
        <v>48.05207622392124</v>
      </c>
      <c r="D9" s="13">
        <v>5.2615657197472201</v>
      </c>
      <c r="E9" s="13"/>
      <c r="F9" s="347"/>
      <c r="G9" s="13">
        <v>52.582605531237974</v>
      </c>
      <c r="H9" s="13">
        <v>5.2783463748628252</v>
      </c>
      <c r="I9" s="13"/>
      <c r="J9" s="347"/>
      <c r="K9" s="13">
        <v>1.3922199156462343</v>
      </c>
      <c r="L9" s="13">
        <v>48.181232806475812</v>
      </c>
      <c r="M9" s="13">
        <v>5.2814984996119243</v>
      </c>
      <c r="N9" s="347"/>
      <c r="O9" s="13">
        <v>2.5957313125748755</v>
      </c>
      <c r="P9" s="13">
        <v>47.228204443792478</v>
      </c>
      <c r="Q9" s="13">
        <v>5.2844039989743488</v>
      </c>
      <c r="R9" s="347"/>
      <c r="S9" s="13">
        <v>3.560522034945945</v>
      </c>
      <c r="T9" s="13">
        <v>46.566175033296709</v>
      </c>
      <c r="U9" s="13">
        <v>5.2871209633721348</v>
      </c>
      <c r="V9" s="347"/>
      <c r="W9" s="13">
        <v>4.3609209043235584</v>
      </c>
      <c r="X9" s="13">
        <v>46.16038056141074</v>
      </c>
      <c r="Y9" s="13">
        <v>5.2895813846419113</v>
      </c>
      <c r="Z9" s="347"/>
      <c r="AA9" s="13">
        <v>5.0286685106460451</v>
      </c>
      <c r="AB9" s="13">
        <v>46.014869204077328</v>
      </c>
      <c r="AC9" s="13">
        <v>5.2917100314441345</v>
      </c>
      <c r="AD9" s="347"/>
      <c r="AE9" s="13">
        <v>5.5660792977223297</v>
      </c>
      <c r="AF9" s="13">
        <v>46.178350928903804</v>
      </c>
      <c r="AG9" s="13">
        <v>5.2934347434035542</v>
      </c>
      <c r="AH9" s="347"/>
      <c r="AI9" s="13">
        <v>5.9576137436084267</v>
      </c>
      <c r="AJ9" s="13">
        <v>46.738962171488716</v>
      </c>
      <c r="AK9" s="13">
        <v>5.2946217797398099</v>
      </c>
      <c r="AL9" s="347"/>
      <c r="AM9" s="13">
        <v>6.1895215420335568</v>
      </c>
      <c r="AN9" s="13">
        <v>47.818762554717296</v>
      </c>
      <c r="AO9" s="13">
        <v>5.2950747487156908</v>
      </c>
      <c r="AP9" s="347"/>
      <c r="AQ9" s="13">
        <v>6.2613530685935572</v>
      </c>
      <c r="AR9" s="13">
        <v>49.592159233014506</v>
      </c>
      <c r="AS9" s="13">
        <v>5.2944730095398977</v>
      </c>
      <c r="AT9" s="347"/>
      <c r="AU9">
        <v>6.0093972747153765</v>
      </c>
      <c r="AV9">
        <v>70.884387567423218</v>
      </c>
      <c r="AW9">
        <v>5.2844991489693074</v>
      </c>
      <c r="AX9" s="347"/>
      <c r="AY9">
        <v>5.6946575188996595</v>
      </c>
      <c r="AZ9">
        <v>65.133318905771048</v>
      </c>
      <c r="BA9">
        <v>5.2738361707717276</v>
      </c>
      <c r="BB9" s="347"/>
      <c r="BC9">
        <v>5.2704337163008477</v>
      </c>
      <c r="BD9">
        <v>87.239785059568234</v>
      </c>
      <c r="BE9">
        <v>5.2479797775408645</v>
      </c>
      <c r="BF9" s="347"/>
      <c r="BG9">
        <v>3.4254277984055141</v>
      </c>
      <c r="BH9">
        <v>2299.6707422161389</v>
      </c>
      <c r="BK9" s="328">
        <v>434.8</v>
      </c>
      <c r="BL9" s="7">
        <v>43.480000000000004</v>
      </c>
      <c r="BM9" s="8">
        <v>0</v>
      </c>
      <c r="BN9">
        <v>4.8687938357644789E-2</v>
      </c>
      <c r="BO9">
        <f t="shared" ref="BO9:BO19" si="1">BN9/0.9</f>
        <v>5.4097709286271986E-2</v>
      </c>
      <c r="BP9" t="s">
        <v>238</v>
      </c>
      <c r="BQ9">
        <v>50.28</v>
      </c>
      <c r="BS9" s="328">
        <v>434.8</v>
      </c>
      <c r="BT9" t="e">
        <f>G39-O39-Q39</f>
        <v>#DIV/0!</v>
      </c>
      <c r="BU9">
        <f t="shared" si="0"/>
        <v>43.480000000000004</v>
      </c>
    </row>
    <row r="10" spans="1:74">
      <c r="A10" s="344" t="s">
        <v>207</v>
      </c>
      <c r="B10" s="344"/>
      <c r="C10" s="13">
        <v>28.009892007037532</v>
      </c>
      <c r="D10" s="13">
        <v>18.005557856174626</v>
      </c>
      <c r="E10" s="13"/>
      <c r="F10" s="347"/>
      <c r="G10" s="13">
        <v>28.003976485834443</v>
      </c>
      <c r="H10" s="13">
        <v>18.00527028803057</v>
      </c>
      <c r="I10" s="13"/>
      <c r="J10" s="347"/>
      <c r="K10" s="13">
        <v>67.118769313570297</v>
      </c>
      <c r="L10" s="13">
        <v>27.159885764379627</v>
      </c>
      <c r="M10" s="13">
        <v>18.00521609144997</v>
      </c>
      <c r="N10" s="347"/>
      <c r="O10" s="13">
        <v>70.152241618470256</v>
      </c>
      <c r="P10" s="13">
        <v>26.309592019635659</v>
      </c>
      <c r="Q10" s="13">
        <v>18.005227198000842</v>
      </c>
      <c r="R10" s="347"/>
      <c r="S10" s="13">
        <v>73.136222769504471</v>
      </c>
      <c r="T10" s="13">
        <v>25.524212405394298</v>
      </c>
      <c r="U10" s="13">
        <v>18.005116685476896</v>
      </c>
      <c r="V10" s="347"/>
      <c r="W10" s="13">
        <v>76.133497205462675</v>
      </c>
      <c r="X10" s="13">
        <v>24.780863533863133</v>
      </c>
      <c r="Y10" s="13">
        <v>18.005095774817011</v>
      </c>
      <c r="Z10" s="347"/>
      <c r="AA10" s="13">
        <v>79.30222363817245</v>
      </c>
      <c r="AB10" s="13">
        <v>24.067753326340405</v>
      </c>
      <c r="AC10" s="13">
        <v>18.005043961424576</v>
      </c>
      <c r="AD10" s="347"/>
      <c r="AE10" s="13">
        <v>82.888681522515569</v>
      </c>
      <c r="AF10" s="13">
        <v>23.3843704282048</v>
      </c>
      <c r="AG10" s="13">
        <v>18.00490157914167</v>
      </c>
      <c r="AH10" s="347"/>
      <c r="AI10" s="13">
        <v>87.211861883525671</v>
      </c>
      <c r="AJ10" s="13">
        <v>22.742666373681359</v>
      </c>
      <c r="AK10" s="13">
        <v>18.004773565153663</v>
      </c>
      <c r="AL10" s="347"/>
      <c r="AM10" s="13">
        <v>92.607574016688588</v>
      </c>
      <c r="AN10" s="13">
        <v>22.161901647652154</v>
      </c>
      <c r="AO10" s="13">
        <v>18.00475893669746</v>
      </c>
      <c r="AP10" s="347"/>
      <c r="AQ10" s="13">
        <v>99.423033838773819</v>
      </c>
      <c r="AR10" s="13">
        <v>21.66424145828633</v>
      </c>
      <c r="AS10" s="13">
        <v>18.004561477688043</v>
      </c>
      <c r="AT10" s="347"/>
      <c r="AU10">
        <v>119.24220561051133</v>
      </c>
      <c r="AV10">
        <v>21.019995733689939</v>
      </c>
      <c r="AW10">
        <v>18.003977505051441</v>
      </c>
      <c r="AX10" s="347"/>
      <c r="AY10">
        <v>134.18263587881535</v>
      </c>
      <c r="AZ10">
        <v>20.97692364084665</v>
      </c>
      <c r="BA10">
        <v>18.003363757210028</v>
      </c>
      <c r="BB10" s="347"/>
      <c r="BC10">
        <v>155.16362101419341</v>
      </c>
      <c r="BD10">
        <v>21.376830774015982</v>
      </c>
      <c r="BE10">
        <v>18.002354949053593</v>
      </c>
      <c r="BF10" s="347"/>
      <c r="BG10">
        <v>235.80578793709324</v>
      </c>
      <c r="BH10">
        <v>20.706188694745808</v>
      </c>
      <c r="BK10" s="328">
        <v>399</v>
      </c>
      <c r="BL10" s="7">
        <v>39.9</v>
      </c>
      <c r="BM10" s="8">
        <v>0</v>
      </c>
      <c r="BN10" s="114">
        <v>6.6784445877999032E-2</v>
      </c>
      <c r="BO10">
        <f t="shared" si="1"/>
        <v>7.4204939864443362E-2</v>
      </c>
      <c r="BS10" s="328">
        <v>399</v>
      </c>
      <c r="BT10" t="e">
        <f>I39-S39-U39</f>
        <v>#DIV/0!</v>
      </c>
      <c r="BU10">
        <f t="shared" si="0"/>
        <v>39.9</v>
      </c>
    </row>
    <row r="11" spans="1:74">
      <c r="A11" s="344" t="s">
        <v>16</v>
      </c>
      <c r="B11" s="344"/>
      <c r="C11" s="13">
        <v>1.3943366348440498</v>
      </c>
      <c r="D11" s="13">
        <v>0.46028449878285904</v>
      </c>
      <c r="E11" s="13"/>
      <c r="F11" s="347"/>
      <c r="G11" s="13">
        <v>1.1867209136501415</v>
      </c>
      <c r="H11" s="13">
        <v>0.35754903629639678</v>
      </c>
      <c r="I11" s="13"/>
      <c r="J11" s="347"/>
      <c r="K11" s="13">
        <v>1.5956026393340581</v>
      </c>
      <c r="L11" s="13">
        <v>1.1299177335831614</v>
      </c>
      <c r="M11" s="13">
        <v>0.33253968382193178</v>
      </c>
      <c r="N11" s="347"/>
      <c r="O11" s="13">
        <v>1.5298078490345457</v>
      </c>
      <c r="P11" s="13">
        <v>1.0765602807446113</v>
      </c>
      <c r="Q11" s="13">
        <v>0.30749384835498839</v>
      </c>
      <c r="R11" s="347"/>
      <c r="S11" s="13">
        <v>1.4555219947718432</v>
      </c>
      <c r="T11" s="13">
        <v>1.0274654990851595</v>
      </c>
      <c r="U11" s="13">
        <v>0.2824081949848663</v>
      </c>
      <c r="V11" s="347"/>
      <c r="W11" s="13">
        <v>1.3733214212396851</v>
      </c>
      <c r="X11" s="13">
        <v>0.98287379229091154</v>
      </c>
      <c r="Y11" s="13">
        <v>0.25728472675314745</v>
      </c>
      <c r="Z11" s="347"/>
      <c r="AA11" s="13">
        <v>1.2843290755785228</v>
      </c>
      <c r="AB11" s="13">
        <v>0.94342291054692118</v>
      </c>
      <c r="AC11" s="13">
        <v>0.23212112215721359</v>
      </c>
      <c r="AD11" s="347"/>
      <c r="AE11" s="13">
        <v>1.1896863431431646</v>
      </c>
      <c r="AF11" s="13">
        <v>0.91007879432912175</v>
      </c>
      <c r="AG11" s="13">
        <v>0.20691610669007093</v>
      </c>
      <c r="AH11" s="347"/>
      <c r="AI11" s="13">
        <v>1.090059239249302</v>
      </c>
      <c r="AJ11" s="13">
        <v>0.88400943467137338</v>
      </c>
      <c r="AK11" s="13">
        <v>0.18166991238042501</v>
      </c>
      <c r="AL11" s="347"/>
      <c r="AM11" s="13">
        <v>0.9849895432175616</v>
      </c>
      <c r="AN11" s="13">
        <v>0.86644504208347017</v>
      </c>
      <c r="AO11" s="13">
        <v>0.15638221796447926</v>
      </c>
      <c r="AP11" s="347"/>
      <c r="AQ11" s="13">
        <v>0.87278912983300538</v>
      </c>
      <c r="AR11" s="13">
        <v>0.85854937745230142</v>
      </c>
      <c r="AS11" s="13">
        <v>0.13104999820285818</v>
      </c>
      <c r="AT11" s="347"/>
      <c r="AU11">
        <v>0.61498090549397177</v>
      </c>
      <c r="AV11">
        <v>0.8752743502713709</v>
      </c>
      <c r="AW11">
        <v>8.0251795411762805E-2</v>
      </c>
      <c r="AX11" s="347"/>
      <c r="AY11">
        <v>0.46004992674404299</v>
      </c>
      <c r="AZ11">
        <v>0.90046566869483702</v>
      </c>
      <c r="BA11">
        <v>5.4784217038140626E-2</v>
      </c>
      <c r="BB11" s="347"/>
      <c r="BC11">
        <v>0.27565996869049308</v>
      </c>
      <c r="BD11">
        <v>0.93671484827118401</v>
      </c>
      <c r="BE11">
        <v>2.9271329836622784E-2</v>
      </c>
      <c r="BF11" s="347"/>
      <c r="BG11">
        <v>4.8815420374983987E-2</v>
      </c>
      <c r="BH11">
        <v>0.96151176041581754</v>
      </c>
      <c r="BK11" s="328">
        <v>363.2</v>
      </c>
      <c r="BL11" s="7">
        <v>36.32</v>
      </c>
      <c r="BM11" s="8">
        <v>0</v>
      </c>
      <c r="BN11" s="114">
        <v>8.179746769000204E-2</v>
      </c>
      <c r="BO11">
        <f t="shared" si="1"/>
        <v>9.0886075211113374E-2</v>
      </c>
      <c r="BS11" s="328">
        <v>363.2</v>
      </c>
      <c r="BT11" t="e">
        <f>I39-W39-Y39</f>
        <v>#DIV/0!</v>
      </c>
      <c r="BU11">
        <f t="shared" si="0"/>
        <v>36.32</v>
      </c>
    </row>
    <row r="12" spans="1:74">
      <c r="A12" s="344" t="s">
        <v>208</v>
      </c>
      <c r="B12" s="344" t="s">
        <v>27</v>
      </c>
      <c r="C12" s="13">
        <v>391.84029492852204</v>
      </c>
      <c r="D12" s="13">
        <v>1121.7015985023982</v>
      </c>
      <c r="E12" s="13"/>
      <c r="F12" s="347"/>
      <c r="G12" s="13">
        <v>358.22044725481584</v>
      </c>
      <c r="H12" s="13">
        <v>1116.7288972968502</v>
      </c>
      <c r="I12" s="13"/>
      <c r="J12" s="347"/>
      <c r="K12" s="13">
        <v>623.91612875228464</v>
      </c>
      <c r="L12" s="13">
        <v>339.17031545740502</v>
      </c>
      <c r="M12" s="13">
        <v>1115.4854251342126</v>
      </c>
      <c r="N12" s="347"/>
      <c r="O12" s="13">
        <v>629.87486695529742</v>
      </c>
      <c r="P12" s="13">
        <v>318.7907900333505</v>
      </c>
      <c r="Q12" s="13">
        <v>1114.2293652902226</v>
      </c>
      <c r="R12" s="347"/>
      <c r="S12" s="13">
        <v>634.61396414995511</v>
      </c>
      <c r="T12" s="13">
        <v>297.7034017612537</v>
      </c>
      <c r="U12" s="13">
        <v>1112.9576617246746</v>
      </c>
      <c r="V12" s="347"/>
      <c r="W12" s="13">
        <v>638.44059122423596</v>
      </c>
      <c r="X12" s="13">
        <v>275.49813988947403</v>
      </c>
      <c r="Y12" s="13">
        <v>1111.6739883820351</v>
      </c>
      <c r="Z12" s="347"/>
      <c r="AA12" s="13">
        <v>642.0274791691794</v>
      </c>
      <c r="AB12" s="13">
        <v>251.85904733738445</v>
      </c>
      <c r="AC12" s="13">
        <v>1110.3760765998356</v>
      </c>
      <c r="AD12" s="347"/>
      <c r="AE12" s="13">
        <v>646.31430377961181</v>
      </c>
      <c r="AF12" s="13">
        <v>226.60801689514895</v>
      </c>
      <c r="AG12" s="13">
        <v>1109.0630269263995</v>
      </c>
      <c r="AH12" s="347"/>
      <c r="AI12" s="13">
        <v>652.34509472175694</v>
      </c>
      <c r="AJ12" s="13">
        <v>199.77257383513381</v>
      </c>
      <c r="AK12" s="13">
        <v>1107.7377250299637</v>
      </c>
      <c r="AL12" s="347"/>
      <c r="AM12" s="13">
        <v>660.93501275746701</v>
      </c>
      <c r="AN12" s="13">
        <v>171.58168303507941</v>
      </c>
      <c r="AO12" s="13">
        <v>1106.4041256579296</v>
      </c>
      <c r="AP12" s="347"/>
      <c r="AQ12" s="13">
        <v>672.56029079495534</v>
      </c>
      <c r="AR12" s="13">
        <v>142.45419350584356</v>
      </c>
      <c r="AS12" s="13">
        <v>1105.0606171745487</v>
      </c>
      <c r="AT12" s="347"/>
      <c r="AU12">
        <v>705.79397693947476</v>
      </c>
      <c r="AV12">
        <v>83.847471674421712</v>
      </c>
      <c r="AW12">
        <v>1102.3852572096609</v>
      </c>
      <c r="AX12" s="347"/>
      <c r="AY12">
        <v>728.42046756499565</v>
      </c>
      <c r="AZ12">
        <v>55.811466351489194</v>
      </c>
      <c r="BA12">
        <v>1101.0786949578708</v>
      </c>
      <c r="BB12" s="347"/>
      <c r="BC12">
        <v>756.11397694211462</v>
      </c>
      <c r="BD12">
        <v>29.360779536778885</v>
      </c>
      <c r="BE12">
        <v>1099.8292884226328</v>
      </c>
      <c r="BF12" s="347"/>
      <c r="BG12">
        <v>840.33972258876065</v>
      </c>
      <c r="BH12">
        <v>3.5374210513706577</v>
      </c>
      <c r="BK12" s="328">
        <v>327.39999999999998</v>
      </c>
      <c r="BL12" s="7">
        <v>32.739999999999995</v>
      </c>
      <c r="BM12" s="8">
        <v>4581.735023680073</v>
      </c>
      <c r="BN12" s="114">
        <v>9.4322359668457256E-2</v>
      </c>
      <c r="BO12">
        <f t="shared" si="1"/>
        <v>0.1048026218538414</v>
      </c>
      <c r="BS12" s="328">
        <v>327.39999999999998</v>
      </c>
      <c r="BT12" t="e">
        <f>I39-AA39-AC39</f>
        <v>#DIV/0!</v>
      </c>
      <c r="BU12">
        <f t="shared" si="0"/>
        <v>32.739999999999995</v>
      </c>
    </row>
    <row r="13" spans="1:74">
      <c r="F13" s="345"/>
      <c r="J13" s="345"/>
      <c r="N13" s="345"/>
      <c r="R13" s="345"/>
      <c r="V13" s="345"/>
      <c r="Z13" s="345"/>
      <c r="AD13" s="345"/>
      <c r="AH13" s="345"/>
      <c r="AL13" s="345"/>
      <c r="AP13" s="345"/>
      <c r="AT13" s="345"/>
      <c r="AX13" s="345"/>
      <c r="BB13" s="345"/>
      <c r="BF13" s="345"/>
      <c r="BK13" s="328">
        <v>291.60000000000002</v>
      </c>
      <c r="BL13" s="7">
        <v>29.160000000000004</v>
      </c>
      <c r="BM13" s="8">
        <v>5126.0520209781771</v>
      </c>
      <c r="BN13" s="114">
        <v>0.10440253366302542</v>
      </c>
      <c r="BO13">
        <f t="shared" si="1"/>
        <v>0.11600281518113935</v>
      </c>
      <c r="BS13" s="328">
        <v>291.60000000000002</v>
      </c>
      <c r="BT13" t="e">
        <f>I39-AE39-AG39</f>
        <v>#DIV/0!</v>
      </c>
      <c r="BU13">
        <f t="shared" si="0"/>
        <v>29.160000000000004</v>
      </c>
    </row>
    <row r="14" spans="1:74">
      <c r="A14" s="344" t="s">
        <v>22</v>
      </c>
      <c r="B14" t="s">
        <v>17</v>
      </c>
      <c r="C14" s="79">
        <v>5.4112691399299667E-3</v>
      </c>
      <c r="D14" s="348">
        <v>2.0074775570678956E-5</v>
      </c>
      <c r="E14" s="13"/>
      <c r="F14" s="347"/>
      <c r="G14" s="13">
        <v>5.4088648960436952E-3</v>
      </c>
      <c r="H14" s="13">
        <v>1.8309935516726102E-5</v>
      </c>
      <c r="I14" s="13"/>
      <c r="J14" s="347"/>
      <c r="K14" s="13">
        <v>5.065872951191353E-3</v>
      </c>
      <c r="L14" s="13">
        <v>5.4149824612487879E-3</v>
      </c>
      <c r="M14" s="13">
        <v>1.7854650548195336E-5</v>
      </c>
      <c r="N14" s="347"/>
      <c r="O14" s="13">
        <v>4.993446246925568E-3</v>
      </c>
      <c r="P14" s="13">
        <v>5.4227533837628607E-3</v>
      </c>
      <c r="Q14" s="13">
        <v>1.7365962150583998E-5</v>
      </c>
      <c r="R14" s="347"/>
      <c r="S14" s="13">
        <v>4.9084945689024584E-3</v>
      </c>
      <c r="T14" s="13">
        <v>5.4318815658677654E-3</v>
      </c>
      <c r="U14" s="13">
        <v>1.6833459625983178E-5</v>
      </c>
      <c r="V14" s="347"/>
      <c r="W14" s="13">
        <v>4.8076728429244254E-3</v>
      </c>
      <c r="X14" s="13">
        <v>5.4428546307656415E-3</v>
      </c>
      <c r="Y14" s="13">
        <v>1.6249776314321017E-5</v>
      </c>
      <c r="Z14" s="347"/>
      <c r="AA14" s="13">
        <v>4.6855606610873334E-3</v>
      </c>
      <c r="AB14" s="13">
        <v>5.456272874105746E-3</v>
      </c>
      <c r="AC14" s="13">
        <v>1.5604509004215701E-5</v>
      </c>
      <c r="AD14" s="347"/>
      <c r="AE14" s="13">
        <v>4.534322060481045E-3</v>
      </c>
      <c r="AF14" s="13">
        <v>5.472728786970628E-3</v>
      </c>
      <c r="AG14" s="13">
        <v>1.488309656037371E-5</v>
      </c>
      <c r="AH14" s="347"/>
      <c r="AI14" s="13">
        <v>4.3429012937214921E-3</v>
      </c>
      <c r="AJ14" s="13">
        <v>5.4926352403255416E-3</v>
      </c>
      <c r="AK14" s="13">
        <v>1.4062740544687848E-5</v>
      </c>
      <c r="AL14" s="347"/>
      <c r="AM14" s="13">
        <v>4.0972307266718896E-3</v>
      </c>
      <c r="AN14" s="13">
        <v>5.516190667694626E-3</v>
      </c>
      <c r="AO14" s="13">
        <v>1.311029253174084E-5</v>
      </c>
      <c r="AP14" s="347"/>
      <c r="AQ14" s="13">
        <v>3.7797760685013733E-3</v>
      </c>
      <c r="AR14" s="13">
        <v>5.5434082526185872E-3</v>
      </c>
      <c r="AS14" s="13">
        <v>1.1978193856372704E-5</v>
      </c>
      <c r="AT14" s="347"/>
      <c r="AU14">
        <v>2.8311246843493844E-3</v>
      </c>
      <c r="AV14">
        <v>5.5968392886616234E-3</v>
      </c>
      <c r="AW14">
        <v>8.8735884370581229E-6</v>
      </c>
      <c r="AX14" s="347"/>
      <c r="AY14">
        <v>2.1415011395617494E-3</v>
      </c>
      <c r="AZ14">
        <v>5.6165487960708723E-3</v>
      </c>
      <c r="BA14">
        <v>6.7077808020035101E-6</v>
      </c>
      <c r="BB14" s="347"/>
      <c r="BC14">
        <v>1.2545425676004191E-3</v>
      </c>
      <c r="BD14">
        <v>5.572110719479874E-3</v>
      </c>
      <c r="BE14">
        <v>3.9407361764627156E-6</v>
      </c>
      <c r="BF14" s="347"/>
      <c r="BG14">
        <v>2.9127108770951831E-5</v>
      </c>
      <c r="BH14">
        <v>9.1797773077619839E-4</v>
      </c>
      <c r="BK14" s="328">
        <v>255.8</v>
      </c>
      <c r="BL14" s="7">
        <v>25.580000000000002</v>
      </c>
      <c r="BM14" s="8">
        <v>5509.8319099963419</v>
      </c>
      <c r="BN14" s="114">
        <v>0.11174651602123299</v>
      </c>
      <c r="BO14">
        <f t="shared" si="1"/>
        <v>0.12416279557914776</v>
      </c>
      <c r="BS14" s="328">
        <v>255.8</v>
      </c>
      <c r="BT14" t="e">
        <f>I39-AI39-AK39</f>
        <v>#DIV/0!</v>
      </c>
      <c r="BU14">
        <f t="shared" si="0"/>
        <v>25.580000000000002</v>
      </c>
    </row>
    <row r="15" spans="1:74">
      <c r="A15" s="344" t="s">
        <v>23</v>
      </c>
      <c r="B15" t="s">
        <v>17</v>
      </c>
      <c r="C15" s="79">
        <v>2.5384444939989506E-3</v>
      </c>
      <c r="D15" s="348">
        <v>3.1476889520008895E-7</v>
      </c>
      <c r="E15" s="13"/>
      <c r="F15" s="347"/>
      <c r="G15" s="13">
        <v>2.5369301527712741E-3</v>
      </c>
      <c r="H15" s="13">
        <v>2.6966343785336168E-7</v>
      </c>
      <c r="I15" s="13"/>
      <c r="J15" s="347"/>
      <c r="K15" s="13">
        <v>1.6945733613719775E-3</v>
      </c>
      <c r="L15" s="13">
        <v>2.5543465424376416E-3</v>
      </c>
      <c r="M15" s="13">
        <v>2.5599580247106174E-7</v>
      </c>
      <c r="N15" s="347"/>
      <c r="O15" s="13">
        <v>1.6076254161867158E-3</v>
      </c>
      <c r="P15" s="13">
        <v>2.5726251060924662E-3</v>
      </c>
      <c r="Q15" s="13">
        <v>2.4140428278735731E-7</v>
      </c>
      <c r="R15" s="347"/>
      <c r="S15" s="13">
        <v>1.5156182727342001E-3</v>
      </c>
      <c r="T15" s="13">
        <v>2.5903889052971796E-3</v>
      </c>
      <c r="U15" s="13">
        <v>2.2595216556287891E-7</v>
      </c>
      <c r="V15" s="347"/>
      <c r="W15" s="13">
        <v>1.4168996915211653E-3</v>
      </c>
      <c r="X15" s="13">
        <v>2.6081847797785407E-3</v>
      </c>
      <c r="Y15" s="13">
        <v>2.0955978234019486E-7</v>
      </c>
      <c r="Z15" s="347"/>
      <c r="AA15" s="13">
        <v>1.3093869833306667E-3</v>
      </c>
      <c r="AB15" s="13">
        <v>2.6261847842241285E-3</v>
      </c>
      <c r="AC15" s="13">
        <v>1.9215337004973201E-7</v>
      </c>
      <c r="AD15" s="347"/>
      <c r="AE15" s="13">
        <v>1.191164905320848E-3</v>
      </c>
      <c r="AF15" s="13">
        <v>2.6439505470555423E-3</v>
      </c>
      <c r="AG15" s="13">
        <v>1.7370739949526586E-7</v>
      </c>
      <c r="AH15" s="347"/>
      <c r="AI15" s="13">
        <v>1.0610798426496566E-3</v>
      </c>
      <c r="AJ15" s="13">
        <v>2.6601742844105892E-3</v>
      </c>
      <c r="AK15" s="13">
        <v>1.5423706724497623E-7</v>
      </c>
      <c r="AL15" s="347"/>
      <c r="AM15" s="13">
        <v>9.1967619988369523E-4</v>
      </c>
      <c r="AN15" s="13">
        <v>2.6727694978959673E-3</v>
      </c>
      <c r="AO15" s="13">
        <v>1.3383188873415574E-7</v>
      </c>
      <c r="AP15" s="347"/>
      <c r="AQ15" s="13">
        <v>7.6926347527790575E-4</v>
      </c>
      <c r="AR15" s="13">
        <v>2.6790392090052266E-3</v>
      </c>
      <c r="AS15" s="13">
        <v>1.1264139674168351E-7</v>
      </c>
      <c r="AT15" s="347"/>
      <c r="AU15">
        <v>4.5617296651873454E-4</v>
      </c>
      <c r="AV15">
        <v>2.6595000022714716E-3</v>
      </c>
      <c r="AW15">
        <v>6.8761749661159117E-8</v>
      </c>
      <c r="AX15" s="347"/>
      <c r="AY15">
        <v>3.0029697007381818E-4</v>
      </c>
      <c r="AZ15">
        <v>2.6124297218922893E-3</v>
      </c>
      <c r="BA15">
        <v>4.6329928980029358E-8</v>
      </c>
      <c r="BB15" s="347"/>
      <c r="BC15">
        <v>1.5043496371637099E-4</v>
      </c>
      <c r="BD15">
        <v>2.5016467224243241E-3</v>
      </c>
      <c r="BE15">
        <v>2.3892993520830145E-8</v>
      </c>
      <c r="BF15" s="347"/>
      <c r="BG15">
        <v>2.8530768974726967E-6</v>
      </c>
      <c r="BH15">
        <v>3.8404139473565882E-4</v>
      </c>
      <c r="BK15" s="360">
        <v>220</v>
      </c>
      <c r="BL15" s="7">
        <v>22</v>
      </c>
      <c r="BM15" s="8">
        <v>5731.1503536847322</v>
      </c>
      <c r="BN15" s="114">
        <v>0.11609639327535429</v>
      </c>
      <c r="BO15">
        <f t="shared" si="1"/>
        <v>0.12899599252817143</v>
      </c>
      <c r="BS15" s="360">
        <v>220</v>
      </c>
      <c r="BT15" t="e">
        <f>E39-AM39-AO39</f>
        <v>#DIV/0!</v>
      </c>
      <c r="BU15">
        <f t="shared" si="0"/>
        <v>22</v>
      </c>
    </row>
    <row r="16" spans="1:74">
      <c r="A16" s="344" t="s">
        <v>157</v>
      </c>
      <c r="B16" t="s">
        <v>17</v>
      </c>
      <c r="C16" s="79">
        <v>3.5229488326685692E-3</v>
      </c>
      <c r="D16" s="348">
        <v>0.99954029606640737</v>
      </c>
      <c r="E16" s="13"/>
      <c r="F16" s="347"/>
      <c r="G16" s="13">
        <v>4.112246617682354E-3</v>
      </c>
      <c r="H16" s="13">
        <v>0.99956819272515107</v>
      </c>
      <c r="I16" s="13"/>
      <c r="J16" s="347"/>
      <c r="K16" s="13">
        <v>6.9419813533779819E-4</v>
      </c>
      <c r="L16" s="13">
        <v>4.4608309795192919E-3</v>
      </c>
      <c r="M16" s="13">
        <v>0.99957428929357506</v>
      </c>
      <c r="N16" s="347"/>
      <c r="O16" s="13">
        <v>6.297538227561715E-4</v>
      </c>
      <c r="P16" s="13">
        <v>4.8542938628890831E-3</v>
      </c>
      <c r="Q16" s="13">
        <v>0.99958436997913358</v>
      </c>
      <c r="R16" s="347"/>
      <c r="S16" s="13">
        <v>5.7232349428786825E-4</v>
      </c>
      <c r="T16" s="13">
        <v>5.2864380638292649E-3</v>
      </c>
      <c r="U16" s="13">
        <v>0.99958846804739976</v>
      </c>
      <c r="V16" s="347"/>
      <c r="W16" s="13">
        <v>5.1924234146673168E-4</v>
      </c>
      <c r="X16" s="13">
        <v>5.7713055176066893E-3</v>
      </c>
      <c r="Y16" s="13">
        <v>0.99959839061872169</v>
      </c>
      <c r="Z16" s="347"/>
      <c r="AA16" s="13">
        <v>4.6743131491267962E-4</v>
      </c>
      <c r="AB16" s="13">
        <v>6.3287202010757198E-3</v>
      </c>
      <c r="AC16" s="13">
        <v>0.99960760451557296</v>
      </c>
      <c r="AD16" s="347"/>
      <c r="AE16" s="13">
        <v>4.1390139398013724E-4</v>
      </c>
      <c r="AF16" s="13">
        <v>6.9801425433494227E-3</v>
      </c>
      <c r="AG16" s="13">
        <v>0.99961313867155477</v>
      </c>
      <c r="AH16" s="347"/>
      <c r="AI16" s="13">
        <v>3.5687222938162784E-4</v>
      </c>
      <c r="AJ16" s="13">
        <v>7.7580798595365203E-3</v>
      </c>
      <c r="AK16" s="13">
        <v>0.99962161162681129</v>
      </c>
      <c r="AL16" s="347"/>
      <c r="AM16" s="13">
        <v>2.9687995660897075E-4</v>
      </c>
      <c r="AN16" s="13">
        <v>8.7166705580515608E-3</v>
      </c>
      <c r="AO16" s="13">
        <v>0.99964001577431782</v>
      </c>
      <c r="AP16" s="347"/>
      <c r="AQ16" s="13">
        <v>2.365415339404215E-4</v>
      </c>
      <c r="AR16" s="13">
        <v>9.9651014642694116E-3</v>
      </c>
      <c r="AS16" s="13">
        <v>0.99965457885732822</v>
      </c>
      <c r="AT16" s="347"/>
      <c r="AU16">
        <v>1.2698759639206633E-4</v>
      </c>
      <c r="AV16">
        <v>1.4531476928626528E-2</v>
      </c>
      <c r="AW16">
        <v>0.9997143144932652</v>
      </c>
      <c r="AX16" s="347"/>
      <c r="AY16">
        <v>8.2802995936521537E-5</v>
      </c>
      <c r="AZ16">
        <v>1.9882093704114555E-2</v>
      </c>
      <c r="BA16">
        <v>0.99976551359706678</v>
      </c>
      <c r="BB16" s="347"/>
      <c r="BC16">
        <v>4.7732750645235392E-5</v>
      </c>
      <c r="BD16">
        <v>3.4574122903147882E-2</v>
      </c>
      <c r="BE16">
        <v>0.99984573227327966</v>
      </c>
      <c r="BF16" s="347"/>
      <c r="BG16">
        <v>5.7494936397405859E-5</v>
      </c>
      <c r="BH16">
        <v>0.82113391690882442</v>
      </c>
      <c r="BK16" s="360">
        <v>184.2</v>
      </c>
      <c r="BL16" s="7">
        <v>18.419999999999998</v>
      </c>
      <c r="BM16" s="8">
        <v>0</v>
      </c>
      <c r="BN16" s="80">
        <v>0.11744373185402235</v>
      </c>
      <c r="BO16">
        <f t="shared" si="1"/>
        <v>0.13049303539335816</v>
      </c>
      <c r="BS16" s="360">
        <v>184.2</v>
      </c>
      <c r="BT16" t="e">
        <f>I39-AQ39-AS39</f>
        <v>#DIV/0!</v>
      </c>
      <c r="BU16">
        <f t="shared" si="0"/>
        <v>18.419999999999998</v>
      </c>
    </row>
    <row r="17" spans="1:79">
      <c r="A17" s="344" t="s">
        <v>159</v>
      </c>
      <c r="B17" t="s">
        <v>17</v>
      </c>
      <c r="C17" s="79"/>
      <c r="D17" s="348"/>
      <c r="E17" s="13"/>
      <c r="F17" s="347"/>
      <c r="G17" s="13"/>
      <c r="H17" s="13"/>
      <c r="I17" s="13"/>
      <c r="J17" s="347"/>
      <c r="K17" s="13"/>
      <c r="L17" s="13"/>
      <c r="M17" s="13"/>
      <c r="N17" s="347"/>
      <c r="O17" s="13"/>
      <c r="P17" s="13"/>
      <c r="Q17" s="13"/>
      <c r="R17" s="347"/>
      <c r="S17" s="13"/>
      <c r="T17" s="13"/>
      <c r="U17" s="13"/>
      <c r="V17" s="347"/>
      <c r="W17" s="13"/>
      <c r="X17" s="13"/>
      <c r="Y17" s="13"/>
      <c r="Z17" s="347"/>
      <c r="AA17" s="13"/>
      <c r="AB17" s="13"/>
      <c r="AC17" s="13"/>
      <c r="AD17" s="347"/>
      <c r="AE17" s="13"/>
      <c r="AF17" s="13"/>
      <c r="AG17" s="13"/>
      <c r="AH17" s="347"/>
      <c r="AI17" s="13"/>
      <c r="AJ17" s="13"/>
      <c r="AK17" s="13"/>
      <c r="AL17" s="347"/>
      <c r="AM17" s="13"/>
      <c r="AN17" s="13"/>
      <c r="AO17" s="13"/>
      <c r="AP17" s="347"/>
      <c r="AQ17" s="13"/>
      <c r="AR17" s="13"/>
      <c r="AS17" s="13"/>
      <c r="AT17" s="347"/>
      <c r="AX17" s="347"/>
      <c r="BB17" s="347"/>
      <c r="BF17" s="347"/>
      <c r="BK17" s="360">
        <v>112.6</v>
      </c>
      <c r="BL17" s="7">
        <v>11.26</v>
      </c>
      <c r="BM17" s="1">
        <v>0</v>
      </c>
      <c r="BN17" s="80">
        <v>0.11271781584655097</v>
      </c>
      <c r="BO17">
        <f t="shared" si="1"/>
        <v>0.12524201760727885</v>
      </c>
      <c r="BS17" s="360">
        <v>112.6</v>
      </c>
      <c r="BT17" t="e">
        <f>E39-AU39-AW39</f>
        <v>#DIV/0!</v>
      </c>
      <c r="BU17">
        <f t="shared" si="0"/>
        <v>11.26</v>
      </c>
    </row>
    <row r="18" spans="1:79">
      <c r="A18" s="344" t="s">
        <v>193</v>
      </c>
      <c r="B18" t="s">
        <v>17</v>
      </c>
      <c r="C18" s="79"/>
      <c r="D18" s="348"/>
      <c r="E18" s="13"/>
      <c r="F18" s="347"/>
      <c r="G18" s="13"/>
      <c r="H18" s="13"/>
      <c r="I18" s="13"/>
      <c r="J18" s="347"/>
      <c r="K18" s="13"/>
      <c r="L18" s="13"/>
      <c r="M18" s="13"/>
      <c r="N18" s="347"/>
      <c r="O18" s="13"/>
      <c r="P18" s="13"/>
      <c r="Q18" s="13"/>
      <c r="R18" s="347"/>
      <c r="S18" s="13"/>
      <c r="T18" s="13"/>
      <c r="U18" s="13"/>
      <c r="V18" s="347"/>
      <c r="W18" s="13"/>
      <c r="X18" s="13"/>
      <c r="Y18" s="13"/>
      <c r="Z18" s="347"/>
      <c r="AA18" s="13"/>
      <c r="AB18" s="13"/>
      <c r="AC18" s="13"/>
      <c r="AD18" s="347"/>
      <c r="AE18" s="13"/>
      <c r="AF18" s="13"/>
      <c r="AG18" s="13"/>
      <c r="AH18" s="347"/>
      <c r="AI18" s="13"/>
      <c r="AJ18" s="13"/>
      <c r="AK18" s="13"/>
      <c r="AL18" s="347"/>
      <c r="AM18" s="13"/>
      <c r="AN18" s="13"/>
      <c r="AO18" s="13"/>
      <c r="AP18" s="347"/>
      <c r="AQ18" s="13"/>
      <c r="AR18" s="13"/>
      <c r="AS18" s="13"/>
      <c r="AT18" s="347"/>
      <c r="AX18" s="347"/>
      <c r="BB18" s="347"/>
      <c r="BF18" s="347"/>
      <c r="BK18" s="360">
        <v>76.8</v>
      </c>
      <c r="BL18" s="7">
        <v>7.68</v>
      </c>
      <c r="BM18" s="1">
        <v>3314.1514258801321</v>
      </c>
      <c r="BN18" s="80">
        <v>0.10681426575428241</v>
      </c>
      <c r="BO18">
        <f t="shared" si="1"/>
        <v>0.11868251750475822</v>
      </c>
      <c r="BS18" s="360">
        <v>76.8</v>
      </c>
      <c r="BT18" t="e">
        <f>I39-AY39-BA39</f>
        <v>#DIV/0!</v>
      </c>
      <c r="BU18">
        <f t="shared" si="0"/>
        <v>7.68</v>
      </c>
    </row>
    <row r="19" spans="1:79" ht="13.5" thickBot="1">
      <c r="A19" s="344" t="s">
        <v>24</v>
      </c>
      <c r="B19" t="s">
        <v>17</v>
      </c>
      <c r="C19" s="79">
        <v>0.78551318661273872</v>
      </c>
      <c r="D19" s="348">
        <v>4.2911298509693705E-5</v>
      </c>
      <c r="E19" s="13"/>
      <c r="F19" s="347"/>
      <c r="G19" s="13">
        <v>0.78503996306778545</v>
      </c>
      <c r="H19" s="13">
        <v>3.8369203182964212E-5</v>
      </c>
      <c r="I19" s="13"/>
      <c r="J19" s="347"/>
      <c r="K19" s="13">
        <v>0.60278085495257572</v>
      </c>
      <c r="L19" s="13">
        <v>0.78874139211876626</v>
      </c>
      <c r="M19" s="13">
        <v>3.7033802358061572E-5</v>
      </c>
      <c r="N19" s="347"/>
      <c r="O19" s="13">
        <v>0.58415293359564235</v>
      </c>
      <c r="P19" s="13">
        <v>0.79260866329352009</v>
      </c>
      <c r="Q19" s="13">
        <v>3.5594732634259214E-5</v>
      </c>
      <c r="R19" s="347"/>
      <c r="S19" s="13">
        <v>0.56419474058705044</v>
      </c>
      <c r="T19" s="13">
        <v>0.79636092154116989</v>
      </c>
      <c r="U19" s="13">
        <v>3.4044025805456203E-5</v>
      </c>
      <c r="V19" s="347"/>
      <c r="W19" s="13">
        <v>0.54231304797343405</v>
      </c>
      <c r="X19" s="13">
        <v>0.80013993130879246</v>
      </c>
      <c r="Y19" s="13">
        <v>3.2365305973432971E-5</v>
      </c>
      <c r="Z19" s="347"/>
      <c r="AA19" s="13">
        <v>0.51759385496020505</v>
      </c>
      <c r="AB19" s="13">
        <v>0.80403503752410521</v>
      </c>
      <c r="AC19" s="13">
        <v>3.0537539075136387E-5</v>
      </c>
      <c r="AD19" s="347"/>
      <c r="AE19" s="13">
        <v>0.48889905743058948</v>
      </c>
      <c r="AF19" s="13">
        <v>0.80804283318802461</v>
      </c>
      <c r="AG19" s="13">
        <v>2.8536583869074975E-5</v>
      </c>
      <c r="AH19" s="347"/>
      <c r="AI19" s="13">
        <v>0.45497217358148562</v>
      </c>
      <c r="AJ19" s="13">
        <v>0.81201194152821921</v>
      </c>
      <c r="AK19" s="13">
        <v>2.6329691827436896E-5</v>
      </c>
      <c r="AL19" s="347"/>
      <c r="AM19" s="13">
        <v>0.41473542791054929</v>
      </c>
      <c r="AN19" s="13">
        <v>0.81564171660349627</v>
      </c>
      <c r="AO19" s="13">
        <v>2.3877299473273211E-5</v>
      </c>
      <c r="AP19" s="347"/>
      <c r="AQ19" s="13">
        <v>0.36737800626092354</v>
      </c>
      <c r="AR19" s="13">
        <v>0.81848818068156337</v>
      </c>
      <c r="AS19" s="13">
        <v>2.11298918634715E-5</v>
      </c>
      <c r="AT19" s="347"/>
      <c r="AU19">
        <v>0.24899127443000663</v>
      </c>
      <c r="AV19">
        <v>0.81854713288373149</v>
      </c>
      <c r="AW19">
        <v>1.44907029664212E-5</v>
      </c>
      <c r="AX19" s="347"/>
      <c r="AY19">
        <v>0.17691277733356298</v>
      </c>
      <c r="AZ19">
        <v>0.8112713887380989</v>
      </c>
      <c r="BA19">
        <v>1.0435006275128755E-5</v>
      </c>
      <c r="BB19" s="347"/>
      <c r="BC19">
        <v>9.6231886892845772E-2</v>
      </c>
      <c r="BD19">
        <v>0.78783252771429457</v>
      </c>
      <c r="BE19">
        <v>5.781653030679257E-6</v>
      </c>
      <c r="BF19" s="347"/>
      <c r="BG19">
        <v>1.9569794075684596E-3</v>
      </c>
      <c r="BH19">
        <v>0.12410397960393332</v>
      </c>
      <c r="BK19" s="360">
        <v>41</v>
      </c>
      <c r="BL19" s="7">
        <v>4.0999999999999996</v>
      </c>
      <c r="BM19" s="124">
        <v>3047.5174283717647</v>
      </c>
      <c r="BN19" s="80">
        <v>9.8857131573746593E-2</v>
      </c>
      <c r="BO19">
        <f t="shared" si="1"/>
        <v>0.10984125730416287</v>
      </c>
      <c r="BS19" s="360">
        <v>41</v>
      </c>
      <c r="BT19" t="e">
        <f>E39-BC39-BE39</f>
        <v>#DIV/0!</v>
      </c>
      <c r="BU19">
        <f t="shared" si="0"/>
        <v>4.0999999999999996</v>
      </c>
    </row>
    <row r="20" spans="1:79" ht="14.25" thickTop="1" thickBot="1">
      <c r="A20" s="344" t="s">
        <v>4</v>
      </c>
      <c r="B20" t="s">
        <v>17</v>
      </c>
      <c r="C20" s="79">
        <v>7.6384714222296035E-2</v>
      </c>
      <c r="D20" s="348">
        <v>3.7707317918155638E-4</v>
      </c>
      <c r="E20" s="13"/>
      <c r="F20" s="347"/>
      <c r="G20" s="13">
        <v>7.6349227845755679E-2</v>
      </c>
      <c r="H20" s="13">
        <v>3.5545882809602118E-4</v>
      </c>
      <c r="I20" s="13"/>
      <c r="J20" s="347"/>
      <c r="K20" s="13">
        <v>7.7000702034080354E-2</v>
      </c>
      <c r="L20" s="13">
        <v>7.6316406907602857E-2</v>
      </c>
      <c r="M20" s="13">
        <v>3.5096570319342624E-4</v>
      </c>
      <c r="N20" s="347"/>
      <c r="O20" s="13">
        <v>7.6766106229761419E-2</v>
      </c>
      <c r="P20" s="13">
        <v>7.6291184727208111E-2</v>
      </c>
      <c r="Q20" s="13">
        <v>3.4626681706777891E-4</v>
      </c>
      <c r="R20" s="347"/>
      <c r="S20" s="13">
        <v>7.64601561674213E-2</v>
      </c>
      <c r="T20" s="13">
        <v>7.6276611946572967E-2</v>
      </c>
      <c r="U20" s="13">
        <v>3.4114029287112099E-4</v>
      </c>
      <c r="V20" s="347"/>
      <c r="W20" s="13">
        <v>7.6064627193139334E-2</v>
      </c>
      <c r="X20" s="13">
        <v>7.6273094444609571E-2</v>
      </c>
      <c r="Y20" s="13">
        <v>3.3553324911926883E-4</v>
      </c>
      <c r="Z20" s="347"/>
      <c r="AA20" s="13">
        <v>7.5533243469229197E-2</v>
      </c>
      <c r="AB20" s="13">
        <v>7.6284729357929279E-2</v>
      </c>
      <c r="AC20" s="13">
        <v>3.2934113226610663E-4</v>
      </c>
      <c r="AD20" s="347"/>
      <c r="AE20" s="13">
        <v>7.4779501475230464E-2</v>
      </c>
      <c r="AF20" s="13">
        <v>7.6320402938377926E-2</v>
      </c>
      <c r="AG20" s="13">
        <v>3.2235908653944952E-4</v>
      </c>
      <c r="AH20" s="347"/>
      <c r="AI20" s="13">
        <v>7.3648275222269327E-2</v>
      </c>
      <c r="AJ20" s="13">
        <v>7.6395886865961854E-2</v>
      </c>
      <c r="AK20" s="13">
        <v>3.1414921579619065E-4</v>
      </c>
      <c r="AL20" s="347"/>
      <c r="AM20" s="13">
        <v>7.189264735840957E-2</v>
      </c>
      <c r="AN20" s="13">
        <v>7.6536662680591477E-2</v>
      </c>
      <c r="AO20" s="13">
        <v>3.0390981778056581E-4</v>
      </c>
      <c r="AP20" s="347"/>
      <c r="AQ20" s="13">
        <v>6.9126307834377301E-2</v>
      </c>
      <c r="AR20" s="13">
        <v>7.6783538278411709E-2</v>
      </c>
      <c r="AS20" s="13">
        <v>2.9023289490036157E-4</v>
      </c>
      <c r="AT20" s="347"/>
      <c r="AU20">
        <v>5.7727172761067674E-2</v>
      </c>
      <c r="AV20">
        <v>7.7714636315223254E-2</v>
      </c>
      <c r="AW20">
        <v>2.4121371752045269E-4</v>
      </c>
      <c r="AX20" s="347"/>
      <c r="AY20">
        <v>4.6906824329917232E-2</v>
      </c>
      <c r="AZ20">
        <v>7.8732819728533618E-2</v>
      </c>
      <c r="BA20">
        <v>1.9661859267107706E-4</v>
      </c>
      <c r="BB20" s="347"/>
      <c r="BC20">
        <v>3.0041691590375438E-2</v>
      </c>
      <c r="BD20">
        <v>7.98814993922074E-2</v>
      </c>
      <c r="BE20">
        <v>1.2687556590737511E-4</v>
      </c>
      <c r="BF20" s="347"/>
      <c r="BG20">
        <v>7.8050281528960111E-4</v>
      </c>
      <c r="BH20">
        <v>1.3994407850978587E-2</v>
      </c>
      <c r="BK20" s="360">
        <v>5.2</v>
      </c>
      <c r="BL20" s="7">
        <f>BK20/10</f>
        <v>0.52</v>
      </c>
      <c r="BM20" s="9"/>
      <c r="BN20" s="253"/>
      <c r="BS20" s="360">
        <v>5.2</v>
      </c>
    </row>
    <row r="21" spans="1:79" ht="13.5" thickTop="1">
      <c r="A21" s="344" t="s">
        <v>5</v>
      </c>
      <c r="B21" t="s">
        <v>17</v>
      </c>
      <c r="C21" s="79">
        <v>4.043358877558996E-2</v>
      </c>
      <c r="D21" s="348">
        <v>1.7553823928156522E-5</v>
      </c>
      <c r="E21" s="13"/>
      <c r="F21" s="347"/>
      <c r="G21" s="13">
        <v>4.0409184251046504E-2</v>
      </c>
      <c r="H21" s="13">
        <v>1.7433137244789359E-5</v>
      </c>
      <c r="I21" s="13"/>
      <c r="J21" s="347"/>
      <c r="K21" s="13">
        <v>4.7963099090402458E-2</v>
      </c>
      <c r="L21" s="13">
        <v>4.0235349647839438E-2</v>
      </c>
      <c r="M21" s="13">
        <v>1.7545442691582748E-5</v>
      </c>
      <c r="N21" s="347"/>
      <c r="O21" s="13">
        <v>4.872750785678398E-2</v>
      </c>
      <c r="P21" s="13">
        <v>4.0050902252982835E-2</v>
      </c>
      <c r="Q21" s="13">
        <v>1.768784742092938E-5</v>
      </c>
      <c r="R21" s="347"/>
      <c r="S21" s="13">
        <v>4.9564386532396691E-2</v>
      </c>
      <c r="T21" s="13">
        <v>3.9866980373281583E-2</v>
      </c>
      <c r="U21" s="13">
        <v>1.7850676197567991E-5</v>
      </c>
      <c r="V21" s="347"/>
      <c r="W21" s="13">
        <v>5.0504164446180611E-2</v>
      </c>
      <c r="X21" s="13">
        <v>3.9675213095080805E-2</v>
      </c>
      <c r="Y21" s="13">
        <v>1.8041867321833028E-5</v>
      </c>
      <c r="Z21" s="347"/>
      <c r="AA21" s="13">
        <v>5.1572578462512723E-2</v>
      </c>
      <c r="AB21" s="13">
        <v>3.9471062445569E-2</v>
      </c>
      <c r="AC21" s="13">
        <v>1.8269792789881846E-5</v>
      </c>
      <c r="AD21" s="347"/>
      <c r="AE21" s="13">
        <v>5.2779931510583876E-2</v>
      </c>
      <c r="AF21" s="13">
        <v>3.9256623615908301E-2</v>
      </c>
      <c r="AG21" s="13">
        <v>1.8539711101912234E-5</v>
      </c>
      <c r="AH21" s="347"/>
      <c r="AI21" s="13">
        <v>5.4092502070848231E-2</v>
      </c>
      <c r="AJ21" s="13">
        <v>3.9045593735502253E-2</v>
      </c>
      <c r="AK21" s="13">
        <v>1.8844823406155872E-5</v>
      </c>
      <c r="AL21" s="347"/>
      <c r="AM21" s="13">
        <v>5.5394044838073468E-2</v>
      </c>
      <c r="AN21" s="13">
        <v>3.8867444030370187E-2</v>
      </c>
      <c r="AO21" s="13">
        <v>1.9154372118350788E-5</v>
      </c>
      <c r="AP21" s="347"/>
      <c r="AQ21" s="13">
        <v>5.6414638414552236E-2</v>
      </c>
      <c r="AR21" s="13">
        <v>3.8775764000225442E-2</v>
      </c>
      <c r="AS21" s="13">
        <v>1.9389308553674659E-5</v>
      </c>
      <c r="AT21" s="347"/>
      <c r="AU21">
        <v>5.4828150612492167E-2</v>
      </c>
      <c r="AV21">
        <v>3.9209317069363869E-2</v>
      </c>
      <c r="AW21">
        <v>1.874265229645352E-5</v>
      </c>
      <c r="AX21" s="347"/>
      <c r="AY21">
        <v>4.94404858884099E-2</v>
      </c>
      <c r="AZ21">
        <v>4.0361680832653207E-2</v>
      </c>
      <c r="BA21">
        <v>1.6933400489108777E-5</v>
      </c>
      <c r="BB21" s="347"/>
      <c r="BC21">
        <v>3.6471067579601321E-2</v>
      </c>
      <c r="BD21">
        <v>4.2900566498127311E-2</v>
      </c>
      <c r="BE21">
        <v>1.256235441690069E-5</v>
      </c>
      <c r="BF21" s="347"/>
      <c r="BG21">
        <v>1.2264963508754783E-3</v>
      </c>
      <c r="BH21">
        <v>8.7747675950831279E-3</v>
      </c>
    </row>
    <row r="22" spans="1:79">
      <c r="A22" s="344" t="s">
        <v>6</v>
      </c>
      <c r="B22" t="s">
        <v>17</v>
      </c>
      <c r="C22" s="79">
        <v>9.3908331233094958E-3</v>
      </c>
      <c r="D22" s="348">
        <v>1.7569040532168394E-7</v>
      </c>
      <c r="E22" s="13"/>
      <c r="F22" s="347"/>
      <c r="G22" s="13">
        <v>9.3851464818041474E-3</v>
      </c>
      <c r="H22" s="13">
        <v>1.8104684032391371E-7</v>
      </c>
      <c r="I22" s="13"/>
      <c r="J22" s="347"/>
      <c r="K22" s="13">
        <v>1.2390522141481633E-2</v>
      </c>
      <c r="L22" s="13">
        <v>9.31787709351054E-3</v>
      </c>
      <c r="M22" s="13">
        <v>1.8461421789250817E-7</v>
      </c>
      <c r="N22" s="347"/>
      <c r="O22" s="13">
        <v>1.2730254597823168E-2</v>
      </c>
      <c r="P22" s="13">
        <v>9.2453129245575003E-3</v>
      </c>
      <c r="Q22" s="13">
        <v>1.8884455516028452E-7</v>
      </c>
      <c r="R22" s="347"/>
      <c r="S22" s="13">
        <v>1.3111897081415051E-2</v>
      </c>
      <c r="T22" s="13">
        <v>9.1714465549108792E-3</v>
      </c>
      <c r="U22" s="13">
        <v>1.9367786736193963E-7</v>
      </c>
      <c r="V22" s="347"/>
      <c r="W22" s="13">
        <v>1.3552697562223121E-2</v>
      </c>
      <c r="X22" s="13">
        <v>9.0924437123955232E-3</v>
      </c>
      <c r="Y22" s="13">
        <v>1.9931537912942892E-7</v>
      </c>
      <c r="Z22" s="347"/>
      <c r="AA22" s="13">
        <v>1.4072271361884539E-2</v>
      </c>
      <c r="AB22" s="13">
        <v>9.0054402895624816E-3</v>
      </c>
      <c r="AC22" s="13">
        <v>2.0600926041028234E-7</v>
      </c>
      <c r="AD22" s="347"/>
      <c r="AE22" s="13">
        <v>1.469041667193286E-2</v>
      </c>
      <c r="AF22" s="13">
        <v>8.9094609645792629E-3</v>
      </c>
      <c r="AG22" s="13">
        <v>2.140303826733315E-7</v>
      </c>
      <c r="AH22" s="347"/>
      <c r="AI22" s="13">
        <v>1.5419413827228249E-2</v>
      </c>
      <c r="AJ22" s="13">
        <v>8.8071417866610775E-3</v>
      </c>
      <c r="AK22" s="13">
        <v>2.2357533825100537E-7</v>
      </c>
      <c r="AL22" s="347"/>
      <c r="AM22" s="13">
        <v>1.6251906521302994E-2</v>
      </c>
      <c r="AN22" s="13">
        <v>8.706082397262142E-3</v>
      </c>
      <c r="AO22" s="13">
        <v>2.3462760915514484E-7</v>
      </c>
      <c r="AP22" s="347"/>
      <c r="AQ22" s="13">
        <v>1.713695293385566E-2</v>
      </c>
      <c r="AR22" s="13">
        <v>8.6217547558313581E-3</v>
      </c>
      <c r="AS22" s="13">
        <v>2.4663346541108118E-7</v>
      </c>
      <c r="AT22" s="347"/>
      <c r="AU22">
        <v>1.8313903173498534E-2</v>
      </c>
      <c r="AV22">
        <v>8.6357567656862293E-3</v>
      </c>
      <c r="AW22">
        <v>2.6366183071083464E-7</v>
      </c>
      <c r="AX22" s="347"/>
      <c r="AY22">
        <v>1.7695027575378351E-2</v>
      </c>
      <c r="AZ22">
        <v>8.9551255261511673E-3</v>
      </c>
      <c r="BA22">
        <v>2.5602909078803592E-7</v>
      </c>
      <c r="BB22" s="347"/>
      <c r="BC22">
        <v>1.4490556592168446E-2</v>
      </c>
      <c r="BD22">
        <v>9.8795855849503032E-3</v>
      </c>
      <c r="BE22">
        <v>2.1158201425163609E-7</v>
      </c>
      <c r="BF22" s="347"/>
      <c r="BG22">
        <v>6.2300632759643832E-4</v>
      </c>
      <c r="BH22">
        <v>2.4061945138385593E-3</v>
      </c>
    </row>
    <row r="23" spans="1:79">
      <c r="A23" s="344" t="s">
        <v>7</v>
      </c>
      <c r="B23" t="s">
        <v>17</v>
      </c>
      <c r="C23" s="79">
        <v>1.3045698263373427E-2</v>
      </c>
      <c r="D23" s="348">
        <v>2.5401837298047888E-7</v>
      </c>
      <c r="E23" s="13"/>
      <c r="F23" s="347"/>
      <c r="G23" s="13">
        <v>1.3037796522687767E-2</v>
      </c>
      <c r="H23" s="13">
        <v>2.653485663010477E-7</v>
      </c>
      <c r="I23" s="13"/>
      <c r="J23" s="347"/>
      <c r="K23" s="13">
        <v>1.798463482793445E-2</v>
      </c>
      <c r="L23" s="13">
        <v>1.2927744979875313E-2</v>
      </c>
      <c r="M23" s="13">
        <v>2.7184455847385331E-7</v>
      </c>
      <c r="N23" s="347"/>
      <c r="O23" s="13">
        <v>1.8577400285388509E-2</v>
      </c>
      <c r="P23" s="13">
        <v>1.2807744400229746E-2</v>
      </c>
      <c r="Q23" s="13">
        <v>2.7953414166458555E-7</v>
      </c>
      <c r="R23" s="347"/>
      <c r="S23" s="13">
        <v>1.9247609986502053E-2</v>
      </c>
      <c r="T23" s="13">
        <v>1.2684203985768772E-2</v>
      </c>
      <c r="U23" s="13">
        <v>2.883641304753952E-7</v>
      </c>
      <c r="V23" s="347"/>
      <c r="W23" s="13">
        <v>2.0025601723772948E-2</v>
      </c>
      <c r="X23" s="13">
        <v>1.2550627870769018E-2</v>
      </c>
      <c r="Y23" s="13">
        <v>2.9869488328515953E-7</v>
      </c>
      <c r="Z23" s="347"/>
      <c r="AA23" s="13">
        <v>2.0947534538912939E-2</v>
      </c>
      <c r="AB23" s="13">
        <v>1.2401880903636642E-2</v>
      </c>
      <c r="AC23" s="13">
        <v>3.109826739794052E-7</v>
      </c>
      <c r="AD23" s="347"/>
      <c r="AE23" s="13">
        <v>2.2052527603059268E-2</v>
      </c>
      <c r="AF23" s="13">
        <v>1.2235672410392428E-2</v>
      </c>
      <c r="AG23" s="13">
        <v>3.2573337815019542E-7</v>
      </c>
      <c r="AH23" s="347"/>
      <c r="AI23" s="13">
        <v>2.3371417673684659E-2</v>
      </c>
      <c r="AJ23" s="13">
        <v>1.2055347685291321E-2</v>
      </c>
      <c r="AK23" s="13">
        <v>3.4336853357919839E-7</v>
      </c>
      <c r="AL23" s="347"/>
      <c r="AM23" s="13">
        <v>2.4907567263193837E-2</v>
      </c>
      <c r="AN23" s="13">
        <v>1.1872065318804602E-2</v>
      </c>
      <c r="AO23" s="13">
        <v>3.6401310416661061E-7</v>
      </c>
      <c r="AP23" s="347"/>
      <c r="AQ23" s="13">
        <v>2.6599226766407649E-2</v>
      </c>
      <c r="AR23" s="13">
        <v>1.1709411696850523E-2</v>
      </c>
      <c r="AS23" s="13">
        <v>3.8699669915510666E-7</v>
      </c>
      <c r="AT23" s="347"/>
      <c r="AU23">
        <v>2.9367382745603961E-2</v>
      </c>
      <c r="AV23">
        <v>1.1661067975905003E-2</v>
      </c>
      <c r="AW23">
        <v>4.2570285102383347E-7</v>
      </c>
      <c r="AX23" s="347"/>
      <c r="AY23">
        <v>2.9049860295244576E-2</v>
      </c>
      <c r="AZ23">
        <v>1.2124468635866838E-2</v>
      </c>
      <c r="BA23">
        <v>4.2208600363744433E-7</v>
      </c>
      <c r="BB23" s="347"/>
      <c r="BC23">
        <v>2.470885809258944E-2</v>
      </c>
      <c r="BD23">
        <v>1.359894170375254E-2</v>
      </c>
      <c r="BE23">
        <v>3.6117994997666513E-7</v>
      </c>
      <c r="BF23" s="347"/>
      <c r="BG23">
        <v>1.1878901344276635E-3</v>
      </c>
      <c r="BH23">
        <v>3.6132147958447113E-3</v>
      </c>
      <c r="BV23" t="s">
        <v>241</v>
      </c>
    </row>
    <row r="24" spans="1:79">
      <c r="A24" s="344" t="s">
        <v>8</v>
      </c>
      <c r="B24" t="s">
        <v>17</v>
      </c>
      <c r="C24" s="79">
        <v>4.5328065403172253E-3</v>
      </c>
      <c r="D24" s="348">
        <v>3.9079861987609025E-7</v>
      </c>
      <c r="E24" s="13"/>
      <c r="F24" s="347"/>
      <c r="G24" s="13">
        <v>4.5300486948229614E-3</v>
      </c>
      <c r="H24" s="13">
        <v>4.2046130875759662E-7</v>
      </c>
      <c r="I24" s="13"/>
      <c r="J24" s="347"/>
      <c r="K24" s="13">
        <v>7.3298185639101955E-3</v>
      </c>
      <c r="L24" s="13">
        <v>4.4685532273492966E-3</v>
      </c>
      <c r="M24" s="13">
        <v>4.3557072631246835E-7</v>
      </c>
      <c r="N24" s="347"/>
      <c r="O24" s="13">
        <v>7.6757504852743843E-3</v>
      </c>
      <c r="P24" s="13">
        <v>4.4011575085714568E-3</v>
      </c>
      <c r="Q24" s="13">
        <v>4.5349988569706522E-7</v>
      </c>
      <c r="R24" s="347"/>
      <c r="S24" s="13">
        <v>8.0700027527375734E-3</v>
      </c>
      <c r="T24" s="13">
        <v>4.3313165669495507E-3</v>
      </c>
      <c r="U24" s="13">
        <v>4.7430947478598682E-7</v>
      </c>
      <c r="V24" s="347"/>
      <c r="W24" s="13">
        <v>8.5319454759868272E-3</v>
      </c>
      <c r="X24" s="13">
        <v>4.2551450765482184E-3</v>
      </c>
      <c r="Y24" s="13">
        <v>4.9890232191649659E-7</v>
      </c>
      <c r="Z24" s="347"/>
      <c r="AA24" s="13">
        <v>9.0866295243544008E-3</v>
      </c>
      <c r="AB24" s="13">
        <v>4.1692381822086419E-3</v>
      </c>
      <c r="AC24" s="13">
        <v>5.2846875510210416E-7</v>
      </c>
      <c r="AD24" s="347"/>
      <c r="AE24" s="13">
        <v>9.7643965654054705E-3</v>
      </c>
      <c r="AF24" s="13">
        <v>4.0713487702378438E-3</v>
      </c>
      <c r="AG24" s="13">
        <v>5.6443854566423191E-7</v>
      </c>
      <c r="AH24" s="347"/>
      <c r="AI24" s="13">
        <v>1.0597136318369357E-2</v>
      </c>
      <c r="AJ24" s="13">
        <v>3.9616946288991402E-3</v>
      </c>
      <c r="AK24" s="13">
        <v>6.083320314033049E-7</v>
      </c>
      <c r="AL24" s="347"/>
      <c r="AM24" s="13">
        <v>1.1610117228856602E-2</v>
      </c>
      <c r="AN24" s="13">
        <v>3.8438523219460822E-3</v>
      </c>
      <c r="AO24" s="13">
        <v>6.61469918571059E-7</v>
      </c>
      <c r="AP24" s="347"/>
      <c r="AQ24" s="13">
        <v>1.2805738640469655E-2</v>
      </c>
      <c r="AR24" s="13">
        <v>3.726753068582383E-3</v>
      </c>
      <c r="AS24" s="13">
        <v>7.242101186676544E-7</v>
      </c>
      <c r="AT24" s="347"/>
      <c r="AU24">
        <v>1.5448748130671468E-2</v>
      </c>
      <c r="AV24">
        <v>3.5937317196326857E-3</v>
      </c>
      <c r="AW24">
        <v>8.6417404320470297E-7</v>
      </c>
      <c r="AX24" s="347"/>
      <c r="AY24">
        <v>1.6364987942078267E-2</v>
      </c>
      <c r="AZ24">
        <v>3.7274446250171278E-3</v>
      </c>
      <c r="BA24">
        <v>9.1381578881308634E-7</v>
      </c>
      <c r="BB24" s="347"/>
      <c r="BC24">
        <v>1.5692606692029498E-2</v>
      </c>
      <c r="BD24">
        <v>4.363416990628333E-3</v>
      </c>
      <c r="BE24">
        <v>8.7779117719155752E-7</v>
      </c>
      <c r="BF24" s="347"/>
      <c r="BG24">
        <v>1.1187324924949442E-3</v>
      </c>
      <c r="BH24">
        <v>1.6446296431906001E-3</v>
      </c>
    </row>
    <row r="25" spans="1:79">
      <c r="A25" s="344" t="s">
        <v>9</v>
      </c>
      <c r="B25" t="s">
        <v>17</v>
      </c>
      <c r="C25" s="79">
        <v>4.2876310645167462E-3</v>
      </c>
      <c r="D25" s="348">
        <v>3.6409378607787223E-7</v>
      </c>
      <c r="E25" s="13"/>
      <c r="F25" s="347"/>
      <c r="G25" s="13">
        <v>4.2850208169551403E-3</v>
      </c>
      <c r="H25" s="13">
        <v>3.9537387876984338E-7</v>
      </c>
      <c r="I25" s="13"/>
      <c r="J25" s="347"/>
      <c r="K25" s="13">
        <v>6.8471163704856208E-3</v>
      </c>
      <c r="L25" s="13">
        <v>4.2287058231621809E-3</v>
      </c>
      <c r="M25" s="13">
        <v>4.1085589903742627E-7</v>
      </c>
      <c r="N25" s="347"/>
      <c r="O25" s="13">
        <v>7.1821739631003799E-3</v>
      </c>
      <c r="P25" s="13">
        <v>4.1662303467068949E-3</v>
      </c>
      <c r="Q25" s="13">
        <v>4.2928277391060303E-7</v>
      </c>
      <c r="R25" s="347"/>
      <c r="S25" s="13">
        <v>7.5675850093628724E-3</v>
      </c>
      <c r="T25" s="13">
        <v>4.1005938473697295E-3</v>
      </c>
      <c r="U25" s="13">
        <v>4.5078425696135275E-7</v>
      </c>
      <c r="V25" s="347"/>
      <c r="W25" s="13">
        <v>8.0228762811643903E-3</v>
      </c>
      <c r="X25" s="13">
        <v>4.0280010720388304E-3</v>
      </c>
      <c r="Y25" s="13">
        <v>4.7632552778367621E-7</v>
      </c>
      <c r="Z25" s="347"/>
      <c r="AA25" s="13">
        <v>8.5733622709818699E-3</v>
      </c>
      <c r="AB25" s="13">
        <v>3.9449908310467251E-3</v>
      </c>
      <c r="AC25" s="13">
        <v>5.071813462421722E-7</v>
      </c>
      <c r="AD25" s="347"/>
      <c r="AE25" s="13">
        <v>9.249992353146743E-3</v>
      </c>
      <c r="AF25" s="13">
        <v>3.8490859319707704E-3</v>
      </c>
      <c r="AG25" s="13">
        <v>5.4490205994600199E-7</v>
      </c>
      <c r="AH25" s="347"/>
      <c r="AI25" s="13">
        <v>1.0085897099370219E-2</v>
      </c>
      <c r="AJ25" s="13">
        <v>3.7400834605486968E-3</v>
      </c>
      <c r="AK25" s="13">
        <v>5.9117131074437399E-7</v>
      </c>
      <c r="AL25" s="347"/>
      <c r="AM25" s="13">
        <v>1.110861774882457E-2</v>
      </c>
      <c r="AN25" s="13">
        <v>3.6209900213395947E-3</v>
      </c>
      <c r="AO25" s="13">
        <v>6.4751994244116225E-7</v>
      </c>
      <c r="AP25" s="347"/>
      <c r="AQ25" s="13">
        <v>1.2324183854766461E-2</v>
      </c>
      <c r="AR25" s="13">
        <v>3.500034881068423E-3</v>
      </c>
      <c r="AS25" s="13">
        <v>7.145586766811763E-7</v>
      </c>
      <c r="AT25" s="347"/>
      <c r="AU25">
        <v>1.5072833250876503E-2</v>
      </c>
      <c r="AV25">
        <v>3.348704616942204E-3</v>
      </c>
      <c r="AW25">
        <v>8.6812953176546788E-7</v>
      </c>
      <c r="AX25" s="347"/>
      <c r="AY25">
        <v>1.6101286219323808E-2</v>
      </c>
      <c r="AZ25">
        <v>3.4603136570389528E-3</v>
      </c>
      <c r="BA25">
        <v>9.2776765816559825E-7</v>
      </c>
      <c r="BB25" s="347"/>
      <c r="BC25">
        <v>1.5647059509325566E-2</v>
      </c>
      <c r="BD25">
        <v>4.0539379715703022E-3</v>
      </c>
      <c r="BE25">
        <v>9.0517291093765268E-7</v>
      </c>
      <c r="BF25" s="347"/>
      <c r="BG25">
        <v>1.1788048475436248E-3</v>
      </c>
      <c r="BH25">
        <v>1.5935061430974755E-3</v>
      </c>
      <c r="BV25">
        <v>654</v>
      </c>
      <c r="BW25">
        <v>0</v>
      </c>
      <c r="BY25">
        <f>BV25/10</f>
        <v>65.400000000000006</v>
      </c>
      <c r="BZ25">
        <v>0</v>
      </c>
      <c r="CA25">
        <v>0</v>
      </c>
    </row>
    <row r="26" spans="1:79">
      <c r="A26" s="344" t="s">
        <v>10</v>
      </c>
      <c r="B26" t="s">
        <v>17</v>
      </c>
      <c r="C26" s="79">
        <v>5.2315944772289092E-3</v>
      </c>
      <c r="D26" s="348">
        <v>1.8491985451529754E-7</v>
      </c>
      <c r="E26" s="13"/>
      <c r="F26" s="347"/>
      <c r="G26" s="13">
        <v>5.2284161005632778E-3</v>
      </c>
      <c r="H26" s="13">
        <v>2.0932262469514373E-7</v>
      </c>
      <c r="I26" s="13"/>
      <c r="J26" s="347"/>
      <c r="K26" s="13">
        <v>9.4186015518857094E-3</v>
      </c>
      <c r="L26" s="13">
        <v>5.1368207795023596E-3</v>
      </c>
      <c r="M26" s="13">
        <v>2.2058052963399952E-7</v>
      </c>
      <c r="N26" s="347"/>
      <c r="O26" s="13">
        <v>1.0006985181623972E-2</v>
      </c>
      <c r="P26" s="13">
        <v>5.033604810958393E-3</v>
      </c>
      <c r="Q26" s="13">
        <v>2.3405397185269461E-7</v>
      </c>
      <c r="R26" s="347"/>
      <c r="S26" s="13">
        <v>1.0692882534650942E-2</v>
      </c>
      <c r="T26" s="13">
        <v>4.9232035851924988E-3</v>
      </c>
      <c r="U26" s="13">
        <v>2.4996104884550372E-7</v>
      </c>
      <c r="V26" s="347"/>
      <c r="W26" s="13">
        <v>1.1513466951737567E-2</v>
      </c>
      <c r="X26" s="13">
        <v>4.7987610257881428E-3</v>
      </c>
      <c r="Y26" s="13">
        <v>2.690631428319634E-7</v>
      </c>
      <c r="Z26" s="347"/>
      <c r="AA26" s="13">
        <v>1.2518312076432435E-2</v>
      </c>
      <c r="AB26" s="13">
        <v>4.6535463090587037E-3</v>
      </c>
      <c r="AC26" s="13">
        <v>2.9237684877690241E-7</v>
      </c>
      <c r="AD26" s="347"/>
      <c r="AE26" s="13">
        <v>1.3770358399912291E-2</v>
      </c>
      <c r="AF26" s="13">
        <v>4.4819545993297393E-3</v>
      </c>
      <c r="AG26" s="13">
        <v>3.2116999889091291E-7</v>
      </c>
      <c r="AH26" s="347"/>
      <c r="AI26" s="13">
        <v>1.5342000256112905E-2</v>
      </c>
      <c r="AJ26" s="13">
        <v>4.2816126733845336E-3</v>
      </c>
      <c r="AK26" s="13">
        <v>3.5690332331923037E-7</v>
      </c>
      <c r="AL26" s="347"/>
      <c r="AM26" s="13">
        <v>1.7303548636446061E-2</v>
      </c>
      <c r="AN26" s="13">
        <v>4.0549278527225183E-3</v>
      </c>
      <c r="AO26" s="13">
        <v>4.0108379578094759E-7</v>
      </c>
      <c r="AP26" s="347"/>
      <c r="AQ26" s="13">
        <v>1.9700156241018636E-2</v>
      </c>
      <c r="AR26" s="13">
        <v>3.8121396853563472E-3</v>
      </c>
      <c r="AS26" s="13">
        <v>4.5486120503544946E-7</v>
      </c>
      <c r="AT26" s="347"/>
      <c r="AU26">
        <v>2.5734381634561883E-2</v>
      </c>
      <c r="AV26">
        <v>3.4155155739249566E-3</v>
      </c>
      <c r="AW26">
        <v>5.9120330758048637E-7</v>
      </c>
      <c r="AX26" s="347"/>
      <c r="AY26">
        <v>2.8880808763179361E-2</v>
      </c>
      <c r="AZ26">
        <v>3.4335170752546537E-3</v>
      </c>
      <c r="BA26">
        <v>6.6398738150332633E-7</v>
      </c>
      <c r="BB26" s="347"/>
      <c r="BC26">
        <v>3.0844392580245534E-2</v>
      </c>
      <c r="BD26">
        <v>4.0682184225198474E-3</v>
      </c>
      <c r="BE26">
        <v>7.1198417433464874E-7</v>
      </c>
      <c r="BF26" s="347"/>
      <c r="BG26">
        <v>3.9358905857606241E-3</v>
      </c>
      <c r="BH26">
        <v>2.5032955171736906E-3</v>
      </c>
      <c r="BV26" s="328">
        <v>506.4</v>
      </c>
      <c r="BW26" t="e">
        <f>G39-K39-L39-M39</f>
        <v>#DIV/0!</v>
      </c>
      <c r="BY26">
        <f>BV26/10</f>
        <v>50.64</v>
      </c>
      <c r="BZ26">
        <f>G41*(G8+H8-K8-L8-M8)/0.67</f>
        <v>8.012668010989346</v>
      </c>
      <c r="CA26">
        <f t="shared" ref="CA26:CA38" si="2">BZ26/$C$40*100</f>
        <v>12567.054426390154</v>
      </c>
    </row>
    <row r="27" spans="1:79">
      <c r="A27" s="344" t="s">
        <v>35</v>
      </c>
      <c r="B27" t="s">
        <v>17</v>
      </c>
      <c r="C27" s="79">
        <v>7.4193619807936366E-3</v>
      </c>
      <c r="D27" s="348">
        <v>1.6779659309789158E-7</v>
      </c>
      <c r="E27" s="13"/>
      <c r="F27" s="347"/>
      <c r="G27" s="13">
        <v>7.4148567190565626E-3</v>
      </c>
      <c r="H27" s="13">
        <v>1.9764289012112223E-7</v>
      </c>
      <c r="I27" s="13"/>
      <c r="J27" s="347"/>
      <c r="K27" s="13">
        <v>1.5195314396184018E-2</v>
      </c>
      <c r="L27" s="13">
        <v>7.2454253129676125E-3</v>
      </c>
      <c r="M27" s="13">
        <v>2.1094463456725662E-7</v>
      </c>
      <c r="N27" s="347"/>
      <c r="O27" s="13">
        <v>1.6342186132884025E-2</v>
      </c>
      <c r="P27" s="13">
        <v>7.0523310342017866E-3</v>
      </c>
      <c r="Q27" s="13">
        <v>2.2694584302064186E-7</v>
      </c>
      <c r="R27" s="347"/>
      <c r="S27" s="13">
        <v>1.7689718260747563E-2</v>
      </c>
      <c r="T27" s="13">
        <v>6.8432234572962363E-3</v>
      </c>
      <c r="U27" s="13">
        <v>2.4600116827834774E-7</v>
      </c>
      <c r="V27" s="347"/>
      <c r="W27" s="13">
        <v>1.9312162184727196E-2</v>
      </c>
      <c r="X27" s="13">
        <v>6.604658436476717E-3</v>
      </c>
      <c r="Y27" s="13">
        <v>2.6904258449158831E-7</v>
      </c>
      <c r="Z27" s="347"/>
      <c r="AA27" s="13">
        <v>2.1308779398792121E-2</v>
      </c>
      <c r="AB27" s="13">
        <v>6.3231046075646414E-3</v>
      </c>
      <c r="AC27" s="13">
        <v>2.9729749923473928E-7</v>
      </c>
      <c r="AD27" s="347"/>
      <c r="AE27" s="13">
        <v>2.3805379195164632E-2</v>
      </c>
      <c r="AF27" s="13">
        <v>5.9869816168243552E-3</v>
      </c>
      <c r="AG27" s="13">
        <v>3.3226840949130155E-7</v>
      </c>
      <c r="AH27" s="347"/>
      <c r="AI27" s="13">
        <v>2.6946736964946576E-2</v>
      </c>
      <c r="AJ27" s="13">
        <v>5.5909545765491821E-3</v>
      </c>
      <c r="AK27" s="13">
        <v>3.7565667335184125E-7</v>
      </c>
      <c r="AL27" s="347"/>
      <c r="AM27" s="13">
        <v>3.0873297068167549E-2</v>
      </c>
      <c r="AN27" s="13">
        <v>5.139321647418915E-3</v>
      </c>
      <c r="AO27" s="13">
        <v>4.2918907289695348E-7</v>
      </c>
      <c r="AP27" s="347"/>
      <c r="AQ27" s="13">
        <v>3.5682571812205174E-2</v>
      </c>
      <c r="AR27" s="13">
        <v>4.6513480139953305E-3</v>
      </c>
      <c r="AS27" s="13">
        <v>4.9426305271099023E-7</v>
      </c>
      <c r="AT27" s="347"/>
      <c r="AU27">
        <v>4.825220730729237E-2</v>
      </c>
      <c r="AV27">
        <v>3.7918737347330629E-3</v>
      </c>
      <c r="AW27">
        <v>6.6473335321550068E-7</v>
      </c>
      <c r="AX27" s="347"/>
      <c r="AY27">
        <v>5.5686280389860704E-2</v>
      </c>
      <c r="AZ27">
        <v>3.6375757716622485E-3</v>
      </c>
      <c r="BA27">
        <v>7.6743212521590723E-7</v>
      </c>
      <c r="BB27" s="347"/>
      <c r="BC27">
        <v>6.324893371128322E-2</v>
      </c>
      <c r="BD27">
        <v>4.2300427742368325E-3</v>
      </c>
      <c r="BE27">
        <v>8.7499596917772941E-7</v>
      </c>
      <c r="BF27" s="347"/>
      <c r="BG27">
        <v>1.4438503873593729E-2</v>
      </c>
      <c r="BH27">
        <v>4.3196521563116591E-3</v>
      </c>
      <c r="BV27" s="328">
        <v>470.6</v>
      </c>
      <c r="BW27" t="e">
        <f>J38-R38-S38</f>
        <v>#DIV/0!</v>
      </c>
      <c r="BY27">
        <f>BV27/10</f>
        <v>47.06</v>
      </c>
      <c r="BZ27">
        <f>L41*(K8+L8+M8-O8-P8-Q8)/0.67+BZ26</f>
        <v>10.528250920792937</v>
      </c>
      <c r="CA27">
        <f t="shared" si="2"/>
        <v>16512.490241057738</v>
      </c>
    </row>
    <row r="28" spans="1:79">
      <c r="A28" s="344" t="s">
        <v>163</v>
      </c>
      <c r="B28" t="s">
        <v>17</v>
      </c>
      <c r="C28" s="79">
        <v>1.434641506531451E-2</v>
      </c>
      <c r="D28" s="348">
        <v>2.0946664626036209E-7</v>
      </c>
      <c r="E28" s="13"/>
      <c r="F28" s="347"/>
      <c r="G28" s="13">
        <v>1.4337708365546622E-2</v>
      </c>
      <c r="H28" s="13">
        <v>2.5701181252316382E-7</v>
      </c>
      <c r="I28" s="13"/>
      <c r="J28" s="347"/>
      <c r="K28" s="13">
        <v>3.3719647220216857E-2</v>
      </c>
      <c r="L28" s="13">
        <v>1.3916799552345297E-2</v>
      </c>
      <c r="M28" s="13">
        <v>2.7767693749607992E-7</v>
      </c>
      <c r="N28" s="347"/>
      <c r="O28" s="13">
        <v>3.668443276060377E-2</v>
      </c>
      <c r="P28" s="13">
        <v>1.3432783872370574E-2</v>
      </c>
      <c r="Q28" s="13">
        <v>3.026221200568941E-7</v>
      </c>
      <c r="R28" s="347"/>
      <c r="S28" s="13">
        <v>4.0181668753216056E-2</v>
      </c>
      <c r="T28" s="13">
        <v>1.2903915173749423E-2</v>
      </c>
      <c r="U28" s="13">
        <v>3.3249701783201185E-7</v>
      </c>
      <c r="V28" s="347"/>
      <c r="W28" s="13">
        <v>4.4397337923875103E-2</v>
      </c>
      <c r="X28" s="13">
        <v>1.2296200183027664E-2</v>
      </c>
      <c r="Y28" s="13">
        <v>3.687194011553923E-7</v>
      </c>
      <c r="Z28" s="347"/>
      <c r="AA28" s="13">
        <v>4.9574582250418019E-2</v>
      </c>
      <c r="AB28" s="13">
        <v>1.1575954198481807E-2</v>
      </c>
      <c r="AC28" s="13">
        <v>4.1307894244820755E-7</v>
      </c>
      <c r="AD28" s="347"/>
      <c r="AE28" s="13">
        <v>5.6010078716334177E-2</v>
      </c>
      <c r="AF28" s="13">
        <v>1.0716264429933006E-2</v>
      </c>
      <c r="AG28" s="13">
        <v>4.6762276812280976E-7</v>
      </c>
      <c r="AH28" s="347"/>
      <c r="AI28" s="13">
        <v>6.4026695620019711E-2</v>
      </c>
      <c r="AJ28" s="13">
        <v>9.7096505152409075E-3</v>
      </c>
      <c r="AK28" s="13">
        <v>5.3445966971732812E-7</v>
      </c>
      <c r="AL28" s="347"/>
      <c r="AM28" s="13">
        <v>7.3907262369342822E-2</v>
      </c>
      <c r="AN28" s="13">
        <v>8.5781287077096244E-3</v>
      </c>
      <c r="AO28" s="13">
        <v>6.1546116724013917E-7</v>
      </c>
      <c r="AP28" s="347"/>
      <c r="AQ28" s="13">
        <v>8.5821032746371248E-2</v>
      </c>
      <c r="AR28" s="13">
        <v>7.383627010968283E-3</v>
      </c>
      <c r="AS28" s="13">
        <v>7.1197581666767188E-7</v>
      </c>
      <c r="AT28" s="347"/>
      <c r="AU28">
        <v>0.11697309058247651</v>
      </c>
      <c r="AV28">
        <v>5.3108043509372538E-3</v>
      </c>
      <c r="AW28">
        <v>9.6354655276173806E-7</v>
      </c>
      <c r="AX28" s="347"/>
      <c r="AY28">
        <v>0.13662271600669476</v>
      </c>
      <c r="AZ28">
        <v>4.7737381136678482E-3</v>
      </c>
      <c r="BA28">
        <v>1.1245372634753356E-6</v>
      </c>
      <c r="BB28" s="347"/>
      <c r="BC28">
        <v>0.16069859022251526</v>
      </c>
      <c r="BD28">
        <v>5.291996438761104E-3</v>
      </c>
      <c r="BE28">
        <v>1.3263307700503829E-6</v>
      </c>
      <c r="BF28" s="347"/>
      <c r="BG28">
        <v>6.7518320284781067E-2</v>
      </c>
      <c r="BH28">
        <v>9.2000974072937152E-3</v>
      </c>
      <c r="BV28" s="328">
        <v>434.8</v>
      </c>
      <c r="BW28" t="e">
        <f>J38-V38-W38</f>
        <v>#DIV/0!</v>
      </c>
      <c r="BY28">
        <f t="shared" ref="BY28:BY38" si="3">BV28/10</f>
        <v>43.480000000000004</v>
      </c>
      <c r="BZ28">
        <f>P41*(O8+P8+Q8-S8-T8-U8)/0.67+BZ27</f>
        <v>13.207686560705151</v>
      </c>
      <c r="CA28">
        <f t="shared" si="2"/>
        <v>20714.912389660982</v>
      </c>
    </row>
    <row r="29" spans="1:79">
      <c r="A29" s="344" t="s">
        <v>37</v>
      </c>
      <c r="B29" t="s">
        <v>17</v>
      </c>
      <c r="C29" s="79">
        <v>1.1893622081391234E-2</v>
      </c>
      <c r="D29" s="348">
        <v>2.7577329736118445E-8</v>
      </c>
      <c r="E29" s="13"/>
      <c r="F29" s="347"/>
      <c r="G29" s="13">
        <v>1.1886418233680241E-2</v>
      </c>
      <c r="H29" s="13">
        <v>3.7480950407639649E-8</v>
      </c>
      <c r="I29" s="13"/>
      <c r="J29" s="347"/>
      <c r="K29" s="13">
        <v>3.5365261150935884E-2</v>
      </c>
      <c r="L29" s="13">
        <v>1.1378083060468442E-2</v>
      </c>
      <c r="M29" s="13">
        <v>4.1744863836677593E-8</v>
      </c>
      <c r="N29" s="347"/>
      <c r="O29" s="13">
        <v>3.9298335231638726E-2</v>
      </c>
      <c r="P29" s="13">
        <v>1.0779695805017735E-2</v>
      </c>
      <c r="Q29" s="13">
        <v>4.6965516397542264E-8</v>
      </c>
      <c r="R29" s="347"/>
      <c r="S29" s="13">
        <v>4.3981153873675939E-2</v>
      </c>
      <c r="T29" s="13">
        <v>1.0110799938952544E-2</v>
      </c>
      <c r="U29" s="13">
        <v>5.33187491776436E-8</v>
      </c>
      <c r="V29" s="347"/>
      <c r="W29" s="13">
        <v>4.9627505218411944E-2</v>
      </c>
      <c r="X29" s="13">
        <v>9.3294745855446014E-3</v>
      </c>
      <c r="Y29" s="13">
        <v>6.1087728366324839E-8</v>
      </c>
      <c r="Z29" s="347"/>
      <c r="AA29" s="13">
        <v>5.647386476397187E-2</v>
      </c>
      <c r="AB29" s="13">
        <v>8.3991579662552607E-3</v>
      </c>
      <c r="AC29" s="13">
        <v>7.0572803659829262E-8</v>
      </c>
      <c r="AD29" s="347"/>
      <c r="AE29" s="13">
        <v>6.4735971189147826E-2</v>
      </c>
      <c r="AF29" s="13">
        <v>7.3037648801833679E-3</v>
      </c>
      <c r="AG29" s="13">
        <v>8.201472719655414E-8</v>
      </c>
      <c r="AH29" s="347"/>
      <c r="AI29" s="13">
        <v>7.4546405016743117E-2</v>
      </c>
      <c r="AJ29" s="13">
        <v>6.0707396559914646E-3</v>
      </c>
      <c r="AK29" s="13">
        <v>9.5516626266150551E-8</v>
      </c>
      <c r="AL29" s="347"/>
      <c r="AM29" s="13">
        <v>8.5901445106580515E-2</v>
      </c>
      <c r="AN29" s="13">
        <v>4.7817874435783104E-3</v>
      </c>
      <c r="AO29" s="13">
        <v>1.1103375615991915E-7</v>
      </c>
      <c r="AP29" s="347"/>
      <c r="AQ29" s="13">
        <v>9.8737127651718798E-2</v>
      </c>
      <c r="AR29" s="13">
        <v>3.5606650272371164E-3</v>
      </c>
      <c r="AS29" s="13">
        <v>1.2855329428109776E-7</v>
      </c>
      <c r="AT29" s="347"/>
      <c r="AU29">
        <v>0.13094190061908528</v>
      </c>
      <c r="AV29">
        <v>1.7761414486775877E-3</v>
      </c>
      <c r="AW29">
        <v>1.7319091098312329E-7</v>
      </c>
      <c r="AX29" s="347"/>
      <c r="AY29">
        <v>0.15297750047109174</v>
      </c>
      <c r="AZ29">
        <v>1.3048253874396044E-3</v>
      </c>
      <c r="BA29">
        <v>2.0472607547228025E-7</v>
      </c>
      <c r="BB29" s="347"/>
      <c r="BC29">
        <v>0.18431629810399608</v>
      </c>
      <c r="BD29">
        <v>1.1879759159517239E-3</v>
      </c>
      <c r="BE29">
        <v>2.5076252757647809E-7</v>
      </c>
      <c r="BF29" s="347"/>
      <c r="BG29">
        <v>0.23043114374443549</v>
      </c>
      <c r="BH29">
        <v>5.067196597243499E-3</v>
      </c>
      <c r="BV29" s="328">
        <v>399</v>
      </c>
      <c r="BW29" t="e">
        <f>J38-Z38-AA38</f>
        <v>#DIV/0!</v>
      </c>
      <c r="BY29">
        <f t="shared" si="3"/>
        <v>39.9</v>
      </c>
      <c r="BZ29">
        <f>T41*(S8+T8+U8-W8-X8-Y8)/0.67+BZ28</f>
        <v>16.044103519674657</v>
      </c>
      <c r="CA29">
        <f t="shared" si="2"/>
        <v>25163.543763183294</v>
      </c>
    </row>
    <row r="30" spans="1:79">
      <c r="A30" s="344" t="s">
        <v>38</v>
      </c>
      <c r="B30" t="s">
        <v>17</v>
      </c>
      <c r="C30" s="79">
        <v>8.6792733639143478E-3</v>
      </c>
      <c r="D30" s="348">
        <v>1.5691459441873194E-9</v>
      </c>
      <c r="E30" s="13"/>
      <c r="F30" s="347"/>
      <c r="G30" s="13">
        <v>8.6740194607140813E-3</v>
      </c>
      <c r="H30" s="13">
        <v>2.5154626018081543E-9</v>
      </c>
      <c r="I30" s="13"/>
      <c r="J30" s="347"/>
      <c r="K30" s="13">
        <v>4.0739830966425854E-2</v>
      </c>
      <c r="L30" s="13">
        <v>7.9818867611704952E-3</v>
      </c>
      <c r="M30" s="13">
        <v>2.9009891229403112E-9</v>
      </c>
      <c r="N30" s="347"/>
      <c r="O30" s="13">
        <v>4.611186110272554E-2</v>
      </c>
      <c r="P30" s="13">
        <v>7.1671655409861566E-3</v>
      </c>
      <c r="Q30" s="13">
        <v>3.3648644668571332E-9</v>
      </c>
      <c r="R30" s="347"/>
      <c r="S30" s="13">
        <v>5.2204497778524657E-2</v>
      </c>
      <c r="T30" s="13">
        <v>6.2737498908340726E-3</v>
      </c>
      <c r="U30" s="13">
        <v>3.9155903778742887E-9</v>
      </c>
      <c r="V30" s="347"/>
      <c r="W30" s="13">
        <v>5.8964875166297726E-2</v>
      </c>
      <c r="X30" s="13">
        <v>5.2813613672879128E-3</v>
      </c>
      <c r="Y30" s="13">
        <v>4.5532174221789044E-9</v>
      </c>
      <c r="Z30" s="347"/>
      <c r="AA30" s="13">
        <v>6.6197663826433009E-2</v>
      </c>
      <c r="AB30" s="13">
        <v>4.2053319942699785E-3</v>
      </c>
      <c r="AC30" s="13">
        <v>5.2626686654448293E-9</v>
      </c>
      <c r="AD30" s="347"/>
      <c r="AE30" s="13">
        <v>7.3598438482798151E-2</v>
      </c>
      <c r="AF30" s="13">
        <v>3.1124518576952096E-3</v>
      </c>
      <c r="AG30" s="13">
        <v>6.0123695919176305E-9</v>
      </c>
      <c r="AH30" s="347"/>
      <c r="AI30" s="13">
        <v>8.0953889459235068E-2</v>
      </c>
      <c r="AJ30" s="13">
        <v>2.1121645950771305E-3</v>
      </c>
      <c r="AK30" s="13">
        <v>6.7715785286254469E-9</v>
      </c>
      <c r="AL30" s="347"/>
      <c r="AM30" s="13">
        <v>8.8381459308901053E-2</v>
      </c>
      <c r="AN30" s="13">
        <v>1.3066209022419377E-3</v>
      </c>
      <c r="AO30" s="13">
        <v>7.5404032938942105E-9</v>
      </c>
      <c r="AP30" s="347"/>
      <c r="AQ30" s="13">
        <v>9.6466595705635566E-2</v>
      </c>
      <c r="AR30" s="13">
        <v>7.4032806676377024E-4</v>
      </c>
      <c r="AS30" s="13">
        <v>8.3728721882772201E-9</v>
      </c>
      <c r="AT30" s="347"/>
      <c r="AU30">
        <v>0.11900975556606788</v>
      </c>
      <c r="AV30">
        <v>1.9828532567006638E-4</v>
      </c>
      <c r="AW30">
        <v>1.0692826922017824E-8</v>
      </c>
      <c r="AX30" s="347"/>
      <c r="AY30">
        <v>0.1374246277539658</v>
      </c>
      <c r="AZ30">
        <v>1.04073973933354E-4</v>
      </c>
      <c r="BA30">
        <v>1.2620932107461999E-8</v>
      </c>
      <c r="BB30" s="347"/>
      <c r="BC30">
        <v>0.16556071786710347</v>
      </c>
      <c r="BD30">
        <v>6.6565778044583632E-5</v>
      </c>
      <c r="BE30">
        <v>1.5639834578292173E-8</v>
      </c>
      <c r="BF30" s="347"/>
      <c r="BG30">
        <v>0.33776448248089619</v>
      </c>
      <c r="BH30">
        <v>3.3813042246071665E-4</v>
      </c>
      <c r="BV30" s="328">
        <v>363.2</v>
      </c>
      <c r="BW30" t="e">
        <f>J38-AD38-AE38</f>
        <v>#DIV/0!</v>
      </c>
      <c r="BY30">
        <f t="shared" si="3"/>
        <v>36.32</v>
      </c>
      <c r="BZ30">
        <f>X41*(W8+X8+Y8-AA8-AB8-AC8)/0.67+BZ29</f>
        <v>19.0459102541665</v>
      </c>
      <c r="CA30">
        <f t="shared" si="2"/>
        <v>29871.572169966821</v>
      </c>
    </row>
    <row r="31" spans="1:79">
      <c r="A31" s="344" t="s">
        <v>39</v>
      </c>
      <c r="B31" t="s">
        <v>17</v>
      </c>
      <c r="C31" s="79">
        <v>7.3686119626494972E-3</v>
      </c>
      <c r="D31" s="348">
        <v>1.566895319342411E-10</v>
      </c>
      <c r="E31" s="13"/>
      <c r="F31" s="347"/>
      <c r="G31" s="13">
        <v>7.3641517730797246E-3</v>
      </c>
      <c r="H31" s="13">
        <v>3.0304568845812441E-10</v>
      </c>
      <c r="I31" s="13"/>
      <c r="J31" s="347"/>
      <c r="K31" s="13">
        <v>8.5814338695234901E-2</v>
      </c>
      <c r="L31" s="13">
        <v>5.6746993465229311E-3</v>
      </c>
      <c r="M31" s="13">
        <v>3.2393980715616102E-10</v>
      </c>
      <c r="N31" s="347"/>
      <c r="O31" s="13">
        <v>8.8512813537407156E-2</v>
      </c>
      <c r="P31" s="13">
        <v>4.1114620875550931E-3</v>
      </c>
      <c r="Q31" s="13">
        <v>3.3931056335582698E-10</v>
      </c>
      <c r="R31" s="347"/>
      <c r="S31" s="13">
        <v>9.003952942268903E-2</v>
      </c>
      <c r="T31" s="13">
        <v>2.8437679208840046E-3</v>
      </c>
      <c r="U31" s="13">
        <v>3.5240593436707734E-10</v>
      </c>
      <c r="V31" s="347"/>
      <c r="W31" s="13">
        <v>9.0437673706695892E-2</v>
      </c>
      <c r="X31" s="13">
        <v>1.8499612448898153E-3</v>
      </c>
      <c r="Y31" s="13">
        <v>3.6239210128267571E-10</v>
      </c>
      <c r="Z31" s="347"/>
      <c r="AA31" s="13">
        <v>9.0096205093877002E-2</v>
      </c>
      <c r="AB31" s="13">
        <v>1.1158485768684976E-3</v>
      </c>
      <c r="AC31" s="13">
        <v>3.6945648117024686E-10</v>
      </c>
      <c r="AD31" s="347"/>
      <c r="AE31" s="13">
        <v>8.9725396963574594E-2</v>
      </c>
      <c r="AF31" s="13">
        <v>6.164512312590944E-4</v>
      </c>
      <c r="AG31" s="13">
        <v>3.7492110406713548E-10</v>
      </c>
      <c r="AH31" s="347"/>
      <c r="AI31" s="13">
        <v>9.0227147153790779E-2</v>
      </c>
      <c r="AJ31" s="13">
        <v>3.0927883047012254E-4</v>
      </c>
      <c r="AK31" s="13">
        <v>3.8123094044443798E-10</v>
      </c>
      <c r="AL31" s="347"/>
      <c r="AM31" s="13">
        <v>9.2432543045886231E-2</v>
      </c>
      <c r="AN31" s="13">
        <v>1.4023898792501368E-4</v>
      </c>
      <c r="AO31" s="13">
        <v>3.9143406661348612E-10</v>
      </c>
      <c r="AP31" s="347"/>
      <c r="AQ31" s="13">
        <v>9.7030661345588798E-2</v>
      </c>
      <c r="AR31" s="13">
        <v>5.7495766149773422E-5</v>
      </c>
      <c r="AS31" s="13">
        <v>4.0895360050410959E-10</v>
      </c>
      <c r="AT31" s="347"/>
      <c r="AU31">
        <v>0.11592676911962226</v>
      </c>
      <c r="AV31">
        <v>7.5196484479803687E-6</v>
      </c>
      <c r="AW31">
        <v>4.7997746796146356E-10</v>
      </c>
      <c r="AX31" s="347"/>
      <c r="AY31">
        <v>0.13341159503384317</v>
      </c>
      <c r="AZ31">
        <v>2.6476809790275148E-6</v>
      </c>
      <c r="BA31">
        <v>5.4944225837192425E-10</v>
      </c>
      <c r="BB31" s="347"/>
      <c r="BC31">
        <v>0.16059083788408871</v>
      </c>
      <c r="BD31">
        <v>1.1044744602173026E-6</v>
      </c>
      <c r="BE31">
        <v>6.6355875486421693E-10</v>
      </c>
      <c r="BF31" s="347"/>
      <c r="BG31">
        <v>0.33774870445107807</v>
      </c>
      <c r="BH31">
        <v>3.9246376722177018E-6</v>
      </c>
      <c r="BV31" s="328">
        <v>327.39999999999998</v>
      </c>
      <c r="BW31" t="e">
        <f>J38-AH38-AI38</f>
        <v>#DIV/0!</v>
      </c>
      <c r="BY31">
        <f t="shared" si="3"/>
        <v>32.739999999999995</v>
      </c>
      <c r="BZ31">
        <f>AB41*(AA8+AB8+AC8-AE8-AF8-AG8)/0.67+BZ30</f>
        <v>22.207720645515341</v>
      </c>
      <c r="CA31">
        <f t="shared" si="2"/>
        <v>34830.550030962797</v>
      </c>
    </row>
    <row r="32" spans="1:79">
      <c r="A32" s="344" t="s">
        <v>40</v>
      </c>
      <c r="B32" t="s">
        <v>17</v>
      </c>
      <c r="C32" s="13"/>
      <c r="D32" s="13"/>
      <c r="E32" s="13"/>
      <c r="F32" s="347"/>
      <c r="G32" s="13"/>
      <c r="H32" s="13"/>
      <c r="I32" s="13"/>
      <c r="J32" s="347"/>
      <c r="K32" s="13"/>
      <c r="L32" s="13"/>
      <c r="M32" s="13"/>
      <c r="N32" s="347"/>
      <c r="O32" s="13"/>
      <c r="P32" s="13"/>
      <c r="Q32" s="13"/>
      <c r="R32" s="347"/>
      <c r="S32" s="13"/>
      <c r="T32" s="13"/>
      <c r="U32" s="13"/>
      <c r="V32" s="347"/>
      <c r="W32" s="13"/>
      <c r="X32" s="13"/>
      <c r="Y32" s="13"/>
      <c r="Z32" s="347"/>
      <c r="AA32" s="13"/>
      <c r="AB32" s="13"/>
      <c r="AC32" s="13"/>
      <c r="AD32" s="347"/>
      <c r="AE32" s="13"/>
      <c r="AF32" s="13"/>
      <c r="AG32" s="13"/>
      <c r="AH32" s="347"/>
      <c r="AI32" s="13"/>
      <c r="AJ32" s="13"/>
      <c r="AK32" s="13"/>
      <c r="AL32" s="347"/>
      <c r="AM32" s="13"/>
      <c r="AN32" s="13"/>
      <c r="AO32" s="13"/>
      <c r="AP32" s="347"/>
      <c r="AQ32" s="13"/>
      <c r="AR32" s="13"/>
      <c r="AS32" s="13"/>
      <c r="BV32" s="328">
        <v>291.60000000000002</v>
      </c>
      <c r="BW32" t="e">
        <f>J38-AL38-AM38</f>
        <v>#DIV/0!</v>
      </c>
      <c r="BY32">
        <f t="shared" si="3"/>
        <v>29.160000000000004</v>
      </c>
      <c r="BZ32">
        <f>AF41*(AE8+AF8+AG8-AI8-AJ8-AK8)/0.67+BZ31</f>
        <v>25.504393056624224</v>
      </c>
      <c r="CA32">
        <f t="shared" si="2"/>
        <v>40001.045246734102</v>
      </c>
    </row>
    <row r="33" spans="1:79">
      <c r="A33" s="344" t="s">
        <v>41</v>
      </c>
      <c r="B33" t="s">
        <v>17</v>
      </c>
      <c r="C33" s="13"/>
      <c r="D33" s="13"/>
      <c r="E33" s="13"/>
      <c r="F33" s="347"/>
      <c r="G33" s="13"/>
      <c r="H33" s="13"/>
      <c r="I33" s="13"/>
      <c r="J33" s="347"/>
      <c r="K33" s="13"/>
      <c r="L33" s="13"/>
      <c r="M33" s="13"/>
      <c r="N33" s="347"/>
      <c r="O33" s="13"/>
      <c r="P33" s="13"/>
      <c r="Q33" s="13"/>
      <c r="R33" s="347"/>
      <c r="S33" s="13"/>
      <c r="T33" s="13"/>
      <c r="U33" s="13"/>
      <c r="V33" s="347"/>
      <c r="W33" s="13"/>
      <c r="X33" s="13"/>
      <c r="Y33" s="13"/>
      <c r="Z33" s="347"/>
      <c r="AA33" s="13"/>
      <c r="AB33" s="13"/>
      <c r="AC33" s="13"/>
      <c r="AD33" s="347"/>
      <c r="AE33" s="13"/>
      <c r="AF33" s="13"/>
      <c r="AG33" s="13"/>
      <c r="AH33" s="347"/>
      <c r="AI33" s="13"/>
      <c r="AJ33" s="13"/>
      <c r="AK33" s="13"/>
      <c r="AL33" s="347"/>
      <c r="AM33" s="13"/>
      <c r="AN33" s="13"/>
      <c r="AO33" s="13"/>
      <c r="AP33" s="347"/>
      <c r="AQ33" s="13">
        <f>AQ8/($AQ$9+$AR$9+$AS$9)</f>
        <v>6.9267617814557537E-4</v>
      </c>
      <c r="AR33" s="13">
        <f>AR8/($AQ$9+$AR$9+$AS$9)</f>
        <v>5.3328898821485074E-3</v>
      </c>
      <c r="AS33" s="13">
        <f>AS8/($AQ$9+$AR$9+$AS$9)</f>
        <v>5.3142764105780895E-3</v>
      </c>
      <c r="BV33" s="328">
        <v>255.8</v>
      </c>
      <c r="BW33" t="e">
        <f>J38-AP38-AQ38</f>
        <v>#DIV/0!</v>
      </c>
      <c r="BY33">
        <f t="shared" si="3"/>
        <v>25.580000000000002</v>
      </c>
      <c r="BZ33">
        <f>AJ41*(AI8+AJ8+AK8-AM8-AN8-AO8)/0.67+BZ32</f>
        <v>28.887354483937237</v>
      </c>
      <c r="CA33">
        <f t="shared" si="2"/>
        <v>45306.876003869373</v>
      </c>
    </row>
    <row r="34" spans="1:79">
      <c r="A34" s="344" t="s">
        <v>42</v>
      </c>
      <c r="B34" t="s">
        <v>17</v>
      </c>
      <c r="C34" s="13"/>
      <c r="D34" s="13"/>
      <c r="E34" s="13"/>
      <c r="F34" s="347"/>
      <c r="G34" s="13"/>
      <c r="H34" s="13"/>
      <c r="I34" s="13"/>
      <c r="J34" s="347"/>
      <c r="K34" s="13"/>
      <c r="L34" s="13"/>
      <c r="M34" s="13"/>
      <c r="N34" s="347"/>
      <c r="O34" s="13"/>
      <c r="P34" s="13"/>
      <c r="Q34" s="13"/>
      <c r="R34" s="347"/>
      <c r="S34" s="13"/>
      <c r="T34" s="13"/>
      <c r="U34" s="13"/>
      <c r="V34" s="347"/>
      <c r="W34" s="13"/>
      <c r="X34" s="13"/>
      <c r="Y34" s="13"/>
      <c r="Z34" s="347"/>
      <c r="AA34" s="13"/>
      <c r="AB34" s="13"/>
      <c r="AC34" s="13"/>
      <c r="AD34" s="347"/>
      <c r="AE34" s="13"/>
      <c r="AF34" s="13"/>
      <c r="AG34" s="13"/>
      <c r="AH34" s="347"/>
      <c r="AI34" s="13"/>
      <c r="AJ34" s="13"/>
      <c r="AK34" s="13"/>
      <c r="AL34" s="347"/>
      <c r="AM34" s="13"/>
      <c r="AN34" s="13"/>
      <c r="AO34" s="13"/>
      <c r="AP34" s="347"/>
      <c r="AQ34" s="13"/>
      <c r="AR34" s="13"/>
      <c r="AS34" s="13"/>
      <c r="BV34" s="360">
        <v>220</v>
      </c>
      <c r="BW34" t="e">
        <f>F38-AT38-AU38</f>
        <v>#DIV/0!</v>
      </c>
      <c r="BY34">
        <f t="shared" si="3"/>
        <v>22</v>
      </c>
      <c r="BZ34">
        <f>AN41*(AM8+AN8+AO8-AQ8-AR8-AS8)/0.67+BZ33</f>
        <v>32.286827817639178</v>
      </c>
      <c r="CA34">
        <f t="shared" si="2"/>
        <v>50638.604005965812</v>
      </c>
    </row>
    <row r="35" spans="1:79">
      <c r="A35" s="344" t="s">
        <v>43</v>
      </c>
      <c r="B35" t="s">
        <v>17</v>
      </c>
      <c r="C35" s="13"/>
      <c r="D35" s="13"/>
      <c r="E35" s="13"/>
      <c r="F35" s="347"/>
      <c r="G35" s="13"/>
      <c r="H35" s="13"/>
      <c r="I35" s="13"/>
      <c r="J35" s="347"/>
      <c r="K35" s="13"/>
      <c r="L35" s="13"/>
      <c r="M35" s="13"/>
      <c r="N35" s="347"/>
      <c r="O35" s="13"/>
      <c r="P35" s="13"/>
      <c r="Q35" s="13"/>
      <c r="R35" s="347"/>
      <c r="S35" s="13"/>
      <c r="T35" s="13"/>
      <c r="U35" s="13"/>
      <c r="V35" s="347"/>
      <c r="W35" s="13"/>
      <c r="X35" s="13"/>
      <c r="Y35" s="13"/>
      <c r="Z35" s="347"/>
      <c r="AA35" s="13"/>
      <c r="AB35" s="13"/>
      <c r="AC35" s="13"/>
      <c r="AD35" s="347"/>
      <c r="AE35" s="13"/>
      <c r="AF35" s="13"/>
      <c r="AG35" s="13"/>
      <c r="AH35" s="347"/>
      <c r="AI35" s="13"/>
      <c r="AJ35" s="13"/>
      <c r="AK35" s="13"/>
      <c r="AL35" s="347"/>
      <c r="AM35" s="13"/>
      <c r="AN35" s="13"/>
      <c r="AO35" s="13"/>
      <c r="AP35" s="347"/>
      <c r="AQ35" s="13"/>
      <c r="AR35" s="13"/>
      <c r="AS35" s="13"/>
      <c r="BV35" s="360">
        <v>184.2</v>
      </c>
      <c r="BW35" t="e">
        <f>J38-AX38-AY38</f>
        <v>#DIV/0!</v>
      </c>
      <c r="BY35">
        <f t="shared" si="3"/>
        <v>18.419999999999998</v>
      </c>
      <c r="BZ35">
        <f>AR41*(AQ8+AR8+AS8-AU8-AV8-AW8)/0.67+BZ34</f>
        <v>35.622658097340008</v>
      </c>
      <c r="CA35">
        <f t="shared" si="2"/>
        <v>55870.51435401784</v>
      </c>
    </row>
    <row r="36" spans="1:79">
      <c r="A36" s="344" t="s">
        <v>44</v>
      </c>
      <c r="B36" t="s">
        <v>17</v>
      </c>
      <c r="C36" s="13"/>
      <c r="D36" s="13"/>
      <c r="E36" s="13"/>
      <c r="F36" s="347"/>
      <c r="G36" s="13"/>
      <c r="H36" s="13"/>
      <c r="I36" s="13"/>
      <c r="J36" s="347"/>
      <c r="K36" s="13"/>
      <c r="L36" s="13"/>
      <c r="M36" s="13"/>
      <c r="N36" s="347"/>
      <c r="O36" s="13"/>
      <c r="P36" s="13"/>
      <c r="Q36" s="13"/>
      <c r="R36" s="347"/>
      <c r="S36" s="13"/>
      <c r="T36" s="13"/>
      <c r="U36" s="13"/>
      <c r="V36" s="347"/>
      <c r="W36" s="13"/>
      <c r="X36" s="13"/>
      <c r="Y36" s="13"/>
      <c r="Z36" s="347"/>
      <c r="AA36" s="13"/>
      <c r="AB36" s="13"/>
      <c r="AC36" s="13"/>
      <c r="AD36" s="347"/>
      <c r="AE36" s="13"/>
      <c r="AF36" s="13"/>
      <c r="AG36" s="13"/>
      <c r="AH36" s="347"/>
      <c r="AI36" s="13"/>
      <c r="AJ36" s="13"/>
      <c r="AK36" s="13"/>
      <c r="AL36" s="347"/>
      <c r="AM36" s="13"/>
      <c r="AN36" s="13"/>
      <c r="AO36" s="13"/>
      <c r="AP36" s="347"/>
      <c r="AQ36" s="13"/>
      <c r="AR36" s="13"/>
      <c r="AS36" s="13"/>
      <c r="BV36" s="360">
        <v>112.6</v>
      </c>
      <c r="BW36" t="e">
        <f>J38-BB38-BC38</f>
        <v>#DIV/0!</v>
      </c>
      <c r="BY36">
        <f t="shared" si="3"/>
        <v>11.26</v>
      </c>
      <c r="BZ36">
        <f>AV41*(AU8+AV8+AW8-AY8-AZ8-BA8)/0.67+BZ35</f>
        <v>41.61014860642063</v>
      </c>
      <c r="CA36">
        <f t="shared" si="2"/>
        <v>65261.283945608579</v>
      </c>
    </row>
    <row r="37" spans="1:79">
      <c r="A37" s="344" t="s">
        <v>45</v>
      </c>
      <c r="B37" t="s">
        <v>17</v>
      </c>
      <c r="F37" s="345"/>
      <c r="J37" s="345"/>
      <c r="N37" s="345"/>
      <c r="R37" s="345"/>
      <c r="V37" s="345"/>
      <c r="Z37" s="345"/>
      <c r="AD37" s="345"/>
      <c r="AH37" s="345"/>
      <c r="AL37" s="345"/>
      <c r="AP37" s="345"/>
      <c r="BV37" s="360">
        <v>76.8</v>
      </c>
      <c r="BW37" t="e">
        <f>J38-BF38-BG38</f>
        <v>#DIV/0!</v>
      </c>
      <c r="BY37">
        <f t="shared" si="3"/>
        <v>7.68</v>
      </c>
      <c r="BZ37">
        <f>AZ41*(AY8+AZ8+BA8-BC8-BD8-BE8)/0.67+BZ36</f>
        <v>44.653846997408777</v>
      </c>
      <c r="CA37">
        <f t="shared" si="2"/>
        <v>70035.015152817476</v>
      </c>
    </row>
    <row r="38" spans="1:79">
      <c r="A38" s="344" t="s">
        <v>225</v>
      </c>
      <c r="C38" s="13" t="e">
        <f>SUM(C24:C31)*C8/$P$44</f>
        <v>#DIV/0!</v>
      </c>
      <c r="D38" s="13" t="e">
        <f>SUM(D24:D31)*D8/$P$44</f>
        <v>#DIV/0!</v>
      </c>
      <c r="F38" s="345"/>
      <c r="G38" s="13" t="e">
        <f>SUM(G24:G31)*G8/$P$44</f>
        <v>#DIV/0!</v>
      </c>
      <c r="H38" s="13" t="e">
        <f>SUM(H24:H31)*H8/$P$44</f>
        <v>#DIV/0!</v>
      </c>
      <c r="I38" s="13"/>
      <c r="J38" s="345"/>
      <c r="K38" s="13" t="e">
        <f>SUM(K24:K31)*K8/$P$44</f>
        <v>#DIV/0!</v>
      </c>
      <c r="L38" s="13" t="e">
        <f>SUM(L24:L31)*L8/$P$44</f>
        <v>#DIV/0!</v>
      </c>
      <c r="M38" s="13" t="e">
        <f>SUM(M24:M31)*M8/$P$44</f>
        <v>#DIV/0!</v>
      </c>
      <c r="N38" s="345"/>
      <c r="O38" s="13" t="e">
        <f>SUM(O24:O31)*O8/$P$44</f>
        <v>#DIV/0!</v>
      </c>
      <c r="P38" s="13" t="e">
        <f>SUM(P24:P31)*P8/$P$44</f>
        <v>#DIV/0!</v>
      </c>
      <c r="Q38" s="13" t="e">
        <f>SUM(Q24:Q31)*Q8/$P$44</f>
        <v>#DIV/0!</v>
      </c>
      <c r="R38" s="345"/>
      <c r="S38" s="13" t="e">
        <f>SUM(S24:S31)*S8/$P$44</f>
        <v>#DIV/0!</v>
      </c>
      <c r="T38" s="13" t="e">
        <f>SUM(T24:T31)*T8/$P$44</f>
        <v>#DIV/0!</v>
      </c>
      <c r="U38" s="13" t="e">
        <f>SUM(U24:U31)*U8/$P$44</f>
        <v>#DIV/0!</v>
      </c>
      <c r="V38" s="345"/>
      <c r="W38" s="13" t="e">
        <f>SUM(W24:W31)*W8/$P$44</f>
        <v>#DIV/0!</v>
      </c>
      <c r="X38" s="13" t="e">
        <f>SUM(X24:X31)*X8/$P$44</f>
        <v>#DIV/0!</v>
      </c>
      <c r="Y38" s="13" t="e">
        <f>SUM(Y24:Y31)*Y8/$P$44</f>
        <v>#DIV/0!</v>
      </c>
      <c r="Z38" s="345"/>
      <c r="AA38" s="13" t="e">
        <f>SUM(AA24:AA31)*AA8/$P$44</f>
        <v>#DIV/0!</v>
      </c>
      <c r="AB38" s="13" t="e">
        <f>SUM(AB24:AB31)*AB8/$P$44</f>
        <v>#DIV/0!</v>
      </c>
      <c r="AC38" s="13" t="e">
        <f>SUM(AC24:AC31)*AC8/$P$44</f>
        <v>#DIV/0!</v>
      </c>
      <c r="AD38" s="345"/>
      <c r="AE38" s="13" t="e">
        <f>SUM(AE24:AE31)*AE8/$P$44</f>
        <v>#DIV/0!</v>
      </c>
      <c r="AF38" s="13" t="e">
        <f>SUM(AF24:AF31)*AF8/$P$44</f>
        <v>#DIV/0!</v>
      </c>
      <c r="AG38" s="13" t="e">
        <f>SUM(AG24:AG31)*AG8/$P$44</f>
        <v>#DIV/0!</v>
      </c>
      <c r="AH38" s="345"/>
      <c r="AI38" s="13" t="e">
        <f>SUM(AI24:AI31)*AI8/$P$44</f>
        <v>#DIV/0!</v>
      </c>
      <c r="AJ38" s="13" t="e">
        <f>SUM(AJ24:AJ31)*AJ8/$P$44</f>
        <v>#DIV/0!</v>
      </c>
      <c r="AK38" s="13" t="e">
        <f>SUM(AK24:AK31)*AK8/$P$44</f>
        <v>#DIV/0!</v>
      </c>
      <c r="AL38" s="345"/>
      <c r="AM38" s="13" t="e">
        <f>SUM(AM24:AM31)*AM8/$P$44</f>
        <v>#DIV/0!</v>
      </c>
      <c r="AN38" s="13" t="e">
        <f>SUM(AN24:AN31)*AN8/$P$44</f>
        <v>#DIV/0!</v>
      </c>
      <c r="AO38" s="13" t="e">
        <f>SUM(AO24:AO31)*AO8/$P$44</f>
        <v>#DIV/0!</v>
      </c>
      <c r="AP38" s="345"/>
      <c r="AQ38" s="13" t="e">
        <f>SUM(AQ24:AQ31)*AQ8/$P$44</f>
        <v>#DIV/0!</v>
      </c>
      <c r="AR38" s="13" t="e">
        <f>SUM(AR24:AR31)*AR8/$P$44</f>
        <v>#DIV/0!</v>
      </c>
      <c r="AS38" s="13" t="e">
        <f>SUM(AS24:AS31)*AS8/$P$44</f>
        <v>#DIV/0!</v>
      </c>
      <c r="AU38" s="13" t="e">
        <f>SUM(AU24:AU31)*AU8/$P$44</f>
        <v>#DIV/0!</v>
      </c>
      <c r="AV38" s="13" t="e">
        <f>SUM(AV24:AV31)*AV8/$P$44</f>
        <v>#DIV/0!</v>
      </c>
      <c r="AW38" s="13" t="e">
        <f>SUM(AW24:AW31)*AW8/$P$44</f>
        <v>#DIV/0!</v>
      </c>
      <c r="AY38" s="13" t="e">
        <f>SUM(AY24:AY31)*AY8/$P$44</f>
        <v>#DIV/0!</v>
      </c>
      <c r="AZ38" s="13" t="e">
        <f>SUM(AZ24:AZ31)*AZ8/$P$44</f>
        <v>#DIV/0!</v>
      </c>
      <c r="BA38" s="13" t="e">
        <f>SUM(BA24:BA31)*BA8/$P$44</f>
        <v>#DIV/0!</v>
      </c>
      <c r="BC38" s="13" t="e">
        <f>SUM(BC24:BC31)*BC8/$P$44</f>
        <v>#DIV/0!</v>
      </c>
      <c r="BD38" s="13" t="e">
        <f>SUM(BD24:BD31)*BD8/$P$44</f>
        <v>#DIV/0!</v>
      </c>
      <c r="BE38" s="13" t="e">
        <f>SUM(BE24:BE31)*BE8/$P$44</f>
        <v>#DIV/0!</v>
      </c>
      <c r="BG38" s="13" t="e">
        <f>SUM(BG24:BG31)*BG8/$P$44</f>
        <v>#DIV/0!</v>
      </c>
      <c r="BH38" s="13" t="e">
        <f>SUM(BH24:BH31)*BH8/$P$44</f>
        <v>#DIV/0!</v>
      </c>
      <c r="BI38" s="13"/>
      <c r="BV38" s="360">
        <v>41</v>
      </c>
      <c r="BY38">
        <f t="shared" si="3"/>
        <v>4.0999999999999996</v>
      </c>
      <c r="BZ38">
        <f>BD41*(BC8+BD8+BE8-BG8-BH8)/0.67+BZ37</f>
        <v>48.173921662718051</v>
      </c>
      <c r="CA38">
        <f t="shared" si="2"/>
        <v>75555.894071453295</v>
      </c>
    </row>
    <row r="39" spans="1:79">
      <c r="A39" s="344" t="s">
        <v>226</v>
      </c>
      <c r="C39" t="e">
        <f>(C24*$BL$8+C25*$BL$9+$BL$10*C26+C27*$BL$11+$BL$12*C28+C29*$BL$13+$BL$14*C30+C31*$BL$15)/0.02404/(1-C38)*C8/$P$44</f>
        <v>#DIV/0!</v>
      </c>
      <c r="D39" t="e">
        <f>(D24*$BL$8+D25*$BL$9+$BL$10*D26+D27*$BL$11+$BL$12*D28+D29*$BL$13+$BL$14*D30+D31*$BL$15)/0.02404/(1-D38)*D8/$P$44</f>
        <v>#DIV/0!</v>
      </c>
      <c r="E39" t="e">
        <f>C39+D39</f>
        <v>#DIV/0!</v>
      </c>
      <c r="F39" s="345"/>
      <c r="G39" t="e">
        <f>(G24*$BL$8+G25*$BL$9+$BL$10*G26+G27*$BL$11+$BL$12*G28+G29*$BL$13+$BL$14*G30+G31*$BL$15)/0.02404/(1-G38)*G8/$P$44</f>
        <v>#DIV/0!</v>
      </c>
      <c r="H39" t="e">
        <f>(H24*$BL$8+H25*$BL$9+$BL$10*H26+H27*$BL$11+$BL$12*H28+H29*$BL$13+$BL$14*H30+H31*$BL$15)/0.02404/(1-H38)*H8/$P$44</f>
        <v>#DIV/0!</v>
      </c>
      <c r="I39" t="e">
        <f>G39+H39</f>
        <v>#DIV/0!</v>
      </c>
      <c r="J39" s="345"/>
      <c r="K39" t="e">
        <f>(K24*$BL$8+K25*$BL$9+$BL$10*K26+K27*$BL$11+$BL$12*K28+K29*$BL$13+$BL$14*K30+K31*$BL$15)/0.02404/(1-K38)*K8/$P$44</f>
        <v>#DIV/0!</v>
      </c>
      <c r="L39" t="e">
        <f>(L24*$BL$8+L25*$BL$9+$BL$10*L26+L27*$BL$11+$BL$12*L28+L29*$BL$13+$BL$14*L30+L31*$BL$15)/0.02404/(1-L38)*L8/$P$44</f>
        <v>#DIV/0!</v>
      </c>
      <c r="M39" t="e">
        <f>(M24*$BL$8+M25*$BL$9+$BL$10*M26+M27*$BL$11+$BL$12*M28+M29*$BL$13+$BL$14*M30+M31*$BL$15)/0.02404/(1-M38)*M8/$P$44</f>
        <v>#DIV/0!</v>
      </c>
      <c r="N39" s="345"/>
      <c r="O39" t="e">
        <f>(O24*$BL$8+O25*$BL$9+$BL$10*O26+O27*$BL$11+$BL$12*O28+O29*$BL$13+$BL$14*O30+O31*$BL$15)/0.02404/(1-O38)*O8/$P$44</f>
        <v>#DIV/0!</v>
      </c>
      <c r="P39" t="e">
        <f>(P24*$BL$8+P25*$BL$9+$BL$10*P26+P27*$BL$11+$BL$12*P28+P29*$BL$13+$BL$14*P30+P31*$BL$15)/0.02404/(1-P38)*P8/$P$44</f>
        <v>#DIV/0!</v>
      </c>
      <c r="Q39" t="e">
        <f>(Q24*$BL$8+Q25*$BL$9+$BL$10*Q26+Q27*$BL$11+$BL$12*Q28+Q29*$BL$13+$BL$14*Q30+Q31*$BL$15)/0.02404/(1-Q38)*Q8/$P$44</f>
        <v>#DIV/0!</v>
      </c>
      <c r="R39" s="345"/>
      <c r="S39" t="e">
        <f>(S24*$BL$8+S25*$BL$9+$BL$10*S26+S27*$BL$11+$BL$12*S28+S29*$BL$13+$BL$14*S30+S31*$BL$15)/0.02404/(1-S38)*S8/$P$44</f>
        <v>#DIV/0!</v>
      </c>
      <c r="T39" t="e">
        <f>(T24*$BL$8+T25*$BL$9+$BL$10*T26+T27*$BL$11+$BL$12*T28+T29*$BL$13+$BL$14*T30+T31*$BL$15)/0.02404/(1-T38)*T8/$P$44</f>
        <v>#DIV/0!</v>
      </c>
      <c r="U39" t="e">
        <f>(U24*$BL$8+U25*$BL$9+$BL$10*U26+U27*$BL$11+$BL$12*U28+U29*$BL$13+$BL$14*U30+U31*$BL$15)/0.02404/(1-U38)*U8/$P$44</f>
        <v>#DIV/0!</v>
      </c>
      <c r="V39" s="345"/>
      <c r="W39" t="e">
        <f>(W24*$BL$8+W25*$BL$9+$BL$10*W26+W27*$BL$11+$BL$12*W28+W29*$BL$13+$BL$14*W30+W31*$BL$15)/0.02404/(1-W38)*W8/$P$44</f>
        <v>#DIV/0!</v>
      </c>
      <c r="X39" t="e">
        <f>(X24*$BL$8+X25*$BL$9+$BL$10*X26+X27*$BL$11+$BL$12*X28+X29*$BL$13+$BL$14*X30+X31*$BL$15)/0.02404/(1-X38)*X8/$P$44</f>
        <v>#DIV/0!</v>
      </c>
      <c r="Y39" t="e">
        <f>(Y24*$BL$8+Y25*$BL$9+$BL$10*Y26+Y27*$BL$11+$BL$12*Y28+Y29*$BL$13+$BL$14*Y30+Y31*$BL$15)/0.02404/(1-Y38)*Y8/$P$44</f>
        <v>#DIV/0!</v>
      </c>
      <c r="Z39" s="345"/>
      <c r="AA39" t="e">
        <f>(AA24*$BL$8+AA25*$BL$9+$BL$10*AA26+AA27*$BL$11+$BL$12*AA28+AA29*$BL$13+$BL$14*AA30+AA31*$BL$15)/0.02404/(1-AA38)*AA8/$P$44</f>
        <v>#DIV/0!</v>
      </c>
      <c r="AB39" t="e">
        <f>(AB24*$BL$8+AB25*$BL$9+$BL$10*AB26+AB27*$BL$11+$BL$12*AB28+AB29*$BL$13+$BL$14*AB30+AB31*$BL$15)/0.02404/(1-AB38)*AB8/$P$44</f>
        <v>#DIV/0!</v>
      </c>
      <c r="AC39" t="e">
        <f>(AC24*$BL$8+AC25*$BL$9+$BL$10*AC26+AC27*$BL$11+$BL$12*AC28+AC29*$BL$13+$BL$14*AC30+AC31*$BL$15)/0.02404/(1-AC38)*AC8/$P$44</f>
        <v>#DIV/0!</v>
      </c>
      <c r="AD39" s="345"/>
      <c r="AE39" t="e">
        <f>(AE24*$BL$8+AE25*$BL$9+$BL$10*AE26+AE27*$BL$11+$BL$12*AE28+AE29*$BL$13+$BL$14*AE30+AE31*$BL$15)/0.02404/(1-AE38)*AE8/$P$44</f>
        <v>#DIV/0!</v>
      </c>
      <c r="AF39" t="e">
        <f>(AF24*$BL$8+AF25*$BL$9+$BL$10*AF26+AF27*$BL$11+$BL$12*AF28+AF29*$BL$13+$BL$14*AF30+AF31*$BL$15)/0.02404/(1-AF38)*AF8/$P$44</f>
        <v>#DIV/0!</v>
      </c>
      <c r="AG39" t="e">
        <f>(AG24*$BL$8+AG25*$BL$9+$BL$10*AG26+AG27*$BL$11+$BL$12*AG28+AG29*$BL$13+$BL$14*AG30+AG31*$BL$15)/0.02404/(1-AG38)*AG8/$P$44</f>
        <v>#DIV/0!</v>
      </c>
      <c r="AH39" s="345"/>
      <c r="AI39" t="e">
        <f>(AI24*$BL$8+AI25*$BL$9+$BL$10*AI26+AI27*$BL$11+$BL$12*AI28+AI29*$BL$13+$BL$14*AI30+AI31*$BL$15)/0.02404/(1-AI38)*AI8/$P$44</f>
        <v>#DIV/0!</v>
      </c>
      <c r="AJ39" t="e">
        <f>(AJ24*$BL$8+AJ25*$BL$9+$BL$10*AJ26+AJ27*$BL$11+$BL$12*AJ28+AJ29*$BL$13+$BL$14*AJ30+AJ31*$BL$15)/0.02404/(1-AJ38)*AJ8/$P$44</f>
        <v>#DIV/0!</v>
      </c>
      <c r="AK39" t="e">
        <f>(AK24*$BL$8+AK25*$BL$9+$BL$10*AK26+AK27*$BL$11+$BL$12*AK28+AK29*$BL$13+$BL$14*AK30+AK31*$BL$15)/0.02404/(1-AK38)*AK8/$P$44</f>
        <v>#DIV/0!</v>
      </c>
      <c r="AL39" s="345"/>
      <c r="AM39" t="e">
        <f>(AM24*$BL$8+AM25*$BL$9+$BL$10*AM26+AM27*$BL$11+$BL$12*AM28+AM29*$BL$13+$BL$14*AM30+AM31*$BL$15)/0.02404/(1-AM38)*AM8/$P$44</f>
        <v>#DIV/0!</v>
      </c>
      <c r="AN39" t="e">
        <f>(AN24*$BL$8+AN25*$BL$9+$BL$10*AN26+AN27*$BL$11+$BL$12*AN28+AN29*$BL$13+$BL$14*AN30+AN31*$BL$15)/0.02404/(1-AN38)*AN8/$P$44</f>
        <v>#DIV/0!</v>
      </c>
      <c r="AO39" t="e">
        <f>(AO24*$BL$8+AO25*$BL$9+$BL$10*AO26+AO27*$BL$11+$BL$12*AO28+AO29*$BL$13+$BL$14*AO30+AO31*$BL$15)/0.02404/(1-AO38)*AO8/$P$44</f>
        <v>#DIV/0!</v>
      </c>
      <c r="AP39" s="345"/>
      <c r="AQ39" t="e">
        <f>(AQ24*$BL$8+AQ25*$BL$9+$BL$10*AQ26+AQ27*$BL$11+$BL$12*AQ28+AQ29*$BL$13+$BL$14*AQ30+AQ31*$BL$15)/0.02404/(1-AQ38)*AQ8/$P$44</f>
        <v>#DIV/0!</v>
      </c>
      <c r="AR39" t="e">
        <f>(AR24*$BL$8+AR25*$BL$9+$BL$10*AR26+AR27*$BL$11+$BL$12*AR28+AR29*$BL$13+$BL$14*AR30+AR31*$BL$15)/0.02404/(1-AR38)*AR8/$P$44</f>
        <v>#DIV/0!</v>
      </c>
      <c r="AS39" t="e">
        <f>(AS24*$BL$8+AS25*$BL$9+$BL$10*AS26+AS27*$BL$11+$BL$12*AS28+AS29*$BL$13+$BL$14*AS30+AS31*$BL$15)/0.02404/(1-AS38)*AS8/$P$44</f>
        <v>#DIV/0!</v>
      </c>
      <c r="AU39" t="e">
        <f>(AU24*$BL$8+AU25*$BL$9+$BL$10*AU26+AU27*$BL$11+$BL$12*AU28+AU29*$BL$13+$BL$14*AU30+AU31*$BL$15)/0.02404/(1-AU38)*AU8/$P$44</f>
        <v>#DIV/0!</v>
      </c>
      <c r="AV39" t="e">
        <f>(AV24*$BL$8+AV25*$BL$9+$BL$10*AV26+AV27*$BL$11+$BL$12*AV28+AV29*$BL$13+$BL$14*AV30+AV31*$BL$15)/0.02404/(1-AV38)*AV8/$P$44</f>
        <v>#DIV/0!</v>
      </c>
      <c r="AW39" t="e">
        <f>(AW24*$BL$8+AW25*$BL$9+$BL$10*AW26+AW27*$BL$11+$BL$12*AW28+AW29*$BL$13+$BL$14*AW30+AW31*$BL$15)/0.02404/(1-AW38)*AW8/$P$44</f>
        <v>#DIV/0!</v>
      </c>
      <c r="AY39" t="e">
        <f>(AY24*$BL$8+AY25*$BL$9+$BL$10*AY26+AY27*$BL$11+$BL$12*AY28+AY29*$BL$13+$BL$14*AY30+AY31*$BL$15)/0.02404/(1-AY38)*AY8/$P$44</f>
        <v>#DIV/0!</v>
      </c>
      <c r="AZ39" t="e">
        <f>(AZ24*$BL$8+AZ25*$BL$9+$BL$10*AZ26+AZ27*$BL$11+$BL$12*AZ28+AZ29*$BL$13+$BL$14*AZ30+AZ31*$BL$15)/0.02404/(1-AZ38)*AZ8/$P$44</f>
        <v>#DIV/0!</v>
      </c>
      <c r="BA39" t="e">
        <f>(BA24*$BL$8+BA25*$BL$9+$BL$10*BA26+BA27*$BL$11+$BL$12*BA28+BA29*$BL$13+$BL$14*BA30+BA31*$BL$15)/0.02404/(1-BA38)*BA8/$P$44</f>
        <v>#DIV/0!</v>
      </c>
      <c r="BC39" t="e">
        <f>(BC24*$BL$8+BC25*$BL$9+$BL$10*BC26+BC27*$BL$11+$BL$12*BC28+BC29*$BL$13+$BL$14*BC30+BC31*$BL$15)/0.02404/(1-BC38)*BC8/$P$44</f>
        <v>#DIV/0!</v>
      </c>
      <c r="BD39" t="e">
        <f>(BD24*$BL$8+BD25*$BL$9+$BL$10*BD26+BD27*$BL$11+$BL$12*BD28+BD29*$BL$13+$BL$14*BD30+BD31*$BL$15)/0.02404/(1-BD38)*BD8/$P$44</f>
        <v>#DIV/0!</v>
      </c>
      <c r="BE39" t="e">
        <f>(BE24*$BL$8+BE25*$BL$9+$BL$10*BE26+BE27*$BL$11+$BL$12*BE28+BE29*$BL$13+$BL$14*BE30+BE31*$BL$15)/0.02404/(1-BE38)*BE8/$P$44</f>
        <v>#DIV/0!</v>
      </c>
      <c r="BG39" t="e">
        <f>(BG24*$BL$8+BG25*$BL$9+$BL$10*BG26+BG27*$BL$11+$BL$12*BG28+BG29*$BL$13+$BL$14*BG30+BG31*$BL$15)/0.02404/(1-BG38)*BG8/$P$44</f>
        <v>#DIV/0!</v>
      </c>
      <c r="BH39" t="e">
        <f>(BH24*$BL$8+BH25*$BL$9+$BL$10*BH26+BH27*$BL$11+$BL$12*BH28+BH29*$BL$13+$BL$14*BH30+BH31*$BL$15)/0.02404/(1-BH38)*BH8/$P$44</f>
        <v>#DIV/0!</v>
      </c>
      <c r="BV39" s="360"/>
    </row>
    <row r="40" spans="1:79">
      <c r="A40" s="344"/>
      <c r="C40" s="13">
        <f>SUM(C24:C31)</f>
        <v>6.3759316536126112E-2</v>
      </c>
      <c r="F40" s="345"/>
      <c r="G40" s="13">
        <f>SUM(G24:G31)</f>
        <v>6.3720640164418613E-2</v>
      </c>
      <c r="J40" s="345"/>
      <c r="L40" s="13">
        <f>SUM(L24:L31)</f>
        <v>6.0030973863488615E-2</v>
      </c>
      <c r="N40" s="345"/>
      <c r="P40" s="13">
        <f>SUM(P24:P31)</f>
        <v>5.6144431006368081E-2</v>
      </c>
      <c r="R40" s="345"/>
      <c r="T40" s="13">
        <f>SUM(T24:T31)</f>
        <v>5.2330570381228063E-2</v>
      </c>
      <c r="V40" s="345"/>
      <c r="X40" s="13">
        <f>SUM(X24:X31)</f>
        <v>4.84435629916019E-2</v>
      </c>
      <c r="Z40" s="345"/>
      <c r="AB40" s="13">
        <f>SUM(AB24:AB31)</f>
        <v>4.438717266575426E-2</v>
      </c>
      <c r="AD40" s="345"/>
      <c r="AF40" s="13">
        <f>SUM(AF24:AF31)</f>
        <v>4.0138303317433378E-2</v>
      </c>
      <c r="AH40" s="345"/>
      <c r="AJ40" s="13">
        <f>SUM(AJ24:AJ31)</f>
        <v>3.5776178936161175E-2</v>
      </c>
      <c r="AL40" s="345"/>
      <c r="AN40" s="13">
        <f>SUM(AN24:AN31)</f>
        <v>3.1465867884881996E-2</v>
      </c>
      <c r="AP40" s="345"/>
      <c r="AR40" s="13">
        <f>SUM(AR24:AR31)</f>
        <v>2.7432391520121426E-2</v>
      </c>
      <c r="AV40" s="13">
        <f>SUM(AV24:AV31)</f>
        <v>2.1442576418965797E-2</v>
      </c>
      <c r="AZ40" s="13">
        <f>SUM(AZ24:AZ31)</f>
        <v>2.0444136284992816E-2</v>
      </c>
      <c r="BD40" s="13">
        <f>SUM(BD24:BD31)</f>
        <v>2.3263258766172946E-2</v>
      </c>
      <c r="BV40" s="360"/>
    </row>
    <row r="41" spans="1:79">
      <c r="A41" s="344"/>
      <c r="C41">
        <f>(C24*$BL$8+C25*$BL$9+$BL$10*C26+C27*$BL$11+$BL$12*C28+C29*$BL$13+$BL$14*C30+C31*$BL$15)/0.02404/(1-C40)</f>
        <v>92.352422435409835</v>
      </c>
      <c r="F41" s="345"/>
      <c r="G41">
        <f>(G24*$BL$8+G25*$BL$9+$BL$10*G26+G27*$BL$11+$BL$12*G28+G29*$BL$13+$BL$14*G30+G31*$BL$15)/0.02404/(1-G40)</f>
        <v>92.292567060465458</v>
      </c>
      <c r="J41" s="345"/>
      <c r="L41">
        <f>(L24*$BL$8+L25*$BL$9+$BL$10*L26+L27*$BL$11+$BL$12*L28+L29*$BL$13+$BL$14*L30+L31*$BL$15)/0.02404/(1-L40)</f>
        <v>87.565644639350253</v>
      </c>
      <c r="N41" s="345"/>
      <c r="P41">
        <f>(P24*$BL$8+P25*$BL$9+$BL$10*P26+P27*$BL$11+$BL$12*P28+P29*$BL$13+$BL$14*P30+P31*$BL$15)/0.02404/(1-P40)</f>
        <v>82.553434627600225</v>
      </c>
      <c r="R41" s="345"/>
      <c r="T41">
        <f>(T24*$BL$8+T25*$BL$9+$BL$10*T26+T27*$BL$11+$BL$12*T28+T29*$BL$13+$BL$14*T30+T31*$BL$15)/0.02404/(1-T40)</f>
        <v>77.581419124145043</v>
      </c>
      <c r="V41" s="345"/>
      <c r="X41">
        <f>(X24*$BL$8+X25*$BL$9+$BL$10*X26+X27*$BL$11+$BL$12*X28+X29*$BL$13+$BL$14*X30+X31*$BL$15)/0.02404/(1-X40)</f>
        <v>72.442737797938122</v>
      </c>
      <c r="Z41" s="345"/>
      <c r="AB41">
        <f>(AB24*$BL$8+AB25*$BL$9+$BL$10*AB26+AB27*$BL$11+$BL$12*AB28+AB29*$BL$13+$BL$14*AB30+AB31*$BL$15)/0.02404/(1-AB40)</f>
        <v>66.996299401239426</v>
      </c>
      <c r="AD41" s="345"/>
      <c r="AF41">
        <f>(AF24*$BL$8+AF25*$BL$9+$BL$10*AF26+AF27*$BL$11+$BL$12*AF28+AF29*$BL$13+$BL$14*AF30+AF31*$BL$15)/0.02404/(1-AF40)</f>
        <v>61.201959504543105</v>
      </c>
      <c r="AH41" s="345"/>
      <c r="AJ41">
        <f>(AJ24*$BL$8+AJ25*$BL$9+$BL$10*AJ26+AJ27*$BL$11+$BL$12*AJ28+AJ29*$BL$13+$BL$14*AJ30+AJ31*$BL$15)/0.02404/(1-AJ40)</f>
        <v>55.164335564297055</v>
      </c>
      <c r="AL41" s="345"/>
      <c r="AN41">
        <f>(AN24*$BL$8+AN25*$BL$9+$BL$10*AN26+AN27*$BL$11+$BL$12*AN28+AN29*$BL$13+$BL$14*AN30+AN31*$BL$15)/0.02404/(1-AN40)</f>
        <v>49.115237093780785</v>
      </c>
      <c r="AP41" s="345"/>
      <c r="AR41">
        <f>(AR24*$BL$8+AR25*$BL$9+$BL$10*AR26+AR27*$BL$11+$BL$12*AR28+AR29*$BL$13+$BL$14*AR30+AR31*$BL$15)/0.02404/(1-AR40)</f>
        <v>43.385478954400149</v>
      </c>
      <c r="AV41">
        <f>(AV24*$BL$8+AV25*$BL$9+$BL$10*AV26+AV27*$BL$11+$BL$12*AV28+AV29*$BL$13+$BL$14*AV30+AV31*$BL$15)/0.02404/(1-AV40)</f>
        <v>34.841441643765926</v>
      </c>
      <c r="AZ41">
        <f>(AZ24*$BL$8+AZ25*$BL$9+$BL$10*AZ26+AZ27*$BL$11+$BL$12*AZ28+AZ29*$BL$13+$BL$14*AZ30+AZ31*$BL$15)/0.02404/(1-AZ40)</f>
        <v>33.634526538475875</v>
      </c>
      <c r="BD41">
        <f>(BD24*$BL$8+BD25*$BL$9+$BL$10*BD26+BD27*$BL$11+$BL$12*BD28+BD29*$BL$13+$BL$14*BD30+BD31*$BL$15)/0.02404/(1-BD40)</f>
        <v>38.635607410497727</v>
      </c>
      <c r="BV41" s="360"/>
    </row>
    <row r="42" spans="1:79">
      <c r="A42" s="480" t="s">
        <v>243</v>
      </c>
      <c r="B42" s="480"/>
      <c r="C42" s="480"/>
      <c r="D42" s="480"/>
      <c r="E42" s="480"/>
      <c r="F42" s="480"/>
      <c r="G42" s="480"/>
      <c r="H42" s="480"/>
      <c r="I42" s="480"/>
      <c r="J42" s="480"/>
      <c r="K42" s="480"/>
      <c r="L42" s="480"/>
      <c r="M42" s="480"/>
      <c r="N42" s="480"/>
      <c r="O42" s="480"/>
      <c r="BV42" s="360"/>
    </row>
    <row r="43" spans="1:79">
      <c r="A43" s="480"/>
      <c r="B43" s="480"/>
      <c r="C43" s="480"/>
      <c r="D43" s="480"/>
      <c r="E43" s="480"/>
      <c r="F43" s="480"/>
      <c r="G43" s="480"/>
      <c r="H43" s="480"/>
      <c r="I43" s="480"/>
      <c r="J43" s="480"/>
      <c r="K43" s="480"/>
      <c r="L43" s="480"/>
      <c r="M43" s="480"/>
      <c r="N43" s="480"/>
      <c r="O43" s="480"/>
      <c r="P43">
        <v>0.25</v>
      </c>
      <c r="BV43" s="360">
        <v>5.2</v>
      </c>
      <c r="BY43">
        <f>BV43/10</f>
        <v>0.52</v>
      </c>
    </row>
    <row r="44" spans="1:79" ht="16.5" thickBot="1">
      <c r="A44" s="344" t="s">
        <v>214</v>
      </c>
      <c r="B44" s="344">
        <v>26.484813513247794</v>
      </c>
      <c r="F44" s="345"/>
      <c r="J44" s="345"/>
      <c r="N44" s="345"/>
      <c r="R44" s="345"/>
      <c r="V44" s="345"/>
      <c r="Z44" s="345"/>
      <c r="AD44" s="345"/>
      <c r="AH44" s="345"/>
      <c r="AL44" s="345"/>
      <c r="AP44" s="345"/>
      <c r="AT44" s="345"/>
      <c r="AX44" s="345"/>
      <c r="BB44" s="345"/>
      <c r="BF44" s="345"/>
      <c r="BK44" s="396" t="s">
        <v>149</v>
      </c>
      <c r="BL44" s="397"/>
      <c r="BM44" s="397"/>
      <c r="BN44" s="398"/>
    </row>
    <row r="45" spans="1:79" ht="16.5" thickTop="1" thickBot="1">
      <c r="A45" s="344" t="s">
        <v>204</v>
      </c>
      <c r="B45" s="344"/>
      <c r="C45" s="476" t="s">
        <v>209</v>
      </c>
      <c r="D45" s="476"/>
      <c r="E45" s="476"/>
      <c r="F45" s="345"/>
      <c r="G45" s="476" t="s">
        <v>215</v>
      </c>
      <c r="H45" s="476"/>
      <c r="I45" s="476"/>
      <c r="J45" s="345"/>
      <c r="K45" s="476" t="s">
        <v>216</v>
      </c>
      <c r="L45" s="476"/>
      <c r="M45" s="476"/>
      <c r="N45" s="345"/>
      <c r="O45" s="476" t="s">
        <v>217</v>
      </c>
      <c r="P45" s="476"/>
      <c r="Q45" s="476"/>
      <c r="R45" s="345"/>
      <c r="S45" s="476" t="s">
        <v>218</v>
      </c>
      <c r="T45" s="476"/>
      <c r="U45" s="476"/>
      <c r="V45" s="345"/>
      <c r="W45" s="476" t="s">
        <v>219</v>
      </c>
      <c r="X45" s="476"/>
      <c r="Y45" s="476"/>
      <c r="Z45" s="345"/>
      <c r="AA45" s="476" t="s">
        <v>220</v>
      </c>
      <c r="AB45" s="476"/>
      <c r="AC45" s="476"/>
      <c r="AD45" s="345"/>
      <c r="AE45" s="476" t="s">
        <v>221</v>
      </c>
      <c r="AF45" s="476"/>
      <c r="AG45" s="476"/>
      <c r="AH45" s="345"/>
      <c r="AI45" s="476" t="s">
        <v>222</v>
      </c>
      <c r="AJ45" s="476"/>
      <c r="AK45" s="476"/>
      <c r="AL45" s="345"/>
      <c r="AM45" s="476" t="s">
        <v>223</v>
      </c>
      <c r="AN45" s="476"/>
      <c r="AO45" s="476"/>
      <c r="AP45" s="345"/>
      <c r="AQ45" s="476" t="s">
        <v>224</v>
      </c>
      <c r="AR45" s="476"/>
      <c r="AS45" s="476"/>
      <c r="AT45" s="345"/>
      <c r="AU45" s="476" t="s">
        <v>229</v>
      </c>
      <c r="AV45" s="476"/>
      <c r="AW45" s="476"/>
      <c r="AX45" s="345"/>
      <c r="AY45" s="476" t="s">
        <v>230</v>
      </c>
      <c r="AZ45" s="476"/>
      <c r="BA45" s="476"/>
      <c r="BB45" s="345"/>
      <c r="BC45" s="476" t="s">
        <v>231</v>
      </c>
      <c r="BD45" s="476"/>
      <c r="BE45" s="476"/>
      <c r="BF45" s="345"/>
      <c r="BG45" s="476" t="s">
        <v>232</v>
      </c>
      <c r="BH45" s="476"/>
      <c r="BI45" s="476"/>
      <c r="BK45" s="125" t="s">
        <v>79</v>
      </c>
      <c r="BL45" s="198" t="s">
        <v>31</v>
      </c>
      <c r="BM45" s="126" t="s">
        <v>52</v>
      </c>
      <c r="BN45" s="127" t="s">
        <v>54</v>
      </c>
      <c r="BQ45" t="s">
        <v>237</v>
      </c>
      <c r="BS45">
        <v>654</v>
      </c>
      <c r="BT45" t="e">
        <f>C80</f>
        <v>#DIV/0!</v>
      </c>
      <c r="BU45">
        <f>BS45/10</f>
        <v>65.400000000000006</v>
      </c>
    </row>
    <row r="46" spans="1:79" ht="15.75" thickTop="1">
      <c r="A46" s="346" t="s">
        <v>211</v>
      </c>
      <c r="B46" s="344" t="s">
        <v>213</v>
      </c>
      <c r="C46" s="476">
        <v>65.400000000000006</v>
      </c>
      <c r="D46" s="476"/>
      <c r="E46" s="476"/>
      <c r="F46" s="345"/>
      <c r="G46" s="476">
        <v>50.64</v>
      </c>
      <c r="H46" s="476"/>
      <c r="I46" s="476"/>
      <c r="J46" s="345"/>
      <c r="K46" s="476">
        <v>47.06</v>
      </c>
      <c r="L46" s="476"/>
      <c r="M46" s="476"/>
      <c r="N46" s="345"/>
      <c r="O46" s="476">
        <v>43.480000000000004</v>
      </c>
      <c r="P46" s="476"/>
      <c r="Q46" s="476"/>
      <c r="R46" s="345"/>
      <c r="S46" s="476">
        <v>39.9</v>
      </c>
      <c r="T46" s="476"/>
      <c r="U46" s="476"/>
      <c r="V46" s="345"/>
      <c r="W46" s="476">
        <v>36.32</v>
      </c>
      <c r="X46" s="476"/>
      <c r="Y46" s="476"/>
      <c r="Z46" s="345"/>
      <c r="AA46" s="476">
        <v>32.739999999999995</v>
      </c>
      <c r="AB46" s="476"/>
      <c r="AC46" s="476"/>
      <c r="AD46" s="345"/>
      <c r="AE46" s="476">
        <v>29.160000000000004</v>
      </c>
      <c r="AF46" s="476"/>
      <c r="AG46" s="476"/>
      <c r="AH46" s="345"/>
      <c r="AI46" s="476">
        <v>25.580000000000002</v>
      </c>
      <c r="AJ46" s="476"/>
      <c r="AK46" s="476"/>
      <c r="AL46" s="345"/>
      <c r="AM46" s="476">
        <v>22</v>
      </c>
      <c r="AN46" s="476"/>
      <c r="AO46" s="476"/>
      <c r="AP46" s="345"/>
      <c r="AQ46" s="476">
        <v>18.419999999999998</v>
      </c>
      <c r="AR46" s="476"/>
      <c r="AS46" s="476"/>
      <c r="AT46" s="345"/>
      <c r="AU46" s="476">
        <v>11.26</v>
      </c>
      <c r="AV46" s="476"/>
      <c r="AW46" s="476"/>
      <c r="AX46" s="345"/>
      <c r="AY46">
        <v>7.68</v>
      </c>
      <c r="BB46" s="345"/>
      <c r="BC46">
        <v>4.0999999999999996</v>
      </c>
      <c r="BF46" s="345"/>
      <c r="BG46">
        <v>0.52</v>
      </c>
      <c r="BK46" s="328">
        <v>654</v>
      </c>
      <c r="BL46" s="7">
        <f>BK46/10</f>
        <v>65.400000000000006</v>
      </c>
      <c r="BM46" s="252"/>
      <c r="BN46" s="252">
        <v>0</v>
      </c>
      <c r="BO46">
        <v>0</v>
      </c>
      <c r="BP46" t="s">
        <v>238</v>
      </c>
      <c r="BQ46">
        <v>50.37</v>
      </c>
      <c r="BS46" s="328">
        <v>506.4</v>
      </c>
      <c r="BT46" t="e">
        <f>G80</f>
        <v>#DIV/0!</v>
      </c>
      <c r="BU46">
        <f t="shared" ref="BU46:BU59" si="4">BS46/10</f>
        <v>50.64</v>
      </c>
    </row>
    <row r="47" spans="1:79" ht="15">
      <c r="A47" s="346" t="s">
        <v>212</v>
      </c>
      <c r="B47" s="344" t="s">
        <v>29</v>
      </c>
      <c r="C47" s="478">
        <v>381.05</v>
      </c>
      <c r="D47" s="476"/>
      <c r="E47" s="476"/>
      <c r="F47" s="345"/>
      <c r="G47" s="476">
        <v>381.05</v>
      </c>
      <c r="H47" s="476"/>
      <c r="I47" s="476"/>
      <c r="J47" s="345"/>
      <c r="K47" s="476">
        <v>381.05</v>
      </c>
      <c r="L47" s="476"/>
      <c r="M47" s="476"/>
      <c r="N47" s="345"/>
      <c r="O47" s="476">
        <v>381.05</v>
      </c>
      <c r="P47" s="476"/>
      <c r="Q47" s="476"/>
      <c r="R47" s="345"/>
      <c r="S47" s="476">
        <v>381.05</v>
      </c>
      <c r="T47" s="476"/>
      <c r="U47" s="476"/>
      <c r="V47" s="345"/>
      <c r="W47" s="476">
        <v>381.05</v>
      </c>
      <c r="X47" s="476"/>
      <c r="Y47" s="476"/>
      <c r="Z47" s="345"/>
      <c r="AA47" s="476">
        <v>381.05</v>
      </c>
      <c r="AB47" s="476"/>
      <c r="AC47" s="476"/>
      <c r="AD47" s="345"/>
      <c r="AE47" s="476">
        <v>381.05</v>
      </c>
      <c r="AF47" s="476"/>
      <c r="AG47" s="476"/>
      <c r="AH47" s="345"/>
      <c r="AI47" s="476">
        <v>381.05</v>
      </c>
      <c r="AJ47" s="476"/>
      <c r="AK47" s="476"/>
      <c r="AL47" s="345"/>
      <c r="AM47" s="476">
        <v>381.05</v>
      </c>
      <c r="AN47" s="476"/>
      <c r="AO47" s="476"/>
      <c r="AP47" s="345"/>
      <c r="AQ47" s="476">
        <v>381.05</v>
      </c>
      <c r="AR47" s="476"/>
      <c r="AS47" s="476"/>
      <c r="AT47" s="345"/>
      <c r="AU47" s="476">
        <v>381.05</v>
      </c>
      <c r="AV47" s="476"/>
      <c r="AW47" s="476"/>
      <c r="AX47" s="345"/>
      <c r="AY47">
        <v>381.05</v>
      </c>
      <c r="BB47" s="345"/>
      <c r="BC47">
        <v>381.05</v>
      </c>
      <c r="BF47" s="345"/>
      <c r="BG47">
        <v>293</v>
      </c>
      <c r="BK47" s="328">
        <v>506.4</v>
      </c>
      <c r="BL47" s="7">
        <f t="shared" ref="BL47:BL60" si="5">BK47/10</f>
        <v>50.64</v>
      </c>
      <c r="BM47" s="8"/>
      <c r="BN47" s="8">
        <v>0</v>
      </c>
      <c r="BO47">
        <v>0</v>
      </c>
      <c r="BS47">
        <v>503.7</v>
      </c>
      <c r="BT47" t="e">
        <f>BT46</f>
        <v>#DIV/0!</v>
      </c>
      <c r="BU47">
        <f t="shared" si="4"/>
        <v>50.37</v>
      </c>
    </row>
    <row r="48" spans="1:79">
      <c r="A48" s="344"/>
      <c r="B48" s="344"/>
      <c r="C48" s="344" t="s">
        <v>160</v>
      </c>
      <c r="D48" s="344" t="s">
        <v>161</v>
      </c>
      <c r="E48" s="344" t="s">
        <v>162</v>
      </c>
      <c r="F48" s="345"/>
      <c r="G48" s="344" t="s">
        <v>160</v>
      </c>
      <c r="H48" s="344" t="s">
        <v>161</v>
      </c>
      <c r="I48" s="344" t="s">
        <v>162</v>
      </c>
      <c r="J48" s="345"/>
      <c r="K48" s="344" t="s">
        <v>160</v>
      </c>
      <c r="L48" s="344" t="s">
        <v>161</v>
      </c>
      <c r="M48" s="344" t="s">
        <v>162</v>
      </c>
      <c r="N48" s="345"/>
      <c r="O48" s="344" t="s">
        <v>160</v>
      </c>
      <c r="P48" s="344" t="s">
        <v>161</v>
      </c>
      <c r="Q48" s="344" t="s">
        <v>162</v>
      </c>
      <c r="R48" s="345"/>
      <c r="S48" s="344" t="s">
        <v>160</v>
      </c>
      <c r="T48" s="344" t="s">
        <v>161</v>
      </c>
      <c r="U48" s="344" t="s">
        <v>162</v>
      </c>
      <c r="V48" s="345"/>
      <c r="W48" s="344" t="s">
        <v>160</v>
      </c>
      <c r="X48" s="344" t="s">
        <v>161</v>
      </c>
      <c r="Y48" s="344" t="s">
        <v>162</v>
      </c>
      <c r="Z48" s="345"/>
      <c r="AA48" s="344" t="s">
        <v>160</v>
      </c>
      <c r="AB48" s="344" t="s">
        <v>161</v>
      </c>
      <c r="AC48" s="344" t="s">
        <v>162</v>
      </c>
      <c r="AD48" s="345"/>
      <c r="AE48" s="344" t="s">
        <v>160</v>
      </c>
      <c r="AF48" s="344" t="s">
        <v>161</v>
      </c>
      <c r="AG48" s="344" t="s">
        <v>162</v>
      </c>
      <c r="AH48" s="345"/>
      <c r="AI48" s="344" t="s">
        <v>160</v>
      </c>
      <c r="AJ48" s="344" t="s">
        <v>161</v>
      </c>
      <c r="AK48" s="344" t="s">
        <v>162</v>
      </c>
      <c r="AL48" s="345"/>
      <c r="AM48" s="344" t="s">
        <v>160</v>
      </c>
      <c r="AN48" s="344" t="s">
        <v>161</v>
      </c>
      <c r="AO48" s="344" t="s">
        <v>162</v>
      </c>
      <c r="AP48" s="345"/>
      <c r="AQ48" s="344" t="s">
        <v>160</v>
      </c>
      <c r="AR48" s="344" t="s">
        <v>161</v>
      </c>
      <c r="AS48" s="344" t="s">
        <v>162</v>
      </c>
      <c r="AT48" s="345"/>
      <c r="AU48" s="344" t="s">
        <v>160</v>
      </c>
      <c r="AV48" s="344" t="s">
        <v>161</v>
      </c>
      <c r="AW48" s="344" t="s">
        <v>162</v>
      </c>
      <c r="AX48" s="345"/>
      <c r="AY48" s="344" t="s">
        <v>160</v>
      </c>
      <c r="AZ48" s="344" t="s">
        <v>161</v>
      </c>
      <c r="BA48" s="344" t="s">
        <v>162</v>
      </c>
      <c r="BB48" s="345"/>
      <c r="BC48" s="344" t="s">
        <v>160</v>
      </c>
      <c r="BD48" s="344" t="s">
        <v>161</v>
      </c>
      <c r="BE48" s="344" t="s">
        <v>162</v>
      </c>
      <c r="BF48" s="345"/>
      <c r="BG48" s="344" t="s">
        <v>160</v>
      </c>
      <c r="BH48" s="344" t="s">
        <v>161</v>
      </c>
      <c r="BI48" s="344" t="s">
        <v>162</v>
      </c>
      <c r="BK48" s="328">
        <v>470.6</v>
      </c>
      <c r="BL48" s="7">
        <f t="shared" si="5"/>
        <v>47.06</v>
      </c>
      <c r="BM48" s="8"/>
      <c r="BN48" s="114">
        <v>1.78E-2</v>
      </c>
      <c r="BO48">
        <f>BN48/0.6</f>
        <v>2.9666666666666668E-2</v>
      </c>
      <c r="BS48" s="328">
        <v>470.6</v>
      </c>
      <c r="BT48" t="e">
        <f>C80-K80</f>
        <v>#DIV/0!</v>
      </c>
      <c r="BU48">
        <f t="shared" si="4"/>
        <v>47.06</v>
      </c>
    </row>
    <row r="49" spans="1:74">
      <c r="A49" s="344" t="s">
        <v>205</v>
      </c>
      <c r="B49" s="344"/>
      <c r="C49" s="13">
        <v>0.25054094802149474</v>
      </c>
      <c r="D49" s="13">
        <v>0.74945905197850526</v>
      </c>
      <c r="E49" s="13"/>
      <c r="F49" s="347"/>
      <c r="G49" s="13">
        <v>0.25070992000739867</v>
      </c>
      <c r="H49" s="13">
        <v>0.74929007999260133</v>
      </c>
      <c r="I49" s="13"/>
      <c r="J49" s="347"/>
      <c r="K49" s="13">
        <v>4.9143480005346693E-3</v>
      </c>
      <c r="L49" s="13">
        <v>0.22359106219222616</v>
      </c>
      <c r="M49" s="13">
        <v>0.74922399136897999</v>
      </c>
      <c r="N49" s="347"/>
      <c r="O49" s="13">
        <v>8.7387428174593787E-3</v>
      </c>
      <c r="P49" s="13">
        <v>0.21252469264241902</v>
      </c>
      <c r="Q49" s="13">
        <v>0.74914985229237274</v>
      </c>
      <c r="R49" s="347"/>
      <c r="S49" s="13">
        <v>1.1545472980750858E-2</v>
      </c>
      <c r="T49" s="13">
        <v>0.20157358968026032</v>
      </c>
      <c r="U49" s="13">
        <v>0.74907001639383675</v>
      </c>
      <c r="V49" s="347"/>
      <c r="W49" s="13">
        <v>1.3640165951068364E-2</v>
      </c>
      <c r="X49" s="13">
        <v>0.19032930232259751</v>
      </c>
      <c r="Y49" s="13">
        <v>0.74898204104466937</v>
      </c>
      <c r="Z49" s="347"/>
      <c r="AA49" s="13">
        <v>1.5166625014729774E-2</v>
      </c>
      <c r="AB49" s="13">
        <v>0.1784614205892236</v>
      </c>
      <c r="AC49" s="13">
        <v>0.74888500003943359</v>
      </c>
      <c r="AD49" s="347"/>
      <c r="AE49" s="13">
        <v>1.614563381426776E-2</v>
      </c>
      <c r="AF49" s="13">
        <v>0.16573692781638807</v>
      </c>
      <c r="AG49" s="13">
        <v>0.74877576787809486</v>
      </c>
      <c r="AH49" s="347"/>
      <c r="AI49" s="13">
        <v>1.6564189670344474E-2</v>
      </c>
      <c r="AJ49" s="13">
        <v>0.15194501592893406</v>
      </c>
      <c r="AK49" s="13">
        <v>0.7486523235476803</v>
      </c>
      <c r="AL49" s="347"/>
      <c r="AM49" s="13">
        <v>1.6413333440152486E-2</v>
      </c>
      <c r="AN49" s="13">
        <v>0.13691119952636552</v>
      </c>
      <c r="AO49" s="13">
        <v>0.74851050573045697</v>
      </c>
      <c r="AP49" s="347"/>
      <c r="AQ49" s="13">
        <v>1.5730468287044951E-2</v>
      </c>
      <c r="AR49" s="13">
        <v>0.12050850645009015</v>
      </c>
      <c r="AS49" s="13">
        <v>0.74834129467492971</v>
      </c>
      <c r="AT49" s="347"/>
      <c r="AU49">
        <v>1.3205475960414298E-2</v>
      </c>
      <c r="AV49">
        <v>0.1044510254877461</v>
      </c>
      <c r="AW49">
        <v>0.74779311183750763</v>
      </c>
      <c r="AX49" s="347"/>
      <c r="AY49">
        <v>1.147829498433533E-2</v>
      </c>
      <c r="AZ49">
        <v>6.3938545767582428E-2</v>
      </c>
      <c r="BA49">
        <v>0.74738244583893809</v>
      </c>
      <c r="BB49" s="347"/>
      <c r="BC49">
        <v>9.5384251030828995E-3</v>
      </c>
      <c r="BD49">
        <v>4.4218865654468247E-2</v>
      </c>
      <c r="BE49">
        <v>0.74661960164602925</v>
      </c>
      <c r="BF49" s="347"/>
      <c r="BG49">
        <v>4.0561810182264652E-2</v>
      </c>
      <c r="BH49">
        <v>0.73724528807170553</v>
      </c>
      <c r="BK49" s="328">
        <v>434.8</v>
      </c>
      <c r="BL49" s="7">
        <f t="shared" si="5"/>
        <v>43.480000000000004</v>
      </c>
      <c r="BM49" s="8"/>
      <c r="BN49" s="114">
        <v>3.27E-2</v>
      </c>
      <c r="BO49">
        <f t="shared" ref="BO49:BO60" si="6">BN49/0.6</f>
        <v>5.45E-2</v>
      </c>
      <c r="BS49" s="328">
        <v>434.8</v>
      </c>
      <c r="BT49" t="e">
        <f>C80-O80</f>
        <v>#DIV/0!</v>
      </c>
      <c r="BU49">
        <f t="shared" si="4"/>
        <v>43.480000000000004</v>
      </c>
    </row>
    <row r="50" spans="1:74">
      <c r="A50" s="344" t="s">
        <v>206</v>
      </c>
      <c r="B50" s="344" t="s">
        <v>210</v>
      </c>
      <c r="C50" s="13">
        <v>17.909051984835433</v>
      </c>
      <c r="D50" s="13">
        <v>12.030168795887556</v>
      </c>
      <c r="E50" s="13"/>
      <c r="F50" s="347"/>
      <c r="G50" s="13">
        <v>19.599401347189776</v>
      </c>
      <c r="H50" s="13">
        <v>12.080837088601108</v>
      </c>
      <c r="I50" s="13"/>
      <c r="J50" s="347"/>
      <c r="K50" s="13">
        <v>0.52880786152021053</v>
      </c>
      <c r="L50" s="13">
        <v>17.90301853957428</v>
      </c>
      <c r="M50" s="13">
        <v>12.093198301684744</v>
      </c>
      <c r="N50" s="347"/>
      <c r="O50" s="13">
        <v>0.97349190256160101</v>
      </c>
      <c r="P50" s="13">
        <v>17.538820900401429</v>
      </c>
      <c r="Q50" s="13">
        <v>12.105619338768603</v>
      </c>
      <c r="R50" s="347"/>
      <c r="S50" s="13">
        <v>1.330756594302354</v>
      </c>
      <c r="T50" s="13">
        <v>17.282357618615222</v>
      </c>
      <c r="U50" s="13">
        <v>12.118110043888485</v>
      </c>
      <c r="V50" s="347"/>
      <c r="W50" s="13">
        <v>1.6267563478489868</v>
      </c>
      <c r="X50" s="13">
        <v>17.120791119605904</v>
      </c>
      <c r="Y50" s="13">
        <v>12.130649887066868</v>
      </c>
      <c r="Z50" s="347"/>
      <c r="AA50" s="13">
        <v>1.8735131468659609</v>
      </c>
      <c r="AB50" s="13">
        <v>17.055438072109709</v>
      </c>
      <c r="AC50" s="13">
        <v>12.143216818522312</v>
      </c>
      <c r="AD50" s="347"/>
      <c r="AE50" s="13">
        <v>2.071182489611139</v>
      </c>
      <c r="AF50" s="13">
        <v>17.105239087122563</v>
      </c>
      <c r="AG50" s="13">
        <v>12.155765757317575</v>
      </c>
      <c r="AH50" s="347"/>
      <c r="AI50" s="13">
        <v>2.2151898208827405</v>
      </c>
      <c r="AJ50" s="13">
        <v>17.300905221068511</v>
      </c>
      <c r="AK50" s="13">
        <v>12.168244899315983</v>
      </c>
      <c r="AL50" s="347"/>
      <c r="AM50" s="13">
        <v>2.3004249129506897</v>
      </c>
      <c r="AN50" s="13">
        <v>17.687359379788628</v>
      </c>
      <c r="AO50" s="13">
        <v>12.180555116798049</v>
      </c>
      <c r="AP50" s="347"/>
      <c r="AQ50" s="13">
        <v>2.3261524932943507</v>
      </c>
      <c r="AR50" s="13">
        <v>18.330524200521001</v>
      </c>
      <c r="AS50" s="13">
        <v>12.192504266706205</v>
      </c>
      <c r="AT50" s="347"/>
      <c r="AU50">
        <v>2.231705203081586</v>
      </c>
      <c r="AV50">
        <v>26.188083031862728</v>
      </c>
      <c r="AW50">
        <v>12.212772238751333</v>
      </c>
      <c r="AX50" s="347"/>
      <c r="AY50">
        <v>2.1148852271199066</v>
      </c>
      <c r="AZ50">
        <v>24.031780207609234</v>
      </c>
      <c r="BA50">
        <v>12.220179752650035</v>
      </c>
      <c r="BB50" s="347"/>
      <c r="BC50">
        <v>1.9575775630242269</v>
      </c>
      <c r="BD50">
        <v>32.191685406503737</v>
      </c>
      <c r="BE50">
        <v>12.220947213574252</v>
      </c>
      <c r="BF50" s="347"/>
      <c r="BG50">
        <v>235.4871799425876</v>
      </c>
      <c r="BH50">
        <v>12.084364047862881</v>
      </c>
      <c r="BK50" s="328">
        <v>399</v>
      </c>
      <c r="BL50" s="7">
        <f t="shared" si="5"/>
        <v>39.9</v>
      </c>
      <c r="BM50" s="8"/>
      <c r="BN50" s="114">
        <v>4.4600000000000001E-2</v>
      </c>
      <c r="BO50">
        <f t="shared" si="6"/>
        <v>7.4333333333333335E-2</v>
      </c>
      <c r="BS50" s="328">
        <v>399</v>
      </c>
      <c r="BT50" t="e">
        <f>C80-S80</f>
        <v>#DIV/0!</v>
      </c>
      <c r="BU50">
        <f t="shared" si="4"/>
        <v>39.9</v>
      </c>
    </row>
    <row r="51" spans="1:74">
      <c r="A51" s="344" t="s">
        <v>207</v>
      </c>
      <c r="B51" s="344"/>
      <c r="C51" s="13">
        <v>28.007587973621582</v>
      </c>
      <c r="D51" s="13">
        <v>18.005503495880717</v>
      </c>
      <c r="E51" s="13"/>
      <c r="F51" s="347"/>
      <c r="G51" s="13">
        <v>28.001687453363107</v>
      </c>
      <c r="H51" s="13">
        <v>18.005222225487586</v>
      </c>
      <c r="I51" s="13"/>
      <c r="J51" s="347"/>
      <c r="K51" s="13">
        <v>67.149785237896481</v>
      </c>
      <c r="L51" s="13">
        <v>27.138519509263642</v>
      </c>
      <c r="M51" s="13">
        <v>18.005153632878084</v>
      </c>
      <c r="N51" s="347"/>
      <c r="O51" s="13">
        <v>70.178436446307899</v>
      </c>
      <c r="P51" s="13">
        <v>26.290933488349211</v>
      </c>
      <c r="Q51" s="13">
        <v>18.005114038670431</v>
      </c>
      <c r="R51" s="347"/>
      <c r="S51" s="13">
        <v>73.152672370412091</v>
      </c>
      <c r="T51" s="13">
        <v>25.506449821675492</v>
      </c>
      <c r="U51" s="13">
        <v>18.005047748541873</v>
      </c>
      <c r="V51" s="347"/>
      <c r="W51" s="13">
        <v>76.145487913068649</v>
      </c>
      <c r="X51" s="13">
        <v>24.764354035804725</v>
      </c>
      <c r="Y51" s="13">
        <v>18.00498890416285</v>
      </c>
      <c r="Z51" s="347"/>
      <c r="AA51" s="13">
        <v>79.311642073339939</v>
      </c>
      <c r="AB51" s="13">
        <v>24.052407283132951</v>
      </c>
      <c r="AC51" s="13">
        <v>18.004919498156248</v>
      </c>
      <c r="AD51" s="347"/>
      <c r="AE51" s="13">
        <v>82.926079468406016</v>
      </c>
      <c r="AF51" s="13">
        <v>23.370184336625108</v>
      </c>
      <c r="AG51" s="13">
        <v>18.004855787945417</v>
      </c>
      <c r="AH51" s="347"/>
      <c r="AI51" s="13">
        <v>87.263234747016085</v>
      </c>
      <c r="AJ51" s="13">
        <v>22.729344369547974</v>
      </c>
      <c r="AK51" s="13">
        <v>18.004777231159039</v>
      </c>
      <c r="AL51" s="347"/>
      <c r="AM51" s="13">
        <v>92.656024058963027</v>
      </c>
      <c r="AN51" s="13">
        <v>22.14967451148739</v>
      </c>
      <c r="AO51" s="13">
        <v>18.004663616280702</v>
      </c>
      <c r="AP51" s="347"/>
      <c r="AQ51" s="13">
        <v>99.481920729136249</v>
      </c>
      <c r="AR51" s="13">
        <v>21.653315121127481</v>
      </c>
      <c r="AS51" s="13">
        <v>18.004511179422241</v>
      </c>
      <c r="AT51" s="347"/>
      <c r="AU51">
        <v>119.30558959880693</v>
      </c>
      <c r="AV51">
        <v>21.01361889249948</v>
      </c>
      <c r="AW51">
        <v>18.003912570845753</v>
      </c>
      <c r="AX51" s="347"/>
      <c r="AY51">
        <v>134.23449845298859</v>
      </c>
      <c r="AZ51">
        <v>20.976255105739529</v>
      </c>
      <c r="BA51">
        <v>18.003327334221691</v>
      </c>
      <c r="BB51" s="347"/>
      <c r="BC51">
        <v>155.1923087247354</v>
      </c>
      <c r="BD51">
        <v>21.389227945899805</v>
      </c>
      <c r="BE51">
        <v>18.002353183862351</v>
      </c>
      <c r="BF51" s="347"/>
      <c r="BG51">
        <v>51.994671252431488</v>
      </c>
      <c r="BH51">
        <v>18.00657003898651</v>
      </c>
      <c r="BK51" s="328">
        <v>363.2</v>
      </c>
      <c r="BL51" s="7">
        <f t="shared" si="5"/>
        <v>36.32</v>
      </c>
      <c r="BM51" s="8"/>
      <c r="BN51" s="114">
        <v>5.4600000000000003E-2</v>
      </c>
      <c r="BO51">
        <f t="shared" si="6"/>
        <v>9.1000000000000011E-2</v>
      </c>
      <c r="BS51" s="328">
        <v>363.2</v>
      </c>
      <c r="BT51" t="e">
        <f>C80-W80</f>
        <v>#DIV/0!</v>
      </c>
      <c r="BU51">
        <f t="shared" si="4"/>
        <v>36.32</v>
      </c>
    </row>
    <row r="52" spans="1:74">
      <c r="A52" s="344" t="s">
        <v>16</v>
      </c>
      <c r="B52" s="344"/>
      <c r="C52" s="13">
        <v>1.394438220480076</v>
      </c>
      <c r="D52" s="13">
        <v>0.4602818217317175</v>
      </c>
      <c r="E52" s="13"/>
      <c r="F52" s="347"/>
      <c r="G52" s="13">
        <v>1.186821874676389</v>
      </c>
      <c r="H52" s="13">
        <v>0.35754716924165542</v>
      </c>
      <c r="I52" s="13"/>
      <c r="J52" s="347"/>
      <c r="K52" s="13">
        <v>1.5961429312784248</v>
      </c>
      <c r="L52" s="13">
        <v>1.1298734472178982</v>
      </c>
      <c r="M52" s="13">
        <v>0.3325377729898602</v>
      </c>
      <c r="N52" s="347"/>
      <c r="O52" s="13">
        <v>1.5302473186419567</v>
      </c>
      <c r="P52" s="13">
        <v>1.0765740051701842</v>
      </c>
      <c r="Q52" s="13">
        <v>0.30749142259474593</v>
      </c>
      <c r="R52" s="347"/>
      <c r="S52" s="13">
        <v>1.4558128077819692</v>
      </c>
      <c r="T52" s="13">
        <v>1.0275222454319353</v>
      </c>
      <c r="U52" s="13">
        <v>0.28240653682943917</v>
      </c>
      <c r="V52" s="347"/>
      <c r="W52" s="13">
        <v>1.373534715559608</v>
      </c>
      <c r="X52" s="13">
        <v>0.98297277856531995</v>
      </c>
      <c r="Y52" s="13">
        <v>0.25728281474399534</v>
      </c>
      <c r="Z52" s="347"/>
      <c r="AA52" s="13">
        <v>1.2844891230590334</v>
      </c>
      <c r="AB52" s="13">
        <v>0.94356072822567683</v>
      </c>
      <c r="AC52" s="13">
        <v>0.23211924544640916</v>
      </c>
      <c r="AD52" s="347"/>
      <c r="AE52" s="13">
        <v>1.1900628010450418</v>
      </c>
      <c r="AF52" s="13">
        <v>0.91024960345008155</v>
      </c>
      <c r="AG52" s="13">
        <v>0.20691516565866175</v>
      </c>
      <c r="AH52" s="347"/>
      <c r="AI52" s="13">
        <v>1.0904876626076825</v>
      </c>
      <c r="AJ52" s="13">
        <v>0.88420729305093804</v>
      </c>
      <c r="AK52" s="13">
        <v>0.18166950210875066</v>
      </c>
      <c r="AL52" s="347"/>
      <c r="AM52" s="13">
        <v>0.98532900041823124</v>
      </c>
      <c r="AN52" s="13">
        <v>0.8666554149237804</v>
      </c>
      <c r="AO52" s="13">
        <v>0.15638122692635664</v>
      </c>
      <c r="AP52" s="347"/>
      <c r="AQ52" s="13">
        <v>0.87312525241876182</v>
      </c>
      <c r="AR52" s="13">
        <v>0.85875288194730226</v>
      </c>
      <c r="AS52" s="13">
        <v>0.13104945812274343</v>
      </c>
      <c r="AT52" s="347"/>
      <c r="AU52">
        <v>0.61519478859175769</v>
      </c>
      <c r="AV52">
        <v>0.87538186590009315</v>
      </c>
      <c r="AW52">
        <v>8.025149254124786E-2</v>
      </c>
      <c r="AX52" s="347"/>
      <c r="AY52">
        <v>0.46016403501544223</v>
      </c>
      <c r="AZ52">
        <v>0.90047575901659438</v>
      </c>
      <c r="BA52">
        <v>5.4784131209439202E-2</v>
      </c>
      <c r="BB52" s="347"/>
      <c r="BC52">
        <v>0.27568725637576391</v>
      </c>
      <c r="BD52">
        <v>0.93662157473917262</v>
      </c>
      <c r="BE52">
        <v>2.9271363037433551E-2</v>
      </c>
      <c r="BF52" s="347"/>
      <c r="BG52">
        <v>0.95308516622786854</v>
      </c>
      <c r="BH52">
        <v>3.7166536421575636E-3</v>
      </c>
      <c r="BK52" s="328">
        <v>327.39999999999998</v>
      </c>
      <c r="BL52" s="7">
        <f t="shared" si="5"/>
        <v>32.739999999999995</v>
      </c>
      <c r="BM52" s="8"/>
      <c r="BN52" s="114">
        <v>6.2899999999999998E-2</v>
      </c>
      <c r="BO52">
        <f t="shared" si="6"/>
        <v>0.10483333333333333</v>
      </c>
      <c r="BS52" s="328">
        <v>327.39999999999998</v>
      </c>
      <c r="BT52" t="e">
        <f>C80-AA80</f>
        <v>#DIV/0!</v>
      </c>
      <c r="BU52">
        <f t="shared" si="4"/>
        <v>32.739999999999995</v>
      </c>
    </row>
    <row r="53" spans="1:74">
      <c r="A53" s="344" t="s">
        <v>208</v>
      </c>
      <c r="B53" s="344" t="s">
        <v>27</v>
      </c>
      <c r="C53" s="13">
        <v>391.81569457994095</v>
      </c>
      <c r="D53" s="13">
        <v>1121.7122394019443</v>
      </c>
      <c r="E53" s="13"/>
      <c r="F53" s="347"/>
      <c r="G53" s="13">
        <v>358.18955370855934</v>
      </c>
      <c r="H53" s="13">
        <v>1116.7383768753687</v>
      </c>
      <c r="I53" s="13"/>
      <c r="J53" s="347"/>
      <c r="K53" s="13">
        <v>624.04029295539669</v>
      </c>
      <c r="L53" s="13">
        <v>338.93336981066437</v>
      </c>
      <c r="M53" s="13">
        <v>1115.4942417637594</v>
      </c>
      <c r="N53" s="347"/>
      <c r="O53" s="13">
        <v>629.97063028667139</v>
      </c>
      <c r="P53" s="13">
        <v>318.57743406033705</v>
      </c>
      <c r="Q53" s="13">
        <v>1114.2369626128809</v>
      </c>
      <c r="R53" s="347"/>
      <c r="S53" s="13">
        <v>634.66317276833252</v>
      </c>
      <c r="T53" s="13">
        <v>297.49567530165075</v>
      </c>
      <c r="U53" s="13">
        <v>1112.9657482334862</v>
      </c>
      <c r="V53" s="347"/>
      <c r="W53" s="13">
        <v>638.47120863101998</v>
      </c>
      <c r="X53" s="13">
        <v>275.30166060533134</v>
      </c>
      <c r="Y53" s="13">
        <v>1111.6810281371681</v>
      </c>
      <c r="Z53" s="347"/>
      <c r="AA53" s="13">
        <v>642.05043697772987</v>
      </c>
      <c r="AB53" s="13">
        <v>251.67496455912104</v>
      </c>
      <c r="AC53" s="13">
        <v>1110.3823921285743</v>
      </c>
      <c r="AD53" s="347"/>
      <c r="AE53" s="13">
        <v>646.43947091360678</v>
      </c>
      <c r="AF53" s="13">
        <v>226.43954490942366</v>
      </c>
      <c r="AG53" s="13">
        <v>1109.0703775726745</v>
      </c>
      <c r="AH53" s="347"/>
      <c r="AI53" s="13">
        <v>652.51508379600955</v>
      </c>
      <c r="AJ53" s="13">
        <v>199.62022496253513</v>
      </c>
      <c r="AK53" s="13">
        <v>1107.7454818338922</v>
      </c>
      <c r="AL53" s="347"/>
      <c r="AM53" s="13">
        <v>661.09274402174321</v>
      </c>
      <c r="AN53" s="13">
        <v>171.45230338631492</v>
      </c>
      <c r="AO53" s="13">
        <v>1106.4093335404318</v>
      </c>
      <c r="AP53" s="347"/>
      <c r="AQ53" s="13">
        <v>672.74058931009893</v>
      </c>
      <c r="AR53" s="13">
        <v>142.35319385280098</v>
      </c>
      <c r="AS53" s="13">
        <v>1105.0657774047224</v>
      </c>
      <c r="AT53" s="347"/>
      <c r="AU53">
        <v>705.95663495995473</v>
      </c>
      <c r="AV53">
        <v>83.812703658368008</v>
      </c>
      <c r="AW53">
        <v>1102.3870373905936</v>
      </c>
      <c r="AX53" s="347"/>
      <c r="AY53">
        <v>728.54221617310986</v>
      </c>
      <c r="AZ53">
        <v>55.809067639780892</v>
      </c>
      <c r="BA53">
        <v>1101.0779782819252</v>
      </c>
      <c r="BB53" s="347"/>
      <c r="BC53">
        <v>756.18470568212547</v>
      </c>
      <c r="BD53">
        <v>29.38048707451205</v>
      </c>
      <c r="BE53">
        <v>1099.8255313546504</v>
      </c>
      <c r="BF53" s="347"/>
      <c r="BG53">
        <v>8.9558929974215911</v>
      </c>
      <c r="BH53">
        <v>1098.5484104083807</v>
      </c>
      <c r="BK53" s="328">
        <v>291.60000000000002</v>
      </c>
      <c r="BL53" s="7">
        <f t="shared" si="5"/>
        <v>29.160000000000004</v>
      </c>
      <c r="BM53" s="8"/>
      <c r="BN53" s="114">
        <v>6.9900000000000004E-2</v>
      </c>
      <c r="BO53">
        <f t="shared" si="6"/>
        <v>0.11650000000000001</v>
      </c>
      <c r="BS53" s="328">
        <v>291.60000000000002</v>
      </c>
      <c r="BT53" t="e">
        <f>C80-AE80</f>
        <v>#DIV/0!</v>
      </c>
      <c r="BU53">
        <f t="shared" si="4"/>
        <v>29.160000000000004</v>
      </c>
    </row>
    <row r="54" spans="1:74">
      <c r="F54" s="345"/>
      <c r="J54" s="345"/>
      <c r="N54" s="345"/>
      <c r="R54" s="345"/>
      <c r="V54" s="345"/>
      <c r="Z54" s="345"/>
      <c r="AD54" s="345"/>
      <c r="AH54" s="345"/>
      <c r="AL54" s="345"/>
      <c r="AP54" s="345"/>
      <c r="AT54" s="345"/>
      <c r="AX54" s="345"/>
      <c r="BB54" s="345"/>
      <c r="BF54" s="345"/>
      <c r="BK54" s="328">
        <v>255.8</v>
      </c>
      <c r="BL54" s="7">
        <f t="shared" si="5"/>
        <v>25.580000000000002</v>
      </c>
      <c r="BM54" s="8"/>
      <c r="BN54" s="114">
        <v>7.4497677347488661E-2</v>
      </c>
      <c r="BO54">
        <f t="shared" si="6"/>
        <v>0.12416279557914778</v>
      </c>
      <c r="BS54" s="328">
        <v>255.8</v>
      </c>
      <c r="BT54" t="e">
        <f>C80-AI80</f>
        <v>#DIV/0!</v>
      </c>
      <c r="BU54">
        <f t="shared" si="4"/>
        <v>25.580000000000002</v>
      </c>
    </row>
    <row r="55" spans="1:74">
      <c r="A55" s="344" t="s">
        <v>22</v>
      </c>
      <c r="B55" t="s">
        <v>17</v>
      </c>
      <c r="C55" s="79">
        <v>5.3676945291414781E-3</v>
      </c>
      <c r="D55" s="348">
        <v>1.9911326629131582E-5</v>
      </c>
      <c r="E55" s="13"/>
      <c r="F55" s="347"/>
      <c r="G55" s="13">
        <v>5.3692814338415721E-3</v>
      </c>
      <c r="H55" s="13">
        <v>1.8174378105343587E-5</v>
      </c>
      <c r="I55" s="13"/>
      <c r="J55" s="347"/>
      <c r="K55" s="13">
        <v>5.0298018082156068E-3</v>
      </c>
      <c r="L55" s="13">
        <v>5.3766591947883528E-3</v>
      </c>
      <c r="M55" s="13">
        <v>1.7727345320360544E-5</v>
      </c>
      <c r="N55" s="347"/>
      <c r="O55" s="13">
        <v>4.959103543820168E-3</v>
      </c>
      <c r="P55" s="13">
        <v>5.3856338343403979E-3</v>
      </c>
      <c r="Q55" s="13">
        <v>1.7246393173631504E-5</v>
      </c>
      <c r="R55" s="347"/>
      <c r="S55" s="13">
        <v>4.8761084518647423E-3</v>
      </c>
      <c r="T55" s="13">
        <v>5.3961489170798816E-3</v>
      </c>
      <c r="U55" s="13">
        <v>1.6722036335986381E-5</v>
      </c>
      <c r="V55" s="347"/>
      <c r="W55" s="13">
        <v>4.777452305933955E-3</v>
      </c>
      <c r="X55" s="13">
        <v>5.4087182552377431E-3</v>
      </c>
      <c r="Y55" s="13">
        <v>1.614717741087775E-5</v>
      </c>
      <c r="Z55" s="347"/>
      <c r="AA55" s="13">
        <v>4.6579024790775313E-3</v>
      </c>
      <c r="AB55" s="13">
        <v>5.4240115160220717E-3</v>
      </c>
      <c r="AC55" s="13">
        <v>1.5511848169695808E-5</v>
      </c>
      <c r="AD55" s="347"/>
      <c r="AE55" s="13">
        <v>4.5091497516811328E-3</v>
      </c>
      <c r="AF55" s="13">
        <v>5.4426753521654861E-3</v>
      </c>
      <c r="AG55" s="13">
        <v>1.4800908472067117E-5</v>
      </c>
      <c r="AH55" s="347"/>
      <c r="AI55" s="13">
        <v>4.3209508061180816E-3</v>
      </c>
      <c r="AJ55" s="13">
        <v>5.465336488379745E-3</v>
      </c>
      <c r="AK55" s="13">
        <v>1.3992534045997011E-5</v>
      </c>
      <c r="AL55" s="347"/>
      <c r="AM55" s="13">
        <v>4.0793846825949902E-3</v>
      </c>
      <c r="AN55" s="13">
        <v>5.4925197786729598E-3</v>
      </c>
      <c r="AO55" s="13">
        <v>1.3053967448789952E-5</v>
      </c>
      <c r="AP55" s="347"/>
      <c r="AQ55" s="13">
        <v>3.7666115769830538E-3</v>
      </c>
      <c r="AR55" s="13">
        <v>5.5245794339615559E-3</v>
      </c>
      <c r="AS55" s="13">
        <v>1.1937417192112549E-5</v>
      </c>
      <c r="AT55" s="347"/>
      <c r="AU55">
        <v>2.8293010930260042E-3</v>
      </c>
      <c r="AV55">
        <v>5.5936236878332858E-3</v>
      </c>
      <c r="AW55">
        <v>8.868516030748699E-6</v>
      </c>
      <c r="AX55" s="347"/>
      <c r="AY55">
        <v>2.1467739783304863E-3</v>
      </c>
      <c r="AZ55">
        <v>5.6306681056162173E-3</v>
      </c>
      <c r="BA55">
        <v>6.7246697170212354E-6</v>
      </c>
      <c r="BB55" s="347"/>
      <c r="BC55">
        <v>1.2647450764256278E-3</v>
      </c>
      <c r="BD55">
        <v>5.6175330550211596E-3</v>
      </c>
      <c r="BE55">
        <v>3.9729200755880897E-6</v>
      </c>
      <c r="BF55" s="347"/>
      <c r="BG55">
        <v>3.36263060799774E-3</v>
      </c>
      <c r="BH55">
        <v>3.3900053158535734E-7</v>
      </c>
      <c r="BK55" s="360">
        <v>220</v>
      </c>
      <c r="BL55" s="7">
        <f t="shared" si="5"/>
        <v>22</v>
      </c>
      <c r="BM55" s="8"/>
      <c r="BN55" s="80">
        <v>7.7397595516902853E-2</v>
      </c>
      <c r="BO55">
        <f t="shared" si="6"/>
        <v>0.12899599252817143</v>
      </c>
      <c r="BS55" s="360">
        <v>220</v>
      </c>
      <c r="BT55" t="e">
        <f>C80-AM80</f>
        <v>#DIV/0!</v>
      </c>
      <c r="BU55">
        <f t="shared" si="4"/>
        <v>22</v>
      </c>
    </row>
    <row r="56" spans="1:74">
      <c r="A56" s="344" t="s">
        <v>23</v>
      </c>
      <c r="B56" t="s">
        <v>17</v>
      </c>
      <c r="C56" s="79">
        <v>2.5405585259198676E-3</v>
      </c>
      <c r="D56" s="348">
        <v>3.149717270370283E-7</v>
      </c>
      <c r="E56" s="13"/>
      <c r="F56" s="347"/>
      <c r="G56" s="13">
        <v>2.5389813798445161E-3</v>
      </c>
      <c r="H56" s="13">
        <v>2.6983055602263831E-7</v>
      </c>
      <c r="I56" s="13"/>
      <c r="J56" s="347"/>
      <c r="K56" s="13">
        <v>1.6952316595162517E-3</v>
      </c>
      <c r="L56" s="13">
        <v>2.5568218419074794E-3</v>
      </c>
      <c r="M56" s="13">
        <v>2.5612562426150164E-7</v>
      </c>
      <c r="N56" s="347"/>
      <c r="O56" s="13">
        <v>1.6083042717247266E-3</v>
      </c>
      <c r="P56" s="13">
        <v>2.5750601453134619E-3</v>
      </c>
      <c r="Q56" s="13">
        <v>2.4153023512938838E-7</v>
      </c>
      <c r="R56" s="347"/>
      <c r="S56" s="13">
        <v>1.516303723995068E-3</v>
      </c>
      <c r="T56" s="13">
        <v>2.5928285121504507E-3</v>
      </c>
      <c r="U56" s="13">
        <v>2.2606608015286478E-7</v>
      </c>
      <c r="V56" s="347"/>
      <c r="W56" s="13">
        <v>1.4175613218897593E-3</v>
      </c>
      <c r="X56" s="13">
        <v>2.6106190092232378E-3</v>
      </c>
      <c r="Y56" s="13">
        <v>2.0966202322967925E-7</v>
      </c>
      <c r="Z56" s="347"/>
      <c r="AA56" s="13">
        <v>1.3100522745157132E-3</v>
      </c>
      <c r="AB56" s="13">
        <v>2.6286140770717201E-3</v>
      </c>
      <c r="AC56" s="13">
        <v>1.9225081663053007E-7</v>
      </c>
      <c r="AD56" s="347"/>
      <c r="AE56" s="13">
        <v>1.1915395996143017E-3</v>
      </c>
      <c r="AF56" s="13">
        <v>2.6462990924460603E-3</v>
      </c>
      <c r="AG56" s="13">
        <v>1.7379074437813586E-7</v>
      </c>
      <c r="AH56" s="347"/>
      <c r="AI56" s="13">
        <v>1.0613376481256713E-3</v>
      </c>
      <c r="AJ56" s="13">
        <v>2.6624465287414579E-3</v>
      </c>
      <c r="AK56" s="13">
        <v>1.5431079900956297E-7</v>
      </c>
      <c r="AL56" s="347"/>
      <c r="AM56" s="13">
        <v>9.1995448467543776E-4</v>
      </c>
      <c r="AN56" s="13">
        <v>2.6749856739386119E-3</v>
      </c>
      <c r="AO56" s="13">
        <v>1.3389942689871745E-7</v>
      </c>
      <c r="AP56" s="347"/>
      <c r="AQ56" s="13">
        <v>7.6945890881662676E-4</v>
      </c>
      <c r="AR56" s="13">
        <v>2.6810613398072307E-3</v>
      </c>
      <c r="AS56" s="13">
        <v>1.1269563906700948E-7</v>
      </c>
      <c r="AT56" s="347"/>
      <c r="AU56">
        <v>4.5625309907705781E-4</v>
      </c>
      <c r="AV56">
        <v>2.6606923295763572E-3</v>
      </c>
      <c r="AW56">
        <v>6.878549055166178E-8</v>
      </c>
      <c r="AX56" s="347"/>
      <c r="AY56">
        <v>3.0025118435411842E-4</v>
      </c>
      <c r="AZ56">
        <v>2.6123228733802629E-3</v>
      </c>
      <c r="BA56">
        <v>4.6327855340056014E-8</v>
      </c>
      <c r="BB56" s="347"/>
      <c r="BC56">
        <v>1.5025507563972356E-4</v>
      </c>
      <c r="BD56">
        <v>2.4985619127194385E-3</v>
      </c>
      <c r="BE56">
        <v>2.3865357815406666E-8</v>
      </c>
      <c r="BF56" s="347"/>
      <c r="BG56">
        <v>1.369300019975856E-3</v>
      </c>
      <c r="BH56">
        <v>1.7268936944073371E-9</v>
      </c>
      <c r="BK56" s="360">
        <v>184.2</v>
      </c>
      <c r="BL56" s="7">
        <f t="shared" si="5"/>
        <v>18.419999999999998</v>
      </c>
      <c r="BM56" s="8"/>
      <c r="BN56" s="80">
        <v>7.829582123601489E-2</v>
      </c>
      <c r="BO56">
        <f t="shared" si="6"/>
        <v>0.13049303539335816</v>
      </c>
      <c r="BS56" s="360">
        <v>184.2</v>
      </c>
      <c r="BT56" t="e">
        <f>C80-AQ80</f>
        <v>#DIV/0!</v>
      </c>
      <c r="BU56">
        <f t="shared" si="4"/>
        <v>18.419999999999998</v>
      </c>
    </row>
    <row r="57" spans="1:74">
      <c r="A57" s="344" t="s">
        <v>157</v>
      </c>
      <c r="B57" t="s">
        <v>17</v>
      </c>
      <c r="C57" s="79">
        <v>3.5214317189459182E-3</v>
      </c>
      <c r="D57" s="348">
        <v>0.99954458509926336</v>
      </c>
      <c r="E57" s="13"/>
      <c r="F57" s="347"/>
      <c r="G57" s="13">
        <v>4.1107982376463572E-3</v>
      </c>
      <c r="H57" s="13">
        <v>0.9995719976835522</v>
      </c>
      <c r="I57" s="13"/>
      <c r="J57" s="347"/>
      <c r="K57" s="13">
        <v>6.9273111790825058E-4</v>
      </c>
      <c r="L57" s="13">
        <v>4.4632932702861504E-3</v>
      </c>
      <c r="M57" s="13">
        <v>0.99957703154943678</v>
      </c>
      <c r="N57" s="347"/>
      <c r="O57" s="13">
        <v>6.2854595053528492E-4</v>
      </c>
      <c r="P57" s="13">
        <v>4.8560035801371556E-3</v>
      </c>
      <c r="Q57" s="13">
        <v>0.99958410248695762</v>
      </c>
      <c r="R57" s="347"/>
      <c r="S57" s="13">
        <v>5.7140159477331537E-4</v>
      </c>
      <c r="T57" s="13">
        <v>5.2885339989397397E-3</v>
      </c>
      <c r="U57" s="13">
        <v>0.99959044821401355</v>
      </c>
      <c r="V57" s="347"/>
      <c r="W57" s="13">
        <v>5.1853475791220562E-4</v>
      </c>
      <c r="X57" s="13">
        <v>5.7739650013087064E-3</v>
      </c>
      <c r="Y57" s="13">
        <v>0.99959803767581346</v>
      </c>
      <c r="Z57" s="347"/>
      <c r="AA57" s="13">
        <v>4.6688376725607976E-4</v>
      </c>
      <c r="AB57" s="13">
        <v>6.3302205851155577E-3</v>
      </c>
      <c r="AC57" s="13">
        <v>0.99960601900228963</v>
      </c>
      <c r="AD57" s="347"/>
      <c r="AE57" s="13">
        <v>4.1299029887113489E-4</v>
      </c>
      <c r="AF57" s="13">
        <v>6.981260113467825E-3</v>
      </c>
      <c r="AG57" s="13">
        <v>0.99961564374417422</v>
      </c>
      <c r="AH57" s="347"/>
      <c r="AI57" s="13">
        <v>3.5595019560880439E-4</v>
      </c>
      <c r="AJ57" s="13">
        <v>7.758404153789227E-3</v>
      </c>
      <c r="AK57" s="13">
        <v>0.99962652454140988</v>
      </c>
      <c r="AL57" s="347"/>
      <c r="AM57" s="13">
        <v>2.9621597961594713E-4</v>
      </c>
      <c r="AN57" s="13">
        <v>8.7166288683986244E-3</v>
      </c>
      <c r="AO57" s="13">
        <v>0.9996389981245446</v>
      </c>
      <c r="AP57" s="347"/>
      <c r="AQ57" s="13">
        <v>2.3599612703988784E-4</v>
      </c>
      <c r="AR57" s="13">
        <v>9.9657241178247834E-3</v>
      </c>
      <c r="AS57" s="13">
        <v>0.9996554955397714</v>
      </c>
      <c r="AT57" s="347"/>
      <c r="AU57">
        <v>1.2679381393451475E-4</v>
      </c>
      <c r="AV57">
        <v>1.4530209756676668E-2</v>
      </c>
      <c r="AW57">
        <v>0.99971251708836817</v>
      </c>
      <c r="AX57" s="347"/>
      <c r="AY57">
        <v>8.2752692928260869E-5</v>
      </c>
      <c r="AZ57">
        <v>1.9881232638766722E-2</v>
      </c>
      <c r="BA57">
        <v>0.99976345816378009</v>
      </c>
      <c r="BB57" s="347"/>
      <c r="BC57">
        <v>4.776452239561615E-5</v>
      </c>
      <c r="BD57">
        <v>3.457524834281539E-2</v>
      </c>
      <c r="BE57">
        <v>0.99984338108049098</v>
      </c>
      <c r="BF57" s="347"/>
      <c r="BG57">
        <v>0.24745018754875217</v>
      </c>
      <c r="BH57">
        <v>0.99995839770508732</v>
      </c>
      <c r="BK57" s="360">
        <v>112.6</v>
      </c>
      <c r="BL57" s="7">
        <f t="shared" si="5"/>
        <v>11.26</v>
      </c>
      <c r="BM57" s="1"/>
      <c r="BN57" s="80">
        <v>7.5145210564367307E-2</v>
      </c>
      <c r="BO57">
        <f t="shared" si="6"/>
        <v>0.12524201760727885</v>
      </c>
      <c r="BS57" s="360">
        <v>112.6</v>
      </c>
      <c r="BT57" t="e">
        <f>C80-AU80</f>
        <v>#DIV/0!</v>
      </c>
      <c r="BU57">
        <f t="shared" si="4"/>
        <v>11.26</v>
      </c>
    </row>
    <row r="58" spans="1:74">
      <c r="A58" s="344" t="s">
        <v>159</v>
      </c>
      <c r="B58" t="s">
        <v>17</v>
      </c>
      <c r="C58" s="79"/>
      <c r="D58" s="348"/>
      <c r="E58" s="13"/>
      <c r="F58" s="347"/>
      <c r="G58" s="13"/>
      <c r="H58" s="13"/>
      <c r="I58" s="13"/>
      <c r="J58" s="347"/>
      <c r="K58" s="13"/>
      <c r="L58" s="13"/>
      <c r="M58" s="13"/>
      <c r="N58" s="347"/>
      <c r="O58" s="13"/>
      <c r="P58" s="13"/>
      <c r="Q58" s="13"/>
      <c r="R58" s="347"/>
      <c r="S58" s="13"/>
      <c r="T58" s="13"/>
      <c r="U58" s="13"/>
      <c r="V58" s="347"/>
      <c r="W58" s="13"/>
      <c r="X58" s="13"/>
      <c r="Y58" s="13"/>
      <c r="Z58" s="347"/>
      <c r="AA58" s="13"/>
      <c r="AB58" s="13"/>
      <c r="AC58" s="13"/>
      <c r="AD58" s="347"/>
      <c r="AE58" s="13"/>
      <c r="AF58" s="13"/>
      <c r="AG58" s="13"/>
      <c r="AH58" s="347"/>
      <c r="AI58" s="13"/>
      <c r="AJ58" s="13"/>
      <c r="AK58" s="13"/>
      <c r="AL58" s="347"/>
      <c r="AM58" s="13"/>
      <c r="AN58" s="13"/>
      <c r="AO58" s="13"/>
      <c r="AP58" s="347"/>
      <c r="AQ58" s="13"/>
      <c r="AR58" s="13"/>
      <c r="AS58" s="13"/>
      <c r="AT58" s="347"/>
      <c r="AX58" s="347"/>
      <c r="BB58" s="347"/>
      <c r="BF58" s="347"/>
      <c r="BK58" s="360">
        <v>76.8</v>
      </c>
      <c r="BL58" s="7">
        <f t="shared" si="5"/>
        <v>7.68</v>
      </c>
      <c r="BM58" s="1"/>
      <c r="BN58" s="80">
        <v>7.1209510502854928E-2</v>
      </c>
      <c r="BO58">
        <f t="shared" si="6"/>
        <v>0.11868251750475822</v>
      </c>
      <c r="BS58" s="360">
        <v>76.8</v>
      </c>
      <c r="BT58" t="e">
        <f>C80-AY80</f>
        <v>#DIV/0!</v>
      </c>
      <c r="BU58">
        <f t="shared" si="4"/>
        <v>7.68</v>
      </c>
    </row>
    <row r="59" spans="1:74" ht="13.5" thickBot="1">
      <c r="A59" s="344" t="s">
        <v>193</v>
      </c>
      <c r="B59" t="s">
        <v>17</v>
      </c>
      <c r="C59" s="79"/>
      <c r="D59" s="348"/>
      <c r="E59" s="13"/>
      <c r="F59" s="347"/>
      <c r="G59" s="13"/>
      <c r="H59" s="13"/>
      <c r="I59" s="13"/>
      <c r="J59" s="347"/>
      <c r="K59" s="13"/>
      <c r="L59" s="13"/>
      <c r="M59" s="13"/>
      <c r="N59" s="347"/>
      <c r="O59" s="13"/>
      <c r="P59" s="13"/>
      <c r="Q59" s="13"/>
      <c r="R59" s="347"/>
      <c r="S59" s="13"/>
      <c r="T59" s="13"/>
      <c r="U59" s="13"/>
      <c r="V59" s="347"/>
      <c r="W59" s="13"/>
      <c r="X59" s="13"/>
      <c r="Y59" s="13"/>
      <c r="Z59" s="347"/>
      <c r="AA59" s="13"/>
      <c r="AB59" s="13"/>
      <c r="AC59" s="13"/>
      <c r="AD59" s="347"/>
      <c r="AE59" s="13"/>
      <c r="AF59" s="13"/>
      <c r="AG59" s="13"/>
      <c r="AH59" s="347"/>
      <c r="AI59" s="13"/>
      <c r="AJ59" s="13"/>
      <c r="AK59" s="13"/>
      <c r="AL59" s="347"/>
      <c r="AM59" s="13"/>
      <c r="AN59" s="13"/>
      <c r="AO59" s="13"/>
      <c r="AP59" s="347"/>
      <c r="AQ59" s="13"/>
      <c r="AR59" s="13"/>
      <c r="AS59" s="13"/>
      <c r="AT59" s="347"/>
      <c r="AX59" s="347"/>
      <c r="BB59" s="347"/>
      <c r="BF59" s="347"/>
      <c r="BK59" s="360">
        <v>41</v>
      </c>
      <c r="BL59" s="7">
        <f t="shared" si="5"/>
        <v>4.0999999999999996</v>
      </c>
      <c r="BM59" s="124"/>
      <c r="BN59" s="253">
        <v>6.5904754382497724E-2</v>
      </c>
      <c r="BO59">
        <f t="shared" si="6"/>
        <v>0.10984125730416287</v>
      </c>
      <c r="BS59" s="360">
        <v>41</v>
      </c>
      <c r="BT59" t="e">
        <f>C80-BC80</f>
        <v>#DIV/0!</v>
      </c>
      <c r="BU59">
        <f t="shared" si="4"/>
        <v>4.0999999999999996</v>
      </c>
    </row>
    <row r="60" spans="1:74" ht="13.5" thickTop="1">
      <c r="A60" s="344" t="s">
        <v>24</v>
      </c>
      <c r="B60" t="s">
        <v>17</v>
      </c>
      <c r="C60" s="79">
        <v>0.78630386641014349</v>
      </c>
      <c r="D60" s="348">
        <v>4.2942808617722717E-5</v>
      </c>
      <c r="E60" s="13"/>
      <c r="F60" s="347"/>
      <c r="G60" s="13">
        <v>0.78578753585975747</v>
      </c>
      <c r="H60" s="13">
        <v>3.8395999837179013E-5</v>
      </c>
      <c r="I60" s="13"/>
      <c r="J60" s="347"/>
      <c r="K60" s="13">
        <v>0.60323666695963807</v>
      </c>
      <c r="L60" s="13">
        <v>0.78957208557653369</v>
      </c>
      <c r="M60" s="13">
        <v>3.7058519064149298E-5</v>
      </c>
      <c r="N60" s="347"/>
      <c r="O60" s="13">
        <v>0.58460633146223373</v>
      </c>
      <c r="P60" s="13">
        <v>0.7934209045019831</v>
      </c>
      <c r="Q60" s="13">
        <v>3.5618837355026121E-5</v>
      </c>
      <c r="R60" s="347"/>
      <c r="S60" s="13">
        <v>0.56464613597562163</v>
      </c>
      <c r="T60" s="13">
        <v>0.79716325070639793</v>
      </c>
      <c r="U60" s="13">
        <v>3.4066609893804915E-5</v>
      </c>
      <c r="V60" s="347"/>
      <c r="W60" s="13">
        <v>0.54274696664345334</v>
      </c>
      <c r="X60" s="13">
        <v>0.80092983355463032</v>
      </c>
      <c r="Y60" s="13">
        <v>3.238628340891544E-5</v>
      </c>
      <c r="Z60" s="347"/>
      <c r="AA60" s="13">
        <v>0.51801586607795935</v>
      </c>
      <c r="AB60" s="13">
        <v>0.80481214282265812</v>
      </c>
      <c r="AC60" s="13">
        <v>3.0557678542022252E-5</v>
      </c>
      <c r="AD60" s="347"/>
      <c r="AE60" s="13">
        <v>0.48921282453411874</v>
      </c>
      <c r="AF60" s="13">
        <v>0.80879080569033424</v>
      </c>
      <c r="AG60" s="13">
        <v>2.8554472229495462E-5</v>
      </c>
      <c r="AH60" s="347"/>
      <c r="AI60" s="13">
        <v>0.45522512848725288</v>
      </c>
      <c r="AJ60" s="13">
        <v>0.81273010068041296</v>
      </c>
      <c r="AK60" s="13">
        <v>2.6345869830108304E-5</v>
      </c>
      <c r="AL60" s="347"/>
      <c r="AM60" s="13">
        <v>0.41496679465328445</v>
      </c>
      <c r="AN60" s="13">
        <v>0.81633405980383711</v>
      </c>
      <c r="AO60" s="13">
        <v>2.3892150620473255E-5</v>
      </c>
      <c r="AP60" s="347"/>
      <c r="AQ60" s="13">
        <v>0.36754907492720085</v>
      </c>
      <c r="AR60" s="13">
        <v>0.81912019085674914</v>
      </c>
      <c r="AS60" s="13">
        <v>2.1142095724787558E-5</v>
      </c>
      <c r="AT60" s="347"/>
      <c r="AU60">
        <v>0.2490545658985891</v>
      </c>
      <c r="AV60">
        <v>0.81893365713290323</v>
      </c>
      <c r="AW60">
        <v>1.4496388391029604E-5</v>
      </c>
      <c r="AX60" s="347"/>
      <c r="AY60">
        <v>0.17689071499326472</v>
      </c>
      <c r="AZ60">
        <v>0.81128203923066433</v>
      </c>
      <c r="BA60">
        <v>1.0435160271975185E-5</v>
      </c>
      <c r="BB60" s="347"/>
      <c r="BC60">
        <v>9.612045365065601E-2</v>
      </c>
      <c r="BD60">
        <v>0.78695734078863611</v>
      </c>
      <c r="BE60">
        <v>5.7757674848931124E-6</v>
      </c>
      <c r="BF60" s="347"/>
      <c r="BG60">
        <v>0.44272461868001528</v>
      </c>
      <c r="BH60">
        <v>4.528280304674685E-7</v>
      </c>
      <c r="BK60" s="360">
        <v>5.2</v>
      </c>
      <c r="BL60" s="7">
        <f t="shared" si="5"/>
        <v>0.52</v>
      </c>
      <c r="BM60" s="9"/>
      <c r="BN60" s="9">
        <v>5.6836045514115696E-2</v>
      </c>
      <c r="BO60">
        <f t="shared" si="6"/>
        <v>9.472674252352617E-2</v>
      </c>
      <c r="BS60" s="360">
        <v>5.2</v>
      </c>
    </row>
    <row r="61" spans="1:74">
      <c r="A61" s="344" t="s">
        <v>4</v>
      </c>
      <c r="B61" t="s">
        <v>17</v>
      </c>
      <c r="C61" s="79">
        <v>7.5540616553395293E-2</v>
      </c>
      <c r="D61" s="348">
        <v>3.7291205416268344E-4</v>
      </c>
      <c r="E61" s="13"/>
      <c r="F61" s="347"/>
      <c r="G61" s="13">
        <v>7.5553174168433893E-2</v>
      </c>
      <c r="H61" s="13">
        <v>3.5175929184791648E-4</v>
      </c>
      <c r="I61" s="13"/>
      <c r="J61" s="347"/>
      <c r="K61" s="13">
        <v>7.6217456858782145E-2</v>
      </c>
      <c r="L61" s="13">
        <v>7.5530935073957445E-2</v>
      </c>
      <c r="M61" s="13">
        <v>3.4740543826598623E-4</v>
      </c>
      <c r="N61" s="347"/>
      <c r="O61" s="13">
        <v>7.5997523057246427E-2</v>
      </c>
      <c r="P61" s="13">
        <v>7.5517592038690198E-2</v>
      </c>
      <c r="Q61" s="13">
        <v>3.4281103247288316E-4</v>
      </c>
      <c r="R61" s="347"/>
      <c r="S61" s="13">
        <v>7.5709615642663014E-2</v>
      </c>
      <c r="T61" s="13">
        <v>7.5516253895555024E-2</v>
      </c>
      <c r="U61" s="13">
        <v>3.3779825478656234E-4</v>
      </c>
      <c r="V61" s="347"/>
      <c r="W61" s="13">
        <v>7.5333833901622835E-2</v>
      </c>
      <c r="X61" s="13">
        <v>7.5527887193162932E-2</v>
      </c>
      <c r="Y61" s="13">
        <v>3.3231438967308493E-4</v>
      </c>
      <c r="Z61" s="347"/>
      <c r="AA61" s="13">
        <v>7.4826664077414368E-2</v>
      </c>
      <c r="AB61" s="13">
        <v>7.5557158639350572E-2</v>
      </c>
      <c r="AC61" s="13">
        <v>3.2626191313132419E-4</v>
      </c>
      <c r="AD61" s="347"/>
      <c r="AE61" s="13">
        <v>7.4096907485053667E-2</v>
      </c>
      <c r="AF61" s="13">
        <v>7.561382787465408E-2</v>
      </c>
      <c r="AG61" s="13">
        <v>3.194344017305618E-4</v>
      </c>
      <c r="AH61" s="347"/>
      <c r="AI61" s="13">
        <v>7.3000833309418353E-2</v>
      </c>
      <c r="AJ61" s="13">
        <v>7.5715845511207427E-2</v>
      </c>
      <c r="AK61" s="13">
        <v>3.114130001290107E-4</v>
      </c>
      <c r="AL61" s="347"/>
      <c r="AM61" s="13">
        <v>7.1296752585554138E-2</v>
      </c>
      <c r="AN61" s="13">
        <v>7.5893695135548486E-2</v>
      </c>
      <c r="AO61" s="13">
        <v>3.0141550677358688E-4</v>
      </c>
      <c r="AP61" s="347"/>
      <c r="AQ61" s="13">
        <v>6.8602532981859782E-2</v>
      </c>
      <c r="AR61" s="13">
        <v>7.6196116310122339E-2</v>
      </c>
      <c r="AS61" s="13">
        <v>2.8806180117487302E-4</v>
      </c>
      <c r="AT61" s="347"/>
      <c r="AU61">
        <v>5.7467254804449759E-2</v>
      </c>
      <c r="AV61">
        <v>7.7365004046259261E-2</v>
      </c>
      <c r="AW61">
        <v>2.4014733632163858E-4</v>
      </c>
      <c r="AX61" s="347"/>
      <c r="AY61">
        <v>4.6907077554487024E-2</v>
      </c>
      <c r="AZ61">
        <v>7.8736587005414541E-2</v>
      </c>
      <c r="BA61">
        <v>1.9663044523101831E-4</v>
      </c>
      <c r="BB61" s="347"/>
      <c r="BC61">
        <v>3.0352255376807358E-2</v>
      </c>
      <c r="BD61">
        <v>8.0711923172748001E-2</v>
      </c>
      <c r="BE61">
        <v>1.2818990395863298E-4</v>
      </c>
      <c r="BF61" s="347"/>
      <c r="BG61">
        <v>5.2343560321663991E-2</v>
      </c>
      <c r="BH61">
        <v>1.2764337503939767E-5</v>
      </c>
    </row>
    <row r="62" spans="1:74">
      <c r="A62" s="344" t="s">
        <v>5</v>
      </c>
      <c r="B62" t="s">
        <v>17</v>
      </c>
      <c r="C62" s="79">
        <v>4.0435876564099651E-2</v>
      </c>
      <c r="D62" s="348">
        <v>1.7555530906725074E-5</v>
      </c>
      <c r="E62" s="13"/>
      <c r="F62" s="347"/>
      <c r="G62" s="13">
        <v>4.0408998760873741E-2</v>
      </c>
      <c r="H62" s="13">
        <v>1.7434039807919422E-5</v>
      </c>
      <c r="I62" s="13"/>
      <c r="J62" s="347"/>
      <c r="K62" s="13">
        <v>4.7976888766224739E-2</v>
      </c>
      <c r="L62" s="13">
        <v>4.0230336143482419E-2</v>
      </c>
      <c r="M62" s="13">
        <v>1.7549754685144002E-5</v>
      </c>
      <c r="N62" s="347"/>
      <c r="O62" s="13">
        <v>4.8739994008134627E-2</v>
      </c>
      <c r="P62" s="13">
        <v>4.0045029101077045E-2</v>
      </c>
      <c r="Q62" s="13">
        <v>1.7691952176779498E-5</v>
      </c>
      <c r="R62" s="347"/>
      <c r="S62" s="13">
        <v>4.9576599015700613E-2</v>
      </c>
      <c r="T62" s="13">
        <v>3.9859583634481735E-2</v>
      </c>
      <c r="U62" s="13">
        <v>1.7854646154348233E-5</v>
      </c>
      <c r="V62" s="347"/>
      <c r="W62" s="13">
        <v>5.0515030712763621E-2</v>
      </c>
      <c r="X62" s="13">
        <v>3.9666221268171729E-2</v>
      </c>
      <c r="Y62" s="13">
        <v>1.8045446941328247E-5</v>
      </c>
      <c r="Z62" s="347"/>
      <c r="AA62" s="13">
        <v>5.1581853284634063E-2</v>
      </c>
      <c r="AB62" s="13">
        <v>3.9460249322413973E-2</v>
      </c>
      <c r="AC62" s="13">
        <v>1.8272699179720807E-5</v>
      </c>
      <c r="AD62" s="347"/>
      <c r="AE62" s="13">
        <v>5.2786273089643961E-2</v>
      </c>
      <c r="AF62" s="13">
        <v>3.9244105141354395E-2</v>
      </c>
      <c r="AG62" s="13">
        <v>1.8541754503025979E-5</v>
      </c>
      <c r="AH62" s="347"/>
      <c r="AI62" s="13">
        <v>5.4095185061482788E-2</v>
      </c>
      <c r="AJ62" s="13">
        <v>3.903074491677725E-2</v>
      </c>
      <c r="AK62" s="13">
        <v>1.8845806791831188E-5</v>
      </c>
      <c r="AL62" s="347"/>
      <c r="AM62" s="13">
        <v>5.5391201736852899E-2</v>
      </c>
      <c r="AN62" s="13">
        <v>3.8849879393978007E-2</v>
      </c>
      <c r="AO62" s="13">
        <v>1.9153810638752086E-5</v>
      </c>
      <c r="AP62" s="347"/>
      <c r="AQ62" s="13">
        <v>5.6404028006531333E-2</v>
      </c>
      <c r="AR62" s="13">
        <v>3.8755434796279326E-2</v>
      </c>
      <c r="AS62" s="13">
        <v>1.9386392280509759E-5</v>
      </c>
      <c r="AT62" s="347"/>
      <c r="AU62">
        <v>5.4801971140372559E-2</v>
      </c>
      <c r="AV62">
        <v>3.9185985569719778E-2</v>
      </c>
      <c r="AW62">
        <v>1.8734579817525915E-5</v>
      </c>
      <c r="AX62" s="347"/>
      <c r="AY62">
        <v>4.9417881721218013E-2</v>
      </c>
      <c r="AZ62">
        <v>4.0343950515181567E-2</v>
      </c>
      <c r="BA62">
        <v>1.6926331398347231E-5</v>
      </c>
      <c r="BB62" s="347"/>
      <c r="BC62">
        <v>3.6476103757025272E-2</v>
      </c>
      <c r="BD62">
        <v>4.2911629445828166E-2</v>
      </c>
      <c r="BE62">
        <v>1.2564457930974944E-5</v>
      </c>
      <c r="BF62" s="347"/>
      <c r="BG62">
        <v>3.1683851104800979E-2</v>
      </c>
      <c r="BH62">
        <v>1.5571943818373109E-6</v>
      </c>
    </row>
    <row r="63" spans="1:74">
      <c r="A63" s="344" t="s">
        <v>6</v>
      </c>
      <c r="B63" t="s">
        <v>17</v>
      </c>
      <c r="C63" s="79">
        <v>9.4011305675842805E-3</v>
      </c>
      <c r="D63" s="348">
        <v>1.7590704019588788E-7</v>
      </c>
      <c r="E63" s="13"/>
      <c r="F63" s="347"/>
      <c r="G63" s="13">
        <v>9.3947785690834951E-3</v>
      </c>
      <c r="H63" s="13">
        <v>1.8126018411242883E-7</v>
      </c>
      <c r="I63" s="13"/>
      <c r="J63" s="347"/>
      <c r="K63" s="13">
        <v>1.2408942395308648E-2</v>
      </c>
      <c r="L63" s="13">
        <v>9.325740756416916E-3</v>
      </c>
      <c r="M63" s="13">
        <v>1.8487977887225329E-7</v>
      </c>
      <c r="N63" s="347"/>
      <c r="O63" s="13">
        <v>1.2748790628925713E-2</v>
      </c>
      <c r="P63" s="13">
        <v>9.2530160882367644E-3</v>
      </c>
      <c r="Q63" s="13">
        <v>1.8911521067235694E-7</v>
      </c>
      <c r="R63" s="347"/>
      <c r="S63" s="13">
        <v>1.3130996582954827E-2</v>
      </c>
      <c r="T63" s="13">
        <v>9.1787663885202399E-3</v>
      </c>
      <c r="U63" s="13">
        <v>1.9395639551242872E-7</v>
      </c>
      <c r="V63" s="347"/>
      <c r="W63" s="13">
        <v>1.3572116988170263E-2</v>
      </c>
      <c r="X63" s="13">
        <v>9.0993914360550984E-3</v>
      </c>
      <c r="Y63" s="13">
        <v>1.9959988610963025E-7</v>
      </c>
      <c r="Z63" s="347"/>
      <c r="AA63" s="13">
        <v>1.4091975343612851E-2</v>
      </c>
      <c r="AB63" s="13">
        <v>9.0119779300504906E-3</v>
      </c>
      <c r="AC63" s="13">
        <v>2.0629589628939286E-7</v>
      </c>
      <c r="AD63" s="347"/>
      <c r="AE63" s="13">
        <v>1.4710704894662356E-2</v>
      </c>
      <c r="AF63" s="13">
        <v>8.9157197967099609E-3</v>
      </c>
      <c r="AG63" s="13">
        <v>2.1432109361691132E-7</v>
      </c>
      <c r="AH63" s="347"/>
      <c r="AI63" s="13">
        <v>1.5439985149529921E-2</v>
      </c>
      <c r="AJ63" s="13">
        <v>8.8129643482192568E-3</v>
      </c>
      <c r="AK63" s="13">
        <v>2.2386923852419613E-7</v>
      </c>
      <c r="AL63" s="347"/>
      <c r="AM63" s="13">
        <v>1.6271838660163376E-2</v>
      </c>
      <c r="AN63" s="13">
        <v>8.7113522418398419E-3</v>
      </c>
      <c r="AO63" s="13">
        <v>2.3491796043116619E-7</v>
      </c>
      <c r="AP63" s="347"/>
      <c r="AQ63" s="13">
        <v>1.7155605624802842E-2</v>
      </c>
      <c r="AR63" s="13">
        <v>8.6265261510264542E-3</v>
      </c>
      <c r="AS63" s="13">
        <v>2.4690802433254208E-7</v>
      </c>
      <c r="AT63" s="347"/>
      <c r="AU63">
        <v>1.8325404153580662E-2</v>
      </c>
      <c r="AV63">
        <v>8.639419040934378E-3</v>
      </c>
      <c r="AW63">
        <v>2.6383793422112042E-7</v>
      </c>
      <c r="AX63" s="347"/>
      <c r="AY63">
        <v>1.7700338784610452E-2</v>
      </c>
      <c r="AZ63">
        <v>8.9578826221870748E-3</v>
      </c>
      <c r="BA63">
        <v>2.5611544511902802E-7</v>
      </c>
      <c r="BB63" s="347"/>
      <c r="BC63">
        <v>1.4489064403682091E-2</v>
      </c>
      <c r="BD63">
        <v>9.880333122713256E-3</v>
      </c>
      <c r="BE63">
        <v>2.1156725362081961E-7</v>
      </c>
      <c r="BF63" s="347"/>
      <c r="BG63">
        <v>8.6839359923259352E-3</v>
      </c>
      <c r="BH63">
        <v>3.3490613043927279E-8</v>
      </c>
    </row>
    <row r="64" spans="1:74">
      <c r="A64" s="344" t="s">
        <v>7</v>
      </c>
      <c r="B64" t="s">
        <v>17</v>
      </c>
      <c r="C64" s="79">
        <v>1.3059978511452549E-2</v>
      </c>
      <c r="D64" s="348">
        <v>2.5432023247496172E-7</v>
      </c>
      <c r="E64" s="13"/>
      <c r="F64" s="347"/>
      <c r="G64" s="13">
        <v>1.3051142730831806E-2</v>
      </c>
      <c r="H64" s="13">
        <v>2.6565138566518736E-7</v>
      </c>
      <c r="I64" s="13"/>
      <c r="J64" s="347"/>
      <c r="K64" s="13">
        <v>1.8011771800329972E-2</v>
      </c>
      <c r="L64" s="13">
        <v>1.2938232580857804E-2</v>
      </c>
      <c r="M64" s="13">
        <v>2.7222927520562753E-7</v>
      </c>
      <c r="N64" s="347"/>
      <c r="O64" s="13">
        <v>1.8604792022188898E-2</v>
      </c>
      <c r="P64" s="13">
        <v>1.2818009165046711E-2</v>
      </c>
      <c r="Q64" s="13">
        <v>2.7992835065547278E-7</v>
      </c>
      <c r="R64" s="347"/>
      <c r="S64" s="13">
        <v>1.9275925820949672E-2</v>
      </c>
      <c r="T64" s="13">
        <v>1.2693883602784225E-2</v>
      </c>
      <c r="U64" s="13">
        <v>2.8877277342112425E-7</v>
      </c>
      <c r="V64" s="347"/>
      <c r="W64" s="13">
        <v>2.0054508107541075E-2</v>
      </c>
      <c r="X64" s="13">
        <v>1.2559738105402738E-2</v>
      </c>
      <c r="Y64" s="13">
        <v>2.9911524915489201E-7</v>
      </c>
      <c r="Z64" s="347"/>
      <c r="AA64" s="13">
        <v>2.0976948414815972E-2</v>
      </c>
      <c r="AB64" s="13">
        <v>1.2410357066901485E-2</v>
      </c>
      <c r="AC64" s="13">
        <v>3.1140807981922864E-7</v>
      </c>
      <c r="AD64" s="347"/>
      <c r="AE64" s="13">
        <v>2.2083355048503315E-2</v>
      </c>
      <c r="AF64" s="13">
        <v>1.2243725324854564E-2</v>
      </c>
      <c r="AG64" s="13">
        <v>3.2616847345447583E-7</v>
      </c>
      <c r="AH64" s="347"/>
      <c r="AI64" s="13">
        <v>2.3402992260327042E-2</v>
      </c>
      <c r="AJ64" s="13">
        <v>1.2062727337547041E-2</v>
      </c>
      <c r="AK64" s="13">
        <v>3.4381102677266628E-7</v>
      </c>
      <c r="AL64" s="347"/>
      <c r="AM64" s="13">
        <v>2.4938140908287595E-2</v>
      </c>
      <c r="AN64" s="13">
        <v>1.1878576829191662E-2</v>
      </c>
      <c r="AO64" s="13">
        <v>3.6445077253138803E-7</v>
      </c>
      <c r="AP64" s="347"/>
      <c r="AQ64" s="13">
        <v>2.6627984954864393E-2</v>
      </c>
      <c r="AR64" s="13">
        <v>1.1715175715093512E-2</v>
      </c>
      <c r="AS64" s="13">
        <v>3.8741141589603242E-7</v>
      </c>
      <c r="AT64" s="347"/>
      <c r="AU64">
        <v>2.9384963632253774E-2</v>
      </c>
      <c r="AV64">
        <v>1.1665361329021462E-2</v>
      </c>
      <c r="AW64">
        <v>4.2596628888465469E-7</v>
      </c>
      <c r="AX64" s="347"/>
      <c r="AY64">
        <v>2.9057988542559136E-2</v>
      </c>
      <c r="AZ64">
        <v>1.2127844270481754E-2</v>
      </c>
      <c r="BA64">
        <v>4.2221651604010822E-7</v>
      </c>
      <c r="BB64" s="347"/>
      <c r="BC64">
        <v>2.4707662227373445E-2</v>
      </c>
      <c r="BD64">
        <v>1.3600785247480075E-2</v>
      </c>
      <c r="BE64">
        <v>3.6117609124809231E-7</v>
      </c>
      <c r="BF64" s="347"/>
      <c r="BG64">
        <v>1.3074844419667043E-2</v>
      </c>
      <c r="BH64">
        <v>6.3563117917867585E-8</v>
      </c>
      <c r="BV64" t="s">
        <v>241</v>
      </c>
    </row>
    <row r="65" spans="1:79">
      <c r="A65" s="344" t="s">
        <v>8</v>
      </c>
      <c r="B65" t="s">
        <v>17</v>
      </c>
      <c r="C65" s="79">
        <v>4.5370099882992062E-3</v>
      </c>
      <c r="D65" s="348">
        <v>3.9123731677154871E-7</v>
      </c>
      <c r="E65" s="13"/>
      <c r="F65" s="347"/>
      <c r="G65" s="13">
        <v>4.5338637525232277E-3</v>
      </c>
      <c r="H65" s="13">
        <v>4.2090678747581077E-7</v>
      </c>
      <c r="I65" s="13"/>
      <c r="J65" s="347"/>
      <c r="K65" s="13">
        <v>7.3407240577497536E-3</v>
      </c>
      <c r="L65" s="13">
        <v>4.4707801352055435E-3</v>
      </c>
      <c r="M65" s="13">
        <v>4.3617014851283337E-7</v>
      </c>
      <c r="N65" s="347"/>
      <c r="O65" s="13">
        <v>7.6866894071288515E-3</v>
      </c>
      <c r="P65" s="13">
        <v>4.4032869411710831E-3</v>
      </c>
      <c r="Q65" s="13">
        <v>4.5411351415954874E-7</v>
      </c>
      <c r="R65" s="347"/>
      <c r="S65" s="13">
        <v>8.0812914631117616E-3</v>
      </c>
      <c r="T65" s="13">
        <v>4.3331457910808988E-3</v>
      </c>
      <c r="U65" s="13">
        <v>4.7494892047668659E-7</v>
      </c>
      <c r="V65" s="347"/>
      <c r="W65" s="13">
        <v>8.5433913745151559E-3</v>
      </c>
      <c r="X65" s="13">
        <v>4.256678662739012E-3</v>
      </c>
      <c r="Y65" s="13">
        <v>4.9955977668171238E-7</v>
      </c>
      <c r="Z65" s="347"/>
      <c r="AA65" s="13">
        <v>9.0980176286193665E-3</v>
      </c>
      <c r="AB65" s="13">
        <v>4.1704389529995502E-3</v>
      </c>
      <c r="AC65" s="13">
        <v>5.2912015132450519E-7</v>
      </c>
      <c r="AD65" s="347"/>
      <c r="AE65" s="13">
        <v>9.7766494073238015E-3</v>
      </c>
      <c r="AF65" s="13">
        <v>4.0723104830265849E-3</v>
      </c>
      <c r="AG65" s="13">
        <v>5.6509861728728675E-7</v>
      </c>
      <c r="AH65" s="347"/>
      <c r="AI65" s="13">
        <v>1.0609526429323385E-2</v>
      </c>
      <c r="AJ65" s="13">
        <v>3.9622772249697869E-3</v>
      </c>
      <c r="AK65" s="13">
        <v>6.089825915144594E-7</v>
      </c>
      <c r="AL65" s="347"/>
      <c r="AM65" s="13">
        <v>1.1621141227160367E-2</v>
      </c>
      <c r="AN65" s="13">
        <v>3.8439321975922243E-3</v>
      </c>
      <c r="AO65" s="13">
        <v>6.6206465177355355E-7</v>
      </c>
      <c r="AP65" s="347"/>
      <c r="AQ65" s="13">
        <v>1.2814931445347609E-2</v>
      </c>
      <c r="AR65" s="13">
        <v>3.7263862035055201E-3</v>
      </c>
      <c r="AS65" s="13">
        <v>7.2470219053951459E-7</v>
      </c>
      <c r="AT65" s="347"/>
      <c r="AU65">
        <v>1.5448753616012521E-2</v>
      </c>
      <c r="AV65">
        <v>3.5925530605606512E-3</v>
      </c>
      <c r="AW65">
        <v>8.6417521762302599E-7</v>
      </c>
      <c r="AX65" s="347"/>
      <c r="AY65">
        <v>1.635843552433329E-2</v>
      </c>
      <c r="AZ65">
        <v>3.7258745686892651E-3</v>
      </c>
      <c r="BA65">
        <v>9.1346579248720014E-7</v>
      </c>
      <c r="BB65" s="347"/>
      <c r="BC65">
        <v>1.5683739901953056E-2</v>
      </c>
      <c r="BD65">
        <v>4.3619486955118643E-3</v>
      </c>
      <c r="BE65">
        <v>8.7732540190882461E-7</v>
      </c>
      <c r="BF65" s="347"/>
      <c r="BG65">
        <v>6.0280810258654238E-3</v>
      </c>
      <c r="BH65">
        <v>2.380043808099365E-7</v>
      </c>
    </row>
    <row r="66" spans="1:79">
      <c r="A66" s="344" t="s">
        <v>9</v>
      </c>
      <c r="B66" t="s">
        <v>17</v>
      </c>
      <c r="C66" s="79">
        <v>4.2916211564009718E-3</v>
      </c>
      <c r="D66" s="348">
        <v>3.644854585135369E-7</v>
      </c>
      <c r="E66" s="13"/>
      <c r="F66" s="347"/>
      <c r="G66" s="13">
        <v>4.2886354410929268E-3</v>
      </c>
      <c r="H66" s="13">
        <v>3.9577679007954451E-7</v>
      </c>
      <c r="I66" s="13"/>
      <c r="J66" s="347"/>
      <c r="K66" s="13">
        <v>6.8571711601769026E-3</v>
      </c>
      <c r="L66" s="13">
        <v>4.2308612471869496E-3</v>
      </c>
      <c r="M66" s="13">
        <v>4.1140783008571123E-7</v>
      </c>
      <c r="N66" s="347"/>
      <c r="O66" s="13">
        <v>7.1922929203987662E-3</v>
      </c>
      <c r="P66" s="13">
        <v>4.1682800627598137E-3</v>
      </c>
      <c r="Q66" s="13">
        <v>4.2985066474726663E-7</v>
      </c>
      <c r="R66" s="347"/>
      <c r="S66" s="13">
        <v>7.578067703715728E-3</v>
      </c>
      <c r="T66" s="13">
        <v>4.1023467677679558E-3</v>
      </c>
      <c r="U66" s="13">
        <v>4.5137928663754414E-7</v>
      </c>
      <c r="V66" s="347"/>
      <c r="W66" s="13">
        <v>8.0335340030146321E-3</v>
      </c>
      <c r="X66" s="13">
        <v>4.0294561819664834E-3</v>
      </c>
      <c r="Y66" s="13">
        <v>4.7694003777700578E-7</v>
      </c>
      <c r="Z66" s="347"/>
      <c r="AA66" s="13">
        <v>8.5839957787208244E-3</v>
      </c>
      <c r="AB66" s="13">
        <v>3.9461060140552878E-3</v>
      </c>
      <c r="AC66" s="13">
        <v>5.0779251505647983E-7</v>
      </c>
      <c r="AD66" s="347"/>
      <c r="AE66" s="13">
        <v>9.2614212022382996E-3</v>
      </c>
      <c r="AF66" s="13">
        <v>3.8499461747853289E-3</v>
      </c>
      <c r="AG66" s="13">
        <v>5.4552397504354178E-7</v>
      </c>
      <c r="AH66" s="347"/>
      <c r="AI66" s="13">
        <v>1.009743002027874E-2</v>
      </c>
      <c r="AJ66" s="13">
        <v>3.740547173536138E-3</v>
      </c>
      <c r="AK66" s="13">
        <v>5.9178458178427656E-7</v>
      </c>
      <c r="AL66" s="347"/>
      <c r="AM66" s="13">
        <v>1.1118757693698239E-2</v>
      </c>
      <c r="AN66" s="13">
        <v>3.6209299168041519E-3</v>
      </c>
      <c r="AO66" s="13">
        <v>6.4807439959542994E-7</v>
      </c>
      <c r="AP66" s="347"/>
      <c r="AQ66" s="13">
        <v>1.2332376237087782E-2</v>
      </c>
      <c r="AR66" s="13">
        <v>3.4994989855900082E-3</v>
      </c>
      <c r="AS66" s="13">
        <v>7.1500341906974517E-7</v>
      </c>
      <c r="AT66" s="347"/>
      <c r="AU66">
        <v>1.5071386289950993E-2</v>
      </c>
      <c r="AV66">
        <v>3.3472802615440878E-3</v>
      </c>
      <c r="AW66">
        <v>8.6804624071701309E-7</v>
      </c>
      <c r="AX66" s="347"/>
      <c r="AY66">
        <v>1.6092847164825785E-2</v>
      </c>
      <c r="AZ66">
        <v>3.4584257658725561E-3</v>
      </c>
      <c r="BA66">
        <v>9.2729840523235695E-7</v>
      </c>
      <c r="BB66" s="347"/>
      <c r="BC66">
        <v>1.5635971473072396E-2</v>
      </c>
      <c r="BD66">
        <v>4.0519834912638971E-3</v>
      </c>
      <c r="BE66">
        <v>9.045641520418578E-7</v>
      </c>
      <c r="BF66" s="347"/>
      <c r="BG66">
        <v>5.8515102277197544E-3</v>
      </c>
      <c r="BH66">
        <v>2.6007808029701359E-7</v>
      </c>
      <c r="BV66">
        <v>654</v>
      </c>
      <c r="BW66">
        <v>0</v>
      </c>
      <c r="BY66">
        <f>BV66/10</f>
        <v>65.400000000000006</v>
      </c>
      <c r="BZ66">
        <v>0</v>
      </c>
      <c r="CA66">
        <v>0</v>
      </c>
    </row>
    <row r="67" spans="1:79">
      <c r="A67" s="344" t="s">
        <v>10</v>
      </c>
      <c r="B67" t="s">
        <v>17</v>
      </c>
      <c r="C67" s="79">
        <v>5.2371129624095899E-3</v>
      </c>
      <c r="D67" s="348">
        <v>1.8513820318322167E-7</v>
      </c>
      <c r="E67" s="13"/>
      <c r="F67" s="347"/>
      <c r="G67" s="13">
        <v>5.2335104124148525E-3</v>
      </c>
      <c r="H67" s="13">
        <v>2.0956255764877813E-7</v>
      </c>
      <c r="I67" s="13"/>
      <c r="J67" s="347"/>
      <c r="K67" s="13">
        <v>9.4346562005253251E-3</v>
      </c>
      <c r="L67" s="13">
        <v>5.139587787445667E-3</v>
      </c>
      <c r="M67" s="13">
        <v>2.2091487273953626E-7</v>
      </c>
      <c r="N67" s="347"/>
      <c r="O67" s="13">
        <v>1.0023386198132712E-2</v>
      </c>
      <c r="P67" s="13">
        <v>5.0362495296609614E-3</v>
      </c>
      <c r="Q67" s="13">
        <v>2.3440502328175015E-7</v>
      </c>
      <c r="R67" s="347"/>
      <c r="S67" s="13">
        <v>1.0710116181370233E-2</v>
      </c>
      <c r="T67" s="13">
        <v>4.9254207339604911E-3</v>
      </c>
      <c r="U67" s="13">
        <v>2.5033679749379525E-7</v>
      </c>
      <c r="V67" s="347"/>
      <c r="W67" s="13">
        <v>1.1531283195426198E-2</v>
      </c>
      <c r="X67" s="13">
        <v>4.8005548746823182E-3</v>
      </c>
      <c r="Y67" s="13">
        <v>2.694601672930769E-7</v>
      </c>
      <c r="Z67" s="347"/>
      <c r="AA67" s="13">
        <v>1.2536379649459344E-2</v>
      </c>
      <c r="AB67" s="13">
        <v>4.6548573307257863E-3</v>
      </c>
      <c r="AC67" s="13">
        <v>2.9278000492083304E-7</v>
      </c>
      <c r="AD67" s="347"/>
      <c r="AE67" s="13">
        <v>1.3790515085282146E-2</v>
      </c>
      <c r="AF67" s="13">
        <v>4.4829288803313527E-3</v>
      </c>
      <c r="AG67" s="13">
        <v>3.2159213196731725E-7</v>
      </c>
      <c r="AH67" s="347"/>
      <c r="AI67" s="13">
        <v>1.5362974238199796E-2</v>
      </c>
      <c r="AJ67" s="13">
        <v>4.2820511843511726E-3</v>
      </c>
      <c r="AK67" s="13">
        <v>3.5733087158328914E-7</v>
      </c>
      <c r="AL67" s="347"/>
      <c r="AM67" s="13">
        <v>1.7322452129548138E-2</v>
      </c>
      <c r="AN67" s="13">
        <v>4.0546760362650492E-3</v>
      </c>
      <c r="AO67" s="13">
        <v>4.0147997841298515E-7</v>
      </c>
      <c r="AP67" s="347"/>
      <c r="AQ67" s="13">
        <v>1.9716287909151697E-2</v>
      </c>
      <c r="AR67" s="13">
        <v>3.8113547899487014E-3</v>
      </c>
      <c r="AS67" s="13">
        <v>4.5519349424635525E-7</v>
      </c>
      <c r="AT67" s="347"/>
      <c r="AU67">
        <v>2.5734186541492843E-2</v>
      </c>
      <c r="AV67">
        <v>3.4140380197784106E-3</v>
      </c>
      <c r="AW67">
        <v>5.9118390685146749E-7</v>
      </c>
      <c r="AX67" s="347"/>
      <c r="AY67">
        <v>2.8867195953854605E-2</v>
      </c>
      <c r="AZ67">
        <v>3.4317638010279939E-3</v>
      </c>
      <c r="BA67">
        <v>6.6368020023586634E-7</v>
      </c>
      <c r="BB67" s="347"/>
      <c r="BC67">
        <v>3.0820700379149354E-2</v>
      </c>
      <c r="BD67">
        <v>4.066221482268719E-3</v>
      </c>
      <c r="BE67">
        <v>7.1146802675811613E-7</v>
      </c>
      <c r="BF67" s="347"/>
      <c r="BG67">
        <v>9.4246295345300872E-3</v>
      </c>
      <c r="BH67">
        <v>3.5540894799276033E-7</v>
      </c>
      <c r="BV67" s="328">
        <v>506.4</v>
      </c>
      <c r="BW67" t="e">
        <f>G80-K80-L80-M80</f>
        <v>#DIV/0!</v>
      </c>
      <c r="BY67">
        <f>BV67/10</f>
        <v>50.64</v>
      </c>
      <c r="BZ67">
        <f>G82*(G49+H49-K49-L49-M49)/0.25</f>
        <v>8.2304310349607128</v>
      </c>
      <c r="CA67">
        <f t="shared" ref="CA67:CA79" si="7">BZ67/$C$40*100</f>
        <v>12908.59357047427</v>
      </c>
    </row>
    <row r="68" spans="1:79">
      <c r="A68" s="344" t="s">
        <v>35</v>
      </c>
      <c r="B68" t="s">
        <v>17</v>
      </c>
      <c r="C68" s="79">
        <v>7.4274249214736285E-3</v>
      </c>
      <c r="D68" s="348">
        <v>1.6801293571439202E-7</v>
      </c>
      <c r="E68" s="13"/>
      <c r="F68" s="347"/>
      <c r="G68" s="13">
        <v>7.4223298442427366E-3</v>
      </c>
      <c r="H68" s="13">
        <v>1.9789195844832254E-7</v>
      </c>
      <c r="I68" s="13"/>
      <c r="J68" s="347"/>
      <c r="K68" s="13">
        <v>1.522350426542721E-2</v>
      </c>
      <c r="L68" s="13">
        <v>7.2486277106254661E-3</v>
      </c>
      <c r="M68" s="13">
        <v>2.1129269978111597E-7</v>
      </c>
      <c r="N68" s="347"/>
      <c r="O68" s="13">
        <v>1.6371195970094909E-2</v>
      </c>
      <c r="P68" s="13">
        <v>7.0553426246481197E-3</v>
      </c>
      <c r="Q68" s="13">
        <v>2.2731537795712376E-7</v>
      </c>
      <c r="R68" s="347"/>
      <c r="S68" s="13">
        <v>1.7720351151810518E-2</v>
      </c>
      <c r="T68" s="13">
        <v>6.8454874101993588E-3</v>
      </c>
      <c r="U68" s="13">
        <v>2.4640056418882065E-7</v>
      </c>
      <c r="V68" s="347"/>
      <c r="W68" s="13">
        <v>1.9343944160025599E-2</v>
      </c>
      <c r="X68" s="13">
        <v>6.6061912649279164E-3</v>
      </c>
      <c r="Y68" s="13">
        <v>2.6946815104024858E-7</v>
      </c>
      <c r="Z68" s="347"/>
      <c r="AA68" s="13">
        <v>2.1340915135481656E-2</v>
      </c>
      <c r="AB68" s="13">
        <v>6.3238155104860102E-3</v>
      </c>
      <c r="AC68" s="13">
        <v>2.9772973799185213E-7</v>
      </c>
      <c r="AD68" s="347"/>
      <c r="AE68" s="13">
        <v>2.3841946675215085E-2</v>
      </c>
      <c r="AF68" s="13">
        <v>5.9871401187649581E-3</v>
      </c>
      <c r="AG68" s="13">
        <v>3.3272219770688309E-7</v>
      </c>
      <c r="AH68" s="347"/>
      <c r="AI68" s="13">
        <v>2.6984775931540857E-2</v>
      </c>
      <c r="AJ68" s="13">
        <v>5.590265143557766E-3</v>
      </c>
      <c r="AK68" s="13">
        <v>3.7611116696874522E-7</v>
      </c>
      <c r="AL68" s="347"/>
      <c r="AM68" s="13">
        <v>3.0906332149599706E-2</v>
      </c>
      <c r="AN68" s="13">
        <v>5.1376280081305951E-3</v>
      </c>
      <c r="AO68" s="13">
        <v>4.2959436204021386E-7</v>
      </c>
      <c r="AP68" s="347"/>
      <c r="AQ68" s="13">
        <v>3.5709466315721632E-2</v>
      </c>
      <c r="AR68" s="13">
        <v>4.6490575014604719E-3</v>
      </c>
      <c r="AS68" s="13">
        <v>4.945803637803756E-7</v>
      </c>
      <c r="AT68" s="347"/>
      <c r="AU68">
        <v>4.8245696722773852E-2</v>
      </c>
      <c r="AV68">
        <v>3.7893722114580742E-3</v>
      </c>
      <c r="AW68">
        <v>6.646171920492293E-7</v>
      </c>
      <c r="AX68" s="347"/>
      <c r="AY68">
        <v>5.5652132691354939E-2</v>
      </c>
      <c r="AZ68">
        <v>3.6351378257716235E-3</v>
      </c>
      <c r="BA68">
        <v>7.6696114387387245E-7</v>
      </c>
      <c r="BB68" s="347"/>
      <c r="BC68">
        <v>6.3186865477675547E-2</v>
      </c>
      <c r="BD68">
        <v>4.227288095676276E-3</v>
      </c>
      <c r="BE68">
        <v>8.7417150593735758E-7</v>
      </c>
      <c r="BF68" s="347"/>
      <c r="BG68">
        <v>1.7116246358001845E-2</v>
      </c>
      <c r="BH68">
        <v>8.2304206959591481E-7</v>
      </c>
      <c r="BV68" s="328">
        <v>470.6</v>
      </c>
      <c r="BW68" t="e">
        <f>J79-R79-S79</f>
        <v>#DIV/0!</v>
      </c>
      <c r="BY68">
        <f>BV68/10</f>
        <v>47.06</v>
      </c>
      <c r="BZ68">
        <f>L82*(K49+L49+M49-O49-P49-Q49)/0.25+BZ67</f>
        <v>10.792583551081798</v>
      </c>
      <c r="CA68">
        <f t="shared" si="7"/>
        <v>16927.069073845396</v>
      </c>
    </row>
    <row r="69" spans="1:79">
      <c r="A69" s="344" t="s">
        <v>163</v>
      </c>
      <c r="B69" t="s">
        <v>17</v>
      </c>
      <c r="C69" s="79">
        <v>1.4362294158805361E-2</v>
      </c>
      <c r="D69" s="348">
        <v>2.0975887730351152E-7</v>
      </c>
      <c r="E69" s="13"/>
      <c r="F69" s="347"/>
      <c r="G69" s="13">
        <v>1.435247220983327E-2</v>
      </c>
      <c r="H69" s="13">
        <v>2.5736409627862075E-7</v>
      </c>
      <c r="I69" s="13"/>
      <c r="J69" s="347"/>
      <c r="K69" s="13">
        <v>3.3786429927083562E-2</v>
      </c>
      <c r="L69" s="13">
        <v>1.3921017870066348E-2</v>
      </c>
      <c r="M69" s="13">
        <v>2.781652729553051E-7</v>
      </c>
      <c r="N69" s="347"/>
      <c r="O69" s="13">
        <v>3.6753454434191098E-2</v>
      </c>
      <c r="P69" s="13">
        <v>1.3436594032610832E-2</v>
      </c>
      <c r="Q69" s="13">
        <v>3.0314474641084265E-7</v>
      </c>
      <c r="R69" s="347"/>
      <c r="S69" s="13">
        <v>4.025453368992668E-2</v>
      </c>
      <c r="T69" s="13">
        <v>1.290596468861039E-2</v>
      </c>
      <c r="U69" s="13">
        <v>3.3306444737413978E-7</v>
      </c>
      <c r="V69" s="347"/>
      <c r="W69" s="13">
        <v>4.4472680745361148E-2</v>
      </c>
      <c r="X69" s="13">
        <v>1.2296570256706343E-2</v>
      </c>
      <c r="Y69" s="13">
        <v>3.6932504681092167E-7</v>
      </c>
      <c r="Z69" s="347"/>
      <c r="AA69" s="13">
        <v>4.9649756273217389E-2</v>
      </c>
      <c r="AB69" s="13">
        <v>1.1574505304912046E-2</v>
      </c>
      <c r="AC69" s="13">
        <v>4.1368788382790048E-7</v>
      </c>
      <c r="AD69" s="347"/>
      <c r="AE69" s="13">
        <v>5.6096657754868162E-2</v>
      </c>
      <c r="AF69" s="13">
        <v>1.0713680622843575E-2</v>
      </c>
      <c r="AG69" s="13">
        <v>4.6825542121528258E-7</v>
      </c>
      <c r="AH69" s="347"/>
      <c r="AI69" s="13">
        <v>6.411554294789848E-2</v>
      </c>
      <c r="AJ69" s="13">
        <v>9.7054596240991348E-3</v>
      </c>
      <c r="AK69" s="13">
        <v>5.3507450181381571E-7</v>
      </c>
      <c r="AL69" s="347"/>
      <c r="AM69" s="13">
        <v>7.3979888881321315E-2</v>
      </c>
      <c r="AN69" s="13">
        <v>8.5723486368528608E-3</v>
      </c>
      <c r="AO69" s="13">
        <v>6.1597426790273388E-7</v>
      </c>
      <c r="AP69" s="347"/>
      <c r="AQ69" s="13">
        <v>8.587627774093394E-2</v>
      </c>
      <c r="AR69" s="13">
        <v>7.3774638503325482E-3</v>
      </c>
      <c r="AS69" s="13">
        <v>7.1233587378013285E-7</v>
      </c>
      <c r="AT69" s="347"/>
      <c r="AU69">
        <v>0.11694764650540686</v>
      </c>
      <c r="AV69">
        <v>5.3063039548745111E-3</v>
      </c>
      <c r="AW69">
        <v>9.6328215494545586E-7</v>
      </c>
      <c r="AX69" s="347"/>
      <c r="AY69">
        <v>0.13653262754753454</v>
      </c>
      <c r="AZ69">
        <v>4.7702256832399276E-3</v>
      </c>
      <c r="BA69">
        <v>1.123782865794992E-6</v>
      </c>
      <c r="BB69" s="347"/>
      <c r="BC69">
        <v>0.16052998303716623</v>
      </c>
      <c r="BD69">
        <v>5.288480357596435E-3</v>
      </c>
      <c r="BE69">
        <v>1.3249848400335276E-6</v>
      </c>
      <c r="BF69" s="347"/>
      <c r="BG69">
        <v>4.0550498605363847E-2</v>
      </c>
      <c r="BH69">
        <v>2.5521246045931916E-6</v>
      </c>
      <c r="BV69" s="328">
        <v>434.8</v>
      </c>
      <c r="BW69" t="e">
        <f>J79-V79-W79</f>
        <v>#DIV/0!</v>
      </c>
      <c r="BY69">
        <f t="shared" ref="BY69:BY79" si="8">BV69/10</f>
        <v>43.480000000000004</v>
      </c>
      <c r="BZ69">
        <f>P82*(O49+P49+Q49-S49-T49-U49)/0.25+BZ68</f>
        <v>13.508086053477287</v>
      </c>
      <c r="CA69">
        <f t="shared" si="7"/>
        <v>21186.058426180884</v>
      </c>
    </row>
    <row r="70" spans="1:79">
      <c r="A70" s="344" t="s">
        <v>37</v>
      </c>
      <c r="B70" t="s">
        <v>17</v>
      </c>
      <c r="C70" s="79">
        <v>1.1907152598690549E-2</v>
      </c>
      <c r="D70" s="348">
        <v>2.7619504241022907E-8</v>
      </c>
      <c r="E70" s="13"/>
      <c r="F70" s="347"/>
      <c r="G70" s="13">
        <v>1.1899097860523665E-2</v>
      </c>
      <c r="H70" s="13">
        <v>3.7538502983695317E-8</v>
      </c>
      <c r="I70" s="13"/>
      <c r="J70" s="347"/>
      <c r="K70" s="13">
        <v>3.5442012419574634E-2</v>
      </c>
      <c r="L70" s="13">
        <v>1.1378112459124658E-2</v>
      </c>
      <c r="M70" s="13">
        <v>4.182517343742145E-8</v>
      </c>
      <c r="N70" s="347"/>
      <c r="O70" s="13">
        <v>3.9378304723659767E-2</v>
      </c>
      <c r="P70" s="13">
        <v>1.0779238157639742E-2</v>
      </c>
      <c r="Q70" s="13">
        <v>4.7053527492014669E-8</v>
      </c>
      <c r="R70" s="347"/>
      <c r="S70" s="13">
        <v>4.4065398809730975E-2</v>
      </c>
      <c r="T70" s="13">
        <v>1.0108267754288913E-2</v>
      </c>
      <c r="U70" s="13">
        <v>5.3415367431078254E-8</v>
      </c>
      <c r="V70" s="347"/>
      <c r="W70" s="13">
        <v>4.9713146411299237E-2</v>
      </c>
      <c r="X70" s="13">
        <v>9.325093152129869E-3</v>
      </c>
      <c r="Y70" s="13">
        <v>6.1190841795761488E-8</v>
      </c>
      <c r="Z70" s="347"/>
      <c r="AA70" s="13">
        <v>5.6555557241232693E-2</v>
      </c>
      <c r="AB70" s="13">
        <v>8.3930205489004782E-3</v>
      </c>
      <c r="AC70" s="13">
        <v>7.0673170600086614E-8</v>
      </c>
      <c r="AD70" s="347"/>
      <c r="AE70" s="13">
        <v>6.4829196992163204E-2</v>
      </c>
      <c r="AF70" s="13">
        <v>7.2969458548747899E-3</v>
      </c>
      <c r="AG70" s="13">
        <v>8.2115088174266553E-8</v>
      </c>
      <c r="AH70" s="347"/>
      <c r="AI70" s="13">
        <v>7.4636508318941253E-2</v>
      </c>
      <c r="AJ70" s="13">
        <v>6.0633319667276597E-3</v>
      </c>
      <c r="AK70" s="13">
        <v>9.5605764966491321E-8</v>
      </c>
      <c r="AL70" s="347"/>
      <c r="AM70" s="13">
        <v>8.5963631674345231E-2</v>
      </c>
      <c r="AN70" s="13">
        <v>4.7745942171606047E-3</v>
      </c>
      <c r="AO70" s="13">
        <v>1.1109592686078878E-7</v>
      </c>
      <c r="AP70" s="347"/>
      <c r="AQ70" s="13">
        <v>9.8778658709711933E-2</v>
      </c>
      <c r="AR70" s="13">
        <v>3.5550438196193684E-3</v>
      </c>
      <c r="AS70" s="13">
        <v>1.2858759310194155E-7</v>
      </c>
      <c r="AT70" s="347"/>
      <c r="AU70">
        <v>0.13092100703593645</v>
      </c>
      <c r="AV70">
        <v>1.7743223845301003E-3</v>
      </c>
      <c r="AW70">
        <v>1.7315240945242488E-7</v>
      </c>
      <c r="AX70" s="347"/>
      <c r="AY70">
        <v>0.15290800500158769</v>
      </c>
      <c r="AZ70">
        <v>1.3040949228751225E-3</v>
      </c>
      <c r="BA70">
        <v>2.0462986274183387E-7</v>
      </c>
      <c r="BB70" s="347"/>
      <c r="BC70">
        <v>0.18417212655348764</v>
      </c>
      <c r="BD70">
        <v>1.1876832803427832E-3</v>
      </c>
      <c r="BE70">
        <v>2.5057407420308055E-7</v>
      </c>
      <c r="BF70" s="347"/>
      <c r="BG70">
        <v>4.3894961985911057E-2</v>
      </c>
      <c r="BH70">
        <v>2.9193037747982249E-6</v>
      </c>
      <c r="BV70" s="328">
        <v>399</v>
      </c>
      <c r="BW70" t="e">
        <f>J79-Z79-AA79</f>
        <v>#DIV/0!</v>
      </c>
      <c r="BY70">
        <f t="shared" si="8"/>
        <v>39.9</v>
      </c>
      <c r="BZ70">
        <f>T82*(S49+T49+U49-W49-X49-Y49)/0.25+BZ69</f>
        <v>16.374267456063656</v>
      </c>
      <c r="CA70">
        <f t="shared" si="7"/>
        <v>25681.372300761683</v>
      </c>
    </row>
    <row r="71" spans="1:79">
      <c r="A71" s="344" t="s">
        <v>38</v>
      </c>
      <c r="B71" t="s">
        <v>17</v>
      </c>
      <c r="C71" s="79">
        <v>8.6891936788997901E-3</v>
      </c>
      <c r="D71" s="348">
        <v>1.5719952462519599E-9</v>
      </c>
      <c r="E71" s="13"/>
      <c r="F71" s="347"/>
      <c r="G71" s="13">
        <v>8.6833345550950524E-3</v>
      </c>
      <c r="H71" s="13">
        <v>2.5201116210890925E-9</v>
      </c>
      <c r="I71" s="13"/>
      <c r="J71" s="347"/>
      <c r="K71" s="13">
        <v>4.0827850252800467E-2</v>
      </c>
      <c r="L71" s="13">
        <v>7.9742565902069882E-3</v>
      </c>
      <c r="M71" s="13">
        <v>2.9064268148046797E-9</v>
      </c>
      <c r="N71" s="347"/>
      <c r="O71" s="13">
        <v>4.6199619849264559E-2</v>
      </c>
      <c r="P71" s="13">
        <v>7.1593904409392216E-3</v>
      </c>
      <c r="Q71" s="13">
        <v>3.3707055889123876E-9</v>
      </c>
      <c r="R71" s="347"/>
      <c r="S71" s="13">
        <v>5.2287833541833924E-2</v>
      </c>
      <c r="T71" s="13">
        <v>6.2642400141104991E-3</v>
      </c>
      <c r="U71" s="13">
        <v>3.9215075032849018E-9</v>
      </c>
      <c r="V71" s="347"/>
      <c r="W71" s="13">
        <v>5.903687274384143E-2</v>
      </c>
      <c r="X71" s="13">
        <v>5.2711460136846307E-3</v>
      </c>
      <c r="Y71" s="13">
        <v>4.5588090042895204E-9</v>
      </c>
      <c r="Z71" s="347"/>
      <c r="AA71" s="13">
        <v>6.6249229813926738E-2</v>
      </c>
      <c r="AB71" s="13">
        <v>4.1954494146806192E-3</v>
      </c>
      <c r="AC71" s="13">
        <v>5.2669014615524294E-9</v>
      </c>
      <c r="AD71" s="347"/>
      <c r="AE71" s="13">
        <v>7.3658586926849567E-2</v>
      </c>
      <c r="AF71" s="13">
        <v>3.1043298658955361E-3</v>
      </c>
      <c r="AG71" s="13">
        <v>6.0156759039754267E-9</v>
      </c>
      <c r="AH71" s="347"/>
      <c r="AI71" s="13">
        <v>8.1008789324057182E-2</v>
      </c>
      <c r="AJ71" s="13">
        <v>2.1061739090090731E-3</v>
      </c>
      <c r="AK71" s="13">
        <v>6.7737084412039695E-9</v>
      </c>
      <c r="AL71" s="347"/>
      <c r="AM71" s="13">
        <v>8.8416125856842775E-2</v>
      </c>
      <c r="AN71" s="13">
        <v>1.302913104771806E-3</v>
      </c>
      <c r="AO71" s="13">
        <v>7.5417839265779347E-9</v>
      </c>
      <c r="AP71" s="347"/>
      <c r="AQ71" s="13">
        <v>9.6507642523877613E-2</v>
      </c>
      <c r="AR71" s="13">
        <v>7.3848939474647091E-4</v>
      </c>
      <c r="AS71" s="13">
        <v>8.3747105005797172E-9</v>
      </c>
      <c r="AT71" s="347"/>
      <c r="AU71">
        <v>0.11906282061795105</v>
      </c>
      <c r="AV71">
        <v>1.98120892109558E-4</v>
      </c>
      <c r="AW71">
        <v>1.0696603489683186E-8</v>
      </c>
      <c r="AX71" s="347"/>
      <c r="AY71">
        <v>0.13746541439597737</v>
      </c>
      <c r="AZ71">
        <v>1.040876375562899E-4</v>
      </c>
      <c r="BA71">
        <v>1.2624212842030185E-8</v>
      </c>
      <c r="BB71" s="347"/>
      <c r="BC71">
        <v>0.16556630360505545</v>
      </c>
      <c r="BD71">
        <v>6.6620110127482582E-5</v>
      </c>
      <c r="BE71">
        <v>1.5640633698372282E-8</v>
      </c>
      <c r="BF71" s="347"/>
      <c r="BG71">
        <v>3.8895788704427253E-2</v>
      </c>
      <c r="BH71">
        <v>4.0856542495323501E-6</v>
      </c>
      <c r="BV71" s="328">
        <v>363.2</v>
      </c>
      <c r="BW71" t="e">
        <f>J79-AD79-AE79</f>
        <v>#DIV/0!</v>
      </c>
      <c r="BY71">
        <f t="shared" si="8"/>
        <v>36.32</v>
      </c>
      <c r="BZ71">
        <f>X82*(W49+X49+Y49-AA49-AB49-AC49)/0.25+BZ70</f>
        <v>19.398351217726294</v>
      </c>
      <c r="CA71">
        <f t="shared" si="7"/>
        <v>30424.339957808617</v>
      </c>
    </row>
    <row r="72" spans="1:79">
      <c r="A72" s="344" t="s">
        <v>39</v>
      </c>
      <c r="B72" t="s">
        <v>17</v>
      </c>
      <c r="C72" s="79">
        <v>7.3770371543029831E-3</v>
      </c>
      <c r="D72" s="348">
        <v>1.5714152780818769E-10</v>
      </c>
      <c r="E72" s="13"/>
      <c r="F72" s="347"/>
      <c r="G72" s="13">
        <v>7.3720647839838312E-3</v>
      </c>
      <c r="H72" s="13">
        <v>3.0391174056209392E-10</v>
      </c>
      <c r="I72" s="13"/>
      <c r="J72" s="347"/>
      <c r="K72" s="13">
        <v>8.5818367545069468E-2</v>
      </c>
      <c r="L72" s="13">
        <v>5.6457003582881691E-3</v>
      </c>
      <c r="M72" s="13">
        <v>3.2387126068876674E-10</v>
      </c>
      <c r="N72" s="347"/>
      <c r="O72" s="13">
        <v>8.8499230839520437E-2</v>
      </c>
      <c r="P72" s="13">
        <v>4.0907851054121135E-3</v>
      </c>
      <c r="Q72" s="13">
        <v>3.3923268251577266E-10</v>
      </c>
      <c r="R72" s="347"/>
      <c r="S72" s="13">
        <v>8.9994603005541796E-2</v>
      </c>
      <c r="T72" s="13">
        <v>2.8282034782602856E-3</v>
      </c>
      <c r="U72" s="13">
        <v>3.5225465474236835E-10</v>
      </c>
      <c r="V72" s="347"/>
      <c r="W72" s="13">
        <v>9.0384019546051644E-2</v>
      </c>
      <c r="X72" s="13">
        <v>1.8396674623860816E-3</v>
      </c>
      <c r="Y72" s="13">
        <v>3.6225521805307006E-10</v>
      </c>
      <c r="Z72" s="347"/>
      <c r="AA72" s="13">
        <v>9.004814216239504E-2</v>
      </c>
      <c r="AB72" s="13">
        <v>1.1098529709699684E-3</v>
      </c>
      <c r="AC72" s="13">
        <v>3.6935207816931885E-10</v>
      </c>
      <c r="AD72" s="347"/>
      <c r="AE72" s="13">
        <v>8.9744978033876599E-2</v>
      </c>
      <c r="AF72" s="13">
        <v>6.1329600232854593E-4</v>
      </c>
      <c r="AG72" s="13">
        <v>3.748816819148406E-10</v>
      </c>
      <c r="AH72" s="347"/>
      <c r="AI72" s="13">
        <v>9.0290376242097431E-2</v>
      </c>
      <c r="AJ72" s="13">
        <v>3.0781458044747438E-4</v>
      </c>
      <c r="AK72" s="13">
        <v>3.8129657778551521E-10</v>
      </c>
      <c r="AL72" s="347"/>
      <c r="AM72" s="13">
        <v>9.251728158561949E-2</v>
      </c>
      <c r="AN72" s="13">
        <v>1.3967514922989249E-4</v>
      </c>
      <c r="AO72" s="13">
        <v>3.916775339208117E-10</v>
      </c>
      <c r="AP72" s="347"/>
      <c r="AQ72" s="13">
        <v>9.7156868134284743E-2</v>
      </c>
      <c r="AR72" s="13">
        <v>5.731525002560504E-5</v>
      </c>
      <c r="AS72" s="13">
        <v>4.0935054728591774E-10</v>
      </c>
      <c r="AT72" s="347"/>
      <c r="AU72">
        <v>0.11611458102118172</v>
      </c>
      <c r="AV72">
        <v>7.5170966958685484E-6</v>
      </c>
      <c r="AW72">
        <v>4.8066755932124882E-10</v>
      </c>
      <c r="AX72" s="347"/>
      <c r="AY72">
        <v>0.13361246813024716</v>
      </c>
      <c r="AZ72">
        <v>2.6509141666763489E-6</v>
      </c>
      <c r="BA72">
        <v>5.5020896979757977E-10</v>
      </c>
      <c r="BB72" s="347"/>
      <c r="BC72">
        <v>0.1607921979387483</v>
      </c>
      <c r="BD72">
        <v>1.1071411836336784E-6</v>
      </c>
      <c r="BE72">
        <v>6.6436627897058658E-10</v>
      </c>
      <c r="BF72" s="347"/>
      <c r="BG72">
        <v>3.7544901226849829E-2</v>
      </c>
      <c r="BH72">
        <v>1.4702901607349553E-5</v>
      </c>
      <c r="BV72" s="328">
        <v>327.39999999999998</v>
      </c>
      <c r="BW72" t="e">
        <f>J79-AH79-AI79</f>
        <v>#DIV/0!</v>
      </c>
      <c r="BY72">
        <f t="shared" si="8"/>
        <v>32.739999999999995</v>
      </c>
      <c r="BZ72">
        <f>AB82*(AA49+AB49+AC49-AE49-AF49-AG49)/0.25+BZ71</f>
        <v>22.574292700822465</v>
      </c>
      <c r="CA72">
        <f t="shared" si="7"/>
        <v>35405.480998266095</v>
      </c>
    </row>
    <row r="73" spans="1:79">
      <c r="A73" s="344" t="s">
        <v>40</v>
      </c>
      <c r="B73" t="s">
        <v>17</v>
      </c>
      <c r="C73" s="13"/>
      <c r="D73" s="13"/>
      <c r="E73" s="13"/>
      <c r="F73" s="347"/>
      <c r="G73" s="13"/>
      <c r="H73" s="13"/>
      <c r="I73" s="13"/>
      <c r="J73" s="347"/>
      <c r="K73" s="13"/>
      <c r="L73" s="13"/>
      <c r="M73" s="13"/>
      <c r="N73" s="347"/>
      <c r="O73" s="13"/>
      <c r="P73" s="13"/>
      <c r="Q73" s="13"/>
      <c r="R73" s="347"/>
      <c r="S73" s="13"/>
      <c r="T73" s="13"/>
      <c r="U73" s="13"/>
      <c r="V73" s="347"/>
      <c r="W73" s="13"/>
      <c r="X73" s="13"/>
      <c r="Y73" s="13"/>
      <c r="Z73" s="347"/>
      <c r="AA73" s="13"/>
      <c r="AB73" s="13"/>
      <c r="AC73" s="13"/>
      <c r="AD73" s="347"/>
      <c r="AE73" s="13"/>
      <c r="AF73" s="13"/>
      <c r="AG73" s="13"/>
      <c r="AH73" s="347"/>
      <c r="AI73" s="13"/>
      <c r="AJ73" s="13"/>
      <c r="AK73" s="13"/>
      <c r="AL73" s="347"/>
      <c r="AM73" s="13"/>
      <c r="AN73" s="13"/>
      <c r="AO73" s="13"/>
      <c r="AP73" s="347"/>
      <c r="AQ73" s="13"/>
      <c r="AR73" s="13"/>
      <c r="AS73" s="13"/>
      <c r="AT73" s="347"/>
      <c r="AX73" s="347"/>
      <c r="BB73" s="347"/>
      <c r="BF73" s="347"/>
      <c r="BV73" s="328">
        <v>291.60000000000002</v>
      </c>
      <c r="BW73" t="e">
        <f>J79-AL79-AM79</f>
        <v>#DIV/0!</v>
      </c>
      <c r="BY73">
        <f t="shared" si="8"/>
        <v>29.160000000000004</v>
      </c>
      <c r="BZ73">
        <f>AF82*(AE49+AF49+AG49-AI49-AJ49-AK49)/0.25+BZ72</f>
        <v>25.877340411961615</v>
      </c>
      <c r="CA73">
        <f t="shared" si="7"/>
        <v>40585.975223400455</v>
      </c>
    </row>
    <row r="74" spans="1:79">
      <c r="A74" s="344" t="s">
        <v>41</v>
      </c>
      <c r="B74" t="s">
        <v>17</v>
      </c>
      <c r="C74" s="13"/>
      <c r="D74" s="13"/>
      <c r="E74" s="13"/>
      <c r="F74" s="347"/>
      <c r="G74" s="13"/>
      <c r="H74" s="13"/>
      <c r="I74" s="13"/>
      <c r="J74" s="347"/>
      <c r="K74" s="13"/>
      <c r="L74" s="13"/>
      <c r="M74" s="13"/>
      <c r="N74" s="347"/>
      <c r="O74" s="13"/>
      <c r="P74" s="13"/>
      <c r="Q74" s="13"/>
      <c r="R74" s="347"/>
      <c r="S74" s="13"/>
      <c r="T74" s="13"/>
      <c r="U74" s="13"/>
      <c r="V74" s="347"/>
      <c r="W74" s="13"/>
      <c r="X74" s="13"/>
      <c r="Y74" s="13"/>
      <c r="Z74" s="347"/>
      <c r="AA74" s="13"/>
      <c r="AB74" s="13"/>
      <c r="AC74" s="13"/>
      <c r="AD74" s="347"/>
      <c r="AE74" s="13"/>
      <c r="AF74" s="13"/>
      <c r="AG74" s="13"/>
      <c r="AH74" s="347"/>
      <c r="AI74" s="13"/>
      <c r="AJ74" s="13"/>
      <c r="AK74" s="13"/>
      <c r="AL74" s="347"/>
      <c r="AM74" s="13">
        <f>AM49/($AM$9+$AN$9+$AO$9)</f>
        <v>2.7676903567844377E-4</v>
      </c>
      <c r="AN74" s="13">
        <f>AN49/($AM$9+$AN$9+$AO$9)</f>
        <v>2.3086584333803163E-3</v>
      </c>
      <c r="AO74" s="13">
        <f>AO49/($AM$9+$AN$9+$AO$9)</f>
        <v>1.2621721944636141E-2</v>
      </c>
      <c r="AP74" s="347"/>
      <c r="AQ74" s="13">
        <f>AQ49/($AQ$9+$AR$9+$AS$9)</f>
        <v>2.5725243778681144E-4</v>
      </c>
      <c r="AR74" s="13">
        <f>AR49/($AQ$9+$AR$9+$AS$9)</f>
        <v>1.9707682246093575E-3</v>
      </c>
      <c r="AS74" s="13">
        <f>AS49/($AQ$9+$AR$9+$AS$9)</f>
        <v>1.2238200340813171E-2</v>
      </c>
      <c r="AT74" s="347"/>
      <c r="AX74" s="347"/>
      <c r="BB74" s="347"/>
      <c r="BF74" s="347"/>
      <c r="BV74" s="328">
        <v>255.8</v>
      </c>
      <c r="BW74" t="e">
        <f>J79-AP79-AQ79</f>
        <v>#DIV/0!</v>
      </c>
      <c r="BY74">
        <f t="shared" si="8"/>
        <v>25.580000000000002</v>
      </c>
      <c r="BZ74">
        <f>AJ82*(AI49+AJ49+AK49-AM49-AN49-AO49)/0.25+BZ73</f>
        <v>29.257860259273805</v>
      </c>
      <c r="CA74">
        <f t="shared" si="7"/>
        <v>45887.976610753445</v>
      </c>
    </row>
    <row r="75" spans="1:79">
      <c r="A75" s="344" t="s">
        <v>42</v>
      </c>
      <c r="B75" t="s">
        <v>17</v>
      </c>
      <c r="C75" s="13"/>
      <c r="D75" s="13"/>
      <c r="E75" s="13"/>
      <c r="F75" s="347"/>
      <c r="G75" s="13"/>
      <c r="H75" s="13"/>
      <c r="I75" s="13"/>
      <c r="J75" s="347"/>
      <c r="K75" s="13"/>
      <c r="L75" s="13"/>
      <c r="M75" s="13"/>
      <c r="N75" s="347"/>
      <c r="O75" s="13"/>
      <c r="P75" s="13"/>
      <c r="Q75" s="13"/>
      <c r="R75" s="347"/>
      <c r="S75" s="13"/>
      <c r="T75" s="13"/>
      <c r="U75" s="13"/>
      <c r="V75" s="347"/>
      <c r="W75" s="13"/>
      <c r="X75" s="13"/>
      <c r="Y75" s="13"/>
      <c r="Z75" s="347"/>
      <c r="AA75" s="13"/>
      <c r="AB75" s="13"/>
      <c r="AC75" s="13"/>
      <c r="AD75" s="347"/>
      <c r="AE75" s="13"/>
      <c r="AF75" s="13"/>
      <c r="AG75" s="13"/>
      <c r="AH75" s="347"/>
      <c r="AI75" s="13"/>
      <c r="AJ75" s="13"/>
      <c r="AK75" s="13"/>
      <c r="AL75" s="347"/>
      <c r="AM75" s="13"/>
      <c r="AN75" s="13"/>
      <c r="AO75" s="13"/>
      <c r="AP75" s="347"/>
      <c r="AQ75" s="13"/>
      <c r="AR75" s="13"/>
      <c r="AS75" s="13"/>
      <c r="AT75" s="347"/>
      <c r="AX75" s="347"/>
      <c r="BB75" s="347"/>
      <c r="BF75" s="347"/>
      <c r="BV75" s="360">
        <v>220</v>
      </c>
      <c r="BW75" t="e">
        <f>F79-AT79-AU79</f>
        <v>#DIV/0!</v>
      </c>
      <c r="BY75">
        <f t="shared" si="8"/>
        <v>22</v>
      </c>
      <c r="BZ75">
        <f>AN82*(AM49+AN49+AO49-AQ49-AR49-AS49)/0.25+BZ74</f>
        <v>32.645972154472148</v>
      </c>
      <c r="CA75">
        <f t="shared" si="7"/>
        <v>51201.885352668265</v>
      </c>
    </row>
    <row r="76" spans="1:79">
      <c r="A76" s="344" t="s">
        <v>43</v>
      </c>
      <c r="B76" t="s">
        <v>17</v>
      </c>
      <c r="C76" s="13"/>
      <c r="D76" s="13"/>
      <c r="E76" s="13"/>
      <c r="F76" s="347"/>
      <c r="G76" s="13"/>
      <c r="H76" s="13"/>
      <c r="I76" s="13"/>
      <c r="J76" s="347"/>
      <c r="K76" s="13"/>
      <c r="L76" s="13"/>
      <c r="M76" s="13"/>
      <c r="N76" s="347"/>
      <c r="O76" s="13"/>
      <c r="P76" s="13"/>
      <c r="Q76" s="13"/>
      <c r="R76" s="347"/>
      <c r="S76" s="13"/>
      <c r="T76" s="13"/>
      <c r="U76" s="13"/>
      <c r="V76" s="347"/>
      <c r="W76" s="13"/>
      <c r="X76" s="13"/>
      <c r="Y76" s="13"/>
      <c r="Z76" s="347"/>
      <c r="AA76" s="13"/>
      <c r="AB76" s="13"/>
      <c r="AC76" s="13"/>
      <c r="AD76" s="347"/>
      <c r="AE76" s="13"/>
      <c r="AF76" s="13"/>
      <c r="AG76" s="13"/>
      <c r="AH76" s="347"/>
      <c r="AI76" s="13"/>
      <c r="AJ76" s="13"/>
      <c r="AK76" s="13"/>
      <c r="AL76" s="347"/>
      <c r="AM76" s="13"/>
      <c r="AN76" s="13"/>
      <c r="AO76" s="13"/>
      <c r="AP76" s="347"/>
      <c r="AQ76" s="13"/>
      <c r="AR76" s="13"/>
      <c r="AS76" s="13"/>
      <c r="AT76" s="347"/>
      <c r="AX76" s="347"/>
      <c r="BB76" s="347"/>
      <c r="BF76" s="347"/>
      <c r="BV76" s="360">
        <v>184.2</v>
      </c>
      <c r="BW76" t="e">
        <f>J79-AX79-AY79</f>
        <v>#DIV/0!</v>
      </c>
      <c r="BY76">
        <f t="shared" si="8"/>
        <v>18.419999999999998</v>
      </c>
      <c r="BZ76">
        <f>AR82*(AQ49+AR49+AS49-AU49-AV49-AW49)/0.25+BZ75</f>
        <v>35.96401083007823</v>
      </c>
      <c r="CA76">
        <f t="shared" si="7"/>
        <v>56405.891380126341</v>
      </c>
    </row>
    <row r="77" spans="1:79">
      <c r="A77" s="344" t="s">
        <v>44</v>
      </c>
      <c r="B77" t="s">
        <v>17</v>
      </c>
      <c r="C77" s="13"/>
      <c r="D77" s="13"/>
      <c r="E77" s="13"/>
      <c r="F77" s="347"/>
      <c r="G77" s="13"/>
      <c r="H77" s="13"/>
      <c r="I77" s="13"/>
      <c r="J77" s="347"/>
      <c r="K77" s="13"/>
      <c r="L77" s="13"/>
      <c r="M77" s="13"/>
      <c r="N77" s="347"/>
      <c r="O77" s="13"/>
      <c r="P77" s="13"/>
      <c r="Q77" s="13"/>
      <c r="R77" s="347"/>
      <c r="S77" s="13"/>
      <c r="T77" s="13"/>
      <c r="U77" s="13"/>
      <c r="V77" s="347"/>
      <c r="W77" s="13"/>
      <c r="X77" s="13"/>
      <c r="Y77" s="13"/>
      <c r="Z77" s="347"/>
      <c r="AA77" s="13"/>
      <c r="AB77" s="13"/>
      <c r="AC77" s="13"/>
      <c r="AD77" s="347"/>
      <c r="AE77" s="13"/>
      <c r="AF77" s="13"/>
      <c r="AG77" s="13"/>
      <c r="AH77" s="347"/>
      <c r="AI77" s="13"/>
      <c r="AJ77" s="13"/>
      <c r="AK77" s="13"/>
      <c r="AL77" s="347"/>
      <c r="AM77" s="13"/>
      <c r="AN77" s="13"/>
      <c r="AO77" s="13"/>
      <c r="AP77" s="347"/>
      <c r="AQ77" s="13"/>
      <c r="AR77" s="13"/>
      <c r="AS77" s="13"/>
      <c r="AT77" s="347"/>
      <c r="AX77" s="347"/>
      <c r="BB77" s="347"/>
      <c r="BF77" s="347"/>
      <c r="BV77" s="360">
        <v>112.6</v>
      </c>
      <c r="BW77" t="e">
        <f>J79-BB79-BC79</f>
        <v>#DIV/0!</v>
      </c>
      <c r="BY77">
        <f t="shared" si="8"/>
        <v>11.26</v>
      </c>
      <c r="BZ77">
        <f>AV82*(AU49+AV49+AW49-AY49-AZ49-BA49)/0.25+BZ76</f>
        <v>41.904505028551732</v>
      </c>
      <c r="CA77">
        <f t="shared" si="7"/>
        <v>65722.952040755612</v>
      </c>
    </row>
    <row r="78" spans="1:79">
      <c r="A78" s="344" t="s">
        <v>45</v>
      </c>
      <c r="B78" t="s">
        <v>17</v>
      </c>
      <c r="F78" s="345"/>
      <c r="J78" s="345"/>
      <c r="N78" s="345"/>
      <c r="R78" s="345"/>
      <c r="V78" s="345"/>
      <c r="Z78" s="345"/>
      <c r="AD78" s="345"/>
      <c r="AH78" s="345"/>
      <c r="AL78" s="345"/>
      <c r="AP78" s="345"/>
      <c r="AT78" s="345"/>
      <c r="AX78" s="345"/>
      <c r="BB78" s="345"/>
      <c r="BF78" s="345"/>
      <c r="BV78" s="360">
        <v>76.8</v>
      </c>
      <c r="BW78" t="e">
        <f>J79-BF79-BG79</f>
        <v>#DIV/0!</v>
      </c>
      <c r="BY78">
        <f t="shared" si="8"/>
        <v>7.68</v>
      </c>
      <c r="BZ78">
        <f>AZ82*(AY49+AZ49+BA49-BC49-BD49-BE49)/0.25+BZ77</f>
        <v>44.919419670681549</v>
      </c>
      <c r="CA78">
        <f t="shared" si="7"/>
        <v>70451.538866841758</v>
      </c>
    </row>
    <row r="79" spans="1:79">
      <c r="A79" s="344" t="s">
        <v>225</v>
      </c>
      <c r="C79" s="13" t="e">
        <f>SUM(C65:C72)*C49/$P$85</f>
        <v>#DIV/0!</v>
      </c>
      <c r="D79" s="13" t="e">
        <f>SUM(D65:D72)*D49/$P$85</f>
        <v>#DIV/0!</v>
      </c>
      <c r="F79" s="345"/>
      <c r="G79" s="13" t="e">
        <f>SUM(G65:G72)*G49/$P$85</f>
        <v>#DIV/0!</v>
      </c>
      <c r="H79" s="13" t="e">
        <f>SUM(H65:H72)*H49/$P$85</f>
        <v>#DIV/0!</v>
      </c>
      <c r="I79" s="13"/>
      <c r="J79" s="345"/>
      <c r="K79" s="13" t="e">
        <f>SUM(K65:K72)*K49/$P$85</f>
        <v>#DIV/0!</v>
      </c>
      <c r="L79" s="13" t="e">
        <f>SUM(L65:L72)*L49/$P$85</f>
        <v>#DIV/0!</v>
      </c>
      <c r="M79" s="13" t="e">
        <f>SUM(M65:M72)*M49/$P$85</f>
        <v>#DIV/0!</v>
      </c>
      <c r="N79" s="345"/>
      <c r="O79" s="13" t="e">
        <f>SUM(O65:O72)*O49/$P$85</f>
        <v>#DIV/0!</v>
      </c>
      <c r="P79" s="13" t="e">
        <f>SUM(P65:P72)*P49/$P$85</f>
        <v>#DIV/0!</v>
      </c>
      <c r="Q79" s="13" t="e">
        <f>SUM(Q65:Q72)*Q49/$P$85</f>
        <v>#DIV/0!</v>
      </c>
      <c r="R79" s="345"/>
      <c r="S79" s="13" t="e">
        <f>SUM(S65:S72)*S49/$P$85</f>
        <v>#DIV/0!</v>
      </c>
      <c r="T79" s="13" t="e">
        <f>SUM(T65:T72)*T49/$P$85</f>
        <v>#DIV/0!</v>
      </c>
      <c r="U79" s="13" t="e">
        <f>SUM(U65:U72)*U49/$P$85</f>
        <v>#DIV/0!</v>
      </c>
      <c r="V79" s="345"/>
      <c r="W79" s="13" t="e">
        <f>SUM(W65:W72)*W49/$P$85</f>
        <v>#DIV/0!</v>
      </c>
      <c r="X79" s="13" t="e">
        <f>SUM(X65:X72)*X49/$P$85</f>
        <v>#DIV/0!</v>
      </c>
      <c r="Y79" s="13" t="e">
        <f>SUM(Y65:Y72)*Y49/$P$85</f>
        <v>#DIV/0!</v>
      </c>
      <c r="Z79" s="345"/>
      <c r="AA79" s="13" t="e">
        <f>SUM(AA65:AA72)*AA49/$P$85</f>
        <v>#DIV/0!</v>
      </c>
      <c r="AB79" s="13" t="e">
        <f>SUM(AB65:AB72)*AB49/$P$85</f>
        <v>#DIV/0!</v>
      </c>
      <c r="AC79" s="13" t="e">
        <f>SUM(AC65:AC72)*AC49/$P$85</f>
        <v>#DIV/0!</v>
      </c>
      <c r="AD79" s="345"/>
      <c r="AE79" s="13" t="e">
        <f>SUM(AE65:AE72)*AE49/$P$85</f>
        <v>#DIV/0!</v>
      </c>
      <c r="AF79" s="13" t="e">
        <f>SUM(AF65:AF72)*AF49/$P$85</f>
        <v>#DIV/0!</v>
      </c>
      <c r="AG79" s="13" t="e">
        <f>SUM(AG65:AG72)*AG49/$P$85</f>
        <v>#DIV/0!</v>
      </c>
      <c r="AH79" s="345"/>
      <c r="AI79" s="13" t="e">
        <f>SUM(AI65:AI72)*AI49/$P$85</f>
        <v>#DIV/0!</v>
      </c>
      <c r="AJ79" s="13" t="e">
        <f>SUM(AJ65:AJ72)*AJ49/$P$85</f>
        <v>#DIV/0!</v>
      </c>
      <c r="AK79" s="13" t="e">
        <f>SUM(AK65:AK72)*AK49/$P$85</f>
        <v>#DIV/0!</v>
      </c>
      <c r="AL79" s="345"/>
      <c r="AM79" s="13" t="e">
        <f>SUM(AM65:AM72)*AM49/$P$85</f>
        <v>#DIV/0!</v>
      </c>
      <c r="AN79" s="13" t="e">
        <f>SUM(AN65:AN72)*AN49/$P$85</f>
        <v>#DIV/0!</v>
      </c>
      <c r="AO79" s="13" t="e">
        <f>SUM(AO65:AO72)*AO49/$P$85</f>
        <v>#DIV/0!</v>
      </c>
      <c r="AP79" s="345"/>
      <c r="AQ79" s="13" t="e">
        <f>SUM(AQ65:AQ72)*AQ49/$P$85</f>
        <v>#DIV/0!</v>
      </c>
      <c r="AR79" s="13" t="e">
        <f>SUM(AR65:AR72)*AR49/$P$85</f>
        <v>#DIV/0!</v>
      </c>
      <c r="AS79" s="13" t="e">
        <f>SUM(AS65:AS72)*AS49/$P$85</f>
        <v>#DIV/0!</v>
      </c>
      <c r="AT79" s="345"/>
      <c r="AU79" s="13" t="e">
        <f>SUM(AU65:AU72)*AU49/$P$85</f>
        <v>#DIV/0!</v>
      </c>
      <c r="AV79" s="13" t="e">
        <f>SUM(AV65:AV72)*AV49/$P$85</f>
        <v>#DIV/0!</v>
      </c>
      <c r="AW79" s="13" t="e">
        <f>SUM(AW65:AW72)*AW49/$P$85</f>
        <v>#DIV/0!</v>
      </c>
      <c r="AX79" s="345"/>
      <c r="AY79" s="13" t="e">
        <f>SUM(AY65:AY72)*AY49/$P$85</f>
        <v>#DIV/0!</v>
      </c>
      <c r="AZ79" s="13" t="e">
        <f>SUM(AZ65:AZ72)*AZ49/$P$85</f>
        <v>#DIV/0!</v>
      </c>
      <c r="BA79" s="13" t="e">
        <f>SUM(BA65:BA72)*BA49/$P$85</f>
        <v>#DIV/0!</v>
      </c>
      <c r="BB79" s="345"/>
      <c r="BC79" s="13" t="e">
        <f>SUM(BC65:BC72)*BC49/$P$85</f>
        <v>#DIV/0!</v>
      </c>
      <c r="BD79" s="13" t="e">
        <f>SUM(BD65:BD72)*BD49/$P$85</f>
        <v>#DIV/0!</v>
      </c>
      <c r="BE79" s="13" t="e">
        <f>SUM(BE65:BE72)*BE49/$P$85</f>
        <v>#DIV/0!</v>
      </c>
      <c r="BF79" s="345"/>
      <c r="BG79" s="13" t="e">
        <f>SUM(BG65:BG72)*BG49/$P$85</f>
        <v>#DIV/0!</v>
      </c>
      <c r="BH79" s="13" t="e">
        <f>SUM(BH65:BH72)*BH49/$P$85</f>
        <v>#DIV/0!</v>
      </c>
      <c r="BI79" s="13"/>
      <c r="BV79" s="360">
        <v>41</v>
      </c>
      <c r="BY79">
        <f t="shared" si="8"/>
        <v>4.0999999999999996</v>
      </c>
      <c r="BZ79">
        <f>BD82*(BC49+BD49+BE49-BG49-BH49)/0.25+BZ78</f>
        <v>48.405614661515621</v>
      </c>
      <c r="CA79">
        <f t="shared" si="7"/>
        <v>75919.280963573285</v>
      </c>
    </row>
    <row r="80" spans="1:79">
      <c r="A80" s="344" t="s">
        <v>226</v>
      </c>
      <c r="C80" t="e">
        <f>(C65*$BL$8+C66*$BL$9+$BL$10*C67+C68*$BL$11+$BL$12*C69+C70*$BL$13+$BL$14*C71+C72*$BL$15)/0.02404/(1-C79)*C49/$P$85</f>
        <v>#DIV/0!</v>
      </c>
      <c r="D80" t="e">
        <f>(D65*$BL$8+D66*$BL$9+$BL$10*D67+D68*$BL$11+$BL$12*D69+D70*$BL$13+$BL$14*D71+D72*$BL$15)/0.02404/(1-D79)*D49/$P$85</f>
        <v>#DIV/0!</v>
      </c>
      <c r="F80" s="345"/>
      <c r="G80" t="e">
        <f>(G65*$BL$8+G66*$BL$9+$BL$10*G67+G68*$BL$11+$BL$12*G69+G70*$BL$13+$BL$14*G71+G72*$BL$15)/0.02404/(1-G79)*G49/$P$85</f>
        <v>#DIV/0!</v>
      </c>
      <c r="H80" t="e">
        <f>(H65*$BL$8+H66*$BL$9+$BL$10*H67+H68*$BL$11+$BL$12*H69+H70*$BL$13+$BL$14*H71+H72*$BL$15)/0.02404/(1-H79)*H49/$P$85</f>
        <v>#DIV/0!</v>
      </c>
      <c r="J80" s="345"/>
      <c r="K80" t="e">
        <f>(K65*$BL$8+K66*$BL$9+$BL$10*K67+K68*$BL$11+$BL$12*K69+K70*$BL$13+$BL$14*K71+K72*$BL$15)/0.02404/(1-K79)*K49/$P$85</f>
        <v>#DIV/0!</v>
      </c>
      <c r="L80" t="e">
        <f>(L65*$BL$8+L66*$BL$9+$BL$10*L67+L68*$BL$11+$BL$12*L69+L70*$BL$13+$BL$14*L71+L72*$BL$15)/0.02404/(1-L79)*L49/$P$85</f>
        <v>#DIV/0!</v>
      </c>
      <c r="M80" t="e">
        <f>(M65*$BL$8+M66*$BL$9+$BL$10*M67+M68*$BL$11+$BL$12*M69+M70*$BL$13+$BL$14*M71+M72*$BL$15)/0.02404/(1-M79)*M49/$P$85</f>
        <v>#DIV/0!</v>
      </c>
      <c r="N80" s="345"/>
      <c r="O80" t="e">
        <f>(O65*$BL$8+O66*$BL$9+$BL$10*O67+O68*$BL$11+$BL$12*O69+O70*$BL$13+$BL$14*O71+O72*$BL$15)/0.02404/(1-O79)*O49/$P$85</f>
        <v>#DIV/0!</v>
      </c>
      <c r="P80" t="e">
        <f>(P65*$BL$8+P66*$BL$9+$BL$10*P67+P68*$BL$11+$BL$12*P69+P70*$BL$13+$BL$14*P71+P72*$BL$15)/0.02404/(1-P79)*P49/$P$85</f>
        <v>#DIV/0!</v>
      </c>
      <c r="Q80" t="e">
        <f>(Q65*$BL$8+Q66*$BL$9+$BL$10*Q67+Q68*$BL$11+$BL$12*Q69+Q70*$BL$13+$BL$14*Q71+Q72*$BL$15)/0.02404/(1-Q79)*Q49/$P$85</f>
        <v>#DIV/0!</v>
      </c>
      <c r="R80" s="345"/>
      <c r="S80" t="e">
        <f>(S65*$BL$8+S66*$BL$9+$BL$10*S67+S68*$BL$11+$BL$12*S69+S70*$BL$13+$BL$14*S71+S72*$BL$15)/0.02404/(1-S79)*S49/$P$85</f>
        <v>#DIV/0!</v>
      </c>
      <c r="T80" t="e">
        <f>(T65*$BL$8+T66*$BL$9+$BL$10*T67+T68*$BL$11+$BL$12*T69+T70*$BL$13+$BL$14*T71+T72*$BL$15)/0.02404/(1-T79)*T49/$P$85</f>
        <v>#DIV/0!</v>
      </c>
      <c r="U80" t="e">
        <f>(U65*$BL$8+U66*$BL$9+$BL$10*U67+U68*$BL$11+$BL$12*U69+U70*$BL$13+$BL$14*U71+U72*$BL$15)/0.02404/(1-U79)*U49/$P$85</f>
        <v>#DIV/0!</v>
      </c>
      <c r="V80" s="345"/>
      <c r="W80" t="e">
        <f>(W65*$BL$8+W66*$BL$9+$BL$10*W67+W68*$BL$11+$BL$12*W69+W70*$BL$13+$BL$14*W71+W72*$BL$15)/0.02404/(1-W79)*W49/$P$85</f>
        <v>#DIV/0!</v>
      </c>
      <c r="X80" t="e">
        <f>(X65*$BL$8+X66*$BL$9+$BL$10*X67+X68*$BL$11+$BL$12*X69+X70*$BL$13+$BL$14*X71+X72*$BL$15)/0.02404/(1-X79)*X49/$P$85</f>
        <v>#DIV/0!</v>
      </c>
      <c r="Y80" t="e">
        <f>(Y65*$BL$8+Y66*$BL$9+$BL$10*Y67+Y68*$BL$11+$BL$12*Y69+Y70*$BL$13+$BL$14*Y71+Y72*$BL$15)/0.02404/(1-Y79)*Y49/$P$85</f>
        <v>#DIV/0!</v>
      </c>
      <c r="Z80" s="345"/>
      <c r="AA80" t="e">
        <f>(AA65*$BL$8+AA66*$BL$9+$BL$10*AA67+AA68*$BL$11+$BL$12*AA69+AA70*$BL$13+$BL$14*AA71+AA72*$BL$15)/0.02404/(1-AA79)*AA49/$P$85</f>
        <v>#DIV/0!</v>
      </c>
      <c r="AB80" t="e">
        <f>(AB65*$BL$8+AB66*$BL$9+$BL$10*AB67+AB68*$BL$11+$BL$12*AB69+AB70*$BL$13+$BL$14*AB71+AB72*$BL$15)/0.02404/(1-AB79)*AB49/$P$85</f>
        <v>#DIV/0!</v>
      </c>
      <c r="AC80" t="e">
        <f>(AC65*$BL$8+AC66*$BL$9+$BL$10*AC67+AC68*$BL$11+$BL$12*AC69+AC70*$BL$13+$BL$14*AC71+AC72*$BL$15)/0.02404/(1-AC79)*AC49/$P$85</f>
        <v>#DIV/0!</v>
      </c>
      <c r="AD80" s="345"/>
      <c r="AE80" t="e">
        <f>(AE65*$BL$8+AE66*$BL$9+$BL$10*AE67+AE68*$BL$11+$BL$12*AE69+AE70*$BL$13+$BL$14*AE71+AE72*$BL$15)/0.02404/(1-AE79)*AE49/$P$85</f>
        <v>#DIV/0!</v>
      </c>
      <c r="AF80" t="e">
        <f>(AF65*$BL$8+AF66*$BL$9+$BL$10*AF67+AF68*$BL$11+$BL$12*AF69+AF70*$BL$13+$BL$14*AF71+AF72*$BL$15)/0.02404/(1-AF79)*AF49/$P$85</f>
        <v>#DIV/0!</v>
      </c>
      <c r="AG80" t="e">
        <f>(AG65*$BL$8+AG66*$BL$9+$BL$10*AG67+AG68*$BL$11+$BL$12*AG69+AG70*$BL$13+$BL$14*AG71+AG72*$BL$15)/0.02404/(1-AG79)*AG49/$P$85</f>
        <v>#DIV/0!</v>
      </c>
      <c r="AH80" s="345"/>
      <c r="AI80" t="e">
        <f>(AI65*$BL$8+AI66*$BL$9+$BL$10*AI67+AI68*$BL$11+$BL$12*AI69+AI70*$BL$13+$BL$14*AI71+AI72*$BL$15)/0.02404/(1-AI79)*AI49/$P$85</f>
        <v>#DIV/0!</v>
      </c>
      <c r="AJ80" t="e">
        <f>(AJ65*$BL$8+AJ66*$BL$9+$BL$10*AJ67+AJ68*$BL$11+$BL$12*AJ69+AJ70*$BL$13+$BL$14*AJ71+AJ72*$BL$15)/0.02404/(1-AJ79)*AJ49/$P$85</f>
        <v>#DIV/0!</v>
      </c>
      <c r="AK80" t="e">
        <f>(AK65*$BL$8+AK66*$BL$9+$BL$10*AK67+AK68*$BL$11+$BL$12*AK69+AK70*$BL$13+$BL$14*AK71+AK72*$BL$15)/0.02404/(1-AK79)*AK49/$P$85</f>
        <v>#DIV/0!</v>
      </c>
      <c r="AL80" s="345"/>
      <c r="AM80" t="e">
        <f>(AM65*$BL$8+AM66*$BL$9+$BL$10*AM67+AM68*$BL$11+$BL$12*AM69+AM70*$BL$13+$BL$14*AM71+AM72*$BL$15)/0.02404/(1-AM79)*AM49/$P$85</f>
        <v>#DIV/0!</v>
      </c>
      <c r="AN80" t="e">
        <f>(AN65*$BL$8+AN66*$BL$9+$BL$10*AN67+AN68*$BL$11+$BL$12*AN69+AN70*$BL$13+$BL$14*AN71+AN72*$BL$15)/0.02404/(1-AN79)*AN49/$P$85</f>
        <v>#DIV/0!</v>
      </c>
      <c r="AO80" t="e">
        <f>(AO65*$BL$8+AO66*$BL$9+$BL$10*AO67+AO68*$BL$11+$BL$12*AO69+AO70*$BL$13+$BL$14*AO71+AO72*$BL$15)/0.02404/(1-AO79)*AO49/$P$85</f>
        <v>#DIV/0!</v>
      </c>
      <c r="AP80" s="345"/>
      <c r="AQ80" t="e">
        <f>(AQ65*$BL$8+AQ66*$BL$9+$BL$10*AQ67+AQ68*$BL$11+$BL$12*AQ69+AQ70*$BL$13+$BL$14*AQ71+AQ72*$BL$15)/0.02404/(1-AQ79)*AQ49/$P$85</f>
        <v>#DIV/0!</v>
      </c>
      <c r="AR80" t="e">
        <f>(AR65*$BL$8+AR66*$BL$9+$BL$10*AR67+AR68*$BL$11+$BL$12*AR69+AR70*$BL$13+$BL$14*AR71+AR72*$BL$15)/0.02404/(1-AR79)*AR49/$P$85</f>
        <v>#DIV/0!</v>
      </c>
      <c r="AS80" t="e">
        <f>(AS65*$BL$8+AS66*$BL$9+$BL$10*AS67+AS68*$BL$11+$BL$12*AS69+AS70*$BL$13+$BL$14*AS71+AS72*$BL$15)/0.02404/(1-AS79)*AS49/$P$85</f>
        <v>#DIV/0!</v>
      </c>
      <c r="AT80" s="345"/>
      <c r="AU80" t="e">
        <f>(AU65*$BL$8+AU66*$BL$9+$BL$10*AU67+AU68*$BL$11+$BL$12*AU69+AU70*$BL$13+$BL$14*AU71+AU72*$BL$15)/0.02404/(1-AU79)*AU49/$P$85</f>
        <v>#DIV/0!</v>
      </c>
      <c r="AV80" t="e">
        <f>(AV65*$BL$8+AV66*$BL$9+$BL$10*AV67+AV68*$BL$11+$BL$12*AV69+AV70*$BL$13+$BL$14*AV71+AV72*$BL$15)/0.02404/(1-AV79)*AV49/$P$85</f>
        <v>#DIV/0!</v>
      </c>
      <c r="AW80" t="e">
        <f>(AW65*$BL$8+AW66*$BL$9+$BL$10*AW67+AW68*$BL$11+$BL$12*AW69+AW70*$BL$13+$BL$14*AW71+AW72*$BL$15)/0.02404/(1-AW79)*AW49/$P$85</f>
        <v>#DIV/0!</v>
      </c>
      <c r="AX80" s="345"/>
      <c r="AY80" t="e">
        <f>(AY65*$BL$8+AY66*$BL$9+$BL$10*AY67+AY68*$BL$11+$BL$12*AY69+AY70*$BL$13+$BL$14*AY71+AY72*$BL$15)/0.02404/(1-AY79)*AY49/$P$85</f>
        <v>#DIV/0!</v>
      </c>
      <c r="AZ80" t="e">
        <f>(AZ65*$BL$8+AZ66*$BL$9+$BL$10*AZ67+AZ68*$BL$11+$BL$12*AZ69+AZ70*$BL$13+$BL$14*AZ71+AZ72*$BL$15)/0.02404/(1-AZ79)*AZ49/$P$85</f>
        <v>#DIV/0!</v>
      </c>
      <c r="BA80" t="e">
        <f>(BA65*$BL$8+BA66*$BL$9+$BL$10*BA67+BA68*$BL$11+$BL$12*BA69+BA70*$BL$13+$BL$14*BA71+BA72*$BL$15)/0.02404/(1-BA79)*BA49/$P$85</f>
        <v>#DIV/0!</v>
      </c>
      <c r="BB80" s="345"/>
      <c r="BC80" t="e">
        <f>(BC65*$BL$8+BC66*$BL$9+$BL$10*BC67+BC68*$BL$11+$BL$12*BC69+BC70*$BL$13+$BL$14*BC71+BC72*$BL$15)/0.02404/(1-BC79)*BC49/$P$85</f>
        <v>#DIV/0!</v>
      </c>
      <c r="BD80" t="e">
        <f>(BD65*$BL$8+BD66*$BL$9+$BL$10*BD67+BD68*$BL$11+$BL$12*BD69+BD70*$BL$13+$BL$14*BD71+BD72*$BL$15)/0.02404/(1-BD79)*BD49/$P$85</f>
        <v>#DIV/0!</v>
      </c>
      <c r="BE80" t="e">
        <f>(BE65*$BL$8+BE66*$BL$9+$BL$10*BE67+BE68*$BL$11+$BL$12*BE69+BE70*$BL$13+$BL$14*BE71+BE72*$BL$15)/0.02404/(1-BE79)*BE49/$P$85</f>
        <v>#DIV/0!</v>
      </c>
      <c r="BF80" s="345"/>
      <c r="BG80" t="e">
        <f>(BG65*$BL$8+BG66*$BL$9+$BL$10*BG67+BG68*$BL$11+$BL$12*BG69+BG70*$BL$13+$BL$14*BG71+BG72*$BL$15)/0.02404/(1-BG79)*BG49/$P$85</f>
        <v>#DIV/0!</v>
      </c>
      <c r="BH80" t="e">
        <f>(BH65*$BL$8+BH66*$BL$9+$BL$10*BH67+BH68*$BL$11+$BL$12*BH69+BH70*$BL$13+$BL$14*BH71+BH72*$BL$15)/0.02404/(1-BH79)*BH49/$P$85</f>
        <v>#DIV/0!</v>
      </c>
      <c r="BV80" s="360"/>
    </row>
    <row r="81" spans="3:77">
      <c r="C81" s="13">
        <f>SUM(C65:C72)</f>
        <v>6.3828846619282079E-2</v>
      </c>
      <c r="G81" s="13">
        <f>SUM(G65:G72)</f>
        <v>6.3785308859709566E-2</v>
      </c>
      <c r="L81" s="13">
        <f>SUM(L65:L72)</f>
        <v>6.0008944158149786E-2</v>
      </c>
      <c r="P81" s="13">
        <f>SUM(P65:P72)</f>
        <v>5.6129166894841889E-2</v>
      </c>
      <c r="T81" s="13">
        <f>SUM(T65:T72)</f>
        <v>5.2313076638278798E-2</v>
      </c>
      <c r="X81" s="13">
        <f>SUM(X65:X72)</f>
        <v>4.8425357869222661E-2</v>
      </c>
      <c r="AB81" s="13">
        <f>SUM(AB65:AB72)</f>
        <v>4.4368046047729745E-2</v>
      </c>
      <c r="AF81" s="13">
        <f>SUM(AF65:AF72)</f>
        <v>4.0120578002850675E-2</v>
      </c>
      <c r="AJ81" s="13">
        <f>SUM(AJ65:AJ72)</f>
        <v>3.5757920806698207E-2</v>
      </c>
      <c r="AN81" s="13">
        <f>SUM(AN65:AN72)</f>
        <v>3.144669726680719E-2</v>
      </c>
      <c r="AR81" s="13">
        <f>SUM(AR65:AR72)</f>
        <v>2.7414609795228695E-2</v>
      </c>
      <c r="AV81" s="13">
        <f>SUM(AV65:AV72)</f>
        <v>2.1429507881551263E-2</v>
      </c>
      <c r="AZ81" s="13">
        <f>SUM(AZ65:AZ72)</f>
        <v>2.0432261119199453E-2</v>
      </c>
      <c r="BD81" s="13">
        <f>SUM(BD65:BD72)</f>
        <v>2.3251332653971092E-2</v>
      </c>
      <c r="BV81" s="360"/>
    </row>
    <row r="82" spans="3:77">
      <c r="C82">
        <f>(C65*$BL$8+C66*$BL$9+$BL$10*C67+C68*$BL$11+$BL$12*C69+C70*$BL$13+$BL$14*C71+C72*$BL$15)/0.02404/(1-C81)</f>
        <v>92.458718490770323</v>
      </c>
      <c r="G82">
        <f>(G65*$BL$8+G66*$BL$9+$BL$10*G67+G68*$BL$11+$BL$12*G69+G70*$BL$13+$BL$14*G71+G72*$BL$15)/0.02404/(1-G81)</f>
        <v>92.391219950576883</v>
      </c>
      <c r="L82">
        <f>(L65*$BL$8+L66*$BL$9+$BL$10*L67+L68*$BL$11+$BL$12*L69+L70*$BL$13+$BL$14*L71+L72*$BL$15)/0.02404/(1-L81)</f>
        <v>87.551690106218857</v>
      </c>
      <c r="P82">
        <f>(P65*$BL$8+P66*$BL$9+$BL$10*P67+P68*$BL$11+$BL$12*P69+P70*$BL$13+$BL$14*P71+P72*$BL$15)/0.02404/(1-P81)</f>
        <v>82.54601148597105</v>
      </c>
      <c r="T82">
        <f>(T65*$BL$8+T66*$BL$9+$BL$10*T67+T68*$BL$11+$BL$12*T69+T70*$BL$13+$BL$14*T71+T72*$BL$15)/0.02404/(1-T81)</f>
        <v>77.568599868247404</v>
      </c>
      <c r="X82">
        <f>(X65*$BL$8+X66*$BL$9+$BL$10*X67+X68*$BL$11+$BL$12*X69+X70*$BL$13+$BL$14*X71+X72*$BL$15)/0.02404/(1-X81)</f>
        <v>72.426456991947859</v>
      </c>
      <c r="AB82">
        <f>(AB65*$BL$8+AB66*$BL$9+$BL$10*AB67+AB68*$BL$11+$BL$12*AB69+AB70*$BL$13+$BL$14*AB71+AB72*$BL$15)/0.02404/(1-AB81)</f>
        <v>66.976329231050173</v>
      </c>
      <c r="AF82">
        <f>(AF65*$BL$8+AF66*$BL$9+$BL$10*AF67+AF68*$BL$11+$BL$12*AF69+AF70*$BL$13+$BL$14*AF71+AF72*$BL$15)/0.02404/(1-AF81)</f>
        <v>61.182050978722138</v>
      </c>
      <c r="AJ82">
        <f>(AJ65*$BL$8+AJ66*$BL$9+$BL$10*AJ67+AJ68*$BL$11+$BL$12*AJ69+AJ70*$BL$13+$BL$14*AJ71+AJ72*$BL$15)/0.02404/(1-AJ81)</f>
        <v>55.141779821416399</v>
      </c>
      <c r="AN82">
        <f>(AN65*$BL$8+AN66*$BL$9+$BL$10*AN67+AN68*$BL$11+$BL$12*AN69+AN70*$BL$13+$BL$14*AN71+AN72*$BL$15)/0.02404/(1-AN81)</f>
        <v>49.089498666339189</v>
      </c>
      <c r="AR82">
        <f>(AR65*$BL$8+AR66*$BL$9+$BL$10*AR67+AR68*$BL$11+$BL$12*AR69+AR70*$BL$13+$BL$14*AR71+AR72*$BL$15)/0.02404/(1-AR81)</f>
        <v>43.360231004149981</v>
      </c>
      <c r="AV82">
        <f>(AV65*$BL$8+AV66*$BL$9+$BL$10*AV67+AV68*$BL$11+$BL$12*AV69+AV70*$BL$13+$BL$14*AV71+AV72*$BL$15)/0.02404/(1-AV81)</f>
        <v>34.820918494840427</v>
      </c>
      <c r="AZ82">
        <f>(AZ65*$BL$8+AZ66*$BL$9+$BL$10*AZ67+AZ68*$BL$11+$BL$12*AZ69+AZ70*$BL$13+$BL$14*AZ71+AZ72*$BL$15)/0.02404/(1-AZ81)</f>
        <v>33.614994644960248</v>
      </c>
      <c r="BD82">
        <f>(BD65*$BL$8+BD66*$BL$9+$BL$10*BD67+BD68*$BL$11+$BL$12*BD69+BD70*$BL$13+$BL$14*BD71+BD72*$BL$15)/0.02404/(1-BD81)</f>
        <v>38.615715408444409</v>
      </c>
      <c r="BV82" s="360"/>
    </row>
    <row r="83" spans="3:77">
      <c r="BV83" s="360"/>
    </row>
    <row r="84" spans="3:77">
      <c r="BV84" s="360">
        <v>5.2</v>
      </c>
      <c r="BY84">
        <f>BV84/10</f>
        <v>0.52</v>
      </c>
    </row>
  </sheetData>
  <mergeCells count="82">
    <mergeCell ref="A1:O2"/>
    <mergeCell ref="C4:E4"/>
    <mergeCell ref="G4:I4"/>
    <mergeCell ref="K4:M4"/>
    <mergeCell ref="O4:Q4"/>
    <mergeCell ref="AU4:AW4"/>
    <mergeCell ref="AY4:BA4"/>
    <mergeCell ref="BC4:BE4"/>
    <mergeCell ref="S4:U4"/>
    <mergeCell ref="W4:Y4"/>
    <mergeCell ref="AA4:AC4"/>
    <mergeCell ref="AE4:AG4"/>
    <mergeCell ref="AI4:AK4"/>
    <mergeCell ref="BG4:BI4"/>
    <mergeCell ref="BK4:BN4"/>
    <mergeCell ref="C5:E5"/>
    <mergeCell ref="G5:I5"/>
    <mergeCell ref="K5:M5"/>
    <mergeCell ref="O5:Q5"/>
    <mergeCell ref="S5:U5"/>
    <mergeCell ref="W5:Y5"/>
    <mergeCell ref="AA5:AC5"/>
    <mergeCell ref="AE5:AG5"/>
    <mergeCell ref="AI5:AK5"/>
    <mergeCell ref="AM5:AO5"/>
    <mergeCell ref="AQ5:AS5"/>
    <mergeCell ref="AU5:AW5"/>
    <mergeCell ref="AM4:AO4"/>
    <mergeCell ref="AQ4:AS4"/>
    <mergeCell ref="C6:E6"/>
    <mergeCell ref="G6:I6"/>
    <mergeCell ref="K6:M6"/>
    <mergeCell ref="O6:Q6"/>
    <mergeCell ref="S6:U6"/>
    <mergeCell ref="W6:Y6"/>
    <mergeCell ref="AA6:AC6"/>
    <mergeCell ref="AE6:AG6"/>
    <mergeCell ref="AI6:AK6"/>
    <mergeCell ref="AM6:AO6"/>
    <mergeCell ref="AQ6:AS6"/>
    <mergeCell ref="AU6:AW6"/>
    <mergeCell ref="A42:O43"/>
    <mergeCell ref="BK44:BN44"/>
    <mergeCell ref="C45:E45"/>
    <mergeCell ref="G45:I45"/>
    <mergeCell ref="K45:M45"/>
    <mergeCell ref="O45:Q45"/>
    <mergeCell ref="S45:U45"/>
    <mergeCell ref="W45:Y45"/>
    <mergeCell ref="AA45:AC45"/>
    <mergeCell ref="AE45:AG45"/>
    <mergeCell ref="AI45:AK45"/>
    <mergeCell ref="AM45:AO45"/>
    <mergeCell ref="AQ45:AS45"/>
    <mergeCell ref="AU45:AW45"/>
    <mergeCell ref="AY45:BA45"/>
    <mergeCell ref="BC45:BE45"/>
    <mergeCell ref="BG45:BI45"/>
    <mergeCell ref="C46:E46"/>
    <mergeCell ref="G46:I46"/>
    <mergeCell ref="K46:M46"/>
    <mergeCell ref="O46:Q46"/>
    <mergeCell ref="S46:U46"/>
    <mergeCell ref="W46:Y46"/>
    <mergeCell ref="AA46:AC46"/>
    <mergeCell ref="AE46:AG46"/>
    <mergeCell ref="AI46:AK46"/>
    <mergeCell ref="AM46:AO46"/>
    <mergeCell ref="AQ46:AS46"/>
    <mergeCell ref="AU46:AW46"/>
    <mergeCell ref="C47:E47"/>
    <mergeCell ref="G47:I47"/>
    <mergeCell ref="K47:M47"/>
    <mergeCell ref="O47:Q47"/>
    <mergeCell ref="S47:U47"/>
    <mergeCell ref="AQ47:AS47"/>
    <mergeCell ref="AU47:AW47"/>
    <mergeCell ref="W47:Y47"/>
    <mergeCell ref="AA47:AC47"/>
    <mergeCell ref="AE47:AG47"/>
    <mergeCell ref="AI47:AK47"/>
    <mergeCell ref="AM47:AO47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10</vt:i4>
      </vt:variant>
    </vt:vector>
  </HeadingPairs>
  <TitlesOfParts>
    <vt:vector size="10" baseType="lpstr">
      <vt:lpstr>PVT_Mod</vt:lpstr>
      <vt:lpstr>Library</vt:lpstr>
      <vt:lpstr>Вспом.лист</vt:lpstr>
      <vt:lpstr>Water_Binary</vt:lpstr>
      <vt:lpstr>CVD_results</vt:lpstr>
      <vt:lpstr>Пеляткинское_75.4</vt:lpstr>
      <vt:lpstr>Астраханское_269</vt:lpstr>
      <vt:lpstr>Уренгойское_430</vt:lpstr>
      <vt:lpstr>Астраханское без соли</vt:lpstr>
      <vt:lpstr>Уренгойское без соли</vt:lpstr>
    </vt:vector>
  </TitlesOfParts>
  <Company>ОАО "НК Роснефть"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1</dc:creator>
  <cp:lastModifiedBy>user</cp:lastModifiedBy>
  <dcterms:created xsi:type="dcterms:W3CDTF">2010-12-09T09:37:33Z</dcterms:created>
  <dcterms:modified xsi:type="dcterms:W3CDTF">2025-10-16T21:11:49Z</dcterms:modified>
</cp:coreProperties>
</file>