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comments10.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Thesis_mhookey\Academia\Components_of_thesis\Data collection\"/>
    </mc:Choice>
  </mc:AlternateContent>
  <xr:revisionPtr revIDLastSave="0" documentId="13_ncr:1_{2F8BB2AE-552A-4150-9C5B-C77C718DAA27}" xr6:coauthVersionLast="47" xr6:coauthVersionMax="47" xr10:uidLastSave="{00000000-0000-0000-0000-000000000000}"/>
  <bookViews>
    <workbookView xWindow="-98" yWindow="-98" windowWidth="21795" windowHeight="12975" activeTab="1" xr2:uid="{FFF1C151-45D0-4082-9840-43590300ADDF}"/>
  </bookViews>
  <sheets>
    <sheet name="Legend" sheetId="1" r:id="rId1"/>
    <sheet name="Baseline_crop_data" sheetId="2" r:id="rId2"/>
    <sheet name="Environmental data" sheetId="10" r:id="rId3"/>
    <sheet name="Baseline_biogas_production" sheetId="8" r:id="rId4"/>
    <sheet name="Basline_manure_data" sheetId="7" r:id="rId5"/>
    <sheet name="3 cut Silage data" sheetId="15" r:id="rId6"/>
    <sheet name="Financial data Palopuro Baselin" sheetId="9" r:id="rId7"/>
    <sheet name="Suckler cow system" sheetId="13" r:id="rId8"/>
    <sheet name="Sheet1" sheetId="16" r:id="rId9"/>
    <sheet name="Replacement rate Diagram" sheetId="14" r:id="rId10"/>
    <sheet name="Eco" sheetId="3" r:id="rId11"/>
    <sheet name="Eco_brew" sheetId="4" r:id="rId12"/>
    <sheet name="Fin" sheetId="11" r:id="rId13"/>
    <sheet name="Fin_brew" sheetId="12" r:id="rId14"/>
    <sheet name="Constraints and DVs" sheetId="17" r:id="rId15"/>
    <sheet name="Optimisations" sheetId="18"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 i="2" l="1"/>
  <c r="E20" i="2"/>
  <c r="Y20" i="2"/>
  <c r="X20" i="2"/>
  <c r="P20" i="2"/>
  <c r="P19" i="2"/>
  <c r="Q20" i="2"/>
  <c r="O20" i="2"/>
  <c r="N20" i="2"/>
  <c r="J20" i="2"/>
  <c r="K20" i="2"/>
  <c r="I20" i="2"/>
  <c r="H20" i="2"/>
  <c r="G20" i="2"/>
  <c r="G19" i="2"/>
  <c r="F19" i="2"/>
  <c r="E19" i="2"/>
  <c r="E13" i="2"/>
  <c r="E21" i="2"/>
  <c r="Q21" i="2"/>
  <c r="Y21" i="2"/>
  <c r="X21" i="2"/>
  <c r="P21" i="2"/>
  <c r="O21" i="2"/>
  <c r="N21" i="2"/>
  <c r="F21" i="2"/>
  <c r="G21" i="2"/>
  <c r="H21" i="2"/>
  <c r="I21" i="2"/>
  <c r="J21" i="2"/>
  <c r="K21" i="2"/>
  <c r="P30" i="2"/>
  <c r="F225" i="3"/>
  <c r="M73" i="18"/>
  <c r="M72" i="18"/>
  <c r="O72" i="18"/>
  <c r="M71" i="18"/>
  <c r="AL139" i="13"/>
  <c r="M70" i="18"/>
  <c r="M69" i="18"/>
  <c r="M68" i="18"/>
  <c r="M67" i="18"/>
  <c r="N163" i="4"/>
  <c r="N158" i="4"/>
  <c r="N154" i="4"/>
  <c r="N155" i="4"/>
  <c r="N157" i="4"/>
  <c r="N159" i="4"/>
  <c r="N160" i="4"/>
  <c r="N161" i="4"/>
  <c r="N162" i="4"/>
  <c r="N153" i="4"/>
  <c r="M153" i="4"/>
  <c r="M168" i="4"/>
  <c r="M165" i="4"/>
  <c r="M167" i="4"/>
  <c r="M158" i="4"/>
  <c r="M159" i="4"/>
  <c r="M160" i="4"/>
  <c r="M161" i="4"/>
  <c r="M162" i="4"/>
  <c r="M157" i="4"/>
  <c r="M154" i="4"/>
  <c r="M155" i="4"/>
  <c r="L168" i="4"/>
  <c r="L170" i="4" s="1"/>
  <c r="L169" i="4"/>
  <c r="L164" i="4"/>
  <c r="L166" i="4"/>
  <c r="L167" i="4"/>
  <c r="L157" i="4"/>
  <c r="L158" i="4"/>
  <c r="L159" i="4"/>
  <c r="L160" i="4"/>
  <c r="L161" i="4"/>
  <c r="L162" i="4"/>
  <c r="L163" i="4"/>
  <c r="L165" i="4"/>
  <c r="L154" i="4"/>
  <c r="L155" i="4"/>
  <c r="L153" i="4"/>
  <c r="K183" i="3"/>
  <c r="D209" i="3"/>
  <c r="M65" i="18"/>
  <c r="M64" i="18"/>
  <c r="M63" i="18"/>
  <c r="M62" i="18"/>
  <c r="M61" i="18"/>
  <c r="M60" i="18"/>
  <c r="M59" i="18"/>
  <c r="M58" i="18"/>
  <c r="M57"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100" i="18"/>
  <c r="D101" i="18"/>
  <c r="D102" i="18"/>
  <c r="D103" i="18"/>
  <c r="D104" i="18"/>
  <c r="D105" i="18"/>
  <c r="D106" i="18"/>
  <c r="D107" i="18"/>
  <c r="D108" i="18"/>
  <c r="D109" i="18"/>
  <c r="D110" i="18"/>
  <c r="D111" i="18"/>
  <c r="D112" i="18"/>
  <c r="D113" i="18"/>
  <c r="D114" i="18"/>
  <c r="D115" i="18"/>
  <c r="D116" i="18"/>
  <c r="D117" i="18"/>
  <c r="D118" i="18"/>
  <c r="D119" i="18"/>
  <c r="D120" i="18"/>
  <c r="D121" i="18"/>
  <c r="D122" i="18"/>
  <c r="D123" i="18"/>
  <c r="D124" i="18"/>
  <c r="D125" i="18"/>
  <c r="D126" i="18"/>
  <c r="D127" i="18"/>
  <c r="D128" i="18"/>
  <c r="D129" i="18"/>
  <c r="D130" i="18"/>
  <c r="D131" i="18"/>
  <c r="D132" i="18"/>
  <c r="D133" i="18"/>
  <c r="D134" i="18"/>
  <c r="D135" i="18"/>
  <c r="D136" i="18"/>
  <c r="D137" i="18"/>
  <c r="D138" i="18"/>
  <c r="D139" i="18"/>
  <c r="D140" i="18"/>
  <c r="D141" i="18"/>
  <c r="D142" i="18"/>
  <c r="D143" i="18"/>
  <c r="D144" i="18"/>
  <c r="D145" i="18"/>
  <c r="D146" i="18"/>
  <c r="D147" i="18"/>
  <c r="D148" i="18"/>
  <c r="D149" i="18"/>
  <c r="D150" i="18"/>
  <c r="D151" i="18"/>
  <c r="D152" i="18"/>
  <c r="D153" i="18"/>
  <c r="D154" i="18"/>
  <c r="D155" i="18"/>
  <c r="D156" i="18"/>
  <c r="D157" i="18"/>
  <c r="D158" i="18"/>
  <c r="D159" i="18"/>
  <c r="D160" i="18"/>
  <c r="D161" i="18"/>
  <c r="D162" i="18"/>
  <c r="D163" i="18"/>
  <c r="D164" i="18"/>
  <c r="D165" i="18"/>
  <c r="D166" i="18"/>
  <c r="D167" i="18"/>
  <c r="D168" i="18"/>
  <c r="D169" i="18"/>
  <c r="D170" i="18"/>
  <c r="D171" i="18"/>
  <c r="D172" i="18"/>
  <c r="D173" i="18"/>
  <c r="D174" i="18"/>
  <c r="D175" i="18"/>
  <c r="D176" i="18"/>
  <c r="D177" i="18"/>
  <c r="D178" i="18"/>
  <c r="D179" i="18"/>
  <c r="D180" i="18"/>
  <c r="D181" i="18"/>
  <c r="D182" i="18"/>
  <c r="D183" i="18"/>
  <c r="D184" i="18"/>
  <c r="D185" i="18"/>
  <c r="D186" i="18"/>
  <c r="D187" i="18"/>
  <c r="D188" i="18"/>
  <c r="D189" i="18"/>
  <c r="D190" i="18"/>
  <c r="D191" i="18"/>
  <c r="D192" i="18"/>
  <c r="D193" i="18"/>
  <c r="D194" i="18"/>
  <c r="D195" i="18"/>
  <c r="D196" i="18"/>
  <c r="D197" i="18"/>
  <c r="D198" i="18"/>
  <c r="D199" i="18"/>
  <c r="D200" i="18"/>
  <c r="D201" i="18"/>
  <c r="D202" i="18"/>
  <c r="D203" i="18"/>
  <c r="D204" i="18"/>
  <c r="D205" i="18"/>
  <c r="D206" i="18"/>
  <c r="D207" i="18"/>
  <c r="D208" i="18"/>
  <c r="D209" i="18"/>
  <c r="D210" i="18"/>
  <c r="D211" i="18"/>
  <c r="D212" i="18"/>
  <c r="D213" i="18"/>
  <c r="D214" i="18"/>
  <c r="D215" i="18"/>
  <c r="D216" i="18"/>
  <c r="D217" i="18"/>
  <c r="D218" i="18"/>
  <c r="D219" i="18"/>
  <c r="D220" i="18"/>
  <c r="O66" i="18"/>
  <c r="O67" i="18"/>
  <c r="O68" i="18"/>
  <c r="O69" i="18"/>
  <c r="O70" i="18"/>
  <c r="O73" i="18"/>
  <c r="O74" i="18"/>
  <c r="N75" i="18"/>
  <c r="O75" i="18" s="1"/>
  <c r="N76" i="18"/>
  <c r="O76" i="18" s="1"/>
  <c r="N77" i="18"/>
  <c r="O77" i="18" s="1"/>
  <c r="N78" i="18"/>
  <c r="N79" i="18"/>
  <c r="O79" i="18" s="1"/>
  <c r="N80" i="18"/>
  <c r="O80" i="18" s="1"/>
  <c r="N81" i="18"/>
  <c r="O81" i="18" s="1"/>
  <c r="N82" i="18"/>
  <c r="N83" i="18"/>
  <c r="N84" i="18"/>
  <c r="N85" i="18"/>
  <c r="N86" i="18"/>
  <c r="N87" i="18"/>
  <c r="N88" i="18"/>
  <c r="O88" i="18" s="1"/>
  <c r="N89" i="18"/>
  <c r="O89" i="18" s="1"/>
  <c r="N90" i="18"/>
  <c r="O90" i="18" s="1"/>
  <c r="N91" i="18"/>
  <c r="O91" i="18" s="1"/>
  <c r="N92" i="18"/>
  <c r="O92" i="18" s="1"/>
  <c r="N93" i="18"/>
  <c r="N94" i="18"/>
  <c r="N95" i="18"/>
  <c r="O95" i="18" s="1"/>
  <c r="N96" i="18"/>
  <c r="O96" i="18" s="1"/>
  <c r="N97" i="18"/>
  <c r="O97" i="18" s="1"/>
  <c r="N98" i="18"/>
  <c r="N99" i="18"/>
  <c r="N100" i="18"/>
  <c r="N101" i="18"/>
  <c r="N102" i="18"/>
  <c r="N103" i="18"/>
  <c r="N104" i="18"/>
  <c r="O104" i="18" s="1"/>
  <c r="N105" i="18"/>
  <c r="O105" i="18" s="1"/>
  <c r="N106" i="18"/>
  <c r="O106" i="18" s="1"/>
  <c r="N107" i="18"/>
  <c r="O107" i="18" s="1"/>
  <c r="N108" i="18"/>
  <c r="O108" i="18" s="1"/>
  <c r="N109" i="18"/>
  <c r="N110" i="18"/>
  <c r="O110" i="18" s="1"/>
  <c r="N111" i="18"/>
  <c r="O111" i="18" s="1"/>
  <c r="N112" i="18"/>
  <c r="O112" i="18" s="1"/>
  <c r="N113" i="18"/>
  <c r="O113" i="18" s="1"/>
  <c r="N114" i="18"/>
  <c r="N115" i="18"/>
  <c r="N116" i="18"/>
  <c r="N117" i="18"/>
  <c r="N118" i="18"/>
  <c r="N119" i="18"/>
  <c r="N120" i="18"/>
  <c r="O120" i="18" s="1"/>
  <c r="N121" i="18"/>
  <c r="O121" i="18" s="1"/>
  <c r="N122" i="18"/>
  <c r="O122" i="18" s="1"/>
  <c r="N123" i="18"/>
  <c r="O123" i="18" s="1"/>
  <c r="N124" i="18"/>
  <c r="O124" i="18" s="1"/>
  <c r="N125" i="18"/>
  <c r="N126" i="18"/>
  <c r="O126" i="18" s="1"/>
  <c r="N127" i="18"/>
  <c r="O127" i="18" s="1"/>
  <c r="N128" i="18"/>
  <c r="O128" i="18" s="1"/>
  <c r="N129" i="18"/>
  <c r="O129" i="18" s="1"/>
  <c r="N130" i="18"/>
  <c r="N131" i="18"/>
  <c r="N132" i="18"/>
  <c r="N133" i="18"/>
  <c r="N134" i="18"/>
  <c r="N135" i="18"/>
  <c r="N136" i="18"/>
  <c r="O136" i="18" s="1"/>
  <c r="N137" i="18"/>
  <c r="O137" i="18" s="1"/>
  <c r="N138" i="18"/>
  <c r="O138" i="18" s="1"/>
  <c r="N139" i="18"/>
  <c r="O139" i="18" s="1"/>
  <c r="N140" i="18"/>
  <c r="O140" i="18" s="1"/>
  <c r="N141" i="18"/>
  <c r="N142" i="18"/>
  <c r="O142" i="18" s="1"/>
  <c r="N143" i="18"/>
  <c r="O143" i="18" s="1"/>
  <c r="N144" i="18"/>
  <c r="O144" i="18" s="1"/>
  <c r="N145" i="18"/>
  <c r="O145" i="18" s="1"/>
  <c r="N146" i="18"/>
  <c r="N147" i="18"/>
  <c r="N148" i="18"/>
  <c r="N149" i="18"/>
  <c r="N150" i="18"/>
  <c r="N151" i="18"/>
  <c r="N152" i="18"/>
  <c r="O152" i="18" s="1"/>
  <c r="N153" i="18"/>
  <c r="O153" i="18" s="1"/>
  <c r="N154" i="18"/>
  <c r="O154" i="18" s="1"/>
  <c r="N155" i="18"/>
  <c r="O155" i="18" s="1"/>
  <c r="N156" i="18"/>
  <c r="O156" i="18" s="1"/>
  <c r="N157" i="18"/>
  <c r="N158" i="18"/>
  <c r="O158" i="18" s="1"/>
  <c r="N159" i="18"/>
  <c r="O159" i="18" s="1"/>
  <c r="N160" i="18"/>
  <c r="O160" i="18" s="1"/>
  <c r="N161" i="18"/>
  <c r="O161" i="18" s="1"/>
  <c r="N162" i="18"/>
  <c r="N163" i="18"/>
  <c r="N164" i="18"/>
  <c r="N165" i="18"/>
  <c r="N166" i="18"/>
  <c r="N167" i="18"/>
  <c r="N168" i="18"/>
  <c r="O168" i="18" s="1"/>
  <c r="N169" i="18"/>
  <c r="O169" i="18" s="1"/>
  <c r="N170" i="18"/>
  <c r="O170" i="18" s="1"/>
  <c r="N171" i="18"/>
  <c r="O171" i="18" s="1"/>
  <c r="N172" i="18"/>
  <c r="O172" i="18" s="1"/>
  <c r="N173" i="18"/>
  <c r="N174" i="18"/>
  <c r="O174" i="18" s="1"/>
  <c r="N175" i="18"/>
  <c r="O175" i="18" s="1"/>
  <c r="N176" i="18"/>
  <c r="O176" i="18" s="1"/>
  <c r="N177" i="18"/>
  <c r="O177" i="18" s="1"/>
  <c r="N178" i="18"/>
  <c r="N179" i="18"/>
  <c r="N180" i="18"/>
  <c r="N181" i="18"/>
  <c r="N182" i="18"/>
  <c r="N183" i="18"/>
  <c r="N184" i="18"/>
  <c r="O184" i="18" s="1"/>
  <c r="N185" i="18"/>
  <c r="O185" i="18" s="1"/>
  <c r="N186" i="18"/>
  <c r="O186" i="18" s="1"/>
  <c r="N187" i="18"/>
  <c r="O187" i="18" s="1"/>
  <c r="N188" i="18"/>
  <c r="O188" i="18" s="1"/>
  <c r="N189" i="18"/>
  <c r="N190" i="18"/>
  <c r="O190" i="18" s="1"/>
  <c r="N191" i="18"/>
  <c r="O191" i="18" s="1"/>
  <c r="N192" i="18"/>
  <c r="O192" i="18" s="1"/>
  <c r="N193" i="18"/>
  <c r="O193" i="18" s="1"/>
  <c r="N194" i="18"/>
  <c r="N195" i="18"/>
  <c r="N196" i="18"/>
  <c r="N197" i="18"/>
  <c r="N198" i="18"/>
  <c r="N199" i="18"/>
  <c r="N200" i="18"/>
  <c r="O200" i="18" s="1"/>
  <c r="N201" i="18"/>
  <c r="O201" i="18" s="1"/>
  <c r="N202" i="18"/>
  <c r="O202" i="18" s="1"/>
  <c r="N203" i="18"/>
  <c r="O203" i="18" s="1"/>
  <c r="N204" i="18"/>
  <c r="O204" i="18" s="1"/>
  <c r="N205" i="18"/>
  <c r="N206" i="18"/>
  <c r="O206" i="18" s="1"/>
  <c r="N207" i="18"/>
  <c r="O207" i="18" s="1"/>
  <c r="N208" i="18"/>
  <c r="O208" i="18" s="1"/>
  <c r="N209" i="18"/>
  <c r="O209" i="18" s="1"/>
  <c r="N210" i="18"/>
  <c r="N211" i="18"/>
  <c r="N212" i="18"/>
  <c r="N213" i="18"/>
  <c r="N214" i="18"/>
  <c r="N215" i="18"/>
  <c r="N216" i="18"/>
  <c r="O216" i="18" s="1"/>
  <c r="N217" i="18"/>
  <c r="O217" i="18" s="1"/>
  <c r="N218" i="18"/>
  <c r="O218" i="18" s="1"/>
  <c r="N219" i="18"/>
  <c r="O219" i="18" s="1"/>
  <c r="N220" i="18"/>
  <c r="O220" i="18" s="1"/>
  <c r="N221" i="18"/>
  <c r="N222" i="18"/>
  <c r="O222" i="18" s="1"/>
  <c r="N223" i="18"/>
  <c r="O223" i="18" s="1"/>
  <c r="N224" i="18"/>
  <c r="O224" i="18" s="1"/>
  <c r="N225" i="18"/>
  <c r="O225" i="18" s="1"/>
  <c r="N226" i="18"/>
  <c r="N227" i="18"/>
  <c r="N228" i="18"/>
  <c r="N229" i="18"/>
  <c r="N230" i="18"/>
  <c r="N231" i="18"/>
  <c r="N232" i="18"/>
  <c r="O232" i="18" s="1"/>
  <c r="N233" i="18"/>
  <c r="O233" i="18" s="1"/>
  <c r="N234" i="18"/>
  <c r="O234" i="18" s="1"/>
  <c r="N235" i="18"/>
  <c r="O235" i="18" s="1"/>
  <c r="O78" i="18"/>
  <c r="O82" i="18"/>
  <c r="O83" i="18"/>
  <c r="O84" i="18"/>
  <c r="O85" i="18"/>
  <c r="O86" i="18"/>
  <c r="O87" i="18"/>
  <c r="O93" i="18"/>
  <c r="O94" i="18"/>
  <c r="O98" i="18"/>
  <c r="O99" i="18"/>
  <c r="O100" i="18"/>
  <c r="O101" i="18"/>
  <c r="O102" i="18"/>
  <c r="O103" i="18"/>
  <c r="O109" i="18"/>
  <c r="O114" i="18"/>
  <c r="O115" i="18"/>
  <c r="O116" i="18"/>
  <c r="O117" i="18"/>
  <c r="O118" i="18"/>
  <c r="O119" i="18"/>
  <c r="O125" i="18"/>
  <c r="O130" i="18"/>
  <c r="O131" i="18"/>
  <c r="O132" i="18"/>
  <c r="O133" i="18"/>
  <c r="O134" i="18"/>
  <c r="O135" i="18"/>
  <c r="O141" i="18"/>
  <c r="O146" i="18"/>
  <c r="O147" i="18"/>
  <c r="O148" i="18"/>
  <c r="O149" i="18"/>
  <c r="O150" i="18"/>
  <c r="O151" i="18"/>
  <c r="O157" i="18"/>
  <c r="O162" i="18"/>
  <c r="O163" i="18"/>
  <c r="O164" i="18"/>
  <c r="O165" i="18"/>
  <c r="O166" i="18"/>
  <c r="O167" i="18"/>
  <c r="O173" i="18"/>
  <c r="O178" i="18"/>
  <c r="O179" i="18"/>
  <c r="O180" i="18"/>
  <c r="O181" i="18"/>
  <c r="O182" i="18"/>
  <c r="O183" i="18"/>
  <c r="O189" i="18"/>
  <c r="O194" i="18"/>
  <c r="O195" i="18"/>
  <c r="O196" i="18"/>
  <c r="O197" i="18"/>
  <c r="O198" i="18"/>
  <c r="O199" i="18"/>
  <c r="O205" i="18"/>
  <c r="O210" i="18"/>
  <c r="O211" i="18"/>
  <c r="O212" i="18"/>
  <c r="O213" i="18"/>
  <c r="O214" i="18"/>
  <c r="O215" i="18"/>
  <c r="O221" i="18"/>
  <c r="O226" i="18"/>
  <c r="O227" i="18"/>
  <c r="O228" i="18"/>
  <c r="O229" i="18"/>
  <c r="O230" i="18"/>
  <c r="O231" i="18"/>
  <c r="M56" i="18"/>
  <c r="M55" i="18"/>
  <c r="K189" i="3"/>
  <c r="K188" i="3"/>
  <c r="K187" i="3"/>
  <c r="J187" i="3"/>
  <c r="K184" i="3"/>
  <c r="K174" i="3"/>
  <c r="K175" i="3"/>
  <c r="K176" i="3"/>
  <c r="K177" i="3"/>
  <c r="K178" i="3"/>
  <c r="K179" i="3"/>
  <c r="K180" i="3"/>
  <c r="K181" i="3"/>
  <c r="K182" i="3"/>
  <c r="K173" i="3"/>
  <c r="H187" i="3"/>
  <c r="H184" i="3"/>
  <c r="H183" i="3"/>
  <c r="H188" i="3"/>
  <c r="H182" i="3"/>
  <c r="H181" i="3"/>
  <c r="H179" i="3"/>
  <c r="H180" i="3" s="1"/>
  <c r="H178" i="3"/>
  <c r="H186" i="3"/>
  <c r="H174" i="3"/>
  <c r="H175" i="3"/>
  <c r="H176" i="3"/>
  <c r="H177" i="3"/>
  <c r="H173" i="3"/>
  <c r="F173" i="3"/>
  <c r="G188" i="3"/>
  <c r="G189" i="3" s="1"/>
  <c r="I186" i="3"/>
  <c r="D186" i="3"/>
  <c r="J186" i="3" s="1"/>
  <c r="J185" i="3"/>
  <c r="I185" i="3"/>
  <c r="F185" i="3"/>
  <c r="D184" i="3"/>
  <c r="I184" i="3" s="1"/>
  <c r="J183" i="3"/>
  <c r="I183" i="3"/>
  <c r="F183" i="3"/>
  <c r="D182" i="3"/>
  <c r="J182" i="3" s="1"/>
  <c r="J181" i="3"/>
  <c r="I181" i="3"/>
  <c r="F181" i="3"/>
  <c r="J180" i="3"/>
  <c r="I180" i="3"/>
  <c r="D180" i="3"/>
  <c r="J179" i="3"/>
  <c r="I179" i="3"/>
  <c r="F179" i="3"/>
  <c r="J178" i="3"/>
  <c r="I178" i="3"/>
  <c r="F178" i="3"/>
  <c r="J177" i="3"/>
  <c r="I177" i="3"/>
  <c r="D177" i="3"/>
  <c r="D187" i="3" s="1"/>
  <c r="J176" i="3"/>
  <c r="I176" i="3"/>
  <c r="F176" i="3"/>
  <c r="J175" i="3"/>
  <c r="I175" i="3"/>
  <c r="F175" i="3"/>
  <c r="J174" i="3"/>
  <c r="I174" i="3"/>
  <c r="F174" i="3"/>
  <c r="J173" i="3"/>
  <c r="I173" i="3"/>
  <c r="M52" i="18"/>
  <c r="M51" i="18"/>
  <c r="M50" i="18"/>
  <c r="M49" i="18"/>
  <c r="M48" i="18"/>
  <c r="M47" i="18"/>
  <c r="M46" i="18"/>
  <c r="O45" i="18"/>
  <c r="I45" i="18"/>
  <c r="D45" i="18"/>
  <c r="M44" i="18"/>
  <c r="M43" i="18"/>
  <c r="M42" i="18"/>
  <c r="M41" i="18"/>
  <c r="M40" i="18"/>
  <c r="M39" i="18"/>
  <c r="O38" i="18"/>
  <c r="M38" i="18"/>
  <c r="O37" i="18"/>
  <c r="D28" i="18"/>
  <c r="D4" i="18"/>
  <c r="D5" i="18"/>
  <c r="D6" i="18"/>
  <c r="D7" i="18"/>
  <c r="D8" i="18"/>
  <c r="D9" i="18"/>
  <c r="D10" i="18"/>
  <c r="D11" i="18"/>
  <c r="D12" i="18"/>
  <c r="D13" i="18"/>
  <c r="D14" i="18"/>
  <c r="D15" i="18"/>
  <c r="D16" i="18"/>
  <c r="D17" i="18"/>
  <c r="D18" i="18"/>
  <c r="D19" i="18"/>
  <c r="D20" i="18"/>
  <c r="D21" i="18"/>
  <c r="D22" i="18"/>
  <c r="D23" i="18"/>
  <c r="D24" i="18"/>
  <c r="D25" i="18"/>
  <c r="D26" i="18"/>
  <c r="D27" i="18"/>
  <c r="D29" i="18"/>
  <c r="D30" i="18"/>
  <c r="D31" i="18"/>
  <c r="D32" i="18"/>
  <c r="D33" i="18"/>
  <c r="D34" i="18"/>
  <c r="D35" i="18"/>
  <c r="D36" i="18"/>
  <c r="D38" i="18"/>
  <c r="D39" i="18"/>
  <c r="D40" i="18"/>
  <c r="D41" i="18"/>
  <c r="D42" i="18"/>
  <c r="D43" i="18"/>
  <c r="D44" i="18"/>
  <c r="D46" i="18"/>
  <c r="D47" i="18"/>
  <c r="D48" i="18"/>
  <c r="D49" i="18"/>
  <c r="D50" i="18"/>
  <c r="D51" i="18"/>
  <c r="D52" i="18"/>
  <c r="D54" i="18"/>
  <c r="D55" i="18"/>
  <c r="D56" i="18"/>
  <c r="D57" i="18"/>
  <c r="D58" i="18"/>
  <c r="D59" i="18"/>
  <c r="D60" i="18"/>
  <c r="D61" i="18"/>
  <c r="D62" i="18"/>
  <c r="D63" i="18"/>
  <c r="D64" i="18"/>
  <c r="D37" i="18"/>
  <c r="M36" i="18"/>
  <c r="M35" i="18"/>
  <c r="M34" i="18"/>
  <c r="I51" i="18"/>
  <c r="I52" i="18"/>
  <c r="I54" i="18"/>
  <c r="I55" i="18"/>
  <c r="I56" i="18"/>
  <c r="I57" i="18"/>
  <c r="I58" i="18"/>
  <c r="I59" i="18"/>
  <c r="I60" i="18"/>
  <c r="I61" i="18"/>
  <c r="I62" i="18"/>
  <c r="I63" i="18"/>
  <c r="I64" i="18"/>
  <c r="M33" i="18"/>
  <c r="E27" i="9"/>
  <c r="E26" i="9"/>
  <c r="D27" i="9"/>
  <c r="I21" i="18"/>
  <c r="M32" i="18"/>
  <c r="M31" i="18"/>
  <c r="M30" i="18"/>
  <c r="M29" i="18"/>
  <c r="M28" i="18"/>
  <c r="M27" i="18"/>
  <c r="M26" i="18"/>
  <c r="M25" i="18"/>
  <c r="M24" i="18"/>
  <c r="M22" i="18"/>
  <c r="M23" i="18"/>
  <c r="I22" i="18"/>
  <c r="M19" i="18"/>
  <c r="M16" i="18"/>
  <c r="M15" i="18"/>
  <c r="O15" i="18" s="1"/>
  <c r="M14" i="18"/>
  <c r="O14" i="18" s="1"/>
  <c r="V88" i="13"/>
  <c r="X88" i="13"/>
  <c r="N87" i="13"/>
  <c r="N88" i="13"/>
  <c r="M82" i="13"/>
  <c r="E26" i="10"/>
  <c r="F10" i="8"/>
  <c r="J10" i="8" s="1"/>
  <c r="AA8" i="2" l="1"/>
  <c r="O71" i="18"/>
  <c r="H189" i="3"/>
  <c r="I187" i="3"/>
  <c r="D188" i="3"/>
  <c r="J184" i="3"/>
  <c r="I182" i="3"/>
  <c r="M13" i="18"/>
  <c r="AD10" i="18"/>
  <c r="AD11" i="18" s="1"/>
  <c r="AE10" i="18"/>
  <c r="AE11" i="18" s="1"/>
  <c r="AF10" i="18"/>
  <c r="AF11" i="18" s="1"/>
  <c r="AG10" i="18"/>
  <c r="AG11" i="18" s="1"/>
  <c r="AH10" i="18"/>
  <c r="AH11" i="18" s="1"/>
  <c r="AI10" i="18"/>
  <c r="AI11" i="18" s="1"/>
  <c r="AJ10" i="18"/>
  <c r="AJ11" i="18" s="1"/>
  <c r="AK10" i="18"/>
  <c r="AK11" i="18" s="1"/>
  <c r="AC10" i="18"/>
  <c r="AC11" i="18" s="1"/>
  <c r="J188" i="3" l="1"/>
  <c r="I188" i="3"/>
  <c r="I189" i="3"/>
  <c r="D189" i="3"/>
  <c r="J189" i="3"/>
  <c r="O4" i="18"/>
  <c r="O5" i="18"/>
  <c r="O6" i="18"/>
  <c r="O7" i="18"/>
  <c r="O8" i="18"/>
  <c r="O9" i="18"/>
  <c r="O10" i="18"/>
  <c r="O11" i="18"/>
  <c r="O12" i="18"/>
  <c r="O13" i="18"/>
  <c r="O3" i="18"/>
  <c r="O24" i="18"/>
  <c r="O25" i="18"/>
  <c r="O26" i="18"/>
  <c r="O28" i="18"/>
  <c r="I16" i="18"/>
  <c r="K33" i="18"/>
  <c r="I4" i="18"/>
  <c r="I5" i="18"/>
  <c r="I6" i="18"/>
  <c r="I7" i="18"/>
  <c r="I8" i="18"/>
  <c r="I9" i="18"/>
  <c r="I10" i="18"/>
  <c r="I11" i="18"/>
  <c r="I12" i="18"/>
  <c r="I13" i="18"/>
  <c r="I14" i="18"/>
  <c r="I15" i="18"/>
  <c r="I17" i="18"/>
  <c r="I18" i="18"/>
  <c r="I19" i="18"/>
  <c r="I20" i="18"/>
  <c r="I23" i="18"/>
  <c r="I24" i="18"/>
  <c r="I25" i="18"/>
  <c r="I26" i="18"/>
  <c r="I27" i="18"/>
  <c r="I28" i="18"/>
  <c r="I29" i="18"/>
  <c r="I30" i="18"/>
  <c r="I31" i="18"/>
  <c r="I32" i="18"/>
  <c r="I34" i="18"/>
  <c r="I35" i="18"/>
  <c r="I36" i="18"/>
  <c r="I37" i="18"/>
  <c r="I38" i="18"/>
  <c r="I39" i="18"/>
  <c r="I40" i="18"/>
  <c r="I41" i="18"/>
  <c r="I42" i="18"/>
  <c r="I43" i="18"/>
  <c r="I44" i="18"/>
  <c r="I46" i="18"/>
  <c r="I47" i="18"/>
  <c r="I48" i="18"/>
  <c r="I49" i="18"/>
  <c r="I50" i="18"/>
  <c r="I33" i="18"/>
  <c r="O16" i="18"/>
  <c r="O17" i="18"/>
  <c r="O18" i="18"/>
  <c r="O19" i="18"/>
  <c r="O20" i="18"/>
  <c r="O21" i="18"/>
  <c r="O22" i="18"/>
  <c r="AD6" i="18"/>
  <c r="AD12" i="18" s="1"/>
  <c r="AE6" i="18"/>
  <c r="AE12" i="18" s="1"/>
  <c r="AF6" i="18"/>
  <c r="AF12" i="18" s="1"/>
  <c r="AG6" i="18"/>
  <c r="AG12" i="18" s="1"/>
  <c r="AH6" i="18"/>
  <c r="AH12" i="18" s="1"/>
  <c r="AI6" i="18"/>
  <c r="AI12" i="18" s="1"/>
  <c r="AJ6" i="18"/>
  <c r="AJ12" i="18" s="1"/>
  <c r="AK6" i="18"/>
  <c r="AC6" i="18"/>
  <c r="AC12" i="18" s="1"/>
  <c r="D75" i="13"/>
  <c r="D89" i="13"/>
  <c r="E20" i="8"/>
  <c r="F15" i="8"/>
  <c r="N96" i="13"/>
  <c r="X6" i="13"/>
  <c r="I98" i="13"/>
  <c r="U98" i="13"/>
  <c r="U30" i="13"/>
  <c r="U31" i="13"/>
  <c r="V98" i="13"/>
  <c r="E98" i="13"/>
  <c r="F98" i="13"/>
  <c r="G98" i="13"/>
  <c r="H98" i="13"/>
  <c r="J98" i="13"/>
  <c r="K98" i="13"/>
  <c r="L98" i="13"/>
  <c r="M98" i="13"/>
  <c r="N98" i="13"/>
  <c r="O98" i="13"/>
  <c r="P98" i="13"/>
  <c r="Q98" i="13"/>
  <c r="R98" i="13"/>
  <c r="S98" i="13"/>
  <c r="T98" i="13"/>
  <c r="W98" i="13"/>
  <c r="X98" i="13"/>
  <c r="D98" i="13"/>
  <c r="X32" i="13"/>
  <c r="X33" i="13"/>
  <c r="X20" i="13" s="1"/>
  <c r="X35" i="13"/>
  <c r="X36" i="13"/>
  <c r="X37" i="13"/>
  <c r="X40" i="13"/>
  <c r="X25" i="13"/>
  <c r="U105" i="13"/>
  <c r="M25" i="13"/>
  <c r="W25" i="13"/>
  <c r="W119" i="13"/>
  <c r="L94" i="13"/>
  <c r="I120" i="13"/>
  <c r="D119" i="13"/>
  <c r="W14" i="13"/>
  <c r="W15" i="13"/>
  <c r="E25" i="13"/>
  <c r="F25" i="13"/>
  <c r="G25" i="13"/>
  <c r="H25" i="13"/>
  <c r="I25" i="13"/>
  <c r="J25" i="13"/>
  <c r="K25" i="13"/>
  <c r="L25" i="13"/>
  <c r="N25" i="13"/>
  <c r="O25" i="13"/>
  <c r="P25" i="13"/>
  <c r="Q25" i="13"/>
  <c r="R25" i="13"/>
  <c r="S25" i="13"/>
  <c r="T25" i="13"/>
  <c r="U25" i="13"/>
  <c r="V25" i="13"/>
  <c r="D25" i="13"/>
  <c r="W22" i="13"/>
  <c r="W20" i="13" s="1"/>
  <c r="W76" i="13" s="1"/>
  <c r="W92" i="13" s="1"/>
  <c r="U10" i="13"/>
  <c r="I10" i="13"/>
  <c r="I105" i="13" s="1"/>
  <c r="X22" i="13"/>
  <c r="W33" i="13"/>
  <c r="V33" i="13"/>
  <c r="U33" i="13"/>
  <c r="N33" i="13"/>
  <c r="O33" i="13"/>
  <c r="J33" i="13"/>
  <c r="K33" i="13"/>
  <c r="L33" i="13"/>
  <c r="M33" i="13"/>
  <c r="I33" i="13"/>
  <c r="D33" i="13"/>
  <c r="P33" i="13"/>
  <c r="L30" i="13"/>
  <c r="L32" i="13"/>
  <c r="G30" i="13"/>
  <c r="G32" i="13" s="1"/>
  <c r="H30" i="13"/>
  <c r="H32" i="13" s="1"/>
  <c r="J30" i="13"/>
  <c r="J32" i="13" s="1"/>
  <c r="K30" i="13"/>
  <c r="K32" i="13" s="1"/>
  <c r="M30" i="13"/>
  <c r="M32" i="13" s="1"/>
  <c r="N30" i="13"/>
  <c r="N32" i="13" s="1"/>
  <c r="O30" i="13"/>
  <c r="O32" i="13" s="1"/>
  <c r="R30" i="13"/>
  <c r="R32" i="13" s="1"/>
  <c r="S30" i="13"/>
  <c r="S32" i="13" s="1"/>
  <c r="T30" i="13"/>
  <c r="T32" i="13" s="1"/>
  <c r="V30" i="13"/>
  <c r="V32" i="13" s="1"/>
  <c r="F30" i="13"/>
  <c r="F32" i="13" s="1"/>
  <c r="E36" i="13"/>
  <c r="F36" i="13"/>
  <c r="G36" i="13"/>
  <c r="H36" i="13"/>
  <c r="I36" i="13"/>
  <c r="J36" i="13"/>
  <c r="K36" i="13"/>
  <c r="L36" i="13"/>
  <c r="M36" i="13"/>
  <c r="N36" i="13"/>
  <c r="O36" i="13"/>
  <c r="P36" i="13"/>
  <c r="Q36" i="13"/>
  <c r="R36" i="13"/>
  <c r="S36" i="13"/>
  <c r="T36" i="13"/>
  <c r="U36" i="13"/>
  <c r="V36" i="13"/>
  <c r="W36" i="13"/>
  <c r="D36" i="13"/>
  <c r="N35" i="13"/>
  <c r="E35" i="13"/>
  <c r="F35" i="13"/>
  <c r="G35" i="13"/>
  <c r="H35" i="13"/>
  <c r="I35" i="13"/>
  <c r="J35" i="13"/>
  <c r="K35" i="13"/>
  <c r="L35" i="13"/>
  <c r="M35" i="13"/>
  <c r="O35" i="13"/>
  <c r="P35" i="13"/>
  <c r="Q35" i="13"/>
  <c r="R35" i="13"/>
  <c r="S35" i="13"/>
  <c r="T35" i="13"/>
  <c r="U35" i="13"/>
  <c r="V35" i="13"/>
  <c r="W35" i="13"/>
  <c r="D35" i="13"/>
  <c r="I31" i="13"/>
  <c r="I30" i="13" s="1"/>
  <c r="I32" i="13" s="1"/>
  <c r="G45" i="17"/>
  <c r="AL142" i="13"/>
  <c r="AL141" i="13"/>
  <c r="AL134" i="13"/>
  <c r="O12" i="13"/>
  <c r="U10" i="16"/>
  <c r="B13" i="16"/>
  <c r="E10" i="16"/>
  <c r="F10" i="16"/>
  <c r="G10" i="16"/>
  <c r="H10" i="16"/>
  <c r="I10" i="16"/>
  <c r="M10" i="16"/>
  <c r="N10" i="16"/>
  <c r="O10" i="16"/>
  <c r="P10" i="16"/>
  <c r="Q10" i="16"/>
  <c r="R10" i="16"/>
  <c r="T10" i="16"/>
  <c r="V10" i="16"/>
  <c r="W10" i="16"/>
  <c r="Y10" i="16"/>
  <c r="AC10" i="16"/>
  <c r="AD10" i="16"/>
  <c r="AE10" i="16"/>
  <c r="AF10" i="16"/>
  <c r="AG10" i="16"/>
  <c r="AH10" i="16"/>
  <c r="AJ10" i="16"/>
  <c r="AK10" i="16"/>
  <c r="AL10" i="16"/>
  <c r="AM10" i="16"/>
  <c r="AN10" i="16"/>
  <c r="AS10" i="16"/>
  <c r="AT10" i="16"/>
  <c r="AV10" i="16"/>
  <c r="AW10" i="16"/>
  <c r="AX10" i="16"/>
  <c r="AZ10" i="16"/>
  <c r="BA10" i="16"/>
  <c r="BB10" i="16"/>
  <c r="BC10" i="16"/>
  <c r="BD10" i="16"/>
  <c r="BE10" i="16"/>
  <c r="BI10" i="16"/>
  <c r="BJ10" i="16"/>
  <c r="BK10" i="16"/>
  <c r="BM10" i="16"/>
  <c r="BN10" i="16"/>
  <c r="BQ10" i="16"/>
  <c r="BR10" i="16"/>
  <c r="BS10" i="16"/>
  <c r="BT10" i="16"/>
  <c r="BU10" i="16"/>
  <c r="BY10" i="16"/>
  <c r="BZ10" i="16"/>
  <c r="CA10" i="16"/>
  <c r="CB10" i="16"/>
  <c r="CC10" i="16"/>
  <c r="CD10" i="16"/>
  <c r="CF10" i="16"/>
  <c r="CH10" i="16"/>
  <c r="CI10" i="16"/>
  <c r="CK10" i="16"/>
  <c r="CO10" i="16"/>
  <c r="CP10" i="16"/>
  <c r="CQ10" i="16"/>
  <c r="CR10" i="16"/>
  <c r="CS10" i="16"/>
  <c r="CT10" i="16"/>
  <c r="CV10" i="16"/>
  <c r="CW10" i="16"/>
  <c r="CX10" i="16"/>
  <c r="CY10" i="16"/>
  <c r="CZ10" i="16"/>
  <c r="DE10" i="16"/>
  <c r="DF10" i="16"/>
  <c r="DH10" i="16"/>
  <c r="DI10" i="16"/>
  <c r="DJ10" i="16"/>
  <c r="DL10" i="16"/>
  <c r="DM10" i="16"/>
  <c r="DN10" i="16"/>
  <c r="DO10" i="16"/>
  <c r="DP10" i="16"/>
  <c r="DQ10" i="16"/>
  <c r="DU10" i="16"/>
  <c r="DV10" i="16"/>
  <c r="DW10" i="16"/>
  <c r="DY10" i="16"/>
  <c r="DZ10" i="16"/>
  <c r="EC10" i="16"/>
  <c r="ED10" i="16"/>
  <c r="EE10" i="16"/>
  <c r="EF10" i="16"/>
  <c r="EG10" i="16"/>
  <c r="EK10" i="16"/>
  <c r="EL10" i="16"/>
  <c r="EM10" i="16"/>
  <c r="EN10" i="16"/>
  <c r="EO10" i="16"/>
  <c r="EP10" i="16"/>
  <c r="ER10" i="16"/>
  <c r="ET10" i="16"/>
  <c r="EU10" i="16"/>
  <c r="EW10" i="16"/>
  <c r="FA10" i="16"/>
  <c r="FB10" i="16"/>
  <c r="FC10" i="16"/>
  <c r="FD10" i="16"/>
  <c r="FE10" i="16"/>
  <c r="FF10" i="16"/>
  <c r="FH10" i="16"/>
  <c r="FI10" i="16"/>
  <c r="FJ10" i="16"/>
  <c r="FK10" i="16"/>
  <c r="FL10" i="16"/>
  <c r="FQ10" i="16"/>
  <c r="FR10" i="16"/>
  <c r="FT10" i="16"/>
  <c r="FU10" i="16"/>
  <c r="FV10" i="16"/>
  <c r="FX10" i="16"/>
  <c r="FY10" i="16"/>
  <c r="FZ10" i="16"/>
  <c r="GA10" i="16"/>
  <c r="GB10" i="16"/>
  <c r="GC10" i="16"/>
  <c r="GG10" i="16"/>
  <c r="GH10" i="16"/>
  <c r="GI10" i="16"/>
  <c r="GK10" i="16"/>
  <c r="GL10" i="16"/>
  <c r="GO10" i="16"/>
  <c r="GP10" i="16"/>
  <c r="GQ10" i="16"/>
  <c r="GR10" i="16"/>
  <c r="GS10" i="16"/>
  <c r="GW10" i="16"/>
  <c r="GX10" i="16"/>
  <c r="GY10" i="16"/>
  <c r="GZ10" i="16"/>
  <c r="HA10" i="16"/>
  <c r="HB10" i="16"/>
  <c r="HD10" i="16"/>
  <c r="HF10" i="16"/>
  <c r="HG10" i="16"/>
  <c r="HI10" i="16"/>
  <c r="HM10" i="16"/>
  <c r="HN10" i="16"/>
  <c r="HO10" i="16"/>
  <c r="HP10" i="16"/>
  <c r="HQ10" i="16"/>
  <c r="HR10" i="16"/>
  <c r="HT10" i="16"/>
  <c r="HU10" i="16"/>
  <c r="HV10" i="16"/>
  <c r="HW10" i="16"/>
  <c r="HX10" i="16"/>
  <c r="IC10" i="16"/>
  <c r="ID10" i="16"/>
  <c r="IF10" i="16"/>
  <c r="IG10" i="16"/>
  <c r="IH10" i="16"/>
  <c r="IJ10" i="16"/>
  <c r="IK10" i="16"/>
  <c r="IL10" i="16"/>
  <c r="IM10" i="16"/>
  <c r="IN10" i="16"/>
  <c r="IO10" i="16"/>
  <c r="IS10" i="16"/>
  <c r="IT10" i="16"/>
  <c r="IU10" i="16"/>
  <c r="IW10" i="16"/>
  <c r="IX10" i="16"/>
  <c r="JA10" i="16"/>
  <c r="JB10" i="16"/>
  <c r="JC10" i="16"/>
  <c r="JD10" i="16"/>
  <c r="JE10" i="16"/>
  <c r="JG10" i="16"/>
  <c r="JI10" i="16"/>
  <c r="JJ10" i="16"/>
  <c r="JK10" i="16"/>
  <c r="JL10" i="16"/>
  <c r="JM10" i="16"/>
  <c r="JN10" i="16"/>
  <c r="JQ10" i="16"/>
  <c r="JR10" i="16"/>
  <c r="JT10" i="16"/>
  <c r="JU10" i="16"/>
  <c r="JW10" i="16"/>
  <c r="JY10" i="16"/>
  <c r="JZ10" i="16"/>
  <c r="KA10" i="16"/>
  <c r="KB10" i="16"/>
  <c r="KC10" i="16"/>
  <c r="KD10" i="16"/>
  <c r="KF10" i="16"/>
  <c r="KG10" i="16"/>
  <c r="KH10" i="16"/>
  <c r="KJ10" i="16"/>
  <c r="KK10" i="16"/>
  <c r="KO10" i="16"/>
  <c r="KP10" i="16"/>
  <c r="KQ10" i="16"/>
  <c r="KR10" i="16"/>
  <c r="KS10" i="16"/>
  <c r="KT10" i="16"/>
  <c r="KV10" i="16"/>
  <c r="KW10" i="16"/>
  <c r="KX10" i="16"/>
  <c r="KY10" i="16"/>
  <c r="KZ10" i="16"/>
  <c r="LA10" i="16"/>
  <c r="LE10" i="16"/>
  <c r="LF10" i="16"/>
  <c r="LH10" i="16"/>
  <c r="LI10" i="16"/>
  <c r="LJ10" i="16"/>
  <c r="LL10" i="16"/>
  <c r="LM10" i="16"/>
  <c r="LN10" i="16"/>
  <c r="LO10" i="16"/>
  <c r="LP10" i="16"/>
  <c r="LQ10" i="16"/>
  <c r="LS10" i="16"/>
  <c r="LU10" i="16"/>
  <c r="LV10" i="16"/>
  <c r="LX10" i="16"/>
  <c r="LY10" i="16"/>
  <c r="MB10" i="16"/>
  <c r="MC10" i="16"/>
  <c r="MD10" i="16"/>
  <c r="ME10" i="16"/>
  <c r="MF10" i="16"/>
  <c r="MG10" i="16"/>
  <c r="MI10" i="16"/>
  <c r="MK10" i="16"/>
  <c r="ML10" i="16"/>
  <c r="MM10" i="16"/>
  <c r="MN10" i="16"/>
  <c r="MO10" i="16"/>
  <c r="MR10" i="16"/>
  <c r="MS10" i="16"/>
  <c r="MU10" i="16"/>
  <c r="MV10" i="16"/>
  <c r="MW10" i="16"/>
  <c r="MY10" i="16"/>
  <c r="NA10" i="16"/>
  <c r="NB10" i="16"/>
  <c r="C10" i="16"/>
  <c r="C12" i="16"/>
  <c r="C13" i="16" s="1"/>
  <c r="X5" i="13"/>
  <c r="L5" i="13"/>
  <c r="W3" i="13"/>
  <c r="W77" i="13" s="1"/>
  <c r="F6" i="8"/>
  <c r="F4" i="8"/>
  <c r="F5" i="8"/>
  <c r="E5" i="8"/>
  <c r="I10" i="8"/>
  <c r="K10" i="8" s="1"/>
  <c r="I41" i="15"/>
  <c r="I40" i="15"/>
  <c r="E158" i="4"/>
  <c r="E168" i="4" s="1"/>
  <c r="E161" i="4"/>
  <c r="E163" i="4"/>
  <c r="E165" i="4"/>
  <c r="E169" i="4" s="1"/>
  <c r="G166" i="4" s="1"/>
  <c r="E167" i="4"/>
  <c r="K167" i="4"/>
  <c r="J169" i="4"/>
  <c r="J170" i="4" s="1"/>
  <c r="D16" i="8"/>
  <c r="O16" i="8" s="1"/>
  <c r="D15" i="8"/>
  <c r="O15" i="8" s="1"/>
  <c r="P15" i="8" s="1"/>
  <c r="E6" i="8"/>
  <c r="D42" i="13"/>
  <c r="X42" i="13"/>
  <c r="W42" i="13"/>
  <c r="V42" i="13"/>
  <c r="O42" i="13" s="1"/>
  <c r="T42" i="13"/>
  <c r="Q42" i="13"/>
  <c r="R42" i="13"/>
  <c r="S42" i="13"/>
  <c r="P42" i="13"/>
  <c r="K42" i="13"/>
  <c r="L42" i="13"/>
  <c r="M42" i="13"/>
  <c r="J42" i="13"/>
  <c r="H42" i="13"/>
  <c r="F42" i="13"/>
  <c r="G42" i="13"/>
  <c r="E42" i="13"/>
  <c r="G19" i="8"/>
  <c r="H19" i="8"/>
  <c r="I19" i="8"/>
  <c r="J19" i="8"/>
  <c r="K19" i="8"/>
  <c r="L19" i="8"/>
  <c r="M19" i="8"/>
  <c r="N19" i="8"/>
  <c r="L18" i="8"/>
  <c r="L17" i="8"/>
  <c r="K15" i="8"/>
  <c r="E16" i="8"/>
  <c r="E15" i="8"/>
  <c r="E19" i="8" s="1"/>
  <c r="U85" i="4"/>
  <c r="K61" i="13"/>
  <c r="U3" i="13"/>
  <c r="N3" i="13" s="1"/>
  <c r="T11" i="8"/>
  <c r="T20" i="8" s="1"/>
  <c r="D7" i="8"/>
  <c r="H10" i="8" s="1"/>
  <c r="D43" i="9"/>
  <c r="M19" i="15"/>
  <c r="H29" i="15"/>
  <c r="G92" i="15"/>
  <c r="G71" i="15"/>
  <c r="V68" i="15" s="1"/>
  <c r="K29" i="15"/>
  <c r="U102" i="15"/>
  <c r="U103" i="15"/>
  <c r="U101" i="15"/>
  <c r="U81" i="15"/>
  <c r="U82" i="15"/>
  <c r="U83" i="15"/>
  <c r="U84" i="15"/>
  <c r="U85" i="15"/>
  <c r="U86" i="15"/>
  <c r="U87" i="15"/>
  <c r="U88" i="15"/>
  <c r="U89" i="15"/>
  <c r="U80" i="15"/>
  <c r="W54" i="15"/>
  <c r="W46" i="15"/>
  <c r="W47" i="15"/>
  <c r="W48" i="15"/>
  <c r="W49" i="15"/>
  <c r="W50" i="15"/>
  <c r="W51" i="15"/>
  <c r="W52" i="15"/>
  <c r="W53" i="15"/>
  <c r="W45" i="15"/>
  <c r="V60" i="15"/>
  <c r="V61" i="15"/>
  <c r="V62" i="15"/>
  <c r="V63" i="15"/>
  <c r="V64" i="15"/>
  <c r="V65" i="15"/>
  <c r="V66" i="15"/>
  <c r="V67" i="15"/>
  <c r="V59" i="15"/>
  <c r="T101" i="15"/>
  <c r="T104" i="15"/>
  <c r="T102" i="15"/>
  <c r="T103" i="15"/>
  <c r="S103" i="15"/>
  <c r="S102" i="15"/>
  <c r="S101" i="15"/>
  <c r="T81" i="15"/>
  <c r="T82" i="15"/>
  <c r="T83" i="15"/>
  <c r="T84" i="15"/>
  <c r="T85" i="15"/>
  <c r="T86" i="15"/>
  <c r="T87" i="15"/>
  <c r="T88" i="15"/>
  <c r="T89" i="15"/>
  <c r="T80" i="15"/>
  <c r="U60" i="15"/>
  <c r="U61" i="15"/>
  <c r="U62" i="15"/>
  <c r="U63" i="15"/>
  <c r="U64" i="15"/>
  <c r="U65" i="15"/>
  <c r="U66" i="15"/>
  <c r="U67" i="15"/>
  <c r="U68" i="15"/>
  <c r="U59" i="15"/>
  <c r="U69" i="15" s="1"/>
  <c r="V45" i="15"/>
  <c r="J92" i="2"/>
  <c r="V46" i="15"/>
  <c r="V47" i="15"/>
  <c r="V48" i="15"/>
  <c r="V49" i="15"/>
  <c r="V50" i="15"/>
  <c r="V51" i="15"/>
  <c r="V52" i="15"/>
  <c r="V53" i="15"/>
  <c r="V54" i="15"/>
  <c r="E30" i="2"/>
  <c r="F30" i="2"/>
  <c r="G30" i="2"/>
  <c r="H30" i="2"/>
  <c r="I30" i="2"/>
  <c r="J30" i="2"/>
  <c r="K30" i="2"/>
  <c r="L30" i="2"/>
  <c r="M30" i="2"/>
  <c r="N30" i="2"/>
  <c r="O30" i="2"/>
  <c r="Q30" i="2"/>
  <c r="V30" i="2"/>
  <c r="X30" i="2"/>
  <c r="V60" i="4"/>
  <c r="L73" i="13"/>
  <c r="O75" i="13"/>
  <c r="L7" i="13"/>
  <c r="L6" i="13"/>
  <c r="L11" i="13" s="1"/>
  <c r="W8" i="13"/>
  <c r="N8" i="13"/>
  <c r="W11" i="13"/>
  <c r="N11" i="13"/>
  <c r="W12" i="13"/>
  <c r="N12" i="13"/>
  <c r="W13" i="13"/>
  <c r="W16" i="13"/>
  <c r="W17" i="13"/>
  <c r="W31" i="13"/>
  <c r="W68" i="13" s="1"/>
  <c r="W37" i="13"/>
  <c r="W50" i="13" s="1"/>
  <c r="W40" i="13"/>
  <c r="W45" i="13"/>
  <c r="N45" i="13"/>
  <c r="W53" i="13"/>
  <c r="N53" i="13"/>
  <c r="N61" i="13"/>
  <c r="N37" i="13" s="1"/>
  <c r="W62" i="13"/>
  <c r="W44" i="13" s="1"/>
  <c r="N63" i="13"/>
  <c r="N62" i="13" s="1"/>
  <c r="N44" i="13" s="1"/>
  <c r="W66" i="13"/>
  <c r="N68" i="13"/>
  <c r="W75" i="13"/>
  <c r="W90" i="13" s="1"/>
  <c r="N75" i="13"/>
  <c r="N90" i="13" s="1"/>
  <c r="W81" i="13"/>
  <c r="N81" i="13"/>
  <c r="W84" i="13"/>
  <c r="N84" i="13"/>
  <c r="W86" i="13"/>
  <c r="N86" i="13"/>
  <c r="W93" i="13"/>
  <c r="N93" i="13"/>
  <c r="W95" i="13"/>
  <c r="W106" i="13" s="1"/>
  <c r="N95" i="13"/>
  <c r="N106" i="13" s="1"/>
  <c r="W109" i="13"/>
  <c r="N109" i="13"/>
  <c r="D35" i="9"/>
  <c r="O56" i="18" l="1"/>
  <c r="O57" i="18"/>
  <c r="O58" i="18"/>
  <c r="O59" i="18"/>
  <c r="O60" i="18"/>
  <c r="O61" i="18"/>
  <c r="O62" i="18"/>
  <c r="O63" i="18"/>
  <c r="N64" i="18"/>
  <c r="O64" i="18" s="1"/>
  <c r="O65" i="18"/>
  <c r="N29" i="18"/>
  <c r="O29" i="18" s="1"/>
  <c r="O51" i="18"/>
  <c r="N31" i="18"/>
  <c r="O31" i="18" s="1"/>
  <c r="O52" i="18"/>
  <c r="N33" i="18"/>
  <c r="O33" i="18" s="1"/>
  <c r="O54" i="18"/>
  <c r="O55" i="18"/>
  <c r="AK12" i="18"/>
  <c r="O27" i="18"/>
  <c r="O44" i="18"/>
  <c r="O43" i="18"/>
  <c r="O41" i="18"/>
  <c r="O40" i="18"/>
  <c r="O39" i="18"/>
  <c r="O42" i="18"/>
  <c r="O36" i="18"/>
  <c r="O35" i="18"/>
  <c r="O50" i="18"/>
  <c r="O34" i="18"/>
  <c r="O49" i="18"/>
  <c r="O48" i="18"/>
  <c r="O32" i="18"/>
  <c r="O47" i="18"/>
  <c r="O46" i="18"/>
  <c r="O30" i="18"/>
  <c r="O23" i="18"/>
  <c r="W18" i="13"/>
  <c r="W21" i="13" s="1"/>
  <c r="W19" i="13"/>
  <c r="W30" i="13"/>
  <c r="W32" i="13" s="1"/>
  <c r="AL143" i="13"/>
  <c r="U42" i="13"/>
  <c r="D12" i="16"/>
  <c r="MT10" i="16"/>
  <c r="LZ10" i="16"/>
  <c r="LG10" i="16"/>
  <c r="KM10" i="16"/>
  <c r="JS10" i="16"/>
  <c r="IZ10" i="16"/>
  <c r="IE10" i="16"/>
  <c r="HH10" i="16"/>
  <c r="GN10" i="16"/>
  <c r="FS10" i="16"/>
  <c r="EV10" i="16"/>
  <c r="EB10" i="16"/>
  <c r="DG10" i="16"/>
  <c r="CJ10" i="16"/>
  <c r="BP10" i="16"/>
  <c r="AU10" i="16"/>
  <c r="X10" i="16"/>
  <c r="D10" i="16"/>
  <c r="MP10" i="16"/>
  <c r="LW10" i="16"/>
  <c r="LC10" i="16"/>
  <c r="KI10" i="16"/>
  <c r="JP10" i="16"/>
  <c r="IV10" i="16"/>
  <c r="HY10" i="16"/>
  <c r="HE10" i="16"/>
  <c r="GJ10" i="16"/>
  <c r="FM10" i="16"/>
  <c r="ES10" i="16"/>
  <c r="DX10" i="16"/>
  <c r="DA10" i="16"/>
  <c r="CG10" i="16"/>
  <c r="BL10" i="16"/>
  <c r="AO10" i="16"/>
  <c r="J10" i="16"/>
  <c r="Z10" i="16"/>
  <c r="AP10" i="16"/>
  <c r="BF10" i="16"/>
  <c r="BV10" i="16"/>
  <c r="CL10" i="16"/>
  <c r="DB10" i="16"/>
  <c r="DR10" i="16"/>
  <c r="EH10" i="16"/>
  <c r="EX10" i="16"/>
  <c r="FN10" i="16"/>
  <c r="GD10" i="16"/>
  <c r="GT10" i="16"/>
  <c r="HJ10" i="16"/>
  <c r="HZ10" i="16"/>
  <c r="IP10" i="16"/>
  <c r="JF10" i="16"/>
  <c r="JV10" i="16"/>
  <c r="KL10" i="16"/>
  <c r="LB10" i="16"/>
  <c r="LR10" i="16"/>
  <c r="MH10" i="16"/>
  <c r="MX10" i="16"/>
  <c r="K10" i="16"/>
  <c r="AA10" i="16"/>
  <c r="AQ10" i="16"/>
  <c r="BG10" i="16"/>
  <c r="BW10" i="16"/>
  <c r="CM10" i="16"/>
  <c r="DC10" i="16"/>
  <c r="DS10" i="16"/>
  <c r="EI10" i="16"/>
  <c r="EY10" i="16"/>
  <c r="FO10" i="16"/>
  <c r="GE10" i="16"/>
  <c r="GU10" i="16"/>
  <c r="HK10" i="16"/>
  <c r="IA10" i="16"/>
  <c r="IQ10" i="16"/>
  <c r="L10" i="16"/>
  <c r="AB10" i="16"/>
  <c r="AR10" i="16"/>
  <c r="BH10" i="16"/>
  <c r="BX10" i="16"/>
  <c r="CN10" i="16"/>
  <c r="DD10" i="16"/>
  <c r="DT10" i="16"/>
  <c r="EJ10" i="16"/>
  <c r="EZ10" i="16"/>
  <c r="FP10" i="16"/>
  <c r="GF10" i="16"/>
  <c r="GV10" i="16"/>
  <c r="HL10" i="16"/>
  <c r="IB10" i="16"/>
  <c r="IR10" i="16"/>
  <c r="JH10" i="16"/>
  <c r="JX10" i="16"/>
  <c r="KN10" i="16"/>
  <c r="LD10" i="16"/>
  <c r="LT10" i="16"/>
  <c r="MJ10" i="16"/>
  <c r="MZ10" i="16"/>
  <c r="S10" i="16"/>
  <c r="AI10" i="16"/>
  <c r="AY10" i="16"/>
  <c r="BO10" i="16"/>
  <c r="CE10" i="16"/>
  <c r="CU10" i="16"/>
  <c r="DK10" i="16"/>
  <c r="EA10" i="16"/>
  <c r="EQ10" i="16"/>
  <c r="FG10" i="16"/>
  <c r="FW10" i="16"/>
  <c r="GM10" i="16"/>
  <c r="HC10" i="16"/>
  <c r="HS10" i="16"/>
  <c r="II10" i="16"/>
  <c r="IY10" i="16"/>
  <c r="JO10" i="16"/>
  <c r="KE10" i="16"/>
  <c r="KU10" i="16"/>
  <c r="LK10" i="16"/>
  <c r="MA10" i="16"/>
  <c r="MQ10" i="16"/>
  <c r="V3" i="13"/>
  <c r="V4" i="13" s="1"/>
  <c r="N42" i="13"/>
  <c r="N85" i="13"/>
  <c r="N89" i="13" s="1"/>
  <c r="W85" i="13"/>
  <c r="W89" i="13" s="1"/>
  <c r="W104" i="13" s="1"/>
  <c r="Q15" i="8"/>
  <c r="P16" i="8"/>
  <c r="Q16" i="8" s="1"/>
  <c r="L3" i="13"/>
  <c r="K3" i="13" s="1"/>
  <c r="J3" i="13" s="1"/>
  <c r="T10" i="8"/>
  <c r="T19" i="8" s="1"/>
  <c r="M3" i="13"/>
  <c r="G164" i="4"/>
  <c r="E170" i="4"/>
  <c r="F16" i="8"/>
  <c r="I3" i="13"/>
  <c r="T3" i="8" s="1"/>
  <c r="T5" i="8"/>
  <c r="T14" i="8" s="1"/>
  <c r="T4" i="8"/>
  <c r="U104" i="15"/>
  <c r="U90" i="15"/>
  <c r="J29" i="15" s="1"/>
  <c r="W55" i="15"/>
  <c r="T90" i="15"/>
  <c r="V69" i="15"/>
  <c r="I29" i="15" s="1"/>
  <c r="V55" i="15"/>
  <c r="N10" i="13"/>
  <c r="N120" i="13" s="1"/>
  <c r="N94" i="13"/>
  <c r="N102" i="13" s="1"/>
  <c r="W10" i="13"/>
  <c r="W94" i="13"/>
  <c r="W102" i="13" s="1"/>
  <c r="W49" i="13"/>
  <c r="W91" i="13"/>
  <c r="N91" i="13"/>
  <c r="N50" i="13"/>
  <c r="N49" i="13"/>
  <c r="N67" i="13"/>
  <c r="N69" i="13"/>
  <c r="N40" i="13"/>
  <c r="I65" i="13"/>
  <c r="U65" i="13"/>
  <c r="X62" i="13"/>
  <c r="X44" i="13" s="1"/>
  <c r="I61" i="13"/>
  <c r="I37" i="13" s="1"/>
  <c r="I50" i="13" s="1"/>
  <c r="T26" i="8"/>
  <c r="X7" i="13"/>
  <c r="X8" i="13"/>
  <c r="X12" i="13"/>
  <c r="X13" i="13"/>
  <c r="X14" i="13" s="1"/>
  <c r="X15" i="13"/>
  <c r="L13" i="15"/>
  <c r="L14" i="15" s="1"/>
  <c r="L18" i="15" s="1"/>
  <c r="V12" i="2"/>
  <c r="I18" i="15"/>
  <c r="I19" i="15"/>
  <c r="M37" i="15"/>
  <c r="M28" i="15"/>
  <c r="H13" i="15"/>
  <c r="H14" i="15" s="1"/>
  <c r="H18" i="15" s="1"/>
  <c r="J18" i="15"/>
  <c r="K18" i="15"/>
  <c r="K19" i="15"/>
  <c r="J19" i="15"/>
  <c r="U86" i="4"/>
  <c r="F9" i="4"/>
  <c r="E7" i="3"/>
  <c r="E8" i="3" s="1"/>
  <c r="P75" i="13"/>
  <c r="U109" i="13"/>
  <c r="AO129" i="13"/>
  <c r="AO128" i="13"/>
  <c r="P86" i="13"/>
  <c r="P89" i="13" s="1"/>
  <c r="J11" i="13"/>
  <c r="J67" i="13" s="1"/>
  <c r="Q93" i="13"/>
  <c r="R93" i="13"/>
  <c r="S93" i="13"/>
  <c r="T93" i="13"/>
  <c r="U93" i="13"/>
  <c r="D93" i="13"/>
  <c r="E93" i="13"/>
  <c r="F93" i="13"/>
  <c r="G93" i="13"/>
  <c r="H93" i="13"/>
  <c r="I93" i="13"/>
  <c r="V93" i="13"/>
  <c r="O93" i="13"/>
  <c r="J93" i="13"/>
  <c r="K93" i="13"/>
  <c r="X93" i="13"/>
  <c r="L93" i="13"/>
  <c r="M93" i="13"/>
  <c r="P93" i="13"/>
  <c r="X77" i="13"/>
  <c r="D165" i="3"/>
  <c r="I165" i="3" s="1"/>
  <c r="J153" i="3"/>
  <c r="J154" i="3"/>
  <c r="J155" i="3"/>
  <c r="J158" i="3"/>
  <c r="J157" i="3" s="1"/>
  <c r="J160" i="3"/>
  <c r="J162" i="3"/>
  <c r="J164" i="3"/>
  <c r="J165" i="3"/>
  <c r="J152" i="3"/>
  <c r="I153" i="3"/>
  <c r="I154" i="3"/>
  <c r="I155" i="3"/>
  <c r="I158" i="3"/>
  <c r="I157" i="3" s="1"/>
  <c r="I160" i="3"/>
  <c r="I162" i="3"/>
  <c r="I164" i="3"/>
  <c r="I152" i="3"/>
  <c r="I75" i="13"/>
  <c r="U75" i="13"/>
  <c r="Q75" i="13"/>
  <c r="R75" i="13"/>
  <c r="S75" i="13"/>
  <c r="T75" i="13"/>
  <c r="H75" i="13"/>
  <c r="E75" i="13"/>
  <c r="F75" i="13"/>
  <c r="G75" i="13"/>
  <c r="D90" i="13"/>
  <c r="J75" i="13"/>
  <c r="V75" i="13"/>
  <c r="Q109" i="13"/>
  <c r="R109" i="13"/>
  <c r="S109" i="13"/>
  <c r="T109" i="13"/>
  <c r="D109" i="13"/>
  <c r="E109" i="13"/>
  <c r="F109" i="13"/>
  <c r="G109" i="13"/>
  <c r="H109" i="13"/>
  <c r="I109" i="13"/>
  <c r="V109" i="13"/>
  <c r="O109" i="13"/>
  <c r="J109" i="13"/>
  <c r="K109" i="13"/>
  <c r="X109" i="13"/>
  <c r="L109" i="13"/>
  <c r="M109" i="13"/>
  <c r="P109" i="13"/>
  <c r="M73" i="13"/>
  <c r="M75" i="13" s="1"/>
  <c r="V95" i="13"/>
  <c r="V106" i="13" s="1"/>
  <c r="Q95" i="13"/>
  <c r="Q106" i="13" s="1"/>
  <c r="R95" i="13"/>
  <c r="R106" i="13" s="1"/>
  <c r="S95" i="13"/>
  <c r="S106" i="13" s="1"/>
  <c r="T95" i="13"/>
  <c r="T106" i="13" s="1"/>
  <c r="U95" i="13"/>
  <c r="U106" i="13" s="1"/>
  <c r="D95" i="13"/>
  <c r="D106" i="13" s="1"/>
  <c r="E95" i="13"/>
  <c r="E106" i="13" s="1"/>
  <c r="F95" i="13"/>
  <c r="F106" i="13" s="1"/>
  <c r="G95" i="13"/>
  <c r="G106" i="13" s="1"/>
  <c r="H95" i="13"/>
  <c r="H106" i="13" s="1"/>
  <c r="I95" i="13"/>
  <c r="I106" i="13" s="1"/>
  <c r="O95" i="13"/>
  <c r="O106" i="13" s="1"/>
  <c r="J95" i="13"/>
  <c r="J106" i="13" s="1"/>
  <c r="K95" i="13"/>
  <c r="K106" i="13" s="1"/>
  <c r="X95" i="13"/>
  <c r="X106" i="13" s="1"/>
  <c r="L95" i="13"/>
  <c r="L106" i="13" s="1"/>
  <c r="M95" i="13"/>
  <c r="M106" i="13" s="1"/>
  <c r="P95" i="13"/>
  <c r="P106" i="13" s="1"/>
  <c r="D94" i="13"/>
  <c r="D102" i="13" s="1"/>
  <c r="X94" i="13"/>
  <c r="X102" i="13" s="1"/>
  <c r="M94" i="13"/>
  <c r="M102" i="13" s="1"/>
  <c r="P94" i="13"/>
  <c r="P102" i="13" s="1"/>
  <c r="X86" i="13"/>
  <c r="M86" i="13"/>
  <c r="L86" i="13"/>
  <c r="K86" i="13"/>
  <c r="J86" i="13"/>
  <c r="E86" i="13"/>
  <c r="E89" i="13" s="1"/>
  <c r="F86" i="13"/>
  <c r="F89" i="13" s="1"/>
  <c r="F104" i="13" s="1"/>
  <c r="G86" i="13"/>
  <c r="G89" i="13" s="1"/>
  <c r="G104" i="13" s="1"/>
  <c r="H86" i="13"/>
  <c r="H89" i="13" s="1"/>
  <c r="H104" i="13" s="1"/>
  <c r="D86" i="13"/>
  <c r="O86" i="13"/>
  <c r="V86" i="13"/>
  <c r="U86" i="13"/>
  <c r="U89" i="13" s="1"/>
  <c r="U104" i="13" s="1"/>
  <c r="Q86" i="13"/>
  <c r="Q89" i="13" s="1"/>
  <c r="R86" i="13"/>
  <c r="R89" i="13" s="1"/>
  <c r="R104" i="13" s="1"/>
  <c r="S86" i="13"/>
  <c r="S89" i="13" s="1"/>
  <c r="S104" i="13" s="1"/>
  <c r="T86" i="13"/>
  <c r="T89" i="13" s="1"/>
  <c r="T96" i="13" s="1"/>
  <c r="O84" i="13"/>
  <c r="J84" i="13"/>
  <c r="K84" i="13"/>
  <c r="X84" i="13"/>
  <c r="X85" i="13" s="1"/>
  <c r="L84" i="13"/>
  <c r="M84" i="13"/>
  <c r="M85" i="13" s="1"/>
  <c r="V84" i="13"/>
  <c r="E132" i="3"/>
  <c r="Q81" i="13"/>
  <c r="R81" i="13"/>
  <c r="S81" i="13"/>
  <c r="T81" i="13"/>
  <c r="U81" i="13"/>
  <c r="D81" i="13"/>
  <c r="E81" i="13"/>
  <c r="F81" i="13"/>
  <c r="G81" i="13"/>
  <c r="H81" i="13"/>
  <c r="I81" i="13"/>
  <c r="V81" i="13"/>
  <c r="O81" i="13"/>
  <c r="J81" i="13"/>
  <c r="K81" i="13"/>
  <c r="X81" i="13"/>
  <c r="L81" i="13"/>
  <c r="M81" i="13"/>
  <c r="P81" i="13"/>
  <c r="Q53" i="13"/>
  <c r="Q54" i="13" s="1"/>
  <c r="R53" i="13"/>
  <c r="R54" i="13" s="1"/>
  <c r="S53" i="13"/>
  <c r="S54" i="13" s="1"/>
  <c r="T53" i="13"/>
  <c r="D53" i="13"/>
  <c r="D54" i="13" s="1"/>
  <c r="E53" i="13"/>
  <c r="E54" i="13" s="1"/>
  <c r="F53" i="13"/>
  <c r="F54" i="13" s="1"/>
  <c r="G53" i="13"/>
  <c r="G54" i="13" s="1"/>
  <c r="H53" i="13"/>
  <c r="V53" i="13"/>
  <c r="O53" i="13"/>
  <c r="J53" i="13"/>
  <c r="K53" i="13"/>
  <c r="L53" i="13"/>
  <c r="M53" i="13"/>
  <c r="P53" i="13"/>
  <c r="P54" i="13" s="1"/>
  <c r="Q37" i="13"/>
  <c r="Q50" i="13" s="1"/>
  <c r="R37" i="13"/>
  <c r="R50" i="13" s="1"/>
  <c r="S37" i="13"/>
  <c r="S50" i="13" s="1"/>
  <c r="T37" i="13"/>
  <c r="T50" i="13" s="1"/>
  <c r="D37" i="13"/>
  <c r="D50" i="13" s="1"/>
  <c r="E37" i="13"/>
  <c r="E50" i="13" s="1"/>
  <c r="F37" i="13"/>
  <c r="F50" i="13" s="1"/>
  <c r="G37" i="13"/>
  <c r="G50" i="13" s="1"/>
  <c r="H37" i="13"/>
  <c r="H50" i="13" s="1"/>
  <c r="V37" i="13"/>
  <c r="V50" i="13" s="1"/>
  <c r="J37" i="13"/>
  <c r="J50" i="13" s="1"/>
  <c r="U48" i="13"/>
  <c r="I48" i="13"/>
  <c r="I47" i="13"/>
  <c r="U47" i="13"/>
  <c r="P45" i="13"/>
  <c r="Q45" i="13"/>
  <c r="R45" i="13"/>
  <c r="S45" i="13"/>
  <c r="T45" i="13"/>
  <c r="D45" i="13"/>
  <c r="E45" i="13"/>
  <c r="F45" i="13"/>
  <c r="G45" i="13"/>
  <c r="H45" i="13"/>
  <c r="V45" i="13"/>
  <c r="O45" i="13"/>
  <c r="J45" i="13"/>
  <c r="K45" i="13"/>
  <c r="X45" i="13"/>
  <c r="L45" i="13"/>
  <c r="M45" i="13"/>
  <c r="I64" i="13"/>
  <c r="I53" i="13" s="1"/>
  <c r="I63" i="13"/>
  <c r="U64" i="13"/>
  <c r="U45" i="13" s="1"/>
  <c r="D78" i="7"/>
  <c r="X75" i="13"/>
  <c r="K75" i="13"/>
  <c r="K90" i="13" s="1"/>
  <c r="V11" i="13"/>
  <c r="K12" i="13"/>
  <c r="J12" i="13"/>
  <c r="V12" i="13"/>
  <c r="O11" i="13"/>
  <c r="K68" i="13"/>
  <c r="M68" i="13"/>
  <c r="L68" i="13"/>
  <c r="X68" i="13"/>
  <c r="J68" i="13"/>
  <c r="O68" i="13"/>
  <c r="V68" i="13"/>
  <c r="H68" i="13"/>
  <c r="T68" i="13"/>
  <c r="X66" i="13"/>
  <c r="I66" i="13"/>
  <c r="E57" i="3"/>
  <c r="E62" i="13"/>
  <c r="E44" i="13" s="1"/>
  <c r="F62" i="13"/>
  <c r="F44" i="13" s="1"/>
  <c r="G62" i="13"/>
  <c r="G44" i="13" s="1"/>
  <c r="D62" i="13"/>
  <c r="D44" i="13" s="1"/>
  <c r="O63" i="13"/>
  <c r="O62" i="13" s="1"/>
  <c r="O44" i="13" s="1"/>
  <c r="H62" i="13"/>
  <c r="H44" i="13" s="1"/>
  <c r="U63" i="13"/>
  <c r="Q62" i="13"/>
  <c r="Q44" i="13" s="1"/>
  <c r="R62" i="13"/>
  <c r="R44" i="13" s="1"/>
  <c r="S62" i="13"/>
  <c r="S44" i="13" s="1"/>
  <c r="T62" i="13"/>
  <c r="T44" i="13" s="1"/>
  <c r="P62" i="13"/>
  <c r="P44" i="13" s="1"/>
  <c r="V62" i="13"/>
  <c r="V44" i="13" s="1"/>
  <c r="J62" i="13"/>
  <c r="J44" i="13" s="1"/>
  <c r="K62" i="13"/>
  <c r="K44" i="13" s="1"/>
  <c r="L62" i="13"/>
  <c r="L44" i="13" s="1"/>
  <c r="M62" i="13"/>
  <c r="M44" i="13" s="1"/>
  <c r="P61" i="13"/>
  <c r="P37" i="13" s="1"/>
  <c r="P50" i="13" s="1"/>
  <c r="I58" i="13"/>
  <c r="AK129" i="13"/>
  <c r="AK130" i="13"/>
  <c r="I56" i="13"/>
  <c r="I68" i="13"/>
  <c r="M15" i="13"/>
  <c r="M18" i="13" s="1"/>
  <c r="M21" i="13" s="1"/>
  <c r="D12" i="13"/>
  <c r="D10" i="13" s="1"/>
  <c r="M67" i="13"/>
  <c r="M8" i="13"/>
  <c r="M7" i="13"/>
  <c r="M6" i="13"/>
  <c r="K8" i="13"/>
  <c r="J8" i="13"/>
  <c r="E8" i="13"/>
  <c r="F8" i="13"/>
  <c r="G8" i="13"/>
  <c r="H8" i="13"/>
  <c r="D8" i="13"/>
  <c r="F11" i="13"/>
  <c r="F33" i="13" s="1"/>
  <c r="G11" i="13"/>
  <c r="H11" i="13"/>
  <c r="F12" i="13"/>
  <c r="G12" i="13"/>
  <c r="H12" i="13"/>
  <c r="E12" i="13"/>
  <c r="E11" i="13"/>
  <c r="K11" i="13"/>
  <c r="K67" i="13" s="1"/>
  <c r="L75" i="13"/>
  <c r="L12" i="13"/>
  <c r="L67" i="13"/>
  <c r="E37" i="3"/>
  <c r="O8" i="13"/>
  <c r="V8" i="13"/>
  <c r="P8" i="13"/>
  <c r="Q8" i="13"/>
  <c r="R8" i="13"/>
  <c r="S8" i="13"/>
  <c r="T8" i="13"/>
  <c r="U9" i="13"/>
  <c r="I9" i="13"/>
  <c r="Q11" i="13"/>
  <c r="Q33" i="13" s="1"/>
  <c r="R11" i="13"/>
  <c r="R33" i="13" s="1"/>
  <c r="S11" i="13"/>
  <c r="S33" i="13" s="1"/>
  <c r="T11" i="13"/>
  <c r="T33" i="13" s="1"/>
  <c r="Q12" i="13"/>
  <c r="P12" i="13"/>
  <c r="R12" i="13"/>
  <c r="S12" i="13"/>
  <c r="T12" i="13"/>
  <c r="G169" i="4" l="1"/>
  <c r="H164" i="4"/>
  <c r="AK136" i="13"/>
  <c r="AK135" i="13"/>
  <c r="N14" i="13"/>
  <c r="W4" i="13"/>
  <c r="H10" i="13"/>
  <c r="H120" i="13" s="1"/>
  <c r="G33" i="13"/>
  <c r="G55" i="13" s="1"/>
  <c r="G57" i="13" s="1"/>
  <c r="G59" i="13" s="1"/>
  <c r="G60" i="13" s="1"/>
  <c r="G14" i="13"/>
  <c r="F14" i="13"/>
  <c r="E14" i="13"/>
  <c r="D14" i="13"/>
  <c r="H33" i="13"/>
  <c r="H67" i="13" s="1"/>
  <c r="E33" i="13"/>
  <c r="E55" i="13" s="1"/>
  <c r="E57" i="13" s="1"/>
  <c r="E59" i="13" s="1"/>
  <c r="E60" i="13" s="1"/>
  <c r="N18" i="13"/>
  <c r="N21" i="13" s="1"/>
  <c r="N15" i="13"/>
  <c r="N100" i="13" s="1"/>
  <c r="Q14" i="13"/>
  <c r="R14" i="13"/>
  <c r="S14" i="13"/>
  <c r="P14" i="13"/>
  <c r="W120" i="13"/>
  <c r="U68" i="13"/>
  <c r="U32" i="13"/>
  <c r="U120" i="13" s="1"/>
  <c r="F55" i="13"/>
  <c r="W105" i="13"/>
  <c r="W87" i="13" s="1"/>
  <c r="W88" i="13" s="1"/>
  <c r="V94" i="13"/>
  <c r="V102" i="13" s="1"/>
  <c r="N105" i="13"/>
  <c r="O94" i="13"/>
  <c r="O102" i="13" s="1"/>
  <c r="D105" i="13"/>
  <c r="E104" i="13"/>
  <c r="W69" i="13"/>
  <c r="W70" i="13" s="1"/>
  <c r="W71" i="13" s="1"/>
  <c r="W72" i="13" s="1"/>
  <c r="W52" i="13" s="1"/>
  <c r="W54" i="13" s="1"/>
  <c r="O10" i="13"/>
  <c r="O120" i="13" s="1"/>
  <c r="E12" i="16"/>
  <c r="D13" i="16"/>
  <c r="I158" i="4"/>
  <c r="I155" i="4"/>
  <c r="G157" i="4"/>
  <c r="G162" i="4"/>
  <c r="G160" i="4"/>
  <c r="G159" i="4"/>
  <c r="G154" i="4"/>
  <c r="G155" i="4"/>
  <c r="G153" i="4"/>
  <c r="F10" i="4"/>
  <c r="F11" i="4" s="1"/>
  <c r="I153" i="4"/>
  <c r="K162" i="4"/>
  <c r="K155" i="4"/>
  <c r="I165" i="4"/>
  <c r="K165" i="4"/>
  <c r="K169" i="4" s="1"/>
  <c r="K153" i="4"/>
  <c r="K161" i="4"/>
  <c r="I163" i="4"/>
  <c r="I166" i="4"/>
  <c r="I167" i="4"/>
  <c r="I154" i="4"/>
  <c r="I162" i="4"/>
  <c r="K154" i="4"/>
  <c r="K158" i="4"/>
  <c r="K159" i="4"/>
  <c r="I160" i="4"/>
  <c r="I157" i="4"/>
  <c r="K163" i="4"/>
  <c r="K157" i="4"/>
  <c r="I164" i="4"/>
  <c r="K164" i="4"/>
  <c r="I159" i="4"/>
  <c r="K160" i="4"/>
  <c r="I168" i="4"/>
  <c r="I161" i="4"/>
  <c r="I169" i="4"/>
  <c r="T66" i="13"/>
  <c r="U66" i="13" s="1"/>
  <c r="T12" i="8"/>
  <c r="L17" i="15"/>
  <c r="L19" i="15"/>
  <c r="L20" i="15" s="1"/>
  <c r="H17" i="15"/>
  <c r="H20" i="15"/>
  <c r="H19" i="15" s="1"/>
  <c r="M18" i="15"/>
  <c r="M20" i="15" s="1"/>
  <c r="W96" i="13"/>
  <c r="D49" i="13"/>
  <c r="S90" i="13"/>
  <c r="S91" i="13"/>
  <c r="P91" i="13"/>
  <c r="P90" i="13"/>
  <c r="P49" i="13"/>
  <c r="O91" i="13"/>
  <c r="O90" i="13"/>
  <c r="R90" i="13"/>
  <c r="R91" i="13"/>
  <c r="N77" i="13"/>
  <c r="T49" i="13"/>
  <c r="T90" i="13"/>
  <c r="T91" i="13"/>
  <c r="K91" i="13"/>
  <c r="Q91" i="13"/>
  <c r="Q90" i="13"/>
  <c r="S49" i="13"/>
  <c r="X90" i="13"/>
  <c r="X91" i="13"/>
  <c r="U90" i="13"/>
  <c r="U91" i="13"/>
  <c r="X49" i="13"/>
  <c r="R49" i="13"/>
  <c r="V91" i="13"/>
  <c r="V90" i="13"/>
  <c r="I91" i="13"/>
  <c r="I90" i="13"/>
  <c r="J49" i="13"/>
  <c r="Q49" i="13"/>
  <c r="L91" i="13"/>
  <c r="L90" i="13"/>
  <c r="J90" i="13"/>
  <c r="J91" i="13"/>
  <c r="X101" i="13"/>
  <c r="V49" i="13"/>
  <c r="D91" i="13"/>
  <c r="I49" i="13"/>
  <c r="G90" i="13"/>
  <c r="G91" i="13"/>
  <c r="H49" i="13"/>
  <c r="F91" i="13"/>
  <c r="F90" i="13"/>
  <c r="G49" i="13"/>
  <c r="E90" i="13"/>
  <c r="E91" i="13"/>
  <c r="F49" i="13"/>
  <c r="W67" i="13"/>
  <c r="M91" i="13"/>
  <c r="M90" i="13"/>
  <c r="H91" i="13"/>
  <c r="H90" i="13"/>
  <c r="E49" i="13"/>
  <c r="N70" i="13"/>
  <c r="N71" i="13" s="1"/>
  <c r="N72" i="13" s="1"/>
  <c r="N104" i="13"/>
  <c r="AO130" i="13"/>
  <c r="V82" i="13" s="1"/>
  <c r="K85" i="13"/>
  <c r="K89" i="13" s="1"/>
  <c r="J85" i="13"/>
  <c r="J89" i="13" s="1"/>
  <c r="L10" i="13"/>
  <c r="L120" i="13" s="1"/>
  <c r="V85" i="13"/>
  <c r="V89" i="13" s="1"/>
  <c r="L85" i="13"/>
  <c r="O85" i="13"/>
  <c r="O89" i="13" s="1"/>
  <c r="Q104" i="13"/>
  <c r="I86" i="13"/>
  <c r="I89" i="13" s="1"/>
  <c r="G96" i="13"/>
  <c r="F96" i="13"/>
  <c r="M100" i="13"/>
  <c r="M103" i="13" s="1"/>
  <c r="K94" i="13"/>
  <c r="K102" i="13" s="1"/>
  <c r="E94" i="13"/>
  <c r="E102" i="13" s="1"/>
  <c r="E96" i="13"/>
  <c r="S3" i="13"/>
  <c r="S77" i="13" s="1"/>
  <c r="P96" i="13"/>
  <c r="P104" i="13"/>
  <c r="G94" i="13"/>
  <c r="G102" i="13" s="1"/>
  <c r="H96" i="13"/>
  <c r="F94" i="13"/>
  <c r="F102" i="13" s="1"/>
  <c r="S96" i="13"/>
  <c r="T104" i="13"/>
  <c r="L102" i="13"/>
  <c r="S94" i="13"/>
  <c r="S102" i="13" s="1"/>
  <c r="R94" i="13"/>
  <c r="R102" i="13" s="1"/>
  <c r="U96" i="13"/>
  <c r="J94" i="13"/>
  <c r="J102" i="13" s="1"/>
  <c r="R96" i="13"/>
  <c r="Q96" i="13"/>
  <c r="T94" i="13"/>
  <c r="T102" i="13" s="1"/>
  <c r="M101" i="13"/>
  <c r="Q94" i="13"/>
  <c r="Q102" i="13" s="1"/>
  <c r="H94" i="13"/>
  <c r="H102" i="13" s="1"/>
  <c r="X89" i="13"/>
  <c r="M89" i="13"/>
  <c r="M87" i="13" s="1"/>
  <c r="M88" i="13" s="1"/>
  <c r="P51" i="13"/>
  <c r="Q51" i="13"/>
  <c r="R51" i="13"/>
  <c r="S51" i="13"/>
  <c r="T51" i="13"/>
  <c r="I45" i="13"/>
  <c r="U53" i="13"/>
  <c r="L69" i="13"/>
  <c r="L70" i="13" s="1"/>
  <c r="M69" i="13"/>
  <c r="M70" i="13" s="1"/>
  <c r="J69" i="13"/>
  <c r="J70" i="13" s="1"/>
  <c r="J71" i="13" s="1"/>
  <c r="J72" i="13" s="1"/>
  <c r="K69" i="13"/>
  <c r="U62" i="13"/>
  <c r="U44" i="13" s="1"/>
  <c r="I62" i="13"/>
  <c r="I44" i="13" s="1"/>
  <c r="Q40" i="13"/>
  <c r="D55" i="13"/>
  <c r="D57" i="13" s="1"/>
  <c r="D59" i="13" s="1"/>
  <c r="M19" i="13"/>
  <c r="M20" i="13" s="1"/>
  <c r="M22" i="13" s="1"/>
  <c r="K10" i="13"/>
  <c r="K120" i="13" s="1"/>
  <c r="L8" i="13"/>
  <c r="I8" i="13"/>
  <c r="J10" i="13"/>
  <c r="J120" i="13" s="1"/>
  <c r="G10" i="13"/>
  <c r="G120" i="13" s="1"/>
  <c r="U8" i="13"/>
  <c r="F10" i="13"/>
  <c r="F120" i="13" s="1"/>
  <c r="E10" i="13"/>
  <c r="T10" i="13"/>
  <c r="T14" i="13" s="1"/>
  <c r="Q10" i="13"/>
  <c r="Q105" i="13" s="1"/>
  <c r="Q87" i="13" s="1"/>
  <c r="Q88" i="13" s="1"/>
  <c r="P10" i="13"/>
  <c r="R10" i="13"/>
  <c r="R120" i="13" s="1"/>
  <c r="S10" i="13"/>
  <c r="F42" i="4"/>
  <c r="F70" i="4"/>
  <c r="F71" i="4" s="1"/>
  <c r="G158" i="4" l="1"/>
  <c r="H165" i="4"/>
  <c r="H166" i="4"/>
  <c r="H167" i="4"/>
  <c r="D24" i="13"/>
  <c r="T24" i="13"/>
  <c r="T119" i="13" s="1"/>
  <c r="N24" i="13"/>
  <c r="N119" i="13" s="1"/>
  <c r="P24" i="13"/>
  <c r="P119" i="13" s="1"/>
  <c r="H14" i="13"/>
  <c r="H18" i="13" s="1"/>
  <c r="D87" i="13"/>
  <c r="O14" i="13"/>
  <c r="O18" i="13" s="1"/>
  <c r="O21" i="13" s="1"/>
  <c r="H55" i="13"/>
  <c r="H69" i="13"/>
  <c r="H70" i="13" s="1"/>
  <c r="H71" i="13" s="1"/>
  <c r="H72" i="13" s="1"/>
  <c r="H43" i="13" s="1"/>
  <c r="H46" i="13" s="1"/>
  <c r="T18" i="13"/>
  <c r="T15" i="13"/>
  <c r="T100" i="13" s="1"/>
  <c r="K14" i="13"/>
  <c r="E15" i="13"/>
  <c r="E100" i="13" s="1"/>
  <c r="E18" i="13"/>
  <c r="Q15" i="13"/>
  <c r="Q100" i="13" s="1"/>
  <c r="Q18" i="13"/>
  <c r="Q19" i="13" s="1"/>
  <c r="L14" i="13"/>
  <c r="J14" i="13"/>
  <c r="F15" i="13"/>
  <c r="F100" i="13" s="1"/>
  <c r="F18" i="13"/>
  <c r="F19" i="13" s="1"/>
  <c r="T105" i="13"/>
  <c r="T87" i="13" s="1"/>
  <c r="T88" i="13" s="1"/>
  <c r="T120" i="13"/>
  <c r="D15" i="13"/>
  <c r="D100" i="13" s="1"/>
  <c r="D18" i="13"/>
  <c r="P15" i="13"/>
  <c r="P100" i="13" s="1"/>
  <c r="P18" i="13"/>
  <c r="U14" i="13"/>
  <c r="G15" i="13"/>
  <c r="G100" i="13" s="1"/>
  <c r="G18" i="13"/>
  <c r="S18" i="13"/>
  <c r="S15" i="13"/>
  <c r="S100" i="13" s="1"/>
  <c r="S105" i="13"/>
  <c r="S87" i="13" s="1"/>
  <c r="S88" i="13" s="1"/>
  <c r="S120" i="13"/>
  <c r="R18" i="13"/>
  <c r="R15" i="13"/>
  <c r="R100" i="13" s="1"/>
  <c r="H57" i="13"/>
  <c r="H59" i="13" s="1"/>
  <c r="H60" i="13" s="1"/>
  <c r="F57" i="13"/>
  <c r="F59" i="13" s="1"/>
  <c r="F60" i="13" s="1"/>
  <c r="N19" i="13"/>
  <c r="N20" i="13" s="1"/>
  <c r="N22" i="13" s="1"/>
  <c r="W43" i="13"/>
  <c r="W46" i="13" s="1"/>
  <c r="T69" i="13"/>
  <c r="T70" i="13" s="1"/>
  <c r="T71" i="13" s="1"/>
  <c r="T72" i="13" s="1"/>
  <c r="T52" i="13" s="1"/>
  <c r="T54" i="13" s="1"/>
  <c r="P105" i="13"/>
  <c r="P87" i="13" s="1"/>
  <c r="P88" i="13" s="1"/>
  <c r="L105" i="13"/>
  <c r="H105" i="13"/>
  <c r="H87" i="13" s="1"/>
  <c r="F105" i="13"/>
  <c r="F87" i="13" s="1"/>
  <c r="G105" i="13"/>
  <c r="G87" i="13" s="1"/>
  <c r="J105" i="13"/>
  <c r="J87" i="13" s="1"/>
  <c r="J88" i="13" s="1"/>
  <c r="E105" i="13"/>
  <c r="E87" i="13" s="1"/>
  <c r="U94" i="13"/>
  <c r="U102" i="13" s="1"/>
  <c r="N26" i="13"/>
  <c r="F12" i="16"/>
  <c r="E13" i="16"/>
  <c r="T67" i="13"/>
  <c r="K168" i="4"/>
  <c r="K170" i="4" s="1"/>
  <c r="I170" i="4"/>
  <c r="M77" i="13"/>
  <c r="T8" i="8"/>
  <c r="T9" i="8"/>
  <c r="V77" i="13"/>
  <c r="Q82" i="13"/>
  <c r="O82" i="13"/>
  <c r="W82" i="13"/>
  <c r="N82" i="13"/>
  <c r="N43" i="13"/>
  <c r="N46" i="13" s="1"/>
  <c r="N52" i="13"/>
  <c r="N54" i="13" s="1"/>
  <c r="S82" i="13"/>
  <c r="L82" i="13"/>
  <c r="K82" i="13"/>
  <c r="P82" i="13"/>
  <c r="X82" i="13"/>
  <c r="E82" i="13"/>
  <c r="D82" i="13"/>
  <c r="T82" i="13"/>
  <c r="H82" i="13"/>
  <c r="R82" i="13"/>
  <c r="G82" i="13"/>
  <c r="J82" i="13"/>
  <c r="F82" i="13"/>
  <c r="L89" i="13"/>
  <c r="I94" i="13"/>
  <c r="I102" i="13" s="1"/>
  <c r="K105" i="13"/>
  <c r="K87" i="13" s="1"/>
  <c r="K88" i="13" s="1"/>
  <c r="R105" i="13"/>
  <c r="R87" i="13" s="1"/>
  <c r="R88" i="13" s="1"/>
  <c r="P3" i="13"/>
  <c r="P77" i="13" s="1"/>
  <c r="R3" i="13"/>
  <c r="R77" i="13" s="1"/>
  <c r="T3" i="13"/>
  <c r="T77" i="13" s="1"/>
  <c r="U77" i="13"/>
  <c r="Q3" i="13"/>
  <c r="Q77" i="13" s="1"/>
  <c r="I104" i="13"/>
  <c r="I96" i="13"/>
  <c r="M104" i="13"/>
  <c r="M96" i="13"/>
  <c r="T7" i="8"/>
  <c r="T16" i="8" s="1"/>
  <c r="L77" i="13"/>
  <c r="D104" i="13"/>
  <c r="D96" i="13"/>
  <c r="O96" i="13"/>
  <c r="O104" i="13"/>
  <c r="J96" i="13"/>
  <c r="J104" i="13"/>
  <c r="K104" i="13"/>
  <c r="K96" i="13"/>
  <c r="X104" i="13"/>
  <c r="X96" i="13"/>
  <c r="V96" i="13"/>
  <c r="V104" i="13"/>
  <c r="J43" i="13"/>
  <c r="J46" i="13" s="1"/>
  <c r="J52" i="13"/>
  <c r="J54" i="13" s="1"/>
  <c r="L71" i="13"/>
  <c r="L72" i="13" s="1"/>
  <c r="U67" i="13"/>
  <c r="M71" i="13"/>
  <c r="M72" i="13" s="1"/>
  <c r="M76" i="13"/>
  <c r="M92" i="13" s="1"/>
  <c r="I55" i="13"/>
  <c r="I57" i="13" s="1"/>
  <c r="I67" i="13"/>
  <c r="K70" i="13"/>
  <c r="K71" i="13" s="1"/>
  <c r="K72" i="13" s="1"/>
  <c r="X69" i="13"/>
  <c r="X67" i="13"/>
  <c r="I69" i="13"/>
  <c r="O69" i="13"/>
  <c r="O67" i="13"/>
  <c r="V69" i="13"/>
  <c r="V67" i="13"/>
  <c r="R40" i="13"/>
  <c r="I59" i="13"/>
  <c r="V10" i="13"/>
  <c r="V120" i="13" s="1"/>
  <c r="O105" i="13"/>
  <c r="O87" i="13" s="1"/>
  <c r="O88" i="13" s="1"/>
  <c r="X10" i="13"/>
  <c r="E68" i="3"/>
  <c r="E67" i="3" s="1"/>
  <c r="E39" i="3"/>
  <c r="G64" i="3"/>
  <c r="W19" i="12"/>
  <c r="W18" i="12"/>
  <c r="V19" i="12"/>
  <c r="V18" i="12"/>
  <c r="V13" i="12"/>
  <c r="W19" i="4"/>
  <c r="W18" i="4"/>
  <c r="E203" i="4" s="1"/>
  <c r="V19" i="4"/>
  <c r="V18" i="4"/>
  <c r="E202" i="4" s="1"/>
  <c r="G168" i="4" l="1"/>
  <c r="H158" i="4"/>
  <c r="T18" i="8"/>
  <c r="H52" i="13"/>
  <c r="H54" i="13" s="1"/>
  <c r="S24" i="13"/>
  <c r="S119" i="13" s="1"/>
  <c r="U24" i="13"/>
  <c r="U119" i="13" s="1"/>
  <c r="G24" i="13"/>
  <c r="G119" i="13" s="1"/>
  <c r="F24" i="13"/>
  <c r="F119" i="13" s="1"/>
  <c r="O15" i="13"/>
  <c r="O100" i="13" s="1"/>
  <c r="Q24" i="13"/>
  <c r="Q119" i="13" s="1"/>
  <c r="L24" i="13"/>
  <c r="L119" i="13" s="1"/>
  <c r="H15" i="13"/>
  <c r="H100" i="13" s="1"/>
  <c r="O24" i="13"/>
  <c r="O119" i="13" s="1"/>
  <c r="I14" i="13"/>
  <c r="I15" i="13" s="1"/>
  <c r="I100" i="13" s="1"/>
  <c r="R24" i="13"/>
  <c r="R119" i="13" s="1"/>
  <c r="E24" i="13"/>
  <c r="E119" i="13" s="1"/>
  <c r="U15" i="13"/>
  <c r="U100" i="13" s="1"/>
  <c r="U18" i="13"/>
  <c r="K18" i="13"/>
  <c r="K19" i="13" s="1"/>
  <c r="K15" i="13"/>
  <c r="K100" i="13" s="1"/>
  <c r="S19" i="13"/>
  <c r="R19" i="13"/>
  <c r="L18" i="13"/>
  <c r="L15" i="13"/>
  <c r="L100" i="13" s="1"/>
  <c r="G19" i="13"/>
  <c r="J15" i="13"/>
  <c r="J100" i="13" s="1"/>
  <c r="J18" i="13"/>
  <c r="E19" i="13"/>
  <c r="L87" i="13"/>
  <c r="L88" i="13" s="1"/>
  <c r="N76" i="13"/>
  <c r="N92" i="13" s="1"/>
  <c r="U69" i="13"/>
  <c r="U70" i="13" s="1"/>
  <c r="U71" i="13" s="1"/>
  <c r="U72" i="13" s="1"/>
  <c r="U43" i="13" s="1"/>
  <c r="U46" i="13" s="1"/>
  <c r="I87" i="13"/>
  <c r="I88" i="13" s="1"/>
  <c r="V105" i="13"/>
  <c r="V87" i="13" s="1"/>
  <c r="G12" i="16"/>
  <c r="F13" i="16"/>
  <c r="D51" i="13"/>
  <c r="I42" i="13"/>
  <c r="N4" i="13"/>
  <c r="I82" i="13"/>
  <c r="L104" i="13"/>
  <c r="U82" i="13"/>
  <c r="L96" i="13"/>
  <c r="K77" i="13"/>
  <c r="T6" i="8"/>
  <c r="X105" i="13"/>
  <c r="X87" i="13" s="1"/>
  <c r="U87" i="13"/>
  <c r="U88" i="13" s="1"/>
  <c r="H19" i="13"/>
  <c r="V14" i="13"/>
  <c r="M43" i="13"/>
  <c r="M46" i="13" s="1"/>
  <c r="M52" i="13"/>
  <c r="M54" i="13" s="1"/>
  <c r="L43" i="13"/>
  <c r="L46" i="13" s="1"/>
  <c r="L52" i="13"/>
  <c r="L54" i="13" s="1"/>
  <c r="K43" i="13"/>
  <c r="K46" i="13" s="1"/>
  <c r="K52" i="13"/>
  <c r="K54" i="13" s="1"/>
  <c r="T43" i="13"/>
  <c r="T46" i="13" s="1"/>
  <c r="P19" i="13"/>
  <c r="U21" i="13"/>
  <c r="I70" i="13"/>
  <c r="I71" i="13" s="1"/>
  <c r="I72" i="13" s="1"/>
  <c r="X70" i="13"/>
  <c r="X71" i="13" s="1"/>
  <c r="X72" i="13" s="1"/>
  <c r="O70" i="13"/>
  <c r="O71" i="13" s="1"/>
  <c r="O72" i="13" s="1"/>
  <c r="V70" i="13"/>
  <c r="V71" i="13" s="1"/>
  <c r="V72" i="13" s="1"/>
  <c r="U61" i="13"/>
  <c r="P40" i="13"/>
  <c r="D60" i="13"/>
  <c r="I60" i="13" s="1"/>
  <c r="T19" i="13"/>
  <c r="T20" i="13" s="1"/>
  <c r="T22" i="13" s="1"/>
  <c r="F203" i="4"/>
  <c r="F202" i="4"/>
  <c r="V13" i="4"/>
  <c r="F135" i="11"/>
  <c r="X13" i="2"/>
  <c r="Y17" i="2" s="1"/>
  <c r="H30" i="3"/>
  <c r="F130" i="12"/>
  <c r="F9" i="12"/>
  <c r="E7" i="11"/>
  <c r="E8" i="11"/>
  <c r="G140" i="12"/>
  <c r="F71" i="12"/>
  <c r="F72" i="12" s="1"/>
  <c r="F92" i="12" s="1"/>
  <c r="F63" i="12"/>
  <c r="F62" i="4"/>
  <c r="E58" i="11"/>
  <c r="F59" i="4"/>
  <c r="E56" i="3"/>
  <c r="G171" i="12"/>
  <c r="G172" i="12" s="1"/>
  <c r="H169" i="12"/>
  <c r="E169" i="12"/>
  <c r="E167" i="12"/>
  <c r="E165" i="12"/>
  <c r="E163" i="12"/>
  <c r="E160" i="12"/>
  <c r="G139" i="12"/>
  <c r="G138" i="12"/>
  <c r="G137" i="12"/>
  <c r="G136" i="12"/>
  <c r="G135" i="12"/>
  <c r="F121" i="12"/>
  <c r="F118" i="12"/>
  <c r="F91" i="12" s="1"/>
  <c r="F100" i="12" s="1"/>
  <c r="F105" i="12"/>
  <c r="U98" i="12"/>
  <c r="U99" i="12" s="1"/>
  <c r="F90" i="12"/>
  <c r="F102" i="12" s="1"/>
  <c r="F87" i="12"/>
  <c r="U84" i="12"/>
  <c r="U85" i="12" s="1"/>
  <c r="F86" i="12"/>
  <c r="W62" i="12"/>
  <c r="V62" i="12"/>
  <c r="V59" i="12"/>
  <c r="F61" i="12"/>
  <c r="F60" i="12"/>
  <c r="V53" i="12"/>
  <c r="U78" i="12" s="1"/>
  <c r="F43" i="12"/>
  <c r="F41" i="12"/>
  <c r="F40" i="12"/>
  <c r="F47" i="12" s="1"/>
  <c r="F39" i="12"/>
  <c r="W27" i="12"/>
  <c r="V27" i="12"/>
  <c r="F18" i="12"/>
  <c r="F32" i="12" s="1"/>
  <c r="G133" i="4"/>
  <c r="G134" i="4"/>
  <c r="G135" i="4"/>
  <c r="G136" i="4"/>
  <c r="W63" i="4"/>
  <c r="V63" i="4"/>
  <c r="V53" i="4"/>
  <c r="W27" i="4"/>
  <c r="Y28" i="4" s="1"/>
  <c r="V27" i="4"/>
  <c r="X28" i="4" s="1"/>
  <c r="F39" i="4"/>
  <c r="F46" i="4" s="1"/>
  <c r="F40" i="4"/>
  <c r="F60" i="4"/>
  <c r="F120" i="4"/>
  <c r="F117" i="4"/>
  <c r="F90" i="4" s="1"/>
  <c r="F99" i="4" s="1"/>
  <c r="F104" i="4"/>
  <c r="F89" i="4"/>
  <c r="F101" i="4" s="1"/>
  <c r="F86" i="4"/>
  <c r="F85" i="4"/>
  <c r="F18" i="4"/>
  <c r="F19" i="4" s="1"/>
  <c r="F166" i="11"/>
  <c r="F167" i="11" s="1"/>
  <c r="G164" i="11"/>
  <c r="D164" i="11"/>
  <c r="D162" i="11"/>
  <c r="D166" i="11" s="1"/>
  <c r="D160" i="11"/>
  <c r="D158" i="11"/>
  <c r="D155" i="11"/>
  <c r="D165" i="11" s="1"/>
  <c r="D167" i="11" s="1"/>
  <c r="F134" i="11"/>
  <c r="F133" i="11"/>
  <c r="F132" i="11"/>
  <c r="F131" i="11"/>
  <c r="F130" i="11"/>
  <c r="F129" i="11"/>
  <c r="E116" i="11"/>
  <c r="E113" i="11"/>
  <c r="E86" i="11" s="1"/>
  <c r="E95" i="11" s="1"/>
  <c r="E100" i="11"/>
  <c r="E85" i="11"/>
  <c r="E97" i="11" s="1"/>
  <c r="E56" i="11"/>
  <c r="E55" i="11"/>
  <c r="E38" i="11"/>
  <c r="E36" i="11"/>
  <c r="E35" i="11"/>
  <c r="E42" i="11" s="1"/>
  <c r="E34" i="11"/>
  <c r="E13" i="11"/>
  <c r="E14" i="11" s="1"/>
  <c r="E133" i="3"/>
  <c r="E134" i="3"/>
  <c r="E135" i="3"/>
  <c r="E103" i="3"/>
  <c r="D165" i="2"/>
  <c r="D166" i="2"/>
  <c r="D167" i="2"/>
  <c r="D168" i="2"/>
  <c r="E168" i="2"/>
  <c r="D169" i="2"/>
  <c r="D170" i="2"/>
  <c r="H106" i="2"/>
  <c r="L106" i="2" s="1"/>
  <c r="H107" i="2"/>
  <c r="I107" i="2" s="1"/>
  <c r="H108" i="2"/>
  <c r="J108" i="2" s="1"/>
  <c r="H109" i="2"/>
  <c r="I109" i="2" s="1"/>
  <c r="H110" i="2"/>
  <c r="I110" i="2" s="1"/>
  <c r="H111" i="2"/>
  <c r="I111" i="2" s="1"/>
  <c r="H112" i="2"/>
  <c r="I112" i="2" s="1"/>
  <c r="H113" i="2"/>
  <c r="L113" i="2" s="1"/>
  <c r="H114" i="2"/>
  <c r="L114" i="2" s="1"/>
  <c r="H115" i="2"/>
  <c r="L115" i="2" s="1"/>
  <c r="H127" i="2"/>
  <c r="I127" i="2" s="1"/>
  <c r="H7" i="8"/>
  <c r="G10" i="8" s="1"/>
  <c r="J93" i="2"/>
  <c r="J94" i="2"/>
  <c r="K94" i="2" s="1"/>
  <c r="J95" i="2"/>
  <c r="K95" i="2" s="1"/>
  <c r="J96" i="2"/>
  <c r="K96" i="2" s="1"/>
  <c r="J97" i="2"/>
  <c r="I97" i="2" s="1"/>
  <c r="J98" i="2"/>
  <c r="K98" i="2" s="1"/>
  <c r="J99" i="2"/>
  <c r="K99" i="2" s="1"/>
  <c r="J100" i="2"/>
  <c r="K100" i="2" s="1"/>
  <c r="J101" i="2"/>
  <c r="K101" i="2" s="1"/>
  <c r="X17" i="2" l="1"/>
  <c r="K93" i="2"/>
  <c r="J102" i="2"/>
  <c r="H156" i="4"/>
  <c r="H161" i="4"/>
  <c r="H163" i="4"/>
  <c r="H155" i="4"/>
  <c r="H162" i="4"/>
  <c r="H154" i="4"/>
  <c r="H153" i="4"/>
  <c r="H160" i="4"/>
  <c r="H159" i="4"/>
  <c r="H157" i="4"/>
  <c r="J24" i="13"/>
  <c r="J119" i="13" s="1"/>
  <c r="K24" i="13"/>
  <c r="K119" i="13" s="1"/>
  <c r="I18" i="13"/>
  <c r="I21" i="13" s="1"/>
  <c r="I24" i="13"/>
  <c r="I119" i="13" s="1"/>
  <c r="H24" i="13"/>
  <c r="H119" i="13" s="1"/>
  <c r="K21" i="13"/>
  <c r="J19" i="13"/>
  <c r="J20" i="13" s="1"/>
  <c r="J76" i="13" s="1"/>
  <c r="J92" i="13" s="1"/>
  <c r="L19" i="13"/>
  <c r="L20" i="13" s="1"/>
  <c r="L76" i="13" s="1"/>
  <c r="L92" i="13" s="1"/>
  <c r="V15" i="13"/>
  <c r="V100" i="13" s="1"/>
  <c r="V18" i="13"/>
  <c r="V19" i="13" s="1"/>
  <c r="V20" i="13" s="1"/>
  <c r="L21" i="13"/>
  <c r="J21" i="13"/>
  <c r="I19" i="13"/>
  <c r="I20" i="13" s="1"/>
  <c r="O19" i="13"/>
  <c r="O20" i="13" s="1"/>
  <c r="O22" i="13" s="1"/>
  <c r="U52" i="13"/>
  <c r="U54" i="13" s="1"/>
  <c r="H12" i="16"/>
  <c r="G13" i="16"/>
  <c r="T13" i="8"/>
  <c r="D18" i="8"/>
  <c r="V54" i="4"/>
  <c r="V52" i="4" s="1"/>
  <c r="W52" i="4" s="1"/>
  <c r="W54" i="4" s="1"/>
  <c r="W53" i="4" s="1"/>
  <c r="V59" i="4"/>
  <c r="E136" i="3"/>
  <c r="E137" i="3" s="1"/>
  <c r="E79" i="3" s="1"/>
  <c r="T15" i="8"/>
  <c r="U37" i="13"/>
  <c r="J77" i="13"/>
  <c r="I43" i="13"/>
  <c r="I46" i="13" s="1"/>
  <c r="I52" i="13"/>
  <c r="I54" i="13" s="1"/>
  <c r="E40" i="13"/>
  <c r="X43" i="13"/>
  <c r="X46" i="13" s="1"/>
  <c r="V43" i="13"/>
  <c r="V46" i="13" s="1"/>
  <c r="V52" i="13"/>
  <c r="V54" i="13" s="1"/>
  <c r="O43" i="13"/>
  <c r="O46" i="13" s="1"/>
  <c r="O52" i="13"/>
  <c r="O54" i="13" s="1"/>
  <c r="U19" i="13"/>
  <c r="U20" i="13" s="1"/>
  <c r="U76" i="13" s="1"/>
  <c r="T76" i="13"/>
  <c r="T92" i="13" s="1"/>
  <c r="U40" i="13"/>
  <c r="F40" i="13"/>
  <c r="K20" i="13"/>
  <c r="G141" i="12"/>
  <c r="G142" i="12" s="1"/>
  <c r="F20" i="13"/>
  <c r="F22" i="13" s="1"/>
  <c r="G20" i="13"/>
  <c r="G22" i="13" s="1"/>
  <c r="R20" i="13"/>
  <c r="R22" i="13" s="1"/>
  <c r="E20" i="13"/>
  <c r="E22" i="13" s="1"/>
  <c r="Q20" i="13"/>
  <c r="Q22" i="13" s="1"/>
  <c r="E93" i="11"/>
  <c r="H20" i="13"/>
  <c r="H22" i="13" s="1"/>
  <c r="S20" i="13"/>
  <c r="S22" i="13" s="1"/>
  <c r="P20" i="13"/>
  <c r="P22" i="13" s="1"/>
  <c r="F45" i="4"/>
  <c r="F115" i="4" s="1"/>
  <c r="E170" i="12"/>
  <c r="E171" i="12"/>
  <c r="F10" i="12"/>
  <c r="F11" i="12" s="1"/>
  <c r="F126" i="4"/>
  <c r="U99" i="4" s="1"/>
  <c r="W68" i="4"/>
  <c r="V32" i="4"/>
  <c r="V68" i="4"/>
  <c r="W32" i="4"/>
  <c r="G137" i="4"/>
  <c r="G138" i="4" s="1"/>
  <c r="F82" i="4" s="1"/>
  <c r="F97" i="4"/>
  <c r="F98" i="12"/>
  <c r="F136" i="11"/>
  <c r="E78" i="11" s="1"/>
  <c r="F46" i="12"/>
  <c r="F127" i="12"/>
  <c r="F76" i="12" s="1"/>
  <c r="F77" i="12" s="1"/>
  <c r="F62" i="12"/>
  <c r="F89" i="12"/>
  <c r="F64" i="12"/>
  <c r="F65" i="12" s="1"/>
  <c r="F66" i="12" s="1"/>
  <c r="F67" i="12" s="1"/>
  <c r="F88" i="12"/>
  <c r="F83" i="12"/>
  <c r="E59" i="11"/>
  <c r="F63" i="4"/>
  <c r="F64" i="4" s="1"/>
  <c r="F65" i="4" s="1"/>
  <c r="F66" i="4" s="1"/>
  <c r="E160" i="11"/>
  <c r="E155" i="11"/>
  <c r="E162" i="11"/>
  <c r="E166" i="11" s="1"/>
  <c r="E41" i="11"/>
  <c r="E111" i="11" s="1"/>
  <c r="E164" i="11"/>
  <c r="E83" i="11"/>
  <c r="E84" i="11"/>
  <c r="E27" i="11"/>
  <c r="E122" i="11"/>
  <c r="E71" i="11" s="1"/>
  <c r="E72" i="11" s="1"/>
  <c r="E6" i="7"/>
  <c r="V54" i="12"/>
  <c r="V52" i="12" s="1"/>
  <c r="W52" i="12" s="1"/>
  <c r="W54" i="12" s="1"/>
  <c r="W53" i="12" s="1"/>
  <c r="F19" i="12"/>
  <c r="E172" i="12"/>
  <c r="F48" i="12"/>
  <c r="U79" i="4"/>
  <c r="F32" i="4"/>
  <c r="F47" i="4"/>
  <c r="F61" i="4"/>
  <c r="F81" i="4"/>
  <c r="E66" i="11" s="1"/>
  <c r="E67" i="11" s="1"/>
  <c r="E87" i="11" s="1"/>
  <c r="F17" i="4"/>
  <c r="E77" i="11"/>
  <c r="E12" i="11"/>
  <c r="E43" i="11"/>
  <c r="E92" i="11" s="1"/>
  <c r="E57" i="11"/>
  <c r="D173" i="11"/>
  <c r="G157" i="11"/>
  <c r="E157" i="11"/>
  <c r="E163" i="11"/>
  <c r="G156" i="11"/>
  <c r="G161" i="11"/>
  <c r="E161" i="11"/>
  <c r="E154" i="11"/>
  <c r="E153" i="11"/>
  <c r="E158" i="11"/>
  <c r="G162" i="11"/>
  <c r="G166" i="11" s="1"/>
  <c r="E156" i="11"/>
  <c r="G154" i="11"/>
  <c r="G153" i="11"/>
  <c r="G159" i="11"/>
  <c r="G160" i="11" s="1"/>
  <c r="G152" i="11"/>
  <c r="E159" i="11"/>
  <c r="E152" i="11"/>
  <c r="G151" i="11"/>
  <c r="E151" i="11"/>
  <c r="L112" i="2"/>
  <c r="L110" i="2"/>
  <c r="L109" i="2"/>
  <c r="L111" i="2"/>
  <c r="L108" i="2"/>
  <c r="K97" i="2"/>
  <c r="L107" i="2"/>
  <c r="J127" i="2"/>
  <c r="K112" i="2"/>
  <c r="M112" i="2" s="1"/>
  <c r="K111" i="2"/>
  <c r="M111" i="2" s="1"/>
  <c r="K110" i="2"/>
  <c r="M110" i="2" s="1"/>
  <c r="K109" i="2"/>
  <c r="M109" i="2" s="1"/>
  <c r="K114" i="2"/>
  <c r="M114" i="2" s="1"/>
  <c r="K108" i="2"/>
  <c r="M108" i="2" s="1"/>
  <c r="K115" i="2"/>
  <c r="M115" i="2" s="1"/>
  <c r="K113" i="2"/>
  <c r="M113" i="2" s="1"/>
  <c r="K107" i="2"/>
  <c r="M107" i="2" s="1"/>
  <c r="J113" i="2"/>
  <c r="J112" i="2"/>
  <c r="K106" i="2"/>
  <c r="J106" i="2"/>
  <c r="J115" i="2"/>
  <c r="J114" i="2"/>
  <c r="I114" i="2"/>
  <c r="L127" i="2"/>
  <c r="I113" i="2"/>
  <c r="J109" i="2"/>
  <c r="B118" i="2"/>
  <c r="S28" i="2" s="1"/>
  <c r="I108" i="2"/>
  <c r="J107" i="2"/>
  <c r="I106" i="2"/>
  <c r="I115" i="2"/>
  <c r="J111" i="2"/>
  <c r="J110" i="2"/>
  <c r="B122" i="2" l="1"/>
  <c r="S41" i="2" s="1"/>
  <c r="E201" i="4"/>
  <c r="E200" i="4"/>
  <c r="V24" i="13"/>
  <c r="V119" i="13" s="1"/>
  <c r="L22" i="13"/>
  <c r="V21" i="13"/>
  <c r="J22" i="13"/>
  <c r="I12" i="16"/>
  <c r="H13" i="16"/>
  <c r="O18" i="8"/>
  <c r="P18" i="8" s="1"/>
  <c r="Q18" i="8" s="1"/>
  <c r="F18" i="8"/>
  <c r="F100" i="4"/>
  <c r="U50" i="13"/>
  <c r="U51" i="13" s="1"/>
  <c r="U49" i="13"/>
  <c r="O3" i="13"/>
  <c r="O77" i="13" s="1"/>
  <c r="G40" i="13"/>
  <c r="R76" i="13"/>
  <c r="R92" i="13" s="1"/>
  <c r="I76" i="13"/>
  <c r="I92" i="13" s="1"/>
  <c r="I22" i="13"/>
  <c r="G76" i="13"/>
  <c r="G92" i="13" s="1"/>
  <c r="H76" i="13"/>
  <c r="H92" i="13" s="1"/>
  <c r="F76" i="13"/>
  <c r="F92" i="13" s="1"/>
  <c r="P76" i="13"/>
  <c r="P92" i="13" s="1"/>
  <c r="E76" i="13"/>
  <c r="E92" i="13" s="1"/>
  <c r="U92" i="13"/>
  <c r="U22" i="13"/>
  <c r="S76" i="13"/>
  <c r="S92" i="13" s="1"/>
  <c r="K76" i="13"/>
  <c r="K92" i="13" s="1"/>
  <c r="K22" i="13"/>
  <c r="Q76" i="13"/>
  <c r="Q92" i="13" s="1"/>
  <c r="V76" i="13"/>
  <c r="V92" i="13" s="1"/>
  <c r="V22" i="13"/>
  <c r="O76" i="13"/>
  <c r="O92" i="13" s="1"/>
  <c r="D40" i="13"/>
  <c r="V32" i="12"/>
  <c r="V67" i="12"/>
  <c r="W67" i="12"/>
  <c r="W32" i="12"/>
  <c r="E165" i="11"/>
  <c r="E167" i="11" s="1"/>
  <c r="F41" i="4"/>
  <c r="F97" i="12"/>
  <c r="F101" i="12"/>
  <c r="F116" i="12"/>
  <c r="E96" i="11"/>
  <c r="E37" i="11"/>
  <c r="E110" i="11" s="1"/>
  <c r="F42" i="12"/>
  <c r="F115" i="12" s="1"/>
  <c r="E178" i="12"/>
  <c r="H161" i="12"/>
  <c r="H167" i="12"/>
  <c r="H171" i="12" s="1"/>
  <c r="F158" i="12"/>
  <c r="H157" i="12"/>
  <c r="F164" i="12"/>
  <c r="H162" i="12"/>
  <c r="F168" i="12"/>
  <c r="H160" i="12"/>
  <c r="F159" i="12"/>
  <c r="H164" i="12"/>
  <c r="F157" i="12"/>
  <c r="F156" i="12"/>
  <c r="F162" i="12"/>
  <c r="F161" i="12"/>
  <c r="F167" i="12"/>
  <c r="H166" i="12"/>
  <c r="H158" i="12"/>
  <c r="H163" i="12"/>
  <c r="F166" i="12"/>
  <c r="H159" i="12"/>
  <c r="H165" i="12"/>
  <c r="H156" i="12"/>
  <c r="F163" i="12"/>
  <c r="F17" i="12"/>
  <c r="F82" i="12"/>
  <c r="F160" i="12"/>
  <c r="F171" i="12"/>
  <c r="F170" i="12"/>
  <c r="F169" i="12"/>
  <c r="F165" i="12"/>
  <c r="F26" i="4"/>
  <c r="F27" i="4"/>
  <c r="F31" i="4"/>
  <c r="F36" i="4" s="1"/>
  <c r="F88" i="4"/>
  <c r="F91" i="4"/>
  <c r="F87" i="4"/>
  <c r="F75" i="4"/>
  <c r="F76" i="4" s="1"/>
  <c r="F24" i="4"/>
  <c r="G158" i="11"/>
  <c r="D172" i="11"/>
  <c r="E172" i="11" s="1"/>
  <c r="D171" i="11"/>
  <c r="E171" i="11" s="1"/>
  <c r="E22" i="11"/>
  <c r="E19" i="11"/>
  <c r="E21" i="11"/>
  <c r="E26" i="11"/>
  <c r="E31" i="11" s="1"/>
  <c r="G155" i="11"/>
  <c r="S17" i="2"/>
  <c r="S19" i="2" s="1"/>
  <c r="S27" i="2" s="1"/>
  <c r="B119" i="2"/>
  <c r="S29" i="2" s="1"/>
  <c r="B121" i="2"/>
  <c r="S40" i="2" s="1"/>
  <c r="M106" i="2"/>
  <c r="B123" i="2" s="1"/>
  <c r="S30" i="2" s="1"/>
  <c r="B120" i="2"/>
  <c r="S39" i="2" s="1"/>
  <c r="H165" i="3"/>
  <c r="F42" i="7"/>
  <c r="J12" i="16" l="1"/>
  <c r="I13" i="16"/>
  <c r="AK137" i="13"/>
  <c r="AK138" i="13" s="1"/>
  <c r="AK140" i="13" s="1"/>
  <c r="F3" i="13"/>
  <c r="F77" i="13" s="1"/>
  <c r="G3" i="13"/>
  <c r="G77" i="13" s="1"/>
  <c r="D3" i="13"/>
  <c r="D77" i="13" s="1"/>
  <c r="I77" i="13"/>
  <c r="E3" i="13"/>
  <c r="E77" i="13" s="1"/>
  <c r="H3" i="13"/>
  <c r="H77" i="13" s="1"/>
  <c r="H40" i="13"/>
  <c r="E206" i="12"/>
  <c r="E85" i="3"/>
  <c r="E82" i="11"/>
  <c r="E44" i="11"/>
  <c r="E91" i="11" s="1"/>
  <c r="F48" i="4"/>
  <c r="F114" i="4"/>
  <c r="F49" i="12"/>
  <c r="F96" i="12" s="1"/>
  <c r="H170" i="12"/>
  <c r="H172" i="12" s="1"/>
  <c r="E176" i="4"/>
  <c r="E175" i="4" s="1"/>
  <c r="F175" i="4" s="1"/>
  <c r="F201" i="4"/>
  <c r="G165" i="11"/>
  <c r="G167" i="11" s="1"/>
  <c r="E176" i="12"/>
  <c r="F176" i="12" s="1"/>
  <c r="E177" i="12"/>
  <c r="F177" i="12" s="1"/>
  <c r="F26" i="12"/>
  <c r="F27" i="12"/>
  <c r="F24" i="12"/>
  <c r="F31" i="12"/>
  <c r="G49" i="12"/>
  <c r="F50" i="12"/>
  <c r="F68" i="12"/>
  <c r="F69" i="12" s="1"/>
  <c r="F70" i="12" s="1"/>
  <c r="F172" i="12"/>
  <c r="E63" i="11"/>
  <c r="E64" i="11" s="1"/>
  <c r="E65" i="11" s="1"/>
  <c r="E45" i="11"/>
  <c r="L10" i="7"/>
  <c r="M10" i="7"/>
  <c r="K12" i="16" l="1"/>
  <c r="J13" i="16"/>
  <c r="I40" i="13"/>
  <c r="F44" i="11"/>
  <c r="E174" i="4"/>
  <c r="F174" i="4" s="1"/>
  <c r="F200" i="4"/>
  <c r="F67" i="4"/>
  <c r="F68" i="4" s="1"/>
  <c r="F69" i="4" s="1"/>
  <c r="F49" i="4"/>
  <c r="F36" i="12"/>
  <c r="P10" i="7"/>
  <c r="L11" i="7"/>
  <c r="M11" i="7"/>
  <c r="M9" i="7"/>
  <c r="L9" i="7"/>
  <c r="M8" i="7"/>
  <c r="N9" i="7"/>
  <c r="N8" i="7"/>
  <c r="O8" i="7"/>
  <c r="O9" i="7"/>
  <c r="F19" i="7"/>
  <c r="F21" i="7"/>
  <c r="F18" i="7"/>
  <c r="Z11" i="7"/>
  <c r="V10" i="7"/>
  <c r="W10" i="7"/>
  <c r="V9" i="7"/>
  <c r="Z9" i="7"/>
  <c r="W8" i="7"/>
  <c r="L12" i="16" l="1"/>
  <c r="K13" i="16"/>
  <c r="AK143" i="13"/>
  <c r="AK144" i="13" s="1"/>
  <c r="V40" i="13"/>
  <c r="O14" i="7"/>
  <c r="P8" i="7"/>
  <c r="M14" i="7"/>
  <c r="P9" i="7"/>
  <c r="L14" i="7"/>
  <c r="W14" i="7"/>
  <c r="V14" i="7"/>
  <c r="P11" i="7"/>
  <c r="N14" i="7"/>
  <c r="Z14" i="7"/>
  <c r="M12" i="16" l="1"/>
  <c r="L13" i="16"/>
  <c r="P14" i="7"/>
  <c r="N12" i="16" l="1"/>
  <c r="M13" i="16"/>
  <c r="D163" i="3"/>
  <c r="D161" i="3"/>
  <c r="D159" i="3"/>
  <c r="D156" i="3"/>
  <c r="E119" i="3"/>
  <c r="E116" i="3"/>
  <c r="E89" i="3" s="1"/>
  <c r="E98" i="3" s="1"/>
  <c r="E88" i="3"/>
  <c r="E100" i="3" s="1"/>
  <c r="H4" i="8"/>
  <c r="M4" i="8" s="1"/>
  <c r="O12" i="16" l="1"/>
  <c r="N13" i="16"/>
  <c r="I161" i="3"/>
  <c r="J161" i="3"/>
  <c r="I156" i="3"/>
  <c r="J156" i="3"/>
  <c r="I159" i="3"/>
  <c r="J159" i="3"/>
  <c r="I163" i="3"/>
  <c r="J163" i="3"/>
  <c r="J40" i="13"/>
  <c r="L4" i="8"/>
  <c r="G167" i="3"/>
  <c r="G168" i="3" s="1"/>
  <c r="D166" i="3"/>
  <c r="D167" i="3"/>
  <c r="F164" i="3" l="1"/>
  <c r="F162" i="3"/>
  <c r="F158" i="3"/>
  <c r="F153" i="3"/>
  <c r="F154" i="3"/>
  <c r="F160" i="3"/>
  <c r="F157" i="3"/>
  <c r="F155" i="3"/>
  <c r="F152" i="3"/>
  <c r="P12" i="16"/>
  <c r="O13" i="16"/>
  <c r="I167" i="3"/>
  <c r="J167" i="3"/>
  <c r="I166" i="3"/>
  <c r="I168" i="3" s="1"/>
  <c r="J166" i="3"/>
  <c r="J168" i="3" s="1"/>
  <c r="D168" i="3"/>
  <c r="D45" i="9"/>
  <c r="H160" i="3" l="1"/>
  <c r="H161" i="3" s="1"/>
  <c r="E174" i="3"/>
  <c r="E183" i="3"/>
  <c r="E185" i="3"/>
  <c r="E175" i="3"/>
  <c r="E178" i="3"/>
  <c r="E173" i="3"/>
  <c r="E176" i="3"/>
  <c r="E179" i="3"/>
  <c r="E181" i="3"/>
  <c r="E180" i="3"/>
  <c r="E182" i="3"/>
  <c r="E184" i="3"/>
  <c r="E188" i="3" s="1"/>
  <c r="E186" i="3"/>
  <c r="E177" i="3"/>
  <c r="E187" i="3" s="1"/>
  <c r="E189" i="3" s="1"/>
  <c r="Q12" i="16"/>
  <c r="P13" i="16"/>
  <c r="E160" i="3"/>
  <c r="H162" i="3"/>
  <c r="E155" i="3"/>
  <c r="E163" i="3"/>
  <c r="E165" i="3"/>
  <c r="E156" i="3"/>
  <c r="E153" i="3"/>
  <c r="H155" i="3"/>
  <c r="E152" i="3"/>
  <c r="H157" i="3"/>
  <c r="E162" i="3"/>
  <c r="H152" i="3"/>
  <c r="E159" i="3"/>
  <c r="H154" i="3"/>
  <c r="E157" i="3"/>
  <c r="H153" i="3"/>
  <c r="E154" i="3"/>
  <c r="H158" i="3"/>
  <c r="E164" i="3"/>
  <c r="H163" i="3"/>
  <c r="H167" i="3" s="1"/>
  <c r="E158" i="3"/>
  <c r="E161" i="3"/>
  <c r="D207" i="3"/>
  <c r="L13" i="2"/>
  <c r="R12" i="16" l="1"/>
  <c r="Q13" i="16"/>
  <c r="E167" i="3"/>
  <c r="E166" i="3"/>
  <c r="H159" i="3"/>
  <c r="H156" i="3"/>
  <c r="D205" i="3"/>
  <c r="D206" i="3"/>
  <c r="E90" i="3"/>
  <c r="N21" i="9"/>
  <c r="N15" i="9"/>
  <c r="N6" i="9"/>
  <c r="N7" i="9"/>
  <c r="N8" i="9"/>
  <c r="N5" i="9"/>
  <c r="D54" i="9"/>
  <c r="E206" i="3" l="1"/>
  <c r="E205" i="3"/>
  <c r="D208" i="3"/>
  <c r="R13" i="16"/>
  <c r="S12" i="16"/>
  <c r="E168" i="3"/>
  <c r="F17" i="7"/>
  <c r="E36" i="3"/>
  <c r="E13" i="3"/>
  <c r="E14" i="3" s="1"/>
  <c r="E12" i="3" s="1"/>
  <c r="T12" i="16" l="1"/>
  <c r="S13" i="16"/>
  <c r="E96" i="3"/>
  <c r="E42" i="3"/>
  <c r="E38" i="3" s="1"/>
  <c r="E113" i="3" s="1"/>
  <c r="E43" i="3"/>
  <c r="E47" i="2"/>
  <c r="E86" i="3"/>
  <c r="E87" i="3"/>
  <c r="F92" i="3" s="1"/>
  <c r="E125" i="3"/>
  <c r="E72" i="3" s="1"/>
  <c r="E73" i="3" s="1"/>
  <c r="E22" i="3"/>
  <c r="E78" i="3"/>
  <c r="E27" i="3"/>
  <c r="E33" i="3" s="1"/>
  <c r="E23" i="3"/>
  <c r="E28" i="3"/>
  <c r="U12" i="16" l="1"/>
  <c r="T13" i="16"/>
  <c r="E47" i="3"/>
  <c r="E58" i="3"/>
  <c r="E45" i="3"/>
  <c r="H29" i="3"/>
  <c r="E36" i="2"/>
  <c r="G36" i="2"/>
  <c r="S36" i="2"/>
  <c r="E80" i="3"/>
  <c r="E81" i="3" s="1"/>
  <c r="E99" i="3"/>
  <c r="E44" i="3"/>
  <c r="G65" i="3" s="1"/>
  <c r="G66" i="3" s="1"/>
  <c r="E19" i="3"/>
  <c r="E20" i="3" s="1"/>
  <c r="J36" i="2"/>
  <c r="N36" i="2"/>
  <c r="M36" i="2"/>
  <c r="P36" i="2"/>
  <c r="U100" i="4"/>
  <c r="V12" i="16" l="1"/>
  <c r="U13" i="16"/>
  <c r="E114" i="3"/>
  <c r="E59" i="3"/>
  <c r="E60" i="3" s="1"/>
  <c r="E64" i="3"/>
  <c r="E65" i="3" s="1"/>
  <c r="E46" i="3"/>
  <c r="W12" i="16" l="1"/>
  <c r="V13" i="16"/>
  <c r="E61" i="3"/>
  <c r="E62" i="3"/>
  <c r="E63" i="3" s="1"/>
  <c r="R35" i="2"/>
  <c r="J13" i="2"/>
  <c r="K17" i="2" s="1"/>
  <c r="K16" i="2" s="1"/>
  <c r="E17" i="2"/>
  <c r="H13" i="2"/>
  <c r="X12" i="16" l="1"/>
  <c r="W13" i="16"/>
  <c r="D61" i="7"/>
  <c r="D62" i="7" s="1"/>
  <c r="E66" i="3"/>
  <c r="G17" i="2"/>
  <c r="G16" i="2" s="1"/>
  <c r="K19" i="2"/>
  <c r="F17" i="2"/>
  <c r="J17" i="2"/>
  <c r="J19" i="2" s="1"/>
  <c r="H17" i="2"/>
  <c r="I17" i="2"/>
  <c r="I16" i="2" s="1"/>
  <c r="Y12" i="16" l="1"/>
  <c r="X13" i="16"/>
  <c r="G18" i="2"/>
  <c r="G27" i="2" s="1"/>
  <c r="J18" i="2"/>
  <c r="E198" i="4"/>
  <c r="F198" i="4" s="1"/>
  <c r="K18" i="2"/>
  <c r="K27" i="2" s="1"/>
  <c r="E199" i="4"/>
  <c r="F199" i="4" s="1"/>
  <c r="F18" i="2"/>
  <c r="E191" i="4"/>
  <c r="F191" i="4" s="1"/>
  <c r="E81" i="11"/>
  <c r="E84" i="3"/>
  <c r="I19" i="2"/>
  <c r="I34" i="2"/>
  <c r="K34" i="2"/>
  <c r="H19" i="2"/>
  <c r="E190" i="4" l="1"/>
  <c r="F190" i="4" s="1"/>
  <c r="Z12" i="16"/>
  <c r="Y13" i="16"/>
  <c r="H18" i="2"/>
  <c r="E196" i="4"/>
  <c r="F196" i="4" s="1"/>
  <c r="I18" i="2"/>
  <c r="I27" i="2" s="1"/>
  <c r="E197" i="4"/>
  <c r="F197" i="4" s="1"/>
  <c r="AA12" i="16" l="1"/>
  <c r="Z13" i="16"/>
  <c r="Y30" i="2"/>
  <c r="Y36" i="2"/>
  <c r="L36" i="2"/>
  <c r="E26" i="2"/>
  <c r="V11" i="2"/>
  <c r="F36" i="2"/>
  <c r="F26" i="2"/>
  <c r="F27" i="2" s="1"/>
  <c r="H26" i="2"/>
  <c r="H27" i="2" s="1"/>
  <c r="H36" i="2"/>
  <c r="AB12" i="16" l="1"/>
  <c r="AA13" i="16"/>
  <c r="F146" i="3"/>
  <c r="G142" i="4"/>
  <c r="G143" i="4" s="1"/>
  <c r="E146" i="3"/>
  <c r="G145" i="12"/>
  <c r="F140" i="11"/>
  <c r="F141" i="11" s="1"/>
  <c r="F141" i="3"/>
  <c r="F142" i="3" s="1"/>
  <c r="X19" i="2"/>
  <c r="Y16" i="2"/>
  <c r="V13" i="2"/>
  <c r="V17" i="2" s="1"/>
  <c r="V16" i="2" s="1"/>
  <c r="AC12" i="16" l="1"/>
  <c r="AB13" i="16"/>
  <c r="X18" i="2"/>
  <c r="X27" i="2" s="1"/>
  <c r="E184" i="4"/>
  <c r="F184" i="4" s="1"/>
  <c r="G146" i="12"/>
  <c r="F206" i="12"/>
  <c r="V19" i="2"/>
  <c r="V18" i="2" s="1"/>
  <c r="V27" i="2" s="1"/>
  <c r="W34" i="2"/>
  <c r="Y19" i="2"/>
  <c r="Y34" i="2"/>
  <c r="F16" i="9"/>
  <c r="F20" i="9"/>
  <c r="F24" i="9" s="1"/>
  <c r="E20" i="9"/>
  <c r="E24" i="9" s="1"/>
  <c r="J16" i="9"/>
  <c r="J15" i="9" s="1"/>
  <c r="J20" i="9"/>
  <c r="J24" i="9" s="1"/>
  <c r="L21" i="9"/>
  <c r="M21" i="9" s="1"/>
  <c r="K20" i="9"/>
  <c r="K24" i="9" s="1"/>
  <c r="I11" i="9"/>
  <c r="AD12" i="16" l="1"/>
  <c r="AC13" i="16"/>
  <c r="Y18" i="2"/>
  <c r="Y27" i="2" s="1"/>
  <c r="E185" i="4"/>
  <c r="F185" i="4" s="1"/>
  <c r="E195" i="4"/>
  <c r="F195" i="4" s="1"/>
  <c r="J5" i="9"/>
  <c r="J8" i="9"/>
  <c r="J6" i="9"/>
  <c r="F13" i="9"/>
  <c r="F12" i="9"/>
  <c r="F14" i="9"/>
  <c r="F11" i="9"/>
  <c r="J13" i="9"/>
  <c r="J14" i="9"/>
  <c r="J11" i="9"/>
  <c r="J12" i="9"/>
  <c r="AE12" i="16" l="1"/>
  <c r="AD13" i="16"/>
  <c r="I20" i="9"/>
  <c r="I24" i="9" s="1"/>
  <c r="G20" i="9"/>
  <c r="G24" i="9" s="1"/>
  <c r="H20" i="9"/>
  <c r="H24" i="9" s="1"/>
  <c r="D44" i="9"/>
  <c r="D49" i="9"/>
  <c r="J7" i="9" s="1"/>
  <c r="D20" i="9"/>
  <c r="E16" i="9"/>
  <c r="G16" i="9"/>
  <c r="G6" i="9" s="1"/>
  <c r="H16" i="9"/>
  <c r="H7" i="9" s="1"/>
  <c r="I6" i="9"/>
  <c r="I7" i="9"/>
  <c r="I8" i="9"/>
  <c r="I12" i="9"/>
  <c r="I13" i="9"/>
  <c r="I14" i="9"/>
  <c r="I15" i="9"/>
  <c r="I5" i="9"/>
  <c r="D52" i="9"/>
  <c r="D53" i="9" s="1"/>
  <c r="D17" i="9"/>
  <c r="I16" i="9"/>
  <c r="G53" i="9"/>
  <c r="L16" i="9"/>
  <c r="K16" i="9"/>
  <c r="E52" i="9"/>
  <c r="E53" i="9" s="1"/>
  <c r="AF12" i="16" l="1"/>
  <c r="AE13" i="16"/>
  <c r="N20" i="9"/>
  <c r="N24" i="9" s="1"/>
  <c r="D24" i="9"/>
  <c r="E7" i="9"/>
  <c r="N17" i="9"/>
  <c r="J17" i="9"/>
  <c r="F17" i="9"/>
  <c r="N7" i="2"/>
  <c r="K6" i="9"/>
  <c r="K8" i="9"/>
  <c r="K7" i="9"/>
  <c r="K14" i="9"/>
  <c r="K15" i="9"/>
  <c r="K11" i="9"/>
  <c r="K12" i="9"/>
  <c r="K13" i="9"/>
  <c r="K5" i="9"/>
  <c r="L12" i="9"/>
  <c r="L13" i="9"/>
  <c r="L15" i="9"/>
  <c r="L7" i="9"/>
  <c r="L8" i="9"/>
  <c r="L11" i="9"/>
  <c r="L6" i="9"/>
  <c r="L5" i="9"/>
  <c r="L14" i="9"/>
  <c r="L20" i="9"/>
  <c r="H11" i="9"/>
  <c r="E13" i="9"/>
  <c r="E15" i="9"/>
  <c r="F15" i="9" s="1"/>
  <c r="E5" i="9"/>
  <c r="H15" i="9"/>
  <c r="G8" i="9"/>
  <c r="G11" i="9"/>
  <c r="H17" i="9"/>
  <c r="H14" i="9"/>
  <c r="E17" i="9"/>
  <c r="G14" i="9"/>
  <c r="G17" i="9"/>
  <c r="H5" i="9"/>
  <c r="H13" i="9"/>
  <c r="H8" i="9"/>
  <c r="G12" i="9"/>
  <c r="G7" i="9"/>
  <c r="G13" i="9"/>
  <c r="H6" i="9"/>
  <c r="H12" i="9"/>
  <c r="E12" i="9"/>
  <c r="E8" i="9"/>
  <c r="E6" i="9"/>
  <c r="E11" i="9"/>
  <c r="E14" i="9"/>
  <c r="G5" i="9"/>
  <c r="E57" i="9"/>
  <c r="K4" i="9" s="1"/>
  <c r="E54" i="9"/>
  <c r="H52" i="9"/>
  <c r="H53" i="9" s="1"/>
  <c r="D112" i="7"/>
  <c r="G51" i="9"/>
  <c r="B153" i="2"/>
  <c r="H128" i="2"/>
  <c r="I128" i="2" s="1"/>
  <c r="H129" i="2"/>
  <c r="I129" i="2" s="1"/>
  <c r="H130" i="2"/>
  <c r="I130" i="2" s="1"/>
  <c r="H131" i="2"/>
  <c r="I131" i="2" s="1"/>
  <c r="H132" i="2"/>
  <c r="I132" i="2" s="1"/>
  <c r="H133" i="2"/>
  <c r="I133" i="2" s="1"/>
  <c r="H134" i="2"/>
  <c r="I134" i="2" s="1"/>
  <c r="H135" i="2"/>
  <c r="I135" i="2" s="1"/>
  <c r="H136" i="2"/>
  <c r="I136" i="2" s="1"/>
  <c r="B67" i="2"/>
  <c r="B68" i="2"/>
  <c r="B69" i="2"/>
  <c r="B70" i="2"/>
  <c r="B71" i="2"/>
  <c r="B72" i="2"/>
  <c r="B73" i="2"/>
  <c r="B75" i="2"/>
  <c r="B62" i="2"/>
  <c r="M16" i="9"/>
  <c r="O16" i="9" s="1"/>
  <c r="D48" i="9" l="1"/>
  <c r="AG12" i="16"/>
  <c r="AF13" i="16"/>
  <c r="M20" i="9"/>
  <c r="M24" i="9" s="1"/>
  <c r="L24" i="9"/>
  <c r="G19" i="9"/>
  <c r="F19" i="9"/>
  <c r="K17" i="9"/>
  <c r="E19" i="9"/>
  <c r="N19" i="9"/>
  <c r="H19" i="9"/>
  <c r="H18" i="9"/>
  <c r="B139" i="2"/>
  <c r="G69" i="2"/>
  <c r="M5" i="9"/>
  <c r="M15" i="9"/>
  <c r="M11" i="9"/>
  <c r="M13" i="9"/>
  <c r="M12" i="9"/>
  <c r="M14" i="9"/>
  <c r="M6" i="9"/>
  <c r="M7" i="9"/>
  <c r="M8" i="9"/>
  <c r="G73" i="2"/>
  <c r="I52" i="9"/>
  <c r="I53" i="9" s="1"/>
  <c r="D30" i="9"/>
  <c r="D31" i="9" s="1"/>
  <c r="D36" i="9"/>
  <c r="G18" i="9" s="1"/>
  <c r="I17" i="9"/>
  <c r="E58" i="9"/>
  <c r="D37" i="9"/>
  <c r="J19" i="9" s="1"/>
  <c r="N10" i="2" s="1"/>
  <c r="G57" i="9"/>
  <c r="I4" i="9" s="1"/>
  <c r="G54" i="9"/>
  <c r="G67" i="2"/>
  <c r="G71" i="2"/>
  <c r="G75" i="2"/>
  <c r="B74" i="2"/>
  <c r="F80" i="2" s="1"/>
  <c r="G68" i="2"/>
  <c r="E72" i="2"/>
  <c r="G76" i="2"/>
  <c r="G79" i="2"/>
  <c r="G77" i="2"/>
  <c r="G72" i="2"/>
  <c r="G70" i="2"/>
  <c r="G78" i="2"/>
  <c r="E75" i="2"/>
  <c r="E71" i="2"/>
  <c r="AH12" i="16" l="1"/>
  <c r="AG13" i="16"/>
  <c r="M17" i="9"/>
  <c r="K19" i="9"/>
  <c r="X10" i="2" s="1"/>
  <c r="K18" i="9"/>
  <c r="X9" i="2" s="1"/>
  <c r="N18" i="9"/>
  <c r="I18" i="9"/>
  <c r="I19" i="9"/>
  <c r="D38" i="9"/>
  <c r="F73" i="4"/>
  <c r="F79" i="4" s="1"/>
  <c r="F83" i="4" s="1"/>
  <c r="F74" i="12"/>
  <c r="F80" i="12" s="1"/>
  <c r="F84" i="12" s="1"/>
  <c r="E69" i="11"/>
  <c r="E75" i="11" s="1"/>
  <c r="E79" i="11" s="1"/>
  <c r="U96" i="12"/>
  <c r="U102" i="12" s="1"/>
  <c r="E70" i="3"/>
  <c r="E76" i="3" s="1"/>
  <c r="E82" i="3" s="1"/>
  <c r="U97" i="4"/>
  <c r="U103" i="4" s="1"/>
  <c r="D18" i="9"/>
  <c r="V45" i="12"/>
  <c r="V45" i="4"/>
  <c r="J18" i="9"/>
  <c r="N9" i="2" s="1"/>
  <c r="E18" i="9"/>
  <c r="F18" i="9"/>
  <c r="D39" i="9"/>
  <c r="E10" i="2" s="1"/>
  <c r="F74" i="4"/>
  <c r="F78" i="4" s="1"/>
  <c r="F84" i="4" s="1"/>
  <c r="U97" i="12"/>
  <c r="U101" i="12" s="1"/>
  <c r="F75" i="12"/>
  <c r="F79" i="12" s="1"/>
  <c r="F85" i="12" s="1"/>
  <c r="E70" i="11"/>
  <c r="E74" i="11" s="1"/>
  <c r="E80" i="11" s="1"/>
  <c r="E71" i="3"/>
  <c r="U98" i="4"/>
  <c r="U102" i="4" s="1"/>
  <c r="D19" i="9"/>
  <c r="T17" i="2"/>
  <c r="T28" i="2"/>
  <c r="D34" i="9"/>
  <c r="N9" i="9" s="1"/>
  <c r="E9" i="2"/>
  <c r="N10" i="9"/>
  <c r="H75" i="2"/>
  <c r="D68" i="2"/>
  <c r="D67" i="2"/>
  <c r="H67" i="2"/>
  <c r="F70" i="2"/>
  <c r="B82" i="2"/>
  <c r="B83" i="2" s="1"/>
  <c r="F69" i="2"/>
  <c r="F73" i="2"/>
  <c r="C70" i="2"/>
  <c r="H80" i="2"/>
  <c r="D72" i="2"/>
  <c r="F78" i="2"/>
  <c r="D76" i="2"/>
  <c r="D78" i="2"/>
  <c r="H78" i="2"/>
  <c r="G58" i="9"/>
  <c r="C74" i="2"/>
  <c r="H72" i="2"/>
  <c r="C76" i="2"/>
  <c r="C77" i="2"/>
  <c r="C75" i="2"/>
  <c r="F74" i="2"/>
  <c r="H74" i="2"/>
  <c r="D74" i="2"/>
  <c r="C80" i="2"/>
  <c r="H73" i="2"/>
  <c r="D75" i="2"/>
  <c r="C67" i="2"/>
  <c r="F76" i="2"/>
  <c r="D77" i="2"/>
  <c r="H79" i="2"/>
  <c r="D80" i="2"/>
  <c r="F67" i="2"/>
  <c r="C78" i="2"/>
  <c r="H71" i="2"/>
  <c r="C71" i="2"/>
  <c r="D73" i="2"/>
  <c r="C68" i="2"/>
  <c r="C73" i="2"/>
  <c r="C69" i="2"/>
  <c r="H76" i="2"/>
  <c r="F75" i="2"/>
  <c r="F68" i="2"/>
  <c r="H77" i="2"/>
  <c r="D70" i="2"/>
  <c r="C72" i="2"/>
  <c r="D69" i="2"/>
  <c r="F77" i="2"/>
  <c r="H69" i="2"/>
  <c r="H68" i="2"/>
  <c r="C79" i="2"/>
  <c r="H70" i="2"/>
  <c r="F79" i="2"/>
  <c r="F72" i="2"/>
  <c r="D79" i="2"/>
  <c r="D71" i="2"/>
  <c r="E82" i="2"/>
  <c r="F71" i="2"/>
  <c r="G82" i="2"/>
  <c r="T22" i="8"/>
  <c r="T21" i="8" s="1"/>
  <c r="F36" i="7"/>
  <c r="F35" i="7"/>
  <c r="AI12" i="16" l="1"/>
  <c r="AH13" i="16"/>
  <c r="E75" i="3"/>
  <c r="E83" i="3" s="1"/>
  <c r="I10" i="9"/>
  <c r="H10" i="9"/>
  <c r="G10" i="9"/>
  <c r="I9" i="9"/>
  <c r="I22" i="9" s="1"/>
  <c r="I23" i="9" s="1"/>
  <c r="K9" i="9"/>
  <c r="V44" i="12"/>
  <c r="V44" i="4"/>
  <c r="J10" i="9"/>
  <c r="F10" i="9"/>
  <c r="M9" i="9"/>
  <c r="G9" i="9"/>
  <c r="E9" i="9"/>
  <c r="J9" i="9"/>
  <c r="F9" i="9"/>
  <c r="H9" i="9"/>
  <c r="K10" i="9"/>
  <c r="V9" i="2"/>
  <c r="M18" i="9"/>
  <c r="V10" i="2" s="1"/>
  <c r="M19" i="9"/>
  <c r="M10" i="9"/>
  <c r="E10" i="9"/>
  <c r="I73" i="2"/>
  <c r="J73" i="2" s="1"/>
  <c r="R8" i="2" s="1"/>
  <c r="I75" i="2"/>
  <c r="J75" i="2" s="1"/>
  <c r="X8" i="2" s="1"/>
  <c r="I67" i="2"/>
  <c r="J67" i="2" s="1"/>
  <c r="I77" i="2"/>
  <c r="J77" i="2" s="1"/>
  <c r="I74" i="2"/>
  <c r="J74" i="2" s="1"/>
  <c r="V8" i="2" s="1"/>
  <c r="I78" i="2"/>
  <c r="J78" i="2" s="1"/>
  <c r="I80" i="2"/>
  <c r="J80" i="2" s="1"/>
  <c r="C82" i="2"/>
  <c r="I76" i="2"/>
  <c r="J76" i="2" s="1"/>
  <c r="I72" i="2"/>
  <c r="J72" i="2" s="1"/>
  <c r="P8" i="2" s="1"/>
  <c r="I68" i="2"/>
  <c r="J68" i="2" s="1"/>
  <c r="I69" i="2"/>
  <c r="J69" i="2" s="1"/>
  <c r="I71" i="2"/>
  <c r="J71" i="2" s="1"/>
  <c r="N8" i="2" s="1"/>
  <c r="F82" i="2"/>
  <c r="I70" i="2"/>
  <c r="I79" i="2"/>
  <c r="J79" i="2" s="1"/>
  <c r="D82" i="2"/>
  <c r="H82" i="2"/>
  <c r="C183" i="7"/>
  <c r="C182" i="7"/>
  <c r="K22" i="9" l="1"/>
  <c r="AJ12" i="16"/>
  <c r="AI13" i="16"/>
  <c r="L6" i="2"/>
  <c r="V43" i="4"/>
  <c r="V43" i="12"/>
  <c r="H8" i="2"/>
  <c r="K23" i="9"/>
  <c r="X6" i="2"/>
  <c r="I82" i="2"/>
  <c r="L8" i="2"/>
  <c r="J8" i="2"/>
  <c r="E8" i="2"/>
  <c r="C184" i="7"/>
  <c r="C185" i="7" s="1"/>
  <c r="J26" i="2"/>
  <c r="J27" i="2" s="1"/>
  <c r="D121" i="7"/>
  <c r="D117" i="7"/>
  <c r="D132" i="7" s="1"/>
  <c r="D114" i="7"/>
  <c r="D113" i="7"/>
  <c r="F52" i="9" s="1"/>
  <c r="D116" i="7"/>
  <c r="D159" i="7" s="1"/>
  <c r="D115" i="7"/>
  <c r="X36" i="2"/>
  <c r="V36" i="2"/>
  <c r="AK12" i="16" l="1"/>
  <c r="AJ13" i="16"/>
  <c r="F53" i="9"/>
  <c r="F57" i="9" s="1"/>
  <c r="D98" i="7"/>
  <c r="D177" i="7"/>
  <c r="D180" i="7"/>
  <c r="D182" i="7" s="1"/>
  <c r="D122" i="7"/>
  <c r="D100" i="7"/>
  <c r="D160" i="7"/>
  <c r="D181" i="7"/>
  <c r="D183" i="7" s="1"/>
  <c r="D120" i="7"/>
  <c r="D119" i="7"/>
  <c r="D118" i="7"/>
  <c r="D139" i="7" s="1"/>
  <c r="D101" i="7" s="1"/>
  <c r="AL12" i="16" l="1"/>
  <c r="AK13" i="16"/>
  <c r="D184" i="7"/>
  <c r="D185" i="7" s="1"/>
  <c r="D187" i="7" s="1"/>
  <c r="F58" i="9"/>
  <c r="J4" i="9"/>
  <c r="D126" i="7"/>
  <c r="D104" i="7"/>
  <c r="D153" i="7"/>
  <c r="D146" i="7"/>
  <c r="D105" i="7"/>
  <c r="AM12" i="16" l="1"/>
  <c r="AL13" i="16"/>
  <c r="J22" i="9"/>
  <c r="N6" i="2" s="1"/>
  <c r="D109" i="7"/>
  <c r="D170" i="7"/>
  <c r="D124" i="7"/>
  <c r="D102" i="7"/>
  <c r="D125" i="7"/>
  <c r="D103" i="7"/>
  <c r="D97" i="7"/>
  <c r="D91" i="7"/>
  <c r="D92" i="7" s="1"/>
  <c r="Q36" i="2"/>
  <c r="L94" i="2"/>
  <c r="N98" i="2"/>
  <c r="I99" i="2"/>
  <c r="I100" i="2"/>
  <c r="I101" i="2"/>
  <c r="H5" i="8"/>
  <c r="E188" i="4" s="1"/>
  <c r="H6" i="8"/>
  <c r="E189" i="4" s="1"/>
  <c r="B150" i="2"/>
  <c r="B149" i="2"/>
  <c r="B148" i="2"/>
  <c r="C99" i="2"/>
  <c r="F20" i="7"/>
  <c r="I36" i="2"/>
  <c r="K36" i="2"/>
  <c r="O36" i="2"/>
  <c r="AN12" i="16" l="1"/>
  <c r="AM13" i="16"/>
  <c r="F188" i="4"/>
  <c r="F189" i="4"/>
  <c r="M6" i="8"/>
  <c r="L6" i="8"/>
  <c r="M5" i="8"/>
  <c r="L5" i="8"/>
  <c r="D107" i="7"/>
  <c r="J23" i="9"/>
  <c r="D108" i="7"/>
  <c r="N95" i="2"/>
  <c r="N97" i="2"/>
  <c r="N96" i="2"/>
  <c r="N94" i="2"/>
  <c r="J130" i="2"/>
  <c r="H149" i="2"/>
  <c r="I149" i="2" s="1"/>
  <c r="H150" i="2"/>
  <c r="I150" i="2" s="1"/>
  <c r="H148" i="2"/>
  <c r="I148" i="2" s="1"/>
  <c r="M94" i="2"/>
  <c r="O94" i="2" s="1"/>
  <c r="N101" i="2"/>
  <c r="L101" i="2"/>
  <c r="N93" i="2"/>
  <c r="M101" i="2"/>
  <c r="O101" i="2" s="1"/>
  <c r="M99" i="2"/>
  <c r="O99" i="2" s="1"/>
  <c r="M98" i="2"/>
  <c r="O98" i="2" s="1"/>
  <c r="I98" i="2"/>
  <c r="I102" i="2" s="1"/>
  <c r="M97" i="2"/>
  <c r="O97" i="2" s="1"/>
  <c r="L98" i="2"/>
  <c r="M96" i="2"/>
  <c r="O96" i="2" s="1"/>
  <c r="M93" i="2"/>
  <c r="O93" i="2" s="1"/>
  <c r="M100" i="2"/>
  <c r="O100" i="2" s="1"/>
  <c r="L100" i="2"/>
  <c r="L95" i="2"/>
  <c r="L93" i="2"/>
  <c r="N100" i="2"/>
  <c r="N99" i="2"/>
  <c r="L99" i="2"/>
  <c r="L97" i="2"/>
  <c r="M95" i="2"/>
  <c r="O95" i="2" s="1"/>
  <c r="L96" i="2"/>
  <c r="D123" i="7"/>
  <c r="K130" i="2"/>
  <c r="M130" i="2" s="1"/>
  <c r="L130" i="2"/>
  <c r="L128" i="2"/>
  <c r="J128" i="2"/>
  <c r="K128" i="2"/>
  <c r="M128" i="2" s="1"/>
  <c r="J132" i="2"/>
  <c r="J131" i="2"/>
  <c r="AO12" i="16" l="1"/>
  <c r="AN13" i="16"/>
  <c r="R4" i="2"/>
  <c r="L148" i="2"/>
  <c r="K148" i="2"/>
  <c r="M148" i="2" s="1"/>
  <c r="B154" i="2"/>
  <c r="U17" i="2" s="1"/>
  <c r="J129" i="2"/>
  <c r="J134" i="2"/>
  <c r="J136" i="2"/>
  <c r="J133" i="2"/>
  <c r="K135" i="2"/>
  <c r="M135" i="2" s="1"/>
  <c r="J135" i="2"/>
  <c r="J148" i="2"/>
  <c r="D106" i="7"/>
  <c r="D110" i="7" s="1"/>
  <c r="D111" i="7" s="1"/>
  <c r="K129" i="2"/>
  <c r="M129" i="2" s="1"/>
  <c r="L129" i="2"/>
  <c r="K150" i="2"/>
  <c r="M150" i="2" s="1"/>
  <c r="L150" i="2"/>
  <c r="J150" i="2"/>
  <c r="K133" i="2"/>
  <c r="M133" i="2" s="1"/>
  <c r="L133" i="2"/>
  <c r="L149" i="2"/>
  <c r="K149" i="2"/>
  <c r="M149" i="2" s="1"/>
  <c r="J149" i="2"/>
  <c r="L136" i="2"/>
  <c r="K136" i="2"/>
  <c r="M136" i="2" s="1"/>
  <c r="L131" i="2"/>
  <c r="K131" i="2"/>
  <c r="M131" i="2" s="1"/>
  <c r="K127" i="2"/>
  <c r="M127" i="2" s="1"/>
  <c r="L132" i="2"/>
  <c r="K132" i="2"/>
  <c r="M132" i="2" s="1"/>
  <c r="K134" i="2"/>
  <c r="M134" i="2" s="1"/>
  <c r="L134" i="2"/>
  <c r="L135" i="2"/>
  <c r="AP12" i="16" l="1"/>
  <c r="AO13" i="16"/>
  <c r="B159" i="2"/>
  <c r="U30" i="2" s="1"/>
  <c r="B144" i="2"/>
  <c r="T30" i="2" s="1"/>
  <c r="T19" i="2"/>
  <c r="T18" i="2" s="1"/>
  <c r="T27" i="2" s="1"/>
  <c r="U28" i="2"/>
  <c r="B158" i="2"/>
  <c r="U41" i="2" s="1"/>
  <c r="U36" i="2" s="1"/>
  <c r="B155" i="2"/>
  <c r="U29" i="2" s="1"/>
  <c r="B140" i="2"/>
  <c r="T29" i="2" s="1"/>
  <c r="B156" i="2"/>
  <c r="U39" i="2" s="1"/>
  <c r="B157" i="2"/>
  <c r="U40" i="2" s="1"/>
  <c r="B141" i="2"/>
  <c r="T39" i="2" s="1"/>
  <c r="B142" i="2"/>
  <c r="T40" i="2" s="1"/>
  <c r="B143" i="2"/>
  <c r="T41" i="2" s="1"/>
  <c r="T36" i="2" s="1"/>
  <c r="AQ12" i="16" l="1"/>
  <c r="AP13" i="16"/>
  <c r="F21" i="12"/>
  <c r="F21" i="4"/>
  <c r="F35" i="4" s="1"/>
  <c r="U19" i="2"/>
  <c r="H51" i="9"/>
  <c r="H57" i="9" s="1"/>
  <c r="L4" i="9" s="1"/>
  <c r="AR12" i="16" l="1"/>
  <c r="AQ13" i="16"/>
  <c r="U18" i="2"/>
  <c r="U27" i="2" s="1"/>
  <c r="E187" i="4"/>
  <c r="F25" i="12"/>
  <c r="F28" i="12"/>
  <c r="F35" i="12"/>
  <c r="F37" i="12" s="1"/>
  <c r="F25" i="4"/>
  <c r="F28" i="4"/>
  <c r="F37" i="4"/>
  <c r="I51" i="9"/>
  <c r="I57" i="9" s="1"/>
  <c r="H54" i="9"/>
  <c r="AS12" i="16" l="1"/>
  <c r="AR13" i="16"/>
  <c r="F187" i="4"/>
  <c r="I58" i="9"/>
  <c r="M4" i="9"/>
  <c r="M22" i="9" s="1"/>
  <c r="H58" i="9"/>
  <c r="I54" i="9"/>
  <c r="AT12" i="16" l="1"/>
  <c r="AS13" i="16"/>
  <c r="M23" i="9"/>
  <c r="V6" i="2"/>
  <c r="AU12" i="16" l="1"/>
  <c r="AT13" i="16"/>
  <c r="L17" i="9"/>
  <c r="G15" i="9"/>
  <c r="F7" i="9"/>
  <c r="F5" i="9"/>
  <c r="F6" i="9"/>
  <c r="F8" i="9"/>
  <c r="AV12" i="16" l="1"/>
  <c r="AU13" i="16"/>
  <c r="L18" i="9"/>
  <c r="R9" i="2" s="1"/>
  <c r="L19" i="9"/>
  <c r="R10" i="2" s="1"/>
  <c r="L10" i="9"/>
  <c r="L9" i="9"/>
  <c r="N13" i="2"/>
  <c r="N17" i="2" s="1"/>
  <c r="AW12" i="16" l="1"/>
  <c r="AV13" i="16"/>
  <c r="O17" i="2"/>
  <c r="N19" i="2"/>
  <c r="L22" i="9"/>
  <c r="L17" i="2"/>
  <c r="L19" i="2" s="1"/>
  <c r="M17" i="2"/>
  <c r="M16" i="2" s="1"/>
  <c r="D57" i="9"/>
  <c r="AX12" i="16" l="1"/>
  <c r="AW13" i="16"/>
  <c r="L18" i="2"/>
  <c r="L27" i="2" s="1"/>
  <c r="E180" i="4"/>
  <c r="F180" i="4" s="1"/>
  <c r="N18" i="2"/>
  <c r="N27" i="2" s="1"/>
  <c r="E193" i="4"/>
  <c r="F193" i="4" s="1"/>
  <c r="M19" i="2"/>
  <c r="M34" i="2"/>
  <c r="O19" i="2"/>
  <c r="O34" i="2"/>
  <c r="E4" i="9"/>
  <c r="E22" i="9" s="1"/>
  <c r="D4" i="9"/>
  <c r="D22" i="9" s="1"/>
  <c r="D58" i="9"/>
  <c r="D59" i="9"/>
  <c r="N4" i="9"/>
  <c r="N22" i="9" s="1"/>
  <c r="L23" i="9"/>
  <c r="R6" i="2"/>
  <c r="H4" i="9"/>
  <c r="H22" i="9" s="1"/>
  <c r="F4" i="9"/>
  <c r="F22" i="9" s="1"/>
  <c r="G4" i="9"/>
  <c r="G22" i="9" s="1"/>
  <c r="AY12" i="16" l="1"/>
  <c r="AX13" i="16"/>
  <c r="O18" i="2"/>
  <c r="O27" i="2" s="1"/>
  <c r="E194" i="4"/>
  <c r="M18" i="2"/>
  <c r="M27" i="2" s="1"/>
  <c r="E181" i="4"/>
  <c r="F181" i="4" s="1"/>
  <c r="V41" i="12"/>
  <c r="V41" i="4"/>
  <c r="O22" i="9"/>
  <c r="N23" i="9"/>
  <c r="D23" i="9"/>
  <c r="J6" i="2"/>
  <c r="G23" i="9"/>
  <c r="F23" i="9"/>
  <c r="H6" i="2"/>
  <c r="E23" i="9"/>
  <c r="E6" i="2"/>
  <c r="H23" i="9"/>
  <c r="P6" i="2"/>
  <c r="AZ12" i="16" l="1"/>
  <c r="AY13" i="16"/>
  <c r="F194" i="4"/>
  <c r="H166" i="3"/>
  <c r="H168" i="3" s="1"/>
  <c r="BA12" i="16" l="1"/>
  <c r="AZ13" i="16"/>
  <c r="BB12" i="16" l="1"/>
  <c r="BA13" i="16"/>
  <c r="E60" i="11"/>
  <c r="BC12" i="16" l="1"/>
  <c r="BB13" i="16"/>
  <c r="E61" i="11"/>
  <c r="E62" i="11" s="1"/>
  <c r="E16" i="11" s="1"/>
  <c r="D96" i="7"/>
  <c r="D66" i="7" s="1"/>
  <c r="D69" i="7" s="1"/>
  <c r="BD12" i="16" l="1"/>
  <c r="BC13" i="16"/>
  <c r="E30" i="11"/>
  <c r="E32" i="11" s="1"/>
  <c r="E20" i="11"/>
  <c r="E23" i="11"/>
  <c r="E16" i="3"/>
  <c r="E24" i="3" s="1"/>
  <c r="D79" i="7"/>
  <c r="D80" i="7" s="1"/>
  <c r="D82" i="7" s="1"/>
  <c r="D84" i="7" s="1"/>
  <c r="F27" i="7" s="1"/>
  <c r="D71" i="7"/>
  <c r="D73" i="7" s="1"/>
  <c r="D86" i="7"/>
  <c r="D75" i="7"/>
  <c r="D77" i="7" s="1"/>
  <c r="BE12" i="16" l="1"/>
  <c r="BD13" i="16"/>
  <c r="F13" i="7"/>
  <c r="E21" i="3"/>
  <c r="E32" i="3"/>
  <c r="E34" i="3" s="1"/>
  <c r="D81" i="7"/>
  <c r="D87" i="7" s="1"/>
  <c r="D166" i="7"/>
  <c r="D88" i="7"/>
  <c r="D83" i="7"/>
  <c r="BF12" i="16" l="1"/>
  <c r="BE13" i="16"/>
  <c r="D165" i="7"/>
  <c r="D99" i="7" s="1"/>
  <c r="BG12" i="16" l="1"/>
  <c r="BF13" i="16"/>
  <c r="D164" i="7"/>
  <c r="D190" i="7"/>
  <c r="D163" i="7"/>
  <c r="D193" i="7"/>
  <c r="D194" i="7" s="1"/>
  <c r="G34" i="2"/>
  <c r="BH12" i="16" l="1"/>
  <c r="BG13" i="16"/>
  <c r="E18" i="2"/>
  <c r="E27" i="2" s="1"/>
  <c r="E192" i="4"/>
  <c r="F192" i="4" s="1"/>
  <c r="D162" i="7"/>
  <c r="S40" i="13"/>
  <c r="T40" i="13"/>
  <c r="L92" i="2"/>
  <c r="L102" i="2" s="1"/>
  <c r="R39" i="2" s="1"/>
  <c r="K92" i="2"/>
  <c r="K102" i="2" s="1"/>
  <c r="R29" i="2" s="1"/>
  <c r="N92" i="2"/>
  <c r="N102" i="2" s="1"/>
  <c r="R41" i="2" s="1"/>
  <c r="R36" i="2" s="1"/>
  <c r="M92" i="2"/>
  <c r="O92" i="2" s="1"/>
  <c r="O102" i="2" s="1"/>
  <c r="R30" i="2" s="1"/>
  <c r="R28" i="2"/>
  <c r="R13" i="2" s="1"/>
  <c r="R17" i="2" s="1"/>
  <c r="M102" i="2" l="1"/>
  <c r="R40" i="2" s="1"/>
  <c r="BI12" i="16"/>
  <c r="BH13" i="16"/>
  <c r="R16" i="2"/>
  <c r="S34" i="2"/>
  <c r="R19" i="2"/>
  <c r="T34" i="2"/>
  <c r="U34" i="2"/>
  <c r="E51" i="11"/>
  <c r="N58" i="13"/>
  <c r="R58" i="13"/>
  <c r="E52" i="3"/>
  <c r="L58" i="13"/>
  <c r="F55" i="4"/>
  <c r="F56" i="12"/>
  <c r="O58" i="13"/>
  <c r="T58" i="13"/>
  <c r="W58" i="13"/>
  <c r="J58" i="13"/>
  <c r="P58" i="13"/>
  <c r="S58" i="13"/>
  <c r="Q58" i="13"/>
  <c r="M58" i="13"/>
  <c r="K58" i="13"/>
  <c r="V58" i="13"/>
  <c r="X58" i="13"/>
  <c r="K56" i="13"/>
  <c r="K55" i="13" s="1"/>
  <c r="P56" i="13"/>
  <c r="L56" i="13"/>
  <c r="L55" i="13" s="1"/>
  <c r="N56" i="13"/>
  <c r="N55" i="13" s="1"/>
  <c r="S56" i="13"/>
  <c r="S55" i="13" s="1"/>
  <c r="F54" i="12"/>
  <c r="F53" i="12" s="1"/>
  <c r="F55" i="12" s="1"/>
  <c r="F57" i="12" s="1"/>
  <c r="F58" i="12" s="1"/>
  <c r="F59" i="12" s="1"/>
  <c r="F20" i="12" s="1"/>
  <c r="J56" i="13"/>
  <c r="J55" i="13" s="1"/>
  <c r="O56" i="13"/>
  <c r="O55" i="13" s="1"/>
  <c r="Q56" i="13"/>
  <c r="Q55" i="13" s="1"/>
  <c r="M56" i="13"/>
  <c r="M55" i="13" s="1"/>
  <c r="W56" i="13"/>
  <c r="W55" i="13" s="1"/>
  <c r="T56" i="13"/>
  <c r="T55" i="13" s="1"/>
  <c r="E49" i="11"/>
  <c r="E48" i="11" s="1"/>
  <c r="F53" i="4"/>
  <c r="F52" i="4" s="1"/>
  <c r="X56" i="13"/>
  <c r="X55" i="13" s="1"/>
  <c r="R56" i="13"/>
  <c r="R55" i="13" s="1"/>
  <c r="E50" i="3"/>
  <c r="E49" i="3" s="1"/>
  <c r="V56" i="13"/>
  <c r="V55" i="13" s="1"/>
  <c r="V57" i="13" s="1"/>
  <c r="V59" i="13" s="1"/>
  <c r="V60" i="13" s="1"/>
  <c r="L57" i="13" l="1"/>
  <c r="L59" i="13" s="1"/>
  <c r="L60" i="13" s="1"/>
  <c r="L61" i="13" s="1"/>
  <c r="D17" i="8" s="1"/>
  <c r="D20" i="8" s="1"/>
  <c r="F20" i="8" s="1"/>
  <c r="D207" i="4" s="1"/>
  <c r="E51" i="3"/>
  <c r="T24" i="8" s="1"/>
  <c r="T57" i="13"/>
  <c r="T59" i="13" s="1"/>
  <c r="T60" i="13" s="1"/>
  <c r="R57" i="13"/>
  <c r="R59" i="13" s="1"/>
  <c r="R60" i="13" s="1"/>
  <c r="S57" i="13"/>
  <c r="S59" i="13" s="1"/>
  <c r="S60" i="13" s="1"/>
  <c r="K57" i="13"/>
  <c r="K59" i="13" s="1"/>
  <c r="K60" i="13" s="1"/>
  <c r="N57" i="13"/>
  <c r="N59" i="13" s="1"/>
  <c r="N60" i="13" s="1"/>
  <c r="Q57" i="13"/>
  <c r="Q59" i="13" s="1"/>
  <c r="Q60" i="13" s="1"/>
  <c r="O57" i="13"/>
  <c r="O59" i="13" s="1"/>
  <c r="O60" i="13" s="1"/>
  <c r="BJ12" i="16"/>
  <c r="BI13" i="16"/>
  <c r="X57" i="13"/>
  <c r="X59" i="13" s="1"/>
  <c r="X60" i="13" s="1"/>
  <c r="O17" i="8"/>
  <c r="D19" i="8"/>
  <c r="F17" i="8"/>
  <c r="F19" i="8" s="1"/>
  <c r="J57" i="13"/>
  <c r="J59" i="13" s="1"/>
  <c r="J60" i="13" s="1"/>
  <c r="U56" i="13"/>
  <c r="U55" i="13" s="1"/>
  <c r="P55" i="13"/>
  <c r="P57" i="13" s="1"/>
  <c r="P59" i="13" s="1"/>
  <c r="L40" i="13"/>
  <c r="F54" i="4"/>
  <c r="F56" i="4" s="1"/>
  <c r="F57" i="4" s="1"/>
  <c r="F58" i="4" s="1"/>
  <c r="F20" i="4" s="1"/>
  <c r="E186" i="4"/>
  <c r="F186" i="4" s="1"/>
  <c r="R18" i="2"/>
  <c r="R27" i="2" s="1"/>
  <c r="E50" i="11"/>
  <c r="E52" i="11" s="1"/>
  <c r="E53" i="11" s="1"/>
  <c r="E54" i="11" s="1"/>
  <c r="E15" i="11" s="1"/>
  <c r="W57" i="13"/>
  <c r="W59" i="13" s="1"/>
  <c r="W60" i="13" s="1"/>
  <c r="F29" i="12"/>
  <c r="F34" i="12"/>
  <c r="F30" i="12"/>
  <c r="M57" i="13"/>
  <c r="M59" i="13" s="1"/>
  <c r="M60" i="13" s="1"/>
  <c r="M61" i="13" s="1"/>
  <c r="T17" i="8" s="1"/>
  <c r="T23" i="8" s="1"/>
  <c r="U58" i="13"/>
  <c r="L37" i="13" l="1"/>
  <c r="E53" i="3"/>
  <c r="E54" i="3" s="1"/>
  <c r="E55" i="3" s="1"/>
  <c r="E15" i="3" s="1"/>
  <c r="E25" i="3" s="1"/>
  <c r="BK12" i="16"/>
  <c r="BJ13" i="16"/>
  <c r="O19" i="8"/>
  <c r="P17" i="8"/>
  <c r="E26" i="3"/>
  <c r="F34" i="4"/>
  <c r="F30" i="4"/>
  <c r="F29" i="4"/>
  <c r="E25" i="11"/>
  <c r="E24" i="11"/>
  <c r="E29" i="11"/>
  <c r="M37" i="13"/>
  <c r="M40" i="13"/>
  <c r="U59" i="13"/>
  <c r="P60" i="13"/>
  <c r="U60" i="13" s="1"/>
  <c r="U57" i="13"/>
  <c r="L50" i="13"/>
  <c r="L51" i="13" s="1"/>
  <c r="L49" i="13"/>
  <c r="F10" i="7" l="1"/>
  <c r="F11" i="7" s="1"/>
  <c r="E30" i="3"/>
  <c r="E31" i="3" s="1"/>
  <c r="BL12" i="16"/>
  <c r="BK13" i="16"/>
  <c r="Q17" i="8"/>
  <c r="Q19" i="8" s="1"/>
  <c r="P19" i="8"/>
  <c r="M50" i="13"/>
  <c r="M51" i="13" s="1"/>
  <c r="M49" i="13"/>
  <c r="K37" i="13"/>
  <c r="K50" i="13" s="1"/>
  <c r="K40" i="13"/>
  <c r="BM12" i="16" l="1"/>
  <c r="BL13" i="16"/>
  <c r="K49" i="13"/>
  <c r="E8" i="8"/>
  <c r="BN12" i="16" l="1"/>
  <c r="BM13" i="16"/>
  <c r="E51" i="13"/>
  <c r="H51" i="13"/>
  <c r="V51" i="13"/>
  <c r="G51" i="13"/>
  <c r="F51" i="13"/>
  <c r="BO12" i="16" l="1"/>
  <c r="BN13" i="16"/>
  <c r="I51" i="13"/>
  <c r="J51" i="13"/>
  <c r="K51" i="13"/>
  <c r="W51" i="13"/>
  <c r="O61" i="13"/>
  <c r="N51" i="13"/>
  <c r="BP12" i="16" l="1"/>
  <c r="BO13" i="16"/>
  <c r="O40" i="13"/>
  <c r="O37" i="13"/>
  <c r="BQ12" i="16" l="1"/>
  <c r="BP13" i="16"/>
  <c r="O49" i="13"/>
  <c r="O50" i="13"/>
  <c r="O51" i="13" s="1"/>
  <c r="BR12" i="16" l="1"/>
  <c r="BQ13" i="16"/>
  <c r="BS12" i="16" l="1"/>
  <c r="BR13" i="16"/>
  <c r="BT12" i="16" l="1"/>
  <c r="BS13" i="16"/>
  <c r="BU12" i="16" l="1"/>
  <c r="BT13" i="16"/>
  <c r="BV12" i="16" l="1"/>
  <c r="BU13" i="16"/>
  <c r="BW12" i="16" l="1"/>
  <c r="BV13" i="16"/>
  <c r="BX12" i="16" l="1"/>
  <c r="BW13" i="16"/>
  <c r="BY12" i="16" l="1"/>
  <c r="BX13" i="16"/>
  <c r="BZ12" i="16" l="1"/>
  <c r="BY13" i="16"/>
  <c r="CA12" i="16" l="1"/>
  <c r="BZ13" i="16"/>
  <c r="CB12" i="16" l="1"/>
  <c r="CA13" i="16"/>
  <c r="CC12" i="16" l="1"/>
  <c r="CB13" i="16"/>
  <c r="CD12" i="16" l="1"/>
  <c r="CC13" i="16"/>
  <c r="CE12" i="16" l="1"/>
  <c r="CD13" i="16"/>
  <c r="CF12" i="16" l="1"/>
  <c r="CE13" i="16"/>
  <c r="CG12" i="16" l="1"/>
  <c r="CF13" i="16"/>
  <c r="CH12" i="16" l="1"/>
  <c r="CG13" i="16"/>
  <c r="CI12" i="16" l="1"/>
  <c r="CH13" i="16"/>
  <c r="CJ12" i="16" l="1"/>
  <c r="CI13" i="16"/>
  <c r="CK12" i="16" l="1"/>
  <c r="CJ13" i="16"/>
  <c r="CL12" i="16" l="1"/>
  <c r="CK13" i="16"/>
  <c r="CM12" i="16" l="1"/>
  <c r="CL13" i="16"/>
  <c r="CN12" i="16" l="1"/>
  <c r="CM13" i="16"/>
  <c r="CO12" i="16" l="1"/>
  <c r="CN13" i="16"/>
  <c r="CP12" i="16" l="1"/>
  <c r="CO13" i="16"/>
  <c r="CQ12" i="16" l="1"/>
  <c r="CP13" i="16"/>
  <c r="CR12" i="16" l="1"/>
  <c r="CQ13" i="16"/>
  <c r="CS12" i="16" l="1"/>
  <c r="CR13" i="16"/>
  <c r="CT12" i="16" l="1"/>
  <c r="CS13" i="16"/>
  <c r="CU12" i="16" l="1"/>
  <c r="CT13" i="16"/>
  <c r="CV12" i="16" l="1"/>
  <c r="CU13" i="16"/>
  <c r="CW12" i="16" l="1"/>
  <c r="CV13" i="16"/>
  <c r="CX12" i="16" l="1"/>
  <c r="CW13" i="16"/>
  <c r="CY12" i="16" l="1"/>
  <c r="CX13" i="16"/>
  <c r="CZ12" i="16" l="1"/>
  <c r="CY13" i="16"/>
  <c r="DA12" i="16" l="1"/>
  <c r="CZ13" i="16"/>
  <c r="DB12" i="16" l="1"/>
  <c r="DA13" i="16"/>
  <c r="DC12" i="16" l="1"/>
  <c r="DB13" i="16"/>
  <c r="DD12" i="16" l="1"/>
  <c r="DC13" i="16"/>
  <c r="DE12" i="16" l="1"/>
  <c r="DD13" i="16"/>
  <c r="DF12" i="16" l="1"/>
  <c r="DE13" i="16"/>
  <c r="DG12" i="16" l="1"/>
  <c r="DF13" i="16"/>
  <c r="DH12" i="16" l="1"/>
  <c r="DG13" i="16"/>
  <c r="DI12" i="16" l="1"/>
  <c r="DH13" i="16"/>
  <c r="DJ12" i="16" l="1"/>
  <c r="DI13" i="16"/>
  <c r="DK12" i="16" l="1"/>
  <c r="DJ13" i="16"/>
  <c r="DL12" i="16" l="1"/>
  <c r="DK13" i="16"/>
  <c r="DM12" i="16" l="1"/>
  <c r="DL13" i="16"/>
  <c r="DN12" i="16" l="1"/>
  <c r="DM13" i="16"/>
  <c r="DO12" i="16" l="1"/>
  <c r="DN13" i="16"/>
  <c r="DP12" i="16" l="1"/>
  <c r="DO13" i="16"/>
  <c r="DQ12" i="16" l="1"/>
  <c r="DP13" i="16"/>
  <c r="DR12" i="16" l="1"/>
  <c r="DQ13" i="16"/>
  <c r="DS12" i="16" l="1"/>
  <c r="DR13" i="16"/>
  <c r="DT12" i="16" l="1"/>
  <c r="DS13" i="16"/>
  <c r="DU12" i="16" l="1"/>
  <c r="DT13" i="16"/>
  <c r="DV12" i="16" l="1"/>
  <c r="DU13" i="16"/>
  <c r="DW12" i="16" l="1"/>
  <c r="DV13" i="16"/>
  <c r="DX12" i="16" l="1"/>
  <c r="DW13" i="16"/>
  <c r="DY12" i="16" l="1"/>
  <c r="DX13" i="16"/>
  <c r="DZ12" i="16" l="1"/>
  <c r="DY13" i="16"/>
  <c r="EA12" i="16" l="1"/>
  <c r="DZ13" i="16"/>
  <c r="EB12" i="16" l="1"/>
  <c r="EA13" i="16"/>
  <c r="EC12" i="16" l="1"/>
  <c r="EB13" i="16"/>
  <c r="ED12" i="16" l="1"/>
  <c r="EC13" i="16"/>
  <c r="EE12" i="16" l="1"/>
  <c r="ED13" i="16"/>
  <c r="EF12" i="16" l="1"/>
  <c r="EE13" i="16"/>
  <c r="EG12" i="16" l="1"/>
  <c r="EF13" i="16"/>
  <c r="EH12" i="16" l="1"/>
  <c r="EG13" i="16"/>
  <c r="EI12" i="16" l="1"/>
  <c r="EH13" i="16"/>
  <c r="EJ12" i="16" l="1"/>
  <c r="EI13" i="16"/>
  <c r="EK12" i="16" l="1"/>
  <c r="EJ13" i="16"/>
  <c r="EL12" i="16" l="1"/>
  <c r="EK13" i="16"/>
  <c r="EM12" i="16" l="1"/>
  <c r="EL13" i="16"/>
  <c r="EN12" i="16" l="1"/>
  <c r="EM13" i="16"/>
  <c r="EO12" i="16" l="1"/>
  <c r="EN13" i="16"/>
  <c r="EP12" i="16" l="1"/>
  <c r="EO13" i="16"/>
  <c r="EQ12" i="16" l="1"/>
  <c r="EP13" i="16"/>
  <c r="ER12" i="16" l="1"/>
  <c r="EQ13" i="16"/>
  <c r="ES12" i="16" l="1"/>
  <c r="ER13" i="16"/>
  <c r="ET12" i="16" l="1"/>
  <c r="ES13" i="16"/>
  <c r="EU12" i="16" l="1"/>
  <c r="ET13" i="16"/>
  <c r="EV12" i="16" l="1"/>
  <c r="EU13" i="16"/>
  <c r="EW12" i="16" l="1"/>
  <c r="EV13" i="16"/>
  <c r="EX12" i="16" l="1"/>
  <c r="EW13" i="16"/>
  <c r="EY12" i="16" l="1"/>
  <c r="EX13" i="16"/>
  <c r="EZ12" i="16" l="1"/>
  <c r="EY13" i="16"/>
  <c r="FA12" i="16" l="1"/>
  <c r="EZ13" i="16"/>
  <c r="FB12" i="16" l="1"/>
  <c r="FA13" i="16"/>
  <c r="FC12" i="16" l="1"/>
  <c r="FB13" i="16"/>
  <c r="FD12" i="16" l="1"/>
  <c r="FC13" i="16"/>
  <c r="FE12" i="16" l="1"/>
  <c r="FD13" i="16"/>
  <c r="FF12" i="16" l="1"/>
  <c r="FE13" i="16"/>
  <c r="FG12" i="16" l="1"/>
  <c r="FF13" i="16"/>
  <c r="FH12" i="16" l="1"/>
  <c r="FG13" i="16"/>
  <c r="FI12" i="16" l="1"/>
  <c r="FH13" i="16"/>
  <c r="FJ12" i="16" l="1"/>
  <c r="FI13" i="16"/>
  <c r="FK12" i="16" l="1"/>
  <c r="FJ13" i="16"/>
  <c r="FL12" i="16" l="1"/>
  <c r="FK13" i="16"/>
  <c r="FM12" i="16" l="1"/>
  <c r="FL13" i="16"/>
  <c r="FN12" i="16" l="1"/>
  <c r="FM13" i="16"/>
  <c r="FO12" i="16" l="1"/>
  <c r="FN13" i="16"/>
  <c r="FP12" i="16" l="1"/>
  <c r="FO13" i="16"/>
  <c r="FQ12" i="16" l="1"/>
  <c r="FP13" i="16"/>
  <c r="FR12" i="16" l="1"/>
  <c r="FQ13" i="16"/>
  <c r="FS12" i="16" l="1"/>
  <c r="FR13" i="16"/>
  <c r="FT12" i="16" l="1"/>
  <c r="FS13" i="16"/>
  <c r="FU12" i="16" l="1"/>
  <c r="FT13" i="16"/>
  <c r="FV12" i="16" l="1"/>
  <c r="FU13" i="16"/>
  <c r="FW12" i="16" l="1"/>
  <c r="FV13" i="16"/>
  <c r="FX12" i="16" l="1"/>
  <c r="FW13" i="16"/>
  <c r="FY12" i="16" l="1"/>
  <c r="FX13" i="16"/>
  <c r="FZ12" i="16" l="1"/>
  <c r="FY13" i="16"/>
  <c r="GA12" i="16" l="1"/>
  <c r="FZ13" i="16"/>
  <c r="GB12" i="16" l="1"/>
  <c r="GA13" i="16"/>
  <c r="GC12" i="16" l="1"/>
  <c r="GB13" i="16"/>
  <c r="GD12" i="16" l="1"/>
  <c r="GC13" i="16"/>
  <c r="GE12" i="16" l="1"/>
  <c r="GD13" i="16"/>
  <c r="GF12" i="16" l="1"/>
  <c r="GE13" i="16"/>
  <c r="GG12" i="16" l="1"/>
  <c r="GF13" i="16"/>
  <c r="GH12" i="16" l="1"/>
  <c r="GG13" i="16"/>
  <c r="GI12" i="16" l="1"/>
  <c r="GH13" i="16"/>
  <c r="GJ12" i="16" l="1"/>
  <c r="GI13" i="16"/>
  <c r="GK12" i="16" l="1"/>
  <c r="GJ13" i="16"/>
  <c r="GL12" i="16" l="1"/>
  <c r="GK13" i="16"/>
  <c r="GM12" i="16" l="1"/>
  <c r="GL13" i="16"/>
  <c r="GN12" i="16" l="1"/>
  <c r="GM13" i="16"/>
  <c r="GO12" i="16" l="1"/>
  <c r="GN13" i="16"/>
  <c r="GP12" i="16" l="1"/>
  <c r="GO13" i="16"/>
  <c r="GQ12" i="16" l="1"/>
  <c r="GP13" i="16"/>
  <c r="GR12" i="16" l="1"/>
  <c r="GQ13" i="16"/>
  <c r="GS12" i="16" l="1"/>
  <c r="GR13" i="16"/>
  <c r="GT12" i="16" l="1"/>
  <c r="GS13" i="16"/>
  <c r="GU12" i="16" l="1"/>
  <c r="GT13" i="16"/>
  <c r="GV12" i="16" l="1"/>
  <c r="GU13" i="16"/>
  <c r="GW12" i="16" l="1"/>
  <c r="GV13" i="16"/>
  <c r="GX12" i="16" l="1"/>
  <c r="GW13" i="16"/>
  <c r="GY12" i="16" l="1"/>
  <c r="GX13" i="16"/>
  <c r="GZ12" i="16" l="1"/>
  <c r="GY13" i="16"/>
  <c r="HA12" i="16" l="1"/>
  <c r="GZ13" i="16"/>
  <c r="HB12" i="16" l="1"/>
  <c r="HA13" i="16"/>
  <c r="HC12" i="16" l="1"/>
  <c r="HB13" i="16"/>
  <c r="HD12" i="16" l="1"/>
  <c r="HC13" i="16"/>
  <c r="HE12" i="16" l="1"/>
  <c r="HD13" i="16"/>
  <c r="HF12" i="16" l="1"/>
  <c r="HE13" i="16"/>
  <c r="HG12" i="16" l="1"/>
  <c r="HF13" i="16"/>
  <c r="HH12" i="16" l="1"/>
  <c r="HG13" i="16"/>
  <c r="HI12" i="16" l="1"/>
  <c r="HH13" i="16"/>
  <c r="HJ12" i="16" l="1"/>
  <c r="HI13" i="16"/>
  <c r="HK12" i="16" l="1"/>
  <c r="HJ13" i="16"/>
  <c r="HL12" i="16" l="1"/>
  <c r="HK13" i="16"/>
  <c r="HM12" i="16" l="1"/>
  <c r="HL13" i="16"/>
  <c r="HN12" i="16" l="1"/>
  <c r="HM13" i="16"/>
  <c r="HO12" i="16" l="1"/>
  <c r="HN13" i="16"/>
  <c r="HP12" i="16" l="1"/>
  <c r="HO13" i="16"/>
  <c r="HQ12" i="16" l="1"/>
  <c r="HP13" i="16"/>
  <c r="HR12" i="16" l="1"/>
  <c r="HQ13" i="16"/>
  <c r="HS12" i="16" l="1"/>
  <c r="HR13" i="16"/>
  <c r="HT12" i="16" l="1"/>
  <c r="HS13" i="16"/>
  <c r="HU12" i="16" l="1"/>
  <c r="HT13" i="16"/>
  <c r="HV12" i="16" l="1"/>
  <c r="HU13" i="16"/>
  <c r="HW12" i="16" l="1"/>
  <c r="HV13" i="16"/>
  <c r="HX12" i="16" l="1"/>
  <c r="HW13" i="16"/>
  <c r="HY12" i="16" l="1"/>
  <c r="HX13" i="16"/>
  <c r="HZ12" i="16" l="1"/>
  <c r="HY13" i="16"/>
  <c r="IA12" i="16" l="1"/>
  <c r="HZ13" i="16"/>
  <c r="IB12" i="16" l="1"/>
  <c r="IA13" i="16"/>
  <c r="IC12" i="16" l="1"/>
  <c r="IB13" i="16"/>
  <c r="ID12" i="16" l="1"/>
  <c r="IC13" i="16"/>
  <c r="IE12" i="16" l="1"/>
  <c r="ID13" i="16"/>
  <c r="IF12" i="16" l="1"/>
  <c r="IE13" i="16"/>
  <c r="IG12" i="16" l="1"/>
  <c r="IF13" i="16"/>
  <c r="IH12" i="16" l="1"/>
  <c r="IG13" i="16"/>
  <c r="II12" i="16" l="1"/>
  <c r="IH13" i="16"/>
  <c r="IJ12" i="16" l="1"/>
  <c r="II13" i="16"/>
  <c r="IK12" i="16" l="1"/>
  <c r="IJ13" i="16"/>
  <c r="IL12" i="16" l="1"/>
  <c r="IK13" i="16"/>
  <c r="IM12" i="16" l="1"/>
  <c r="IL13" i="16"/>
  <c r="IN12" i="16" l="1"/>
  <c r="IM13" i="16"/>
  <c r="IO12" i="16" l="1"/>
  <c r="IN13" i="16"/>
  <c r="IP12" i="16" l="1"/>
  <c r="IO13" i="16"/>
  <c r="IQ12" i="16" l="1"/>
  <c r="IP13" i="16"/>
  <c r="IR12" i="16" l="1"/>
  <c r="IQ13" i="16"/>
  <c r="IS12" i="16" l="1"/>
  <c r="IR13" i="16"/>
  <c r="IT12" i="16" l="1"/>
  <c r="IS13" i="16"/>
  <c r="IU12" i="16" l="1"/>
  <c r="IT13" i="16"/>
  <c r="IV12" i="16" l="1"/>
  <c r="IU13" i="16"/>
  <c r="IW12" i="16" l="1"/>
  <c r="IV13" i="16"/>
  <c r="IX12" i="16" l="1"/>
  <c r="IW13" i="16"/>
  <c r="IY12" i="16" l="1"/>
  <c r="IX13" i="16"/>
  <c r="IZ12" i="16" l="1"/>
  <c r="IY13" i="16"/>
  <c r="JA12" i="16" l="1"/>
  <c r="IZ13" i="16"/>
  <c r="JB12" i="16" l="1"/>
  <c r="JA13" i="16"/>
  <c r="JC12" i="16" l="1"/>
  <c r="JB13" i="16"/>
  <c r="JD12" i="16" l="1"/>
  <c r="JC13" i="16"/>
  <c r="JE12" i="16" l="1"/>
  <c r="JD13" i="16"/>
  <c r="JF12" i="16" l="1"/>
  <c r="JE13" i="16"/>
  <c r="JG12" i="16" l="1"/>
  <c r="JF13" i="16"/>
  <c r="JH12" i="16" l="1"/>
  <c r="JG13" i="16"/>
  <c r="JI12" i="16" l="1"/>
  <c r="JH13" i="16"/>
  <c r="JJ12" i="16" l="1"/>
  <c r="JI13" i="16"/>
  <c r="JK12" i="16" l="1"/>
  <c r="JJ13" i="16"/>
  <c r="JL12" i="16" l="1"/>
  <c r="JK13" i="16"/>
  <c r="JM12" i="16" l="1"/>
  <c r="JL13" i="16"/>
  <c r="JN12" i="16" l="1"/>
  <c r="JM13" i="16"/>
  <c r="JO12" i="16" l="1"/>
  <c r="JN13" i="16"/>
  <c r="JP12" i="16" l="1"/>
  <c r="JO13" i="16"/>
  <c r="JQ12" i="16" l="1"/>
  <c r="JP13" i="16"/>
  <c r="JR12" i="16" l="1"/>
  <c r="JQ13" i="16"/>
  <c r="JS12" i="16" l="1"/>
  <c r="JR13" i="16"/>
  <c r="JT12" i="16" l="1"/>
  <c r="JS13" i="16"/>
  <c r="JU12" i="16" l="1"/>
  <c r="JT13" i="16"/>
  <c r="JV12" i="16" l="1"/>
  <c r="JU13" i="16"/>
  <c r="JW12" i="16" l="1"/>
  <c r="JV13" i="16"/>
  <c r="JX12" i="16" l="1"/>
  <c r="JW13" i="16"/>
  <c r="JY12" i="16" l="1"/>
  <c r="JX13" i="16"/>
  <c r="JZ12" i="16" l="1"/>
  <c r="JY13" i="16"/>
  <c r="KA12" i="16" l="1"/>
  <c r="JZ13" i="16"/>
  <c r="KB12" i="16" l="1"/>
  <c r="KA13" i="16"/>
  <c r="KC12" i="16" l="1"/>
  <c r="KB13" i="16"/>
  <c r="KD12" i="16" l="1"/>
  <c r="KC13" i="16"/>
  <c r="KE12" i="16" l="1"/>
  <c r="KD13" i="16"/>
  <c r="KF12" i="16" l="1"/>
  <c r="KE13" i="16"/>
  <c r="KG12" i="16" l="1"/>
  <c r="KF13" i="16"/>
  <c r="KH12" i="16" l="1"/>
  <c r="KG13" i="16"/>
  <c r="KI12" i="16" l="1"/>
  <c r="KH13" i="16"/>
  <c r="KJ12" i="16" l="1"/>
  <c r="KI13" i="16"/>
  <c r="KK12" i="16" l="1"/>
  <c r="KJ13" i="16"/>
  <c r="KL12" i="16" l="1"/>
  <c r="KK13" i="16"/>
  <c r="KM12" i="16" l="1"/>
  <c r="KL13" i="16"/>
  <c r="KN12" i="16" l="1"/>
  <c r="KM13" i="16"/>
  <c r="KO12" i="16" l="1"/>
  <c r="KN13" i="16"/>
  <c r="KP12" i="16" l="1"/>
  <c r="KO13" i="16"/>
  <c r="KQ12" i="16" l="1"/>
  <c r="KP13" i="16"/>
  <c r="KR12" i="16" l="1"/>
  <c r="KQ13" i="16"/>
  <c r="KS12" i="16" l="1"/>
  <c r="KR13" i="16"/>
  <c r="KT12" i="16" l="1"/>
  <c r="KS13" i="16"/>
  <c r="KU12" i="16" l="1"/>
  <c r="KT13" i="16"/>
  <c r="KV12" i="16" l="1"/>
  <c r="KU13" i="16"/>
  <c r="KW12" i="16" l="1"/>
  <c r="KV13" i="16"/>
  <c r="KX12" i="16" l="1"/>
  <c r="KW13" i="16"/>
  <c r="KY12" i="16" l="1"/>
  <c r="KX13" i="16"/>
  <c r="KZ12" i="16" l="1"/>
  <c r="KY13" i="16"/>
  <c r="LA12" i="16" l="1"/>
  <c r="KZ13" i="16"/>
  <c r="LB12" i="16" l="1"/>
  <c r="LA13" i="16"/>
  <c r="LC12" i="16" l="1"/>
  <c r="LB13" i="16"/>
  <c r="LD12" i="16" l="1"/>
  <c r="LC13" i="16"/>
  <c r="LE12" i="16" l="1"/>
  <c r="LD13" i="16"/>
  <c r="LF12" i="16" l="1"/>
  <c r="LE13" i="16"/>
  <c r="LG12" i="16" l="1"/>
  <c r="LF13" i="16"/>
  <c r="LH12" i="16" l="1"/>
  <c r="LG13" i="16"/>
  <c r="LI12" i="16" l="1"/>
  <c r="LH13" i="16"/>
  <c r="LJ12" i="16" l="1"/>
  <c r="LI13" i="16"/>
  <c r="LK12" i="16" l="1"/>
  <c r="LJ13" i="16"/>
  <c r="LL12" i="16" l="1"/>
  <c r="LK13" i="16"/>
  <c r="LM12" i="16" l="1"/>
  <c r="LL13" i="16"/>
  <c r="LN12" i="16" l="1"/>
  <c r="LM13" i="16"/>
  <c r="LO12" i="16" l="1"/>
  <c r="LN13" i="16"/>
  <c r="LP12" i="16" l="1"/>
  <c r="LO13" i="16"/>
  <c r="LQ12" i="16" l="1"/>
  <c r="LP13" i="16"/>
  <c r="LR12" i="16" l="1"/>
  <c r="LQ13" i="16"/>
  <c r="LS12" i="16" l="1"/>
  <c r="LR13" i="16"/>
  <c r="LT12" i="16" l="1"/>
  <c r="LS13" i="16"/>
  <c r="LU12" i="16" l="1"/>
  <c r="LT13" i="16"/>
  <c r="LV12" i="16" l="1"/>
  <c r="LU13" i="16"/>
  <c r="LW12" i="16" l="1"/>
  <c r="LV13" i="16"/>
  <c r="LX12" i="16" l="1"/>
  <c r="LW13" i="16"/>
  <c r="LY12" i="16" l="1"/>
  <c r="LX13" i="16"/>
  <c r="LZ12" i="16" l="1"/>
  <c r="LY13" i="16"/>
  <c r="MA12" i="16" l="1"/>
  <c r="LZ13" i="16"/>
  <c r="MB12" i="16" l="1"/>
  <c r="MA13" i="16"/>
  <c r="MC12" i="16" l="1"/>
  <c r="MB13" i="16"/>
  <c r="MD12" i="16" l="1"/>
  <c r="MC13" i="16"/>
  <c r="ME12" i="16" l="1"/>
  <c r="MD13" i="16"/>
  <c r="MF12" i="16" l="1"/>
  <c r="ME13" i="16"/>
  <c r="MG12" i="16" l="1"/>
  <c r="MF13" i="16"/>
  <c r="MH12" i="16" l="1"/>
  <c r="MG13" i="16"/>
  <c r="MI12" i="16" l="1"/>
  <c r="MH13" i="16"/>
  <c r="MJ12" i="16" l="1"/>
  <c r="MI13" i="16"/>
  <c r="MK12" i="16" l="1"/>
  <c r="MJ13" i="16"/>
  <c r="ML12" i="16" l="1"/>
  <c r="MK13" i="16"/>
  <c r="MM12" i="16" l="1"/>
  <c r="ML13" i="16"/>
  <c r="MN12" i="16" l="1"/>
  <c r="MM13" i="16"/>
  <c r="MO12" i="16" l="1"/>
  <c r="MN13" i="16"/>
  <c r="MP12" i="16" l="1"/>
  <c r="MO13" i="16"/>
  <c r="MQ12" i="16" l="1"/>
  <c r="MP13" i="16"/>
  <c r="MR12" i="16" l="1"/>
  <c r="MQ13" i="16"/>
  <c r="MS12" i="16" l="1"/>
  <c r="MR13" i="16"/>
  <c r="MT12" i="16" l="1"/>
  <c r="MS13" i="16"/>
  <c r="MU12" i="16" l="1"/>
  <c r="MT13" i="16"/>
  <c r="MV12" i="16" l="1"/>
  <c r="MU13" i="16"/>
  <c r="MW12" i="16" l="1"/>
  <c r="MV13" i="16"/>
  <c r="MX12" i="16" l="1"/>
  <c r="MW13" i="16"/>
  <c r="MY12" i="16" l="1"/>
  <c r="MX13" i="16"/>
  <c r="MZ12" i="16" l="1"/>
  <c r="MY13" i="16"/>
  <c r="NA12" i="16" l="1"/>
  <c r="MZ13" i="16"/>
  <c r="NB12" i="16" l="1"/>
  <c r="NA13" i="16"/>
  <c r="NB13" i="16" l="1"/>
  <c r="B15" i="16" s="1"/>
  <c r="MV16" i="16"/>
  <c r="C16" i="16" l="1"/>
  <c r="C15" i="16"/>
  <c r="B19" i="16"/>
  <c r="B20" i="16" s="1"/>
  <c r="B16" i="16" l="1"/>
  <c r="X19" i="13"/>
  <c r="X16" i="13"/>
  <c r="X100" i="13"/>
  <c r="X103" i="13" s="1"/>
  <c r="D19" i="13" l="1"/>
  <c r="D20" i="13" s="1"/>
  <c r="D22" i="13" s="1"/>
  <c r="D76" i="13" l="1"/>
  <c r="D92" i="13" s="1"/>
  <c r="X76" i="13" l="1"/>
  <c r="X92" i="13" s="1"/>
  <c r="X51" i="13"/>
  <c r="X50" i="13"/>
  <c r="X54" i="13"/>
  <c r="X53" i="13"/>
  <c r="X52" i="13"/>
  <c r="X30" i="13"/>
  <c r="X21" i="13"/>
  <c r="P17" i="2"/>
  <c r="P13" i="2"/>
  <c r="Q17" i="2" s="1"/>
  <c r="Q19" i="2" l="1"/>
  <c r="Q16" i="2"/>
  <c r="Q34" i="2"/>
  <c r="P18" i="2"/>
  <c r="P27" i="2" s="1"/>
  <c r="E182" i="4"/>
  <c r="F182" i="4" s="1"/>
  <c r="E183" i="4" l="1"/>
  <c r="Q18" i="2"/>
  <c r="Q27" i="2" s="1"/>
  <c r="D209" i="4" l="1"/>
  <c r="D208" i="4"/>
  <c r="F183" i="4"/>
  <c r="E208" i="4" l="1"/>
  <c r="G208" i="4"/>
  <c r="F208" i="4"/>
  <c r="H208" i="4"/>
  <c r="I208" i="4"/>
  <c r="E209" i="4"/>
  <c r="G209" i="4"/>
  <c r="F209" i="4"/>
  <c r="L20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Millie Hookey</author>
  </authors>
  <commentList>
    <comment ref="C5" authorId="0" shapeId="0" xr:uid="{752F69B2-0C0B-446E-89F3-BD05359A5057}">
      <text>
        <r>
          <rPr>
            <b/>
            <sz val="9"/>
            <color indexed="81"/>
            <rFont val="Tahoma"/>
            <family val="2"/>
          </rPr>
          <t>Millie Hookey:</t>
        </r>
        <r>
          <rPr>
            <sz val="9"/>
            <color indexed="81"/>
            <rFont val="Tahoma"/>
            <family val="2"/>
          </rPr>
          <t xml:space="preserve">
Source: https://esdac.jrc.ec.europa.eu/public_path//Fig3.%20C-factor.png</t>
        </r>
      </text>
    </comment>
    <comment ref="V11" authorId="0" shapeId="0" xr:uid="{8AFE6736-B90E-4EA2-9C1A-F69DC1BF4DF1}">
      <text>
        <r>
          <rPr>
            <b/>
            <sz val="9"/>
            <color indexed="81"/>
            <rFont val="Tahoma"/>
            <family val="2"/>
          </rPr>
          <t>Millie Hookey:</t>
        </r>
        <r>
          <rPr>
            <sz val="9"/>
            <color indexed="81"/>
            <rFont val="Tahoma"/>
            <family val="2"/>
          </rPr>
          <t xml:space="preserve">
Added protection zones and natural care pastures in this category</t>
        </r>
      </text>
    </comment>
    <comment ref="R14" authorId="0" shapeId="0" xr:uid="{7E476CB9-6967-4057-AB81-D348277126EC}">
      <text>
        <r>
          <rPr>
            <b/>
            <sz val="9"/>
            <color indexed="81"/>
            <rFont val="Tahoma"/>
            <family val="2"/>
          </rPr>
          <t>Millie Hookey:</t>
        </r>
        <r>
          <rPr>
            <sz val="9"/>
            <color indexed="81"/>
            <rFont val="Tahoma"/>
            <family val="2"/>
          </rPr>
          <t xml:space="preserve">
Source: https://ec.europa.eu/eurostat/documents/2393397/8259002/Grassland_2014_Task+2.pdf/42873c7f-dfdf-49ca-b2ef-7c7b5bcabfc8</t>
        </r>
      </text>
    </comment>
    <comment ref="O17" authorId="0" shapeId="0" xr:uid="{F63A2074-0316-43E0-9C12-3F97A5401449}">
      <text>
        <r>
          <rPr>
            <b/>
            <sz val="9"/>
            <color indexed="81"/>
            <rFont val="Tahoma"/>
            <family val="2"/>
          </rPr>
          <t>Millie Hookey:</t>
        </r>
        <r>
          <rPr>
            <sz val="9"/>
            <color indexed="81"/>
            <rFont val="Tahoma"/>
            <family val="2"/>
          </rPr>
          <t xml:space="preserve">
Source for calculation: https://ift.onlinelibrary.wiley.com/doi/10.1111/1750-3841.16005#:~:text=During%20the%20production%20of%20hempseed,hempseed%20press%20cake%20(HPC). </t>
        </r>
      </text>
    </comment>
    <comment ref="C19" authorId="0" shapeId="0" xr:uid="{CBF2C1F0-3C27-4D93-87F3-4F907CBA9815}">
      <text>
        <r>
          <rPr>
            <b/>
            <sz val="9"/>
            <color indexed="81"/>
            <rFont val="Tahoma"/>
            <family val="2"/>
          </rPr>
          <t>Millie Hookey:</t>
        </r>
        <r>
          <rPr>
            <sz val="9"/>
            <color indexed="81"/>
            <rFont val="Tahoma"/>
            <family val="2"/>
          </rPr>
          <t xml:space="preserve">
Hay calculation made based on harvestible index numbers from Hakela et al., 2009 and FM matter yields converted to dry matter from data from Markus</t>
        </r>
      </text>
    </comment>
    <comment ref="B164" authorId="0" shapeId="0" xr:uid="{6B662A05-BE10-4FE4-8EB4-E73454EACDBA}">
      <text>
        <r>
          <rPr>
            <b/>
            <sz val="9"/>
            <color indexed="81"/>
            <rFont val="Tahoma"/>
            <family val="2"/>
          </rPr>
          <t>Millie Hookey:</t>
        </r>
        <r>
          <rPr>
            <sz val="9"/>
            <color indexed="81"/>
            <rFont val="Tahoma"/>
            <family val="2"/>
          </rPr>
          <t xml:space="preserve">
Nutritional values obtained from the crop products of the grains harvested. My systems boundary is the Palopuro farm; arable portion, which is why this value is applied to the grains to aid in the maximising food production scenarios</t>
        </r>
      </text>
    </comment>
    <comment ref="E164" authorId="0" shapeId="0" xr:uid="{939ECEC9-BB35-4FE9-9628-3F3CA84FC170}">
      <text>
        <r>
          <rPr>
            <b/>
            <sz val="9"/>
            <color indexed="81"/>
            <rFont val="Tahoma"/>
            <family val="2"/>
          </rPr>
          <t>Millie Hookey:</t>
        </r>
        <r>
          <rPr>
            <sz val="9"/>
            <color indexed="81"/>
            <rFont val="Tahoma"/>
            <family val="2"/>
          </rPr>
          <t xml:space="preserve">
USDA nutritional food details</t>
        </r>
      </text>
    </comment>
    <comment ref="C165" authorId="0" shapeId="0" xr:uid="{9E02C385-33DD-4B33-B6E1-60126B840C16}">
      <text>
        <r>
          <rPr>
            <b/>
            <sz val="9"/>
            <color indexed="81"/>
            <rFont val="Tahoma"/>
            <family val="2"/>
          </rPr>
          <t>Millie Hookey:</t>
        </r>
        <r>
          <rPr>
            <sz val="9"/>
            <color indexed="81"/>
            <rFont val="Tahoma"/>
            <family val="2"/>
          </rPr>
          <t xml:space="preserve">
Source: https://link.springer.com/article/10.1007/s12393-018-9182-1/tables/1</t>
        </r>
      </text>
    </comment>
    <comment ref="I165" authorId="0" shapeId="0" xr:uid="{FED33032-1696-460A-A772-5E92E48C25AA}">
      <text>
        <r>
          <rPr>
            <b/>
            <sz val="9"/>
            <color indexed="81"/>
            <rFont val="Tahoma"/>
            <family val="2"/>
          </rPr>
          <t>Millie Hookey:</t>
        </r>
        <r>
          <rPr>
            <sz val="9"/>
            <color indexed="81"/>
            <rFont val="Tahoma"/>
            <family val="2"/>
          </rPr>
          <t xml:space="preserve">
To account for the remaining contents in the seed. </t>
        </r>
      </text>
    </comment>
    <comment ref="C167" authorId="0" shapeId="0" xr:uid="{22540816-C5C5-421F-9370-22954CF76BEE}">
      <text>
        <r>
          <rPr>
            <b/>
            <sz val="9"/>
            <color indexed="81"/>
            <rFont val="Tahoma"/>
            <family val="2"/>
          </rPr>
          <t>Millie Hookey:</t>
        </r>
        <r>
          <rPr>
            <sz val="9"/>
            <color indexed="81"/>
            <rFont val="Tahoma"/>
            <family val="2"/>
          </rPr>
          <t xml:space="preserve">
Referring to DM</t>
        </r>
      </text>
    </comment>
    <comment ref="B168" authorId="0" shapeId="0" xr:uid="{C3AF51DF-28C8-4BC2-B6F6-1E616E0D5FA3}">
      <text>
        <r>
          <rPr>
            <b/>
            <sz val="9"/>
            <color indexed="81"/>
            <rFont val="Tahoma"/>
            <family val="2"/>
          </rPr>
          <t>Millie Hookey:</t>
        </r>
        <r>
          <rPr>
            <sz val="9"/>
            <color indexed="81"/>
            <rFont val="Tahoma"/>
            <family val="2"/>
          </rPr>
          <t xml:space="preserve">
Nutritional value of hemp seeds source: https://www.frontiersin.org/articles/10.3389/fnut.2022.1039180/full</t>
        </r>
      </text>
    </comment>
    <comment ref="C168" authorId="0" shapeId="0" xr:uid="{2085AFA0-9AD3-441B-BC5E-0556F0F2966E}">
      <text>
        <r>
          <rPr>
            <b/>
            <sz val="9"/>
            <color indexed="81"/>
            <rFont val="Tahoma"/>
            <family val="2"/>
          </rPr>
          <t>Millie Hookey:</t>
        </r>
        <r>
          <rPr>
            <sz val="9"/>
            <color indexed="81"/>
            <rFont val="Tahoma"/>
            <family val="2"/>
          </rPr>
          <t xml:space="preserve">
Source: https://www.sciencedirect.com/science/article/pii/S0260877423003175?via%3Dihub#tbl1</t>
        </r>
      </text>
    </comment>
    <comment ref="C169" authorId="0" shapeId="0" xr:uid="{396CFA69-BD37-4576-840B-5EC6102FFA4C}">
      <text>
        <r>
          <rPr>
            <b/>
            <sz val="9"/>
            <color indexed="81"/>
            <rFont val="Tahoma"/>
            <family val="2"/>
          </rPr>
          <t>Millie Hookey:</t>
        </r>
        <r>
          <rPr>
            <sz val="9"/>
            <color indexed="81"/>
            <rFont val="Tahoma"/>
            <family val="2"/>
          </rPr>
          <t xml:space="preserve">
Source: http://virtual.vtt.fi/virtual/rye/chapter3.htm</t>
        </r>
      </text>
    </comment>
    <comment ref="C170" authorId="0" shapeId="0" xr:uid="{B494C230-7CEE-40AD-93EF-2BD917E68557}">
      <text>
        <r>
          <rPr>
            <b/>
            <sz val="9"/>
            <color indexed="81"/>
            <rFont val="Tahoma"/>
            <family val="2"/>
          </rPr>
          <t>Millie Hookey:</t>
        </r>
        <r>
          <rPr>
            <sz val="9"/>
            <color indexed="81"/>
            <rFont val="Tahoma"/>
            <family val="2"/>
          </rPr>
          <t xml:space="preserve">
Source: http://virtual.vtt.fi/virtual/rye/chapter3.htm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Hookey, Millicent</author>
    <author>Millie Hookey</author>
  </authors>
  <commentList>
    <comment ref="T18" authorId="0" shapeId="0" xr:uid="{1E5C665F-144B-41E2-9787-4C7CB6150380}">
      <text>
        <r>
          <rPr>
            <b/>
            <sz val="9"/>
            <color indexed="81"/>
            <rFont val="Tahoma"/>
            <family val="2"/>
          </rPr>
          <t>Hookey, Millicent:</t>
        </r>
        <r>
          <rPr>
            <sz val="9"/>
            <color indexed="81"/>
            <rFont val="Tahoma"/>
            <family val="2"/>
          </rPr>
          <t xml:space="preserve">
All hays and straws assumed to have only 80% of product harvested</t>
        </r>
      </text>
    </comment>
    <comment ref="T46" authorId="1" shapeId="0" xr:uid="{21BDAFBF-ADC9-477F-A68E-7BAE5CBBA2AF}">
      <text>
        <r>
          <rPr>
            <b/>
            <sz val="9"/>
            <color indexed="81"/>
            <rFont val="Tahoma"/>
            <family val="2"/>
          </rPr>
          <t>Millie Hookey:</t>
        </r>
        <r>
          <rPr>
            <sz val="9"/>
            <color indexed="81"/>
            <rFont val="Tahoma"/>
            <family val="2"/>
          </rPr>
          <t xml:space="preserve">
Based on area to meet crop demands. Will let farmDESIGN choose</t>
        </r>
      </text>
    </comment>
    <comment ref="T53" authorId="1" shapeId="0" xr:uid="{C719583C-C997-4170-A44D-3F9B74E7B43A}">
      <text>
        <r>
          <rPr>
            <b/>
            <sz val="9"/>
            <color indexed="81"/>
            <rFont val="Tahoma"/>
            <family val="2"/>
          </rPr>
          <t>Millie Hookey:3 year yield of Uuisimaa from Luke</t>
        </r>
      </text>
    </comment>
    <comment ref="T59" authorId="1" shapeId="0" xr:uid="{22B6A998-8BC5-426E-A2B7-54B4C89B8CFD}">
      <text>
        <r>
          <rPr>
            <b/>
            <sz val="9"/>
            <color indexed="81"/>
            <rFont val="Tahoma"/>
            <family val="2"/>
          </rPr>
          <t>Millie Hookey:</t>
        </r>
        <r>
          <rPr>
            <sz val="9"/>
            <color indexed="81"/>
            <rFont val="Tahoma"/>
            <family val="2"/>
          </rPr>
          <t xml:space="preserve">
Basic price average for barley over 2 years from Luke
</t>
        </r>
      </text>
    </comment>
    <comment ref="S75" authorId="1" shapeId="0" xr:uid="{470C79DF-4439-469A-ADE3-B2A31284603C}">
      <text>
        <r>
          <rPr>
            <b/>
            <sz val="9"/>
            <color indexed="81"/>
            <rFont val="Tahoma"/>
            <family val="2"/>
          </rPr>
          <t>Millie Hookey:</t>
        </r>
        <r>
          <rPr>
            <sz val="9"/>
            <color indexed="81"/>
            <rFont val="Tahoma"/>
            <family val="2"/>
          </rPr>
          <t xml:space="preserve">
Nutritional values obtained from the crop products of the grains harvested. My systems boundary is the Palopuro farm; arable portion, which is why this value is applied to the grains to aid in the maximising food production scenarios</t>
        </r>
      </text>
    </comment>
    <comment ref="V75" authorId="1" shapeId="0" xr:uid="{3CA2610E-EF91-4B9F-B259-CEE519080B9B}">
      <text>
        <r>
          <rPr>
            <b/>
            <sz val="9"/>
            <color indexed="81"/>
            <rFont val="Tahoma"/>
            <family val="2"/>
          </rPr>
          <t>Millie Hookey:</t>
        </r>
        <r>
          <rPr>
            <sz val="9"/>
            <color indexed="81"/>
            <rFont val="Tahoma"/>
            <family val="2"/>
          </rPr>
          <t xml:space="preserve">
USDA nutritional food details</t>
        </r>
      </text>
    </comment>
    <comment ref="D103" authorId="1" shapeId="0" xr:uid="{36E9F0D0-5947-4A66-82AC-392782EB7B4F}">
      <text>
        <r>
          <rPr>
            <b/>
            <sz val="9"/>
            <color indexed="81"/>
            <rFont val="Tahoma"/>
            <charset val="1"/>
          </rPr>
          <t>Millie Hookey:</t>
        </r>
        <r>
          <rPr>
            <sz val="9"/>
            <color indexed="81"/>
            <rFont val="Tahoma"/>
            <charset val="1"/>
          </rPr>
          <t xml:space="preserve">
Source: https://www.ncbi.nlm.nih.gov/pmc/articles/PMC10000121/
Used the ACL mixed breeds values</t>
        </r>
      </text>
    </comment>
    <comment ref="D104" authorId="1" shapeId="0" xr:uid="{602ED8C8-7066-4A94-BDD7-81175E38EDC3}">
      <text>
        <r>
          <rPr>
            <b/>
            <sz val="9"/>
            <color indexed="81"/>
            <rFont val="Tahoma"/>
            <charset val="1"/>
          </rPr>
          <t>Millie Hookey:</t>
        </r>
        <r>
          <rPr>
            <sz val="9"/>
            <color indexed="81"/>
            <rFont val="Tahoma"/>
            <charset val="1"/>
          </rPr>
          <t xml:space="preserve">
Source: https://www.ncbi.nlm.nih.gov/pmc/articles/PMC10000121/
Used the ACL mixed breeds values</t>
        </r>
      </text>
    </comment>
    <comment ref="D105" authorId="1" shapeId="0" xr:uid="{F81C29C5-9691-4E65-B82E-4AB6D924EFC3}">
      <text>
        <r>
          <rPr>
            <b/>
            <sz val="9"/>
            <color indexed="81"/>
            <rFont val="Tahoma"/>
            <charset val="1"/>
          </rPr>
          <t>Millie Hookey:</t>
        </r>
        <r>
          <rPr>
            <sz val="9"/>
            <color indexed="81"/>
            <rFont val="Tahoma"/>
            <charset val="1"/>
          </rPr>
          <t xml:space="preserve">
Source: https://www.ncbi.nlm.nih.gov/pmc/articles/PMC10000121/
Used the ACL mixed breeds values</t>
        </r>
      </text>
    </comment>
    <comment ref="D108" authorId="1" shapeId="0" xr:uid="{6353E78C-590F-4077-8A69-32E9A9D5E9B3}">
      <text>
        <r>
          <rPr>
            <b/>
            <sz val="9"/>
            <color indexed="81"/>
            <rFont val="Tahoma"/>
            <charset val="1"/>
          </rPr>
          <t>Millie Hookey:</t>
        </r>
        <r>
          <rPr>
            <sz val="9"/>
            <color indexed="81"/>
            <rFont val="Tahoma"/>
            <charset val="1"/>
          </rPr>
          <t xml:space="preserve">
Source: https://www.ncbi.nlm.nih.gov/pmc/articles/PMC10000121/
Used the ACL mixed breeds values</t>
        </r>
      </text>
    </comment>
    <comment ref="D111" authorId="1" shapeId="0" xr:uid="{19465B19-5D57-4C1E-9856-9234A6B8FE8C}">
      <text>
        <r>
          <rPr>
            <b/>
            <sz val="9"/>
            <color indexed="81"/>
            <rFont val="Tahoma"/>
            <charset val="1"/>
          </rPr>
          <t>Millie Hookey:</t>
        </r>
        <r>
          <rPr>
            <sz val="9"/>
            <color indexed="81"/>
            <rFont val="Tahoma"/>
            <charset val="1"/>
          </rPr>
          <t xml:space="preserve">
Source: https://www.ncbi.nlm.nih.gov/pmc/articles/PMC10000121/
Used the ACL mixed breeds values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Millie Hookey</author>
  </authors>
  <commentList>
    <comment ref="M14" authorId="0" shapeId="0" xr:uid="{D5E3BA9F-A7CC-49E3-A406-D46FD46C2CEA}">
      <text>
        <r>
          <rPr>
            <b/>
            <sz val="9"/>
            <color indexed="81"/>
            <rFont val="Tahoma"/>
            <family val="2"/>
          </rPr>
          <t>Millie Hookey:</t>
        </r>
        <r>
          <rPr>
            <sz val="9"/>
            <color indexed="81"/>
            <rFont val="Tahoma"/>
            <family val="2"/>
          </rPr>
          <t xml:space="preserve">
Source: https://www.sciencedirect.com/science/article/pii/S0956053X15301707#f0005</t>
        </r>
      </text>
    </comment>
    <comment ref="N14" authorId="0" shapeId="0" xr:uid="{6AFEDC9F-30E6-4226-8E32-D297EAE6C337}">
      <text>
        <r>
          <rPr>
            <b/>
            <sz val="9"/>
            <color indexed="81"/>
            <rFont val="Tahoma"/>
            <family val="2"/>
          </rPr>
          <t>Millie Hookey:</t>
        </r>
        <r>
          <rPr>
            <sz val="9"/>
            <color indexed="81"/>
            <rFont val="Tahoma"/>
            <family val="2"/>
          </rPr>
          <t xml:space="preserve">
Source: https://www.sciencedirect.com/science/article/pii/S0306261913005710#b0105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Millie Hookey</author>
  </authors>
  <commentList>
    <comment ref="P7" authorId="0" shapeId="0" xr:uid="{1230CF89-FEE1-40EA-8EC4-5C1D0EFC68B1}">
      <text>
        <r>
          <rPr>
            <b/>
            <sz val="9"/>
            <color indexed="81"/>
            <rFont val="Tahoma"/>
            <family val="2"/>
          </rPr>
          <t>Millie Hookey:</t>
        </r>
        <r>
          <rPr>
            <sz val="9"/>
            <color indexed="81"/>
            <rFont val="Tahoma"/>
            <family val="2"/>
          </rPr>
          <t xml:space="preserve">
Source for calculation: https://www.sciencedirect.com/science/article/pii/S1364032115007388</t>
        </r>
      </text>
    </comment>
    <comment ref="I8" authorId="0" shapeId="0" xr:uid="{A390E46B-418D-4095-B456-795B9BC2D664}">
      <text>
        <r>
          <rPr>
            <b/>
            <sz val="9"/>
            <color indexed="81"/>
            <rFont val="Tahoma"/>
            <family val="2"/>
          </rPr>
          <t>Millie Hookey:</t>
        </r>
        <r>
          <rPr>
            <sz val="9"/>
            <color indexed="81"/>
            <rFont val="Tahoma"/>
            <family val="2"/>
          </rPr>
          <t xml:space="preserve">
Source: 
https://www.sciencedirect.com/science/article/pii/S0960852417312737</t>
        </r>
      </text>
    </comment>
    <comment ref="T8" authorId="0" shapeId="0" xr:uid="{9C94E829-F390-4768-BFBF-C615E2F55431}">
      <text>
        <r>
          <rPr>
            <b/>
            <sz val="9"/>
            <color indexed="81"/>
            <rFont val="Tahoma"/>
            <family val="2"/>
          </rPr>
          <t>Millie Hookey:</t>
        </r>
        <r>
          <rPr>
            <sz val="9"/>
            <color indexed="81"/>
            <rFont val="Tahoma"/>
            <family val="2"/>
          </rPr>
          <t xml:space="preserve">
Source:https://link.springer.com/article/10.1007/s13593-013-0196-z#Sec2</t>
        </r>
      </text>
    </comment>
    <comment ref="I9" authorId="0" shapeId="0" xr:uid="{E30F101F-659D-4509-BE03-D548863CBA1A}">
      <text>
        <r>
          <rPr>
            <b/>
            <sz val="9"/>
            <color indexed="81"/>
            <rFont val="Tahoma"/>
            <family val="2"/>
          </rPr>
          <t>Millie Hookey:</t>
        </r>
        <r>
          <rPr>
            <sz val="9"/>
            <color indexed="81"/>
            <rFont val="Tahoma"/>
            <family val="2"/>
          </rPr>
          <t xml:space="preserve">
Source: https://www.sciencedirect.com/science/article/pii/S0960852417312737</t>
        </r>
      </text>
    </comment>
    <comment ref="T9" authorId="0" shapeId="0" xr:uid="{7CA3573B-1087-4DA6-82AA-84978CD5B19C}">
      <text>
        <r>
          <rPr>
            <b/>
            <sz val="9"/>
            <color indexed="81"/>
            <rFont val="Tahoma"/>
            <family val="2"/>
          </rPr>
          <t>Millie Hookey:</t>
        </r>
        <r>
          <rPr>
            <sz val="9"/>
            <color indexed="81"/>
            <rFont val="Tahoma"/>
            <family val="2"/>
          </rPr>
          <t xml:space="preserve">
Source: https://www.sciencedirect.com/science/article/pii/S0167198713000421</t>
        </r>
      </text>
    </comment>
    <comment ref="I10" authorId="0" shapeId="0" xr:uid="{D415E80E-40FF-4CC5-AEA8-870E84519563}">
      <text>
        <r>
          <rPr>
            <b/>
            <sz val="9"/>
            <color indexed="81"/>
            <rFont val="Tahoma"/>
            <family val="2"/>
          </rPr>
          <t>Millie Hookey:</t>
        </r>
        <r>
          <rPr>
            <sz val="9"/>
            <color indexed="81"/>
            <rFont val="Tahoma"/>
            <family val="2"/>
          </rPr>
          <t xml:space="preserve">
Source: 
https://www.tandfonline.com/doi/full/10.1080/16583655.2022.2035928</t>
        </r>
      </text>
    </comment>
    <comment ref="T10" authorId="0" shapeId="0" xr:uid="{32EE12F6-52AF-4671-92A9-9452EE611941}">
      <text>
        <r>
          <rPr>
            <b/>
            <sz val="9"/>
            <color indexed="81"/>
            <rFont val="Tahoma"/>
            <family val="2"/>
          </rPr>
          <t>Millie Hookey:</t>
        </r>
        <r>
          <rPr>
            <sz val="9"/>
            <color indexed="81"/>
            <rFont val="Tahoma"/>
            <family val="2"/>
          </rPr>
          <t xml:space="preserve">
https://www.sciencedirect.com/science/article/pii/S0961953407000232#tbl8</t>
        </r>
      </text>
    </comment>
    <comment ref="T11" authorId="0" shapeId="0" xr:uid="{AC8C3F1E-7324-49A1-86E9-C4A65FD0C8BD}">
      <text>
        <r>
          <rPr>
            <b/>
            <sz val="9"/>
            <color indexed="81"/>
            <rFont val="Tahoma"/>
            <family val="2"/>
          </rPr>
          <t>Millie Hookey:</t>
        </r>
        <r>
          <rPr>
            <sz val="9"/>
            <color indexed="81"/>
            <rFont val="Tahoma"/>
            <family val="2"/>
          </rPr>
          <t xml:space="preserve">
Source: https://link.springer.com/article/10.1007/s13593-015-0284-3#Sec2</t>
        </r>
      </text>
    </comment>
    <comment ref="T12" authorId="0" shapeId="0" xr:uid="{6480817F-7D9D-46B8-B3D9-3FBEBCE22CA2}">
      <text>
        <r>
          <rPr>
            <b/>
            <sz val="9"/>
            <color indexed="81"/>
            <rFont val="Tahoma"/>
            <family val="2"/>
          </rPr>
          <t>Millie Hookey:</t>
        </r>
        <r>
          <rPr>
            <sz val="9"/>
            <color indexed="81"/>
            <rFont val="Tahoma"/>
            <family val="2"/>
          </rPr>
          <t xml:space="preserve">
Source: https://link.springer.com/article/10.1007/s13593-015-0284-3#Sec2</t>
        </r>
      </text>
    </comment>
    <comment ref="T13" authorId="0" shapeId="0" xr:uid="{C1744435-C29A-4DB6-A155-358221F78107}">
      <text>
        <r>
          <rPr>
            <b/>
            <sz val="9"/>
            <color indexed="81"/>
            <rFont val="Tahoma"/>
            <family val="2"/>
          </rPr>
          <t>Millie Hookey:</t>
        </r>
        <r>
          <rPr>
            <sz val="9"/>
            <color indexed="81"/>
            <rFont val="Tahoma"/>
            <family val="2"/>
          </rPr>
          <t xml:space="preserve">
Source: https://link.springer.com/article/10.1007/s13593-015-0284-3#Sec2</t>
        </r>
      </text>
    </comment>
    <comment ref="C39" authorId="0" shapeId="0" xr:uid="{B82F60D5-37C5-454B-B165-A5EEC1A7EF78}">
      <text>
        <r>
          <rPr>
            <b/>
            <sz val="9"/>
            <color indexed="81"/>
            <rFont val="Tahoma"/>
            <family val="2"/>
          </rPr>
          <t>Millie Hookey:</t>
        </r>
        <r>
          <rPr>
            <sz val="9"/>
            <color indexed="81"/>
            <rFont val="Tahoma"/>
            <family val="2"/>
          </rPr>
          <t xml:space="preserve">
Source for volatilisation, denitrification, N leaching and run-off: https://www.sciencedirect.com/science/article/pii/S0167880908001291</t>
        </r>
      </text>
    </comment>
    <comment ref="F39" authorId="0" shapeId="0" xr:uid="{33CF1A8C-5F20-4B04-89B9-E02E1F36F4C7}">
      <text>
        <r>
          <rPr>
            <b/>
            <sz val="9"/>
            <color indexed="81"/>
            <rFont val="Tahoma"/>
            <family val="2"/>
          </rPr>
          <t>Millie Hookey:</t>
        </r>
        <r>
          <rPr>
            <sz val="9"/>
            <color indexed="81"/>
            <rFont val="Tahoma"/>
            <family val="2"/>
          </rPr>
          <t xml:space="preserve">
Source: https://www.sciencedirect.com/science/article/pii/S2095311914607693</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Millie Hookey</author>
  </authors>
  <commentList>
    <comment ref="M16" authorId="0" shapeId="0" xr:uid="{1ECA3E17-8F18-42ED-A3CB-81B7F53927B2}">
      <text>
        <r>
          <rPr>
            <b/>
            <sz val="9"/>
            <color indexed="81"/>
            <rFont val="Tahoma"/>
            <charset val="1"/>
          </rPr>
          <t>Millie Hookey:</t>
        </r>
        <r>
          <rPr>
            <sz val="9"/>
            <color indexed="81"/>
            <rFont val="Tahoma"/>
            <charset val="1"/>
          </rPr>
          <t xml:space="preserve">
Source: https://www-tandfonline-com.ezproxy.library.wur.nl/doi/epdf/10.1016/S1573-5214%2806%2980006-0?needAccess=true</t>
        </r>
      </text>
    </comment>
    <comment ref="I20" authorId="0" shapeId="0" xr:uid="{982A18C4-A42E-4F70-BAE9-C6A7CED4FB87}">
      <text>
        <r>
          <rPr>
            <b/>
            <sz val="9"/>
            <color indexed="81"/>
            <rFont val="Tahoma"/>
            <charset val="1"/>
          </rPr>
          <t>Millie Hookey:</t>
        </r>
        <r>
          <rPr>
            <sz val="9"/>
            <color indexed="81"/>
            <rFont val="Tahoma"/>
            <charset val="1"/>
          </rPr>
          <t xml:space="preserve">
Source: Timing of primary growth harvest affects the yield and nutritive value of timothy-red clover mixtures and https://link.springer.com/article/10.1007/s13165-015-0137-z/tables/3</t>
        </r>
      </text>
    </comment>
    <comment ref="J20" authorId="0" shapeId="0" xr:uid="{92C05767-768D-4B77-8461-0D333EE72E83}">
      <text>
        <r>
          <rPr>
            <b/>
            <sz val="9"/>
            <color indexed="81"/>
            <rFont val="Tahoma"/>
            <charset val="1"/>
          </rPr>
          <t>Millie Hookey:</t>
        </r>
        <r>
          <rPr>
            <sz val="9"/>
            <color indexed="81"/>
            <rFont val="Tahoma"/>
            <charset val="1"/>
          </rPr>
          <t xml:space="preserve">
Source: Timing of primary growth harvest affects the yield and nutritive value of timothy-red clover mixtures and https://link.springer.com/article/10.1007/s13165-015-0137-z/tables/3</t>
        </r>
      </text>
    </comment>
    <comment ref="K20" authorId="0" shapeId="0" xr:uid="{2914E963-38AC-46AE-AFFE-DA394EF5F72E}">
      <text>
        <r>
          <rPr>
            <b/>
            <sz val="9"/>
            <color indexed="81"/>
            <rFont val="Tahoma"/>
            <charset val="1"/>
          </rPr>
          <t>Millie Hookey:</t>
        </r>
        <r>
          <rPr>
            <sz val="9"/>
            <color indexed="81"/>
            <rFont val="Tahoma"/>
            <charset val="1"/>
          </rPr>
          <t xml:space="preserve">
Source: Timing of primary growth harvest affects the yield and nutritive value of timothy-red clover mixtures and https://link.springer.com/article/10.1007/s13165-015-0137-z/tables/3 </t>
        </r>
      </text>
    </comment>
    <comment ref="M37" authorId="0" shapeId="0" xr:uid="{D3BB12D2-0D50-44C7-95E0-5E5A0D9E932A}">
      <text>
        <r>
          <rPr>
            <b/>
            <sz val="9"/>
            <color indexed="81"/>
            <rFont val="Tahoma"/>
            <charset val="1"/>
          </rPr>
          <t>Millie Hookey:</t>
        </r>
        <r>
          <rPr>
            <sz val="9"/>
            <color indexed="81"/>
            <rFont val="Tahoma"/>
            <charset val="1"/>
          </rPr>
          <t xml:space="preserve">
Luke feeding table equation for determining Mj of silage feed</t>
        </r>
      </text>
    </comment>
    <comment ref="U49" authorId="0" shapeId="0" xr:uid="{3D264012-A585-473A-98BB-B8D4B21B6F05}">
      <text>
        <r>
          <rPr>
            <b/>
            <sz val="9"/>
            <color indexed="81"/>
            <rFont val="Tahoma"/>
            <charset val="1"/>
          </rPr>
          <t>Millie Hookey:</t>
        </r>
        <r>
          <rPr>
            <sz val="9"/>
            <color indexed="81"/>
            <rFont val="Tahoma"/>
            <charset val="1"/>
          </rPr>
          <t xml:space="preserve">
Source: https://www.cropj.com/olivera_13_10_2019_1650_1658.pdf</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Millie Hookey</author>
  </authors>
  <commentList>
    <comment ref="E50" authorId="0" shapeId="0" xr:uid="{E0F7FA59-86E2-467C-8BA2-EA1C8ABBAAFD}">
      <text>
        <r>
          <rPr>
            <b/>
            <sz val="9"/>
            <color indexed="81"/>
            <rFont val="Tahoma"/>
            <family val="2"/>
          </rPr>
          <t>Millie Hookey:</t>
        </r>
        <r>
          <rPr>
            <sz val="9"/>
            <color indexed="81"/>
            <rFont val="Tahoma"/>
            <family val="2"/>
          </rPr>
          <t xml:space="preserve">
Data from field peas: 100 seed weight (https://www.tandfonline.com/doi/full/10.1080/09064710.2019.1660400) and best amount of seeds per m2 (https://juniperpublishers.com/jojha/pdf/JOJHA.MS.ID.555555.pdf), Price (https://www.maatalousisokarhu.fi/verkkokauppa/viljansiemenet-ja-puitavat-herneet?product_id=809), sewing rate (https://www.agrii.co.uk/calculator-tools/seed-rate-calculator/)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Millie Hookey</author>
    <author>tc={BFA079D8-EFDE-428F-8A47-53C9AA95EBB7}</author>
  </authors>
  <commentList>
    <comment ref="N4" authorId="0" shapeId="0" xr:uid="{CF0E9D4C-616E-4C32-8547-B8F0607412A4}">
      <text>
        <r>
          <rPr>
            <b/>
            <sz val="9"/>
            <color indexed="81"/>
            <rFont val="Tahoma"/>
            <charset val="1"/>
          </rPr>
          <t>Millie Hookey:</t>
        </r>
        <r>
          <rPr>
            <sz val="9"/>
            <color indexed="81"/>
            <rFont val="Tahoma"/>
            <charset val="1"/>
          </rPr>
          <t xml:space="preserve">
Replacement rate higher than 1 because more bull calves prduced than steers. 2 options for bull calves, become steers or become breeding bulls</t>
        </r>
      </text>
    </comment>
    <comment ref="V4" authorId="0" shapeId="0" xr:uid="{CA7B87E5-430C-4EB7-B791-8EF8727EFEC4}">
      <text>
        <r>
          <rPr>
            <b/>
            <sz val="9"/>
            <color indexed="81"/>
            <rFont val="Tahoma"/>
            <charset val="1"/>
          </rPr>
          <t>Millie Hookey:</t>
        </r>
        <r>
          <rPr>
            <sz val="9"/>
            <color indexed="81"/>
            <rFont val="Tahoma"/>
            <charset val="1"/>
          </rPr>
          <t xml:space="preserve">
replacement rate higher than 1 because amount of heifer calves higher than the ones kept for replacing</t>
        </r>
      </text>
    </comment>
    <comment ref="W4" authorId="1" shapeId="0" xr:uid="{BFA079D8-EFDE-428F-8A47-53C9AA95EBB7}">
      <text>
        <t>[Threaded comment]
Your version of Excel allows you to read this threaded comment; however, any edits to it will get removed if the file is opened in a newer version of Excel. Learn more: https://go.microsoft.com/fwlink/?linkid=870924
Comment:
    Replaced by 1 yo heifers as the 2yo move onto suckler cow production</t>
      </text>
    </comment>
    <comment ref="W18" authorId="0" shapeId="0" xr:uid="{02C00869-BE0E-4DBF-A4FD-4AD2D49774BA}">
      <text>
        <r>
          <rPr>
            <b/>
            <sz val="9"/>
            <color indexed="81"/>
            <rFont val="Tahoma"/>
            <charset val="1"/>
          </rPr>
          <t>Millie Hookey:</t>
        </r>
        <r>
          <rPr>
            <sz val="9"/>
            <color indexed="81"/>
            <rFont val="Tahoma"/>
            <charset val="1"/>
          </rPr>
          <t xml:space="preserve">
Needs to be 10-15% higher than the energy and protein intake of mature cows</t>
        </r>
      </text>
    </comment>
    <comment ref="AU18" authorId="0" shapeId="0" xr:uid="{6717F382-8EF5-4D7E-A738-2429BFE62119}">
      <text>
        <r>
          <rPr>
            <b/>
            <sz val="9"/>
            <color indexed="81"/>
            <rFont val="Tahoma"/>
            <charset val="1"/>
          </rPr>
          <t>Millie Hookey:</t>
        </r>
        <r>
          <rPr>
            <sz val="9"/>
            <color indexed="81"/>
            <rFont val="Tahoma"/>
            <charset val="1"/>
          </rPr>
          <t xml:space="preserve">
And Source (for more accurate energy requirements): https://www.ncbi.nlm.nih.gov/pmc/articles/PMC8229771/</t>
        </r>
      </text>
    </comment>
    <comment ref="AH56" authorId="0" shapeId="0" xr:uid="{F7FBC748-5E7E-4CB0-8F86-3A8660CBD3EF}">
      <text>
        <r>
          <rPr>
            <b/>
            <sz val="9"/>
            <color indexed="81"/>
            <rFont val="Tahoma"/>
            <charset val="1"/>
          </rPr>
          <t>Millie Hookey:</t>
        </r>
        <r>
          <rPr>
            <sz val="9"/>
            <color indexed="81"/>
            <rFont val="Tahoma"/>
            <charset val="1"/>
          </rPr>
          <t xml:space="preserve">
Calves weaned at 6-7 months so diet after that conpletely made up of grass and/or silage. Heifer and steer diets are the same (same access to grass). However, more hay and roughage given to groups of cattle that have higher energy requirements (first calving hiefers, suckler cows and growing bulls). </t>
        </r>
      </text>
    </comment>
    <comment ref="AF61" authorId="0" shapeId="0" xr:uid="{D62B7B3B-D187-4B4A-A77F-7711C2A42B27}">
      <text>
        <r>
          <rPr>
            <b/>
            <sz val="9"/>
            <color indexed="81"/>
            <rFont val="Tahoma"/>
            <charset val="1"/>
          </rPr>
          <t>Millie Hookey:</t>
        </r>
        <r>
          <rPr>
            <sz val="9"/>
            <color indexed="81"/>
            <rFont val="Tahoma"/>
            <charset val="1"/>
          </rPr>
          <t xml:space="preserve">
Used a mix of average values for the animal groups calculated in the Luke sheet and then for animal groups that did not have any averages (e.g &gt; 2 year old bulls, I calculated them with the equations provided in the booklet. </t>
        </r>
      </text>
    </comment>
    <comment ref="B107" authorId="0" shapeId="0" xr:uid="{2BB19C7E-EF79-4ACC-9939-D325F0D5E6AB}">
      <text>
        <r>
          <rPr>
            <b/>
            <sz val="9"/>
            <color indexed="81"/>
            <rFont val="Tahoma"/>
            <charset val="1"/>
          </rPr>
          <t>Millie Hookey:</t>
        </r>
        <r>
          <rPr>
            <sz val="9"/>
            <color indexed="81"/>
            <rFont val="Tahoma"/>
            <charset val="1"/>
          </rPr>
          <t xml:space="preserve">
Source: https://www.ncbi.nlm.nih.gov/pmc/articles/PMC10000121/
Used the ACL mixed breeds values</t>
        </r>
      </text>
    </comment>
    <comment ref="B108" authorId="0" shapeId="0" xr:uid="{A05481BC-0276-4A10-8D70-33DBE8789BE4}">
      <text>
        <r>
          <rPr>
            <b/>
            <sz val="9"/>
            <color indexed="81"/>
            <rFont val="Tahoma"/>
            <charset val="1"/>
          </rPr>
          <t>Millie Hookey:</t>
        </r>
        <r>
          <rPr>
            <sz val="9"/>
            <color indexed="81"/>
            <rFont val="Tahoma"/>
            <charset val="1"/>
          </rPr>
          <t xml:space="preserve">
Source: https://www.ncbi.nlm.nih.gov/pmc/articles/PMC10000121/
Used the ACL mixed breeds values</t>
        </r>
      </text>
    </comment>
    <comment ref="B109" authorId="0" shapeId="0" xr:uid="{D6DABB0A-A5C7-40C7-9117-2038CF33F6D0}">
      <text>
        <r>
          <rPr>
            <b/>
            <sz val="9"/>
            <color indexed="81"/>
            <rFont val="Tahoma"/>
            <charset val="1"/>
          </rPr>
          <t>Millie Hookey:</t>
        </r>
        <r>
          <rPr>
            <sz val="9"/>
            <color indexed="81"/>
            <rFont val="Tahoma"/>
            <charset val="1"/>
          </rPr>
          <t xml:space="preserve">
Source: https://www.ncbi.nlm.nih.gov/pmc/articles/PMC10000121/
Used the ACL mixed breeds values</t>
        </r>
      </text>
    </comment>
    <comment ref="B112" authorId="0" shapeId="0" xr:uid="{EF283D1E-1EE0-4AA2-9D62-BF9CFC4A5BC6}">
      <text>
        <r>
          <rPr>
            <b/>
            <sz val="9"/>
            <color indexed="81"/>
            <rFont val="Tahoma"/>
            <charset val="1"/>
          </rPr>
          <t>Millie Hookey:</t>
        </r>
        <r>
          <rPr>
            <sz val="9"/>
            <color indexed="81"/>
            <rFont val="Tahoma"/>
            <charset val="1"/>
          </rPr>
          <t xml:space="preserve">
Source: https://www.ncbi.nlm.nih.gov/pmc/articles/PMC10000121/
Used the ACL mixed breeds values</t>
        </r>
      </text>
    </comment>
    <comment ref="B115" authorId="0" shapeId="0" xr:uid="{1E481334-F635-4B8C-BF85-4E0CEA76AEFD}">
      <text>
        <r>
          <rPr>
            <b/>
            <sz val="9"/>
            <color indexed="81"/>
            <rFont val="Tahoma"/>
            <charset val="1"/>
          </rPr>
          <t>Millie Hookey:</t>
        </r>
        <r>
          <rPr>
            <sz val="9"/>
            <color indexed="81"/>
            <rFont val="Tahoma"/>
            <charset val="1"/>
          </rPr>
          <t xml:space="preserve">
Source: https://www.ncbi.nlm.nih.gov/pmc/articles/PMC10000121/
Used the ACL mixed breeds values</t>
        </r>
      </text>
    </comment>
    <comment ref="AI131" authorId="0" shapeId="0" xr:uid="{C22B1426-6885-4A6E-A38C-1401A2E08696}">
      <text>
        <r>
          <rPr>
            <b/>
            <sz val="9"/>
            <color indexed="81"/>
            <rFont val="Tahoma"/>
            <family val="2"/>
          </rPr>
          <t>Millie Hookey:</t>
        </r>
        <r>
          <rPr>
            <sz val="9"/>
            <color indexed="81"/>
            <rFont val="Tahoma"/>
            <family val="2"/>
          </rPr>
          <t xml:space="preserve">
Assuming the calves are weaned at 6 months and not 3 months as this chart suggests. Assuming a diet of 90% grass and 10% milk before weaning as that is typical for suckler production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Millie Hookey</author>
  </authors>
  <commentList>
    <comment ref="C101" authorId="0" shapeId="0" xr:uid="{530EE596-7592-4833-8E22-EBED7D6BAD94}">
      <text>
        <r>
          <rPr>
            <b/>
            <sz val="9"/>
            <color indexed="81"/>
            <rFont val="Tahoma"/>
            <charset val="1"/>
          </rPr>
          <t>Millie Hookey:</t>
        </r>
        <r>
          <rPr>
            <sz val="9"/>
            <color indexed="81"/>
            <rFont val="Tahoma"/>
            <charset val="1"/>
          </rPr>
          <t xml:space="preserve">
Source: https://www.ncbi.nlm.nih.gov/pmc/articles/PMC10000121/
Used the ACL mixed breeds values</t>
        </r>
      </text>
    </comment>
    <comment ref="C102" authorId="0" shapeId="0" xr:uid="{93F6B4F1-ED71-4027-AF08-E8917D716515}">
      <text>
        <r>
          <rPr>
            <b/>
            <sz val="9"/>
            <color indexed="81"/>
            <rFont val="Tahoma"/>
            <charset val="1"/>
          </rPr>
          <t>Millie Hookey:</t>
        </r>
        <r>
          <rPr>
            <sz val="9"/>
            <color indexed="81"/>
            <rFont val="Tahoma"/>
            <charset val="1"/>
          </rPr>
          <t xml:space="preserve">
Source: https://www.ncbi.nlm.nih.gov/pmc/articles/PMC10000121/
Used the ACL mixed breeds values</t>
        </r>
      </text>
    </comment>
    <comment ref="C103" authorId="0" shapeId="0" xr:uid="{DBB52B40-D427-48D2-A0E6-D79B1C6673AD}">
      <text>
        <r>
          <rPr>
            <b/>
            <sz val="9"/>
            <color indexed="81"/>
            <rFont val="Tahoma"/>
            <charset val="1"/>
          </rPr>
          <t>Millie Hookey:</t>
        </r>
        <r>
          <rPr>
            <sz val="9"/>
            <color indexed="81"/>
            <rFont val="Tahoma"/>
            <charset val="1"/>
          </rPr>
          <t xml:space="preserve">
Source: https://www.ncbi.nlm.nih.gov/pmc/articles/PMC10000121/
Used the ACL mixed breeds values</t>
        </r>
      </text>
    </comment>
    <comment ref="C106" authorId="0" shapeId="0" xr:uid="{88D28248-1594-41F4-92BB-8E7FFE97A300}">
      <text>
        <r>
          <rPr>
            <b/>
            <sz val="9"/>
            <color indexed="81"/>
            <rFont val="Tahoma"/>
            <charset val="1"/>
          </rPr>
          <t>Millie Hookey:</t>
        </r>
        <r>
          <rPr>
            <sz val="9"/>
            <color indexed="81"/>
            <rFont val="Tahoma"/>
            <charset val="1"/>
          </rPr>
          <t xml:space="preserve">
Source: https://www.ncbi.nlm.nih.gov/pmc/articles/PMC10000121/
Used the ACL mixed breeds values</t>
        </r>
      </text>
    </comment>
    <comment ref="C109" authorId="0" shapeId="0" xr:uid="{1DFC9E09-33C0-40D7-9F52-548248383F92}">
      <text>
        <r>
          <rPr>
            <b/>
            <sz val="9"/>
            <color indexed="81"/>
            <rFont val="Tahoma"/>
            <charset val="1"/>
          </rPr>
          <t>Millie Hookey:</t>
        </r>
        <r>
          <rPr>
            <sz val="9"/>
            <color indexed="81"/>
            <rFont val="Tahoma"/>
            <charset val="1"/>
          </rPr>
          <t xml:space="preserve">
Source: https://www.ncbi.nlm.nih.gov/pmc/articles/PMC10000121/
Used the ACL mixed breeds values</t>
        </r>
      </text>
    </comment>
    <comment ref="C116" authorId="0" shapeId="0" xr:uid="{CD6AF2C4-C8E6-46A9-B880-393189FA0E3A}">
      <text>
        <r>
          <rPr>
            <b/>
            <sz val="9"/>
            <color indexed="81"/>
            <rFont val="Tahoma"/>
            <charset val="1"/>
          </rPr>
          <t>Millie Hookey:</t>
        </r>
        <r>
          <rPr>
            <sz val="9"/>
            <color indexed="81"/>
            <rFont val="Tahoma"/>
            <charset val="1"/>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Hookey, Millicent</author>
    <author>Millie Hookey</author>
  </authors>
  <commentList>
    <comment ref="T18" authorId="0" shapeId="0" xr:uid="{B55B57A5-2378-4EA3-93AC-45164BE7027C}">
      <text>
        <r>
          <rPr>
            <b/>
            <sz val="9"/>
            <color indexed="81"/>
            <rFont val="Tahoma"/>
            <family val="2"/>
          </rPr>
          <t>Hookey, Millicent:</t>
        </r>
        <r>
          <rPr>
            <sz val="9"/>
            <color indexed="81"/>
            <rFont val="Tahoma"/>
            <family val="2"/>
          </rPr>
          <t xml:space="preserve">
All hays and straws assumed to have only 80% of product harvested</t>
        </r>
      </text>
    </comment>
    <comment ref="T32" authorId="1" shapeId="0" xr:uid="{562C0EC1-ED67-4DF8-B1A9-CCC1B5B2D815}">
      <text>
        <r>
          <rPr>
            <b/>
            <sz val="9"/>
            <color indexed="81"/>
            <rFont val="Tahoma"/>
            <charset val="1"/>
          </rPr>
          <t>Millie Hookey:</t>
        </r>
        <r>
          <rPr>
            <sz val="9"/>
            <color indexed="81"/>
            <rFont val="Tahoma"/>
            <charset val="1"/>
          </rPr>
          <t xml:space="preserve">
Source: https://www.google.com/search?sca_esv=579734912&amp;rlz=1C1GCEU_nlNL1074NL1074&amp;sxsrf=AM9HkKlJ7w6Mel16iL3sLZ1pVdzKkznlNA:1699258945747&amp;q=dry+matter+intake+calculator&amp;spell=1&amp;sa=X&amp;ved=2ahUKEwipvd7u-K6CAxXqRPEDHRBZAr8QBSgAegQICBAB&amp;biw=1000&amp;bih=1033&amp;dpr=1</t>
        </r>
      </text>
    </comment>
    <comment ref="T46" authorId="1" shapeId="0" xr:uid="{3EA7B8D2-5A85-423F-BDAB-B56202B4225A}">
      <text>
        <r>
          <rPr>
            <b/>
            <sz val="9"/>
            <color indexed="81"/>
            <rFont val="Tahoma"/>
            <family val="2"/>
          </rPr>
          <t>Millie Hookey:</t>
        </r>
        <r>
          <rPr>
            <sz val="9"/>
            <color indexed="81"/>
            <rFont val="Tahoma"/>
            <family val="2"/>
          </rPr>
          <t xml:space="preserve">
Based on area to meet crop demands. Will let farmDESIGN choose</t>
        </r>
      </text>
    </comment>
    <comment ref="T53" authorId="1" shapeId="0" xr:uid="{BB1FE0C9-865B-4D11-A1D9-73C498EA9CF5}">
      <text>
        <r>
          <rPr>
            <b/>
            <sz val="9"/>
            <color indexed="81"/>
            <rFont val="Tahoma"/>
            <family val="2"/>
          </rPr>
          <t>Millie Hookey:3 year yield of Uuisimaa from Luke</t>
        </r>
      </text>
    </comment>
    <comment ref="T60" authorId="1" shapeId="0" xr:uid="{C81E35F3-F8F9-4D42-A4EA-F62EB2ED7553}">
      <text>
        <r>
          <rPr>
            <b/>
            <sz val="9"/>
            <color indexed="81"/>
            <rFont val="Tahoma"/>
            <family val="2"/>
          </rPr>
          <t>Millie Hookey:</t>
        </r>
        <r>
          <rPr>
            <sz val="9"/>
            <color indexed="81"/>
            <rFont val="Tahoma"/>
            <family val="2"/>
          </rPr>
          <t xml:space="preserve">
Basic price average for barley over 2 years from Luke
</t>
        </r>
      </text>
    </comment>
    <comment ref="S76" authorId="1" shapeId="0" xr:uid="{2B138D06-CF34-4615-AF06-96BB68224002}">
      <text>
        <r>
          <rPr>
            <b/>
            <sz val="9"/>
            <color indexed="81"/>
            <rFont val="Tahoma"/>
            <family val="2"/>
          </rPr>
          <t>Millie Hookey:</t>
        </r>
        <r>
          <rPr>
            <sz val="9"/>
            <color indexed="81"/>
            <rFont val="Tahoma"/>
            <family val="2"/>
          </rPr>
          <t xml:space="preserve">
Nutritional values obtained from the crop products of the grains harvested. My systems boundary is the Palopuro farm; arable portion, which is why this value is applied to the grains to aid in the maximising food production scenarios</t>
        </r>
      </text>
    </comment>
    <comment ref="V76" authorId="1" shapeId="0" xr:uid="{1938AEC5-2899-4011-A274-CAD2D4849CBB}">
      <text>
        <r>
          <rPr>
            <b/>
            <sz val="9"/>
            <color indexed="81"/>
            <rFont val="Tahoma"/>
            <family val="2"/>
          </rPr>
          <t>Millie Hookey:</t>
        </r>
        <r>
          <rPr>
            <sz val="9"/>
            <color indexed="81"/>
            <rFont val="Tahoma"/>
            <family val="2"/>
          </rPr>
          <t xml:space="preserve">
USDA nutritional food details</t>
        </r>
      </text>
    </comment>
    <comment ref="D102" authorId="1" shapeId="0" xr:uid="{8385D068-DB9A-4AC5-877E-386223113477}">
      <text>
        <r>
          <rPr>
            <b/>
            <sz val="9"/>
            <color indexed="81"/>
            <rFont val="Tahoma"/>
            <charset val="1"/>
          </rPr>
          <t>Millie Hookey:</t>
        </r>
        <r>
          <rPr>
            <sz val="9"/>
            <color indexed="81"/>
            <rFont val="Tahoma"/>
            <charset val="1"/>
          </rPr>
          <t xml:space="preserve">
Source: https://www.ncbi.nlm.nih.gov/pmc/articles/PMC10000121/
Used the ACL mixed breeds values</t>
        </r>
      </text>
    </comment>
    <comment ref="D103" authorId="1" shapeId="0" xr:uid="{19BB4CB5-8475-4C14-A1CF-DBF535F9106A}">
      <text>
        <r>
          <rPr>
            <b/>
            <sz val="9"/>
            <color indexed="81"/>
            <rFont val="Tahoma"/>
            <charset val="1"/>
          </rPr>
          <t>Millie Hookey:</t>
        </r>
        <r>
          <rPr>
            <sz val="9"/>
            <color indexed="81"/>
            <rFont val="Tahoma"/>
            <charset val="1"/>
          </rPr>
          <t xml:space="preserve">
Source: https://www.ncbi.nlm.nih.gov/pmc/articles/PMC10000121/
Used the ACL mixed breeds values</t>
        </r>
      </text>
    </comment>
    <comment ref="D104" authorId="1" shapeId="0" xr:uid="{B5F71A2B-1CB5-4FEE-8F83-B1ACA716AD32}">
      <text>
        <r>
          <rPr>
            <b/>
            <sz val="9"/>
            <color indexed="81"/>
            <rFont val="Tahoma"/>
            <charset val="1"/>
          </rPr>
          <t>Millie Hookey:</t>
        </r>
        <r>
          <rPr>
            <sz val="9"/>
            <color indexed="81"/>
            <rFont val="Tahoma"/>
            <charset val="1"/>
          </rPr>
          <t xml:space="preserve">
Source: https://www.ncbi.nlm.nih.gov/pmc/articles/PMC10000121/
Used the ACL mixed breeds values</t>
        </r>
      </text>
    </comment>
    <comment ref="D107" authorId="1" shapeId="0" xr:uid="{B01446A1-5310-47FD-B14F-0D5FD09618ED}">
      <text>
        <r>
          <rPr>
            <b/>
            <sz val="9"/>
            <color indexed="81"/>
            <rFont val="Tahoma"/>
            <charset val="1"/>
          </rPr>
          <t>Millie Hookey:</t>
        </r>
        <r>
          <rPr>
            <sz val="9"/>
            <color indexed="81"/>
            <rFont val="Tahoma"/>
            <charset val="1"/>
          </rPr>
          <t xml:space="preserve">
Source: https://www.ncbi.nlm.nih.gov/pmc/articles/PMC10000121/
Used the ACL mixed breeds values</t>
        </r>
      </text>
    </comment>
    <comment ref="D110" authorId="1" shapeId="0" xr:uid="{62DCBB21-E098-4E56-930C-7CC0AFA63C80}">
      <text>
        <r>
          <rPr>
            <b/>
            <sz val="9"/>
            <color indexed="81"/>
            <rFont val="Tahoma"/>
            <charset val="1"/>
          </rPr>
          <t>Millie Hookey:</t>
        </r>
        <r>
          <rPr>
            <sz val="9"/>
            <color indexed="81"/>
            <rFont val="Tahoma"/>
            <charset val="1"/>
          </rPr>
          <t xml:space="preserve">
Source: https://www.ncbi.nlm.nih.gov/pmc/articles/PMC10000121/
Used the ACL mixed breeds values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Millie Hookey</author>
  </authors>
  <commentList>
    <comment ref="C98" authorId="0" shapeId="0" xr:uid="{FF97DDC3-52FF-4CF5-A25D-198F276376BF}">
      <text>
        <r>
          <rPr>
            <b/>
            <sz val="9"/>
            <color indexed="81"/>
            <rFont val="Tahoma"/>
            <charset val="1"/>
          </rPr>
          <t>Millie Hookey:</t>
        </r>
        <r>
          <rPr>
            <sz val="9"/>
            <color indexed="81"/>
            <rFont val="Tahoma"/>
            <charset val="1"/>
          </rPr>
          <t xml:space="preserve">
Source: https://www.ncbi.nlm.nih.gov/pmc/articles/PMC10000121/
Used the ACL mixed breeds values</t>
        </r>
      </text>
    </comment>
    <comment ref="C99" authorId="0" shapeId="0" xr:uid="{6FFB8693-FA99-42B6-A5D4-B38103FA4EFD}">
      <text>
        <r>
          <rPr>
            <b/>
            <sz val="9"/>
            <color indexed="81"/>
            <rFont val="Tahoma"/>
            <charset val="1"/>
          </rPr>
          <t>Millie Hookey:</t>
        </r>
        <r>
          <rPr>
            <sz val="9"/>
            <color indexed="81"/>
            <rFont val="Tahoma"/>
            <charset val="1"/>
          </rPr>
          <t xml:space="preserve">
Source: https://www.ncbi.nlm.nih.gov/pmc/articles/PMC10000121/
Used the ACL mixed breeds values</t>
        </r>
      </text>
    </comment>
    <comment ref="C100" authorId="0" shapeId="0" xr:uid="{E74C382F-E4E3-4B86-8C54-952C67652FFA}">
      <text>
        <r>
          <rPr>
            <b/>
            <sz val="9"/>
            <color indexed="81"/>
            <rFont val="Tahoma"/>
            <charset val="1"/>
          </rPr>
          <t>Millie Hookey:</t>
        </r>
        <r>
          <rPr>
            <sz val="9"/>
            <color indexed="81"/>
            <rFont val="Tahoma"/>
            <charset val="1"/>
          </rPr>
          <t xml:space="preserve">
Source: https://www.ncbi.nlm.nih.gov/pmc/articles/PMC10000121/
Used the ACL mixed breeds values</t>
        </r>
      </text>
    </comment>
    <comment ref="C103" authorId="0" shapeId="0" xr:uid="{1A77EA9F-A7BD-41F5-AD77-E1C5A3508CEC}">
      <text>
        <r>
          <rPr>
            <b/>
            <sz val="9"/>
            <color indexed="81"/>
            <rFont val="Tahoma"/>
            <charset val="1"/>
          </rPr>
          <t>Millie Hookey:</t>
        </r>
        <r>
          <rPr>
            <sz val="9"/>
            <color indexed="81"/>
            <rFont val="Tahoma"/>
            <charset val="1"/>
          </rPr>
          <t xml:space="preserve">
Source: https://www.ncbi.nlm.nih.gov/pmc/articles/PMC10000121/
Used the ACL mixed breeds values</t>
        </r>
      </text>
    </comment>
    <comment ref="C106" authorId="0" shapeId="0" xr:uid="{C12D297E-8548-43BF-A614-5EB2F20E57E7}">
      <text>
        <r>
          <rPr>
            <b/>
            <sz val="9"/>
            <color indexed="81"/>
            <rFont val="Tahoma"/>
            <charset val="1"/>
          </rPr>
          <t>Millie Hookey:</t>
        </r>
        <r>
          <rPr>
            <sz val="9"/>
            <color indexed="81"/>
            <rFont val="Tahoma"/>
            <charset val="1"/>
          </rPr>
          <t xml:space="preserve">
Source: https://www.ncbi.nlm.nih.gov/pmc/articles/PMC10000121/
Used the ACL mixed breeds values</t>
        </r>
      </text>
    </comment>
  </commentList>
</comments>
</file>

<file path=xl/sharedStrings.xml><?xml version="1.0" encoding="utf-8"?>
<sst xmlns="http://schemas.openxmlformats.org/spreadsheetml/2006/main" count="5369" uniqueCount="1406">
  <si>
    <t>Eco</t>
  </si>
  <si>
    <t xml:space="preserve">This is an excel spreadsheet that details the data that will be placed in farmDESIGN for the reseach thesis of Millicent Hookey. </t>
  </si>
  <si>
    <t xml:space="preserve">This research thesis centres around Palpuro agro-ecological symbiotic (AES) farm cooperative. </t>
  </si>
  <si>
    <t>The AES farm will act as the case study farm for this research thesis. Each sheet represents the data of the baseline and different scenarios that will be placed in farmDESIGN.</t>
  </si>
  <si>
    <t xml:space="preserve"> Below is a description of the data that is presented and each scenario.</t>
  </si>
  <si>
    <t>Baseline refers to the current situation and crop rotation on the farm</t>
  </si>
  <si>
    <t>Eco refers to the scenario that implements cattle into the current design of the farm with ecological objectives (Maximise food production)</t>
  </si>
  <si>
    <t>Eco_brew refers to the scenario with cattle and a brewery in the current farm design with ecological objectives</t>
  </si>
  <si>
    <t>Fin_brew refers to the scenario that integrates cattle and a brewery into the current farm structure with economic objectives</t>
  </si>
  <si>
    <t>Fin refers to the scenario that integrates cattle into current farm production but with economic objectives (maximise profit and leisure time)</t>
  </si>
  <si>
    <t>Model category</t>
  </si>
  <si>
    <t>Components</t>
  </si>
  <si>
    <t>Unit</t>
  </si>
  <si>
    <t>Crops</t>
  </si>
  <si>
    <t>N fixation</t>
  </si>
  <si>
    <t>Cultivation costs</t>
  </si>
  <si>
    <t>Contract work costs</t>
  </si>
  <si>
    <t>Subsidies</t>
  </si>
  <si>
    <t>Regular labour needed</t>
  </si>
  <si>
    <t>Casual labour needed</t>
  </si>
  <si>
    <t>Crop products</t>
  </si>
  <si>
    <t>Sub-categories:</t>
  </si>
  <si>
    <t>Agronomy</t>
  </si>
  <si>
    <t>Economic</t>
  </si>
  <si>
    <t>Destination</t>
  </si>
  <si>
    <t>Used as green manure/mulch</t>
  </si>
  <si>
    <t>Fraction fed in non grazing period</t>
  </si>
  <si>
    <t>Used as bedding</t>
  </si>
  <si>
    <t>Used for energy production</t>
  </si>
  <si>
    <t>Used only on farm?</t>
  </si>
  <si>
    <t>Yield</t>
  </si>
  <si>
    <t>Price fresh matter</t>
  </si>
  <si>
    <t>Dry matter content</t>
  </si>
  <si>
    <t>Ash content</t>
  </si>
  <si>
    <t>Nitrogen</t>
  </si>
  <si>
    <t>Phosphorus</t>
  </si>
  <si>
    <t>Feed value</t>
  </si>
  <si>
    <t>Feed structure value</t>
  </si>
  <si>
    <t>Protein contents</t>
  </si>
  <si>
    <t>kg/ha</t>
  </si>
  <si>
    <t>euros/ha</t>
  </si>
  <si>
    <t>hrs/ha</t>
  </si>
  <si>
    <t>kg DM</t>
  </si>
  <si>
    <t>Y/N</t>
  </si>
  <si>
    <t>euro/kg</t>
  </si>
  <si>
    <t>g/100g FM</t>
  </si>
  <si>
    <t>g/100g DM</t>
  </si>
  <si>
    <t>-</t>
  </si>
  <si>
    <t>g/kg DM</t>
  </si>
  <si>
    <t>Household</t>
  </si>
  <si>
    <t>Degradation rate (EP)</t>
  </si>
  <si>
    <t>Farmer (Markus)</t>
  </si>
  <si>
    <t>Gender</t>
  </si>
  <si>
    <t>Physiological state</t>
  </si>
  <si>
    <t>Regular labour</t>
  </si>
  <si>
    <t>M/F/n.a</t>
  </si>
  <si>
    <t>Hours</t>
  </si>
  <si>
    <t>N=Normal L=Lactation P=Pregnant</t>
  </si>
  <si>
    <t>M3 inputs</t>
  </si>
  <si>
    <t>Bedding</t>
  </si>
  <si>
    <t>M3 ouputs</t>
  </si>
  <si>
    <t>Pasture</t>
  </si>
  <si>
    <t>kg</t>
  </si>
  <si>
    <t>DM content</t>
  </si>
  <si>
    <t>N</t>
  </si>
  <si>
    <t>P</t>
  </si>
  <si>
    <t>K</t>
  </si>
  <si>
    <t>%</t>
  </si>
  <si>
    <t>M3 module</t>
  </si>
  <si>
    <t>Inputs and pools</t>
  </si>
  <si>
    <t>Quantity</t>
  </si>
  <si>
    <t>N content</t>
  </si>
  <si>
    <t>P content</t>
  </si>
  <si>
    <t>K content</t>
  </si>
  <si>
    <t>N inorganic</t>
  </si>
  <si>
    <t>Mineralisation</t>
  </si>
  <si>
    <t>Immobilisation</t>
  </si>
  <si>
    <t>NH3_N_Loss_Coefficient</t>
  </si>
  <si>
    <t>NO_N_Loss_Coefficient</t>
  </si>
  <si>
    <t>N2O_N_Loss_Coefficient</t>
  </si>
  <si>
    <t>N2_N_Loss_Coefficient</t>
  </si>
  <si>
    <t>Fraction oxic</t>
  </si>
  <si>
    <t>C_degradation Oxic</t>
  </si>
  <si>
    <t>C_degradation anoxic</t>
  </si>
  <si>
    <t>Fraction _methane_C</t>
  </si>
  <si>
    <t>Fraction_CH4_conbusted</t>
  </si>
  <si>
    <t>N_leaching</t>
  </si>
  <si>
    <t>N_runoff</t>
  </si>
  <si>
    <t>P_leaching_runoff</t>
  </si>
  <si>
    <t>K_leaching_runoff</t>
  </si>
  <si>
    <t>Pasture manure</t>
  </si>
  <si>
    <t>Separators and applciations</t>
  </si>
  <si>
    <t>Farm area</t>
  </si>
  <si>
    <t>Overall</t>
  </si>
  <si>
    <t>Ha</t>
  </si>
  <si>
    <t>LU</t>
  </si>
  <si>
    <t>Number of livestock units</t>
  </si>
  <si>
    <t>Grass-clover</t>
  </si>
  <si>
    <t>Horse manure</t>
  </si>
  <si>
    <t>Chicken manure</t>
  </si>
  <si>
    <t>Min</t>
  </si>
  <si>
    <t>Oats</t>
  </si>
  <si>
    <t>Winter rye</t>
  </si>
  <si>
    <t>Winter wheat</t>
  </si>
  <si>
    <t>Autumn rapeseed</t>
  </si>
  <si>
    <t>Oil hemp</t>
  </si>
  <si>
    <t>Buckwheat</t>
  </si>
  <si>
    <t>Unit:</t>
  </si>
  <si>
    <t>ha</t>
  </si>
  <si>
    <t>Area cultivated on</t>
  </si>
  <si>
    <t>Fresh yield total</t>
  </si>
  <si>
    <t>Wheat grain</t>
  </si>
  <si>
    <t>Winter rye grain</t>
  </si>
  <si>
    <t>Rapeseed seeds</t>
  </si>
  <si>
    <t>Hemp seeds</t>
  </si>
  <si>
    <t>Buckwheat grain</t>
  </si>
  <si>
    <t>Buckwheat straw</t>
  </si>
  <si>
    <t>Grass-Clover (sown)</t>
  </si>
  <si>
    <t>Perennial pastures</t>
  </si>
  <si>
    <t>Silage</t>
  </si>
  <si>
    <t>Crude protein</t>
  </si>
  <si>
    <t>Neutral detergent fibre (NDF)</t>
  </si>
  <si>
    <t>Metablisable energy (ME)</t>
  </si>
  <si>
    <t>MJ/kg DM</t>
  </si>
  <si>
    <t>Oat hay</t>
  </si>
  <si>
    <t>Livestock units (LU)</t>
  </si>
  <si>
    <t>Dry matter Intake (DMI)</t>
  </si>
  <si>
    <t>kg DM/day</t>
  </si>
  <si>
    <t>Wheat hay</t>
  </si>
  <si>
    <t>Humifcation coefficient</t>
  </si>
  <si>
    <t>Winter rye hay/straw</t>
  </si>
  <si>
    <t>Rape straw</t>
  </si>
  <si>
    <t>Species name</t>
  </si>
  <si>
    <t>% in field</t>
  </si>
  <si>
    <t>Inputs</t>
  </si>
  <si>
    <t>DM%</t>
  </si>
  <si>
    <t>Total  N kg/tonne FM</t>
  </si>
  <si>
    <t>Soluble N kg/tonne FM</t>
  </si>
  <si>
    <t>Total P kg/tonne FM</t>
  </si>
  <si>
    <t>M</t>
  </si>
  <si>
    <t>Timothy (Phleum pratense)</t>
  </si>
  <si>
    <t>Cocksfoot (Dactylus Glomerata)</t>
  </si>
  <si>
    <t>English ryegrass (Lolium perenne L.)</t>
  </si>
  <si>
    <t>Hykor rainata (cross between turfgrass and Italian ryegrass)</t>
  </si>
  <si>
    <t>Tall fescue (Festuca arundinacea)</t>
  </si>
  <si>
    <t>Lucerne (Medicago Sativa)</t>
  </si>
  <si>
    <t>Sand Lucerne (Medicago x varia T.)</t>
  </si>
  <si>
    <t>Red clover (Trifolium pratense)</t>
  </si>
  <si>
    <t>Alsike clover (Trifolium hybridum)</t>
  </si>
  <si>
    <t>White clover (Trifolium repens L.)</t>
  </si>
  <si>
    <t>Germination rate (%)</t>
  </si>
  <si>
    <t>DM (g/100g FM)</t>
  </si>
  <si>
    <t>ME (MJ/kg DM)</t>
  </si>
  <si>
    <t>NDF (g/kg DM)</t>
  </si>
  <si>
    <t>CP (g/kg DM)</t>
  </si>
  <si>
    <t>Grass species composition (as fresh forage)</t>
  </si>
  <si>
    <t>Grass Species composition (Silage that is late cute)</t>
  </si>
  <si>
    <t>Cocksfoot (Dactylus Glomerata) (CVB handbook, pg 39, grass silage btw June 21 and August 21)</t>
  </si>
  <si>
    <t>Ash (g/100g DM)</t>
  </si>
  <si>
    <t>Grasses</t>
  </si>
  <si>
    <t>Lucernes</t>
  </si>
  <si>
    <t>Clover</t>
  </si>
  <si>
    <t xml:space="preserve">(N fixation calculations needs average DM yields/ha for grasses - (https://www.jstor.org/stable/24121192) </t>
  </si>
  <si>
    <t>Winter Wheat</t>
  </si>
  <si>
    <t>Feed FM tonne/yr</t>
  </si>
  <si>
    <t>Feed DM tonne/yr</t>
  </si>
  <si>
    <t>CH4 production Nm3/yr</t>
  </si>
  <si>
    <t>N-fixation (https://www.jstor.org/stable/24121192)</t>
  </si>
  <si>
    <t>kg/yr</t>
  </si>
  <si>
    <t>kg/cow/yr</t>
  </si>
  <si>
    <t>Manure storage *average for Finland (will do soild farmyard manure)</t>
  </si>
  <si>
    <t>Details:</t>
  </si>
  <si>
    <t>Component &amp; method used:</t>
  </si>
  <si>
    <t>Methane emissions from enteric fermentation - Tier 2</t>
  </si>
  <si>
    <t>Manaure management calculations for typical solid manure storage for half the year in Finland</t>
  </si>
  <si>
    <t>Value:</t>
  </si>
  <si>
    <t>Default value from table 10.2 other cattle fed on low quality forage/by-product and grazing</t>
  </si>
  <si>
    <t>CH4 emission factors for livestock enteric fermentation</t>
  </si>
  <si>
    <t>kg CH4/animal/yr</t>
  </si>
  <si>
    <t>Gross energy</t>
  </si>
  <si>
    <t>Source:</t>
  </si>
  <si>
    <t>From LUKE average diet and manure composition for a beef hiefer</t>
  </si>
  <si>
    <t>MJ/kg CH4</t>
  </si>
  <si>
    <t>Energy content of methane</t>
  </si>
  <si>
    <t>From IPCC</t>
  </si>
  <si>
    <t>Methane conversion factor (percentage of GE in feed converted to methane)</t>
  </si>
  <si>
    <t>Methane emissions from manure management - Tier 1</t>
  </si>
  <si>
    <t>Manure management methane emission factors by temperature for cattle</t>
  </si>
  <si>
    <t>From IPCC (table 10.14)</t>
  </si>
  <si>
    <t>Direct N2O emissions from manure management</t>
  </si>
  <si>
    <t>Direct N2O emissions from manure management - Tier 2</t>
  </si>
  <si>
    <t>Number heads of livestock</t>
  </si>
  <si>
    <t>Is 1 because want emissions on per animal basis</t>
  </si>
  <si>
    <t>Average annual N excretion per animal</t>
  </si>
  <si>
    <t>From Luke (manure+urine)</t>
  </si>
  <si>
    <t>kg N/animal/yr</t>
  </si>
  <si>
    <t>Fraction of total annual N in manure storage</t>
  </si>
  <si>
    <t>Fraction</t>
  </si>
  <si>
    <t>Average fraction a year Finnish beef cattle are indoors (LUKE)</t>
  </si>
  <si>
    <t>Emission factor for direct N2O emissions from manure management system</t>
  </si>
  <si>
    <t>kg N2O-N/kg N</t>
  </si>
  <si>
    <t>Default from IPCC for solid manure storage</t>
  </si>
  <si>
    <t>IPCC euqation 10.25</t>
  </si>
  <si>
    <t>Percentage of managed manure N that volatilises in solid manure management</t>
  </si>
  <si>
    <t>IPCC default table 10.22</t>
  </si>
  <si>
    <t>Amount of manure nitrogen lost due to volatilisation</t>
  </si>
  <si>
    <t>IPCC equation 10.26</t>
  </si>
  <si>
    <t>Emission factor for N2O emissions from amtospheric deposition of N on soils and water surfaces</t>
  </si>
  <si>
    <t xml:space="preserve">kg N2O-N </t>
  </si>
  <si>
    <t>IPCC default table 11.3</t>
  </si>
  <si>
    <t>Indirect N2O emissions due to volatilisation of N from manure management</t>
  </si>
  <si>
    <t>Precent of managed manure N losses due to run-off and leaching</t>
  </si>
  <si>
    <t>https://www.researchgate.net/publication/267569708_Effect_of_storage_conditions_on_losses_and_crop_utilization_of_nitrogen_from_solid_cattle_manure</t>
  </si>
  <si>
    <t>Amount of manure N that leached from manure management system</t>
  </si>
  <si>
    <t>IPCC equation 10.28</t>
  </si>
  <si>
    <t>Emission factor for N2O emissions from N leaching and run-off</t>
  </si>
  <si>
    <t>kg N2O-N/kg N leached/run off</t>
  </si>
  <si>
    <t>Indirect N2O emissions due to leaching from manure management</t>
  </si>
  <si>
    <t>kg N20/animal/yr</t>
  </si>
  <si>
    <t>IPCC equation 10.29</t>
  </si>
  <si>
    <t>Indirect N2O emission from manure management - Tier 2</t>
  </si>
  <si>
    <t>Amount of manure N on pasture</t>
  </si>
  <si>
    <t>Amount of manure N produced per day</t>
  </si>
  <si>
    <t>kg N/animal/day</t>
  </si>
  <si>
    <t>Amount of manure N produced per hour per day</t>
  </si>
  <si>
    <t>kg N/animal/hr</t>
  </si>
  <si>
    <t>Amount of manure N in storage</t>
  </si>
  <si>
    <t>Proportion of Manure N lost due to volatilisation</t>
  </si>
  <si>
    <t>Proportion of N2O lost directly in manure storage</t>
  </si>
  <si>
    <t>Proportion of cattle manure that is nitrate (inorganic)</t>
  </si>
  <si>
    <t xml:space="preserve">Amount of nitrate available in manure from one cow/yr </t>
  </si>
  <si>
    <t>Amount of nitrate available in manure from storage/cow/yr</t>
  </si>
  <si>
    <t>kg NO3/animal/yr</t>
  </si>
  <si>
    <t>Amount of nitrate available in manure from pastures/cow/yr</t>
  </si>
  <si>
    <t>https://water.unl.edu/manure/manure-value#:~:text=*Cattle%20manure%20as%20fertilizer%3A%20One,N%20for%20immediate%20crop%20use.</t>
  </si>
  <si>
    <t>Grass species composition (as silage, with average cut)</t>
  </si>
  <si>
    <t>Y</t>
  </si>
  <si>
    <t>DM yield per ha (kg DM/ha)</t>
  </si>
  <si>
    <t>Ash content (kg Ash/ha)</t>
  </si>
  <si>
    <t>Silage (average cut)</t>
  </si>
  <si>
    <t>Silage (late cut)</t>
  </si>
  <si>
    <t>DM silage yield (kg DM/ha)</t>
  </si>
  <si>
    <t>Ash content silage (kg ash/ha)</t>
  </si>
  <si>
    <t>Dry matter yield late silage (kg DM/ha)</t>
  </si>
  <si>
    <t>Ash content late cut silage (kg ash/ha)</t>
  </si>
  <si>
    <t>ME MJ kg/ha</t>
  </si>
  <si>
    <t>CP g/ha</t>
  </si>
  <si>
    <t>NDF g/ha</t>
  </si>
  <si>
    <t>Direct N2O emissions from managed soils - Tier 1</t>
  </si>
  <si>
    <t>Amount of synthetic fertiliser applied annually</t>
  </si>
  <si>
    <t>kg N/yr</t>
  </si>
  <si>
    <t>Amount of hours annually animal spends on pasture</t>
  </si>
  <si>
    <t>hours/animal/yr</t>
  </si>
  <si>
    <t>Amount of hours annually animal spends in barn</t>
  </si>
  <si>
    <t>Amount of months animals spent on pasture</t>
  </si>
  <si>
    <t>months/year</t>
  </si>
  <si>
    <t>Amount of hours per day spent on pasture when access granted</t>
  </si>
  <si>
    <t>hours/day</t>
  </si>
  <si>
    <t>Amount of manure N applied annually</t>
  </si>
  <si>
    <t>Amount of digestate N applied annually</t>
  </si>
  <si>
    <t>Total annual area harvested for crops</t>
  </si>
  <si>
    <t>ha/yr</t>
  </si>
  <si>
    <t>kg DM: kg DM</t>
  </si>
  <si>
    <t>Default factors for estimating N in above ground residues for grains (Nag)</t>
  </si>
  <si>
    <t>Ratio of above ground residues to above ground biomass; grains (Rbg=Bio)</t>
  </si>
  <si>
    <t>Dry matter fraction of harvested products; grains (DRY)</t>
  </si>
  <si>
    <t>IPCC chapter 11 default values table 11.2</t>
  </si>
  <si>
    <t xml:space="preserve">Dry matter fraction of harvested products; other crops </t>
  </si>
  <si>
    <t>Default factors for estimating N in above ground residues for other crops (Nag)</t>
  </si>
  <si>
    <t>Ratio of above ground residues to above ground biomass; other crops (Rbg=Bio)</t>
  </si>
  <si>
    <t xml:space="preserve">Dry matter fraction of harvested products; grass clover </t>
  </si>
  <si>
    <t>Default factors for estimating N in above ground residues for grass clover (Nag)</t>
  </si>
  <si>
    <t>Ratio of above ground residues to above ground biomass; grass clover (Rbg=Bio)</t>
  </si>
  <si>
    <t xml:space="preserve">Dry matter fraction of harvested products; perennial grasses </t>
  </si>
  <si>
    <t>Default factors for estimating N in above ground residues for perennial grasses (Nag)</t>
  </si>
  <si>
    <t>Ratio of above ground residues to above ground biomass; perennial grasses (Rbg=Bio)</t>
  </si>
  <si>
    <t>N content below ground residues; grains (Nbg)</t>
  </si>
  <si>
    <t>N content below ground residues; other crops (Nbg)</t>
  </si>
  <si>
    <t>N content below ground residues; grass clover (Nbg)</t>
  </si>
  <si>
    <t>N content below ground residues; perennial grasses (Nbg)</t>
  </si>
  <si>
    <t>mg/ha</t>
  </si>
  <si>
    <t>Equation in table 11.2 IPCC</t>
  </si>
  <si>
    <t xml:space="preserve">Total dry matter yields grains on farm </t>
  </si>
  <si>
    <t xml:space="preserve">Total dry matter yields other crops on farm </t>
  </si>
  <si>
    <t>IPCC equation 11.7</t>
  </si>
  <si>
    <t>Total dry matter yields for grass clover on farm</t>
  </si>
  <si>
    <t>Total dry matter yields of perennial grasses on farm</t>
  </si>
  <si>
    <t>Amount fo organic fertiliser N added annually</t>
  </si>
  <si>
    <t>kg N/heifer/yr</t>
  </si>
  <si>
    <t>Area harvested grains</t>
  </si>
  <si>
    <t>Area harvested other crops</t>
  </si>
  <si>
    <t>Area harvested perennial grasses</t>
  </si>
  <si>
    <t>N g/100 g DM</t>
  </si>
  <si>
    <t>Amount of N based on proportion of species (N g/100 g DM)</t>
  </si>
  <si>
    <t>IPCC equation 11.6</t>
  </si>
  <si>
    <t>IPCC equation 11.8</t>
  </si>
  <si>
    <t>IPCC equation 11.9</t>
  </si>
  <si>
    <t>Above ground residue dry matter grains (Agdm)</t>
  </si>
  <si>
    <t>Above ground residue dry matter other crops (Agdm)</t>
  </si>
  <si>
    <t>Above ground residue dry matter grass clover (Agdm)</t>
  </si>
  <si>
    <t>Above ground residue dry matter perennial grasses (Agdm)</t>
  </si>
  <si>
    <t>Dry matter yield grains</t>
  </si>
  <si>
    <t>Dry matter yields other crops</t>
  </si>
  <si>
    <t>Dry matter yields grass clover</t>
  </si>
  <si>
    <t>Dry matter yields perennial grasses</t>
  </si>
  <si>
    <t>kg DM/ha/yr</t>
  </si>
  <si>
    <t>Ratio of below ground residues to harvested yield of grains</t>
  </si>
  <si>
    <t>Ratio of below ground residues to harvested yield of other crops</t>
  </si>
  <si>
    <t>Ratio of below ground residues to harvested yield of grass clover</t>
  </si>
  <si>
    <t>Ratio of below ground residues to harvested yield of perennial grasses</t>
  </si>
  <si>
    <t>kg DM/kg DM</t>
  </si>
  <si>
    <t>kg N/kg DM</t>
  </si>
  <si>
    <t>N from crop residues and forage/pasture renewal returned to soils</t>
  </si>
  <si>
    <t>Ratio of above-ground residues DM to harvested DM yield grains</t>
  </si>
  <si>
    <t>Ratio of above-ground residues DM to harvested DM yield other crops</t>
  </si>
  <si>
    <t>Ratio of above-ground residues DM to harvested DM yield grass clover</t>
  </si>
  <si>
    <t>Ratio of above-ground residues DM to harvested DM yield perennial grasses</t>
  </si>
  <si>
    <t>N from crop residues and forage/pasture renewal returned to soils; grains</t>
  </si>
  <si>
    <t>N from crop residues and forage/pasture renewal returned to soils; other crops</t>
  </si>
  <si>
    <t>N from crop residues and forage/pasture renewal returned to soils; grass clover</t>
  </si>
  <si>
    <t>N from crop residues and forage/pasture renewal returned to soils; perennial grass</t>
  </si>
  <si>
    <t>Area harvested grass clover</t>
  </si>
  <si>
    <t>Food pea</t>
  </si>
  <si>
    <t>Pea pods</t>
  </si>
  <si>
    <t>Pea straw</t>
  </si>
  <si>
    <t>Dry matter fraction of harvested products; beans and pulses (DRY)</t>
  </si>
  <si>
    <t>Default factors for estimating N in above ground residues for beans and pulses (Nag)</t>
  </si>
  <si>
    <t>Ratio of above ground residues to above ground biomass; beans and pulses (Rbg=Bio)</t>
  </si>
  <si>
    <t>N content below ground residues; beans and pulses (Nbg)</t>
  </si>
  <si>
    <t xml:space="preserve">Total dry matter yields beans and pulses on farm </t>
  </si>
  <si>
    <t>Above ground residue dry matter beans and pulses (Agdm)</t>
  </si>
  <si>
    <t>Area harvested beans and pulses</t>
  </si>
  <si>
    <t>Dry matter yields beans and pulses</t>
  </si>
  <si>
    <t>Ratio of above-ground residues DM to harvested DM yield beans and pulses</t>
  </si>
  <si>
    <t>N from crop residues and forage/pasture renewal returned to soils; beans and pulses</t>
  </si>
  <si>
    <t>Ratio of below ground residues to harvested yield of beans and pulses</t>
  </si>
  <si>
    <t>N from crop residues and forage/pasture renewal returned to soils per ha</t>
  </si>
  <si>
    <t>kg N/ha/yr</t>
  </si>
  <si>
    <t>Soil C estimations - Tier 1</t>
  </si>
  <si>
    <t>Annual change in organic C stocks in mineral soils</t>
  </si>
  <si>
    <t>C/yr</t>
  </si>
  <si>
    <t xml:space="preserve">Time dependence of stock change factors </t>
  </si>
  <si>
    <t>Number of years over a single inventory time period</t>
  </si>
  <si>
    <t>yrs</t>
  </si>
  <si>
    <t>Tonnes/C/ha</t>
  </si>
  <si>
    <t>Reference C stock (boreal, spodic soils)</t>
  </si>
  <si>
    <t>Stock change factor for management regime</t>
  </si>
  <si>
    <t>Stock change factor for input of organic matter</t>
  </si>
  <si>
    <t>(2019 - 2023)</t>
  </si>
  <si>
    <t>Stock change factor for land use systems (Grassland)</t>
  </si>
  <si>
    <t>Stock change factor for land use systems (Cropland)</t>
  </si>
  <si>
    <t>Crops (ha)</t>
  </si>
  <si>
    <t>Grassland (ha)</t>
  </si>
  <si>
    <t>SOC0 (tn C)</t>
  </si>
  <si>
    <t>SOC (0-T) (tn C)</t>
  </si>
  <si>
    <t>Delta C mineral (tn C/yr)</t>
  </si>
  <si>
    <t>Delta C mineral (tn C/ha/yr)</t>
  </si>
  <si>
    <t>IPCC equation 2.25</t>
  </si>
  <si>
    <t>Default IPCC table 2.3</t>
  </si>
  <si>
    <t>Default IPCC box 2.2</t>
  </si>
  <si>
    <t>Default IPCC box 2.3</t>
  </si>
  <si>
    <t>Changes of N supply for mineralisation - Tier 1</t>
  </si>
  <si>
    <t>Net amount of N mineralised in mineral soils as a result of loss of C through land use changes</t>
  </si>
  <si>
    <t>Default value for C:N ratio</t>
  </si>
  <si>
    <t>IPCC Default from equation 11.8</t>
  </si>
  <si>
    <t>Direct N2O emissions from managed soils</t>
  </si>
  <si>
    <t>kg N2O-N/yr</t>
  </si>
  <si>
    <t>Annual direct N2O-N emisisons from N inputs to managed soils</t>
  </si>
  <si>
    <t>IPCC equation 11.1</t>
  </si>
  <si>
    <t>Annual amount of urine and dung N deposited by grazing animals on pasture (depends on amount of animals picked by scenario)</t>
  </si>
  <si>
    <t>Amount of manure N applied to soils from storage (including losses)</t>
  </si>
  <si>
    <t>Emissions factor for N2O emissions fron N inputs</t>
  </si>
  <si>
    <t>kg N2O-N/kg N input</t>
  </si>
  <si>
    <t>Table 11.1 IPCC</t>
  </si>
  <si>
    <t>Emission factor for N2O emissions from urine and Dung N deposited on pasture</t>
  </si>
  <si>
    <t>Annual direct N2O-N emissions from urine and dung inputs into grazed soils (depends on amount of animals chosen by scenario)</t>
  </si>
  <si>
    <t>Indirect N2O emissions - Tier 1</t>
  </si>
  <si>
    <t>Source</t>
  </si>
  <si>
    <t>Koppelmaki et al., 2019</t>
  </si>
  <si>
    <t>Total N kg/tonne FM</t>
  </si>
  <si>
    <t>Annual ammount of N2O-N produced from atmospheric deposition of N volatilised from managed soils</t>
  </si>
  <si>
    <t>Fraction of applied organic N fertiliser materials and urine and dung N deposited by gazing animals that volatilises as NH3</t>
  </si>
  <si>
    <t>kg N volatilised/kg N applied and deposited</t>
  </si>
  <si>
    <t>Dependent on the amount of animals</t>
  </si>
  <si>
    <t>kg N2O/yr</t>
  </si>
  <si>
    <t>kg N2O/year</t>
  </si>
  <si>
    <t>Default value table 11.3</t>
  </si>
  <si>
    <t>kg N2O-N/kg NH3-N + Nox - N volatilised</t>
  </si>
  <si>
    <t>Annual amount of N2O-N produced from leaching and runoff of additions to managed soils in regions where leaching/run-off occurs</t>
  </si>
  <si>
    <t>IPCC equation 11.10</t>
  </si>
  <si>
    <t>Annual amount of N2O-N produced from leaching and runoff of additions to managed soils in regions where leaching/run-off occurs per ha</t>
  </si>
  <si>
    <t>kg N2O-N/ha/yr</t>
  </si>
  <si>
    <t>Emission factor for N2O emissions from atmospheric deposition of N on soild and water surfaces</t>
  </si>
  <si>
    <t>Proportion of time in storage (% out of 100)</t>
  </si>
  <si>
    <t>Proportion of time in pasture (% out of 100)</t>
  </si>
  <si>
    <t>Digestibility %</t>
  </si>
  <si>
    <t>Constraints:</t>
  </si>
  <si>
    <t>Value</t>
  </si>
  <si>
    <t>Detailed list of constraints and their value in FarmDESIGN</t>
  </si>
  <si>
    <t>Biogas production</t>
  </si>
  <si>
    <t>Amount of grain to the hennery</t>
  </si>
  <si>
    <t>Tn/yr</t>
  </si>
  <si>
    <t>Months</t>
  </si>
  <si>
    <t xml:space="preserve">Grazing time for cattle on pasture </t>
  </si>
  <si>
    <t>Subsidy calculations based on communications with Markus Eerola</t>
  </si>
  <si>
    <t>Crops:</t>
  </si>
  <si>
    <t>Grass sewn (grass, clover)</t>
  </si>
  <si>
    <t>Natural pastures</t>
  </si>
  <si>
    <t>Area: (ha)</t>
  </si>
  <si>
    <t>Total subsidy: (euros)</t>
  </si>
  <si>
    <t>Component of Subsidy:</t>
  </si>
  <si>
    <t>Basic income support:</t>
  </si>
  <si>
    <t>Redistributive income support:</t>
  </si>
  <si>
    <t>Special plant premium:</t>
  </si>
  <si>
    <t>Ecosystem support:</t>
  </si>
  <si>
    <t>Compensation for natural disasters:</t>
  </si>
  <si>
    <t>Environmental compensation:</t>
  </si>
  <si>
    <t>Compensation for organic production:</t>
  </si>
  <si>
    <t>Cumin</t>
  </si>
  <si>
    <t>Black currant</t>
  </si>
  <si>
    <t>Camelina sativa</t>
  </si>
  <si>
    <t>Pasture grass</t>
  </si>
  <si>
    <t>Open fallow</t>
  </si>
  <si>
    <t>Uncultivated</t>
  </si>
  <si>
    <t>Total euros (euros)</t>
  </si>
  <si>
    <t>Total subsidies: (euros)</t>
  </si>
  <si>
    <t>Subsidy calcualtions within the systems boundaries: (blue cells are within system boundaries, green cells are outside, yellow cells not included in calculation because they receive no subsisdies)</t>
  </si>
  <si>
    <t>Special plant premium: (euros/ha)</t>
  </si>
  <si>
    <t>Organic production: (euros/ha)</t>
  </si>
  <si>
    <t>Total:</t>
  </si>
  <si>
    <t>Environmental compensation: (euros)</t>
  </si>
  <si>
    <t>Compensation for natural disasters: (euros)</t>
  </si>
  <si>
    <t>Redistributive income: (euros)</t>
  </si>
  <si>
    <t>Basic income support: (euros)</t>
  </si>
  <si>
    <t>Total subsidy per hectare (euros/ha)</t>
  </si>
  <si>
    <t>food vs feed (grain = food, straw/cake = feed)</t>
  </si>
  <si>
    <t>Cultivation costs:</t>
  </si>
  <si>
    <t>Component:</t>
  </si>
  <si>
    <t>Seed:</t>
  </si>
  <si>
    <t xml:space="preserve">€ </t>
  </si>
  <si>
    <t>Other materials:</t>
  </si>
  <si>
    <t>External Supplies:</t>
  </si>
  <si>
    <t>Other variable services:</t>
  </si>
  <si>
    <t>Variable machine costs, production:</t>
  </si>
  <si>
    <t>Labour costs:</t>
  </si>
  <si>
    <t>Markus's costs</t>
  </si>
  <si>
    <t>Other Workforce</t>
  </si>
  <si>
    <t>Overheads:</t>
  </si>
  <si>
    <t>Fixed machine costs, production:</t>
  </si>
  <si>
    <t>Construction costs</t>
  </si>
  <si>
    <t>Overhead costs</t>
  </si>
  <si>
    <t>Field, other land assets and basic improvements:</t>
  </si>
  <si>
    <t>Working hours</t>
  </si>
  <si>
    <t xml:space="preserve">hrs </t>
  </si>
  <si>
    <t>Arable land</t>
  </si>
  <si>
    <t>Working hours/ha</t>
  </si>
  <si>
    <t>Productivity:</t>
  </si>
  <si>
    <t>€ /ha</t>
  </si>
  <si>
    <t>Production costs/ha:</t>
  </si>
  <si>
    <t>Financial data based on communications with Markus:</t>
  </si>
  <si>
    <t>FM yield silage (FM/kg/ha)</t>
  </si>
  <si>
    <t>DM yield silage average cut (DM kg/ha/yr)</t>
  </si>
  <si>
    <t>TOTALS:</t>
  </si>
  <si>
    <t>ME MJ kg/kg DM/ha</t>
  </si>
  <si>
    <t>DM yield avergae for perennial grasslands (kg/ha)</t>
  </si>
  <si>
    <t>Hours hired labour</t>
  </si>
  <si>
    <t>Amount of weeks hired labour</t>
  </si>
  <si>
    <t>Markus working hours yearly</t>
  </si>
  <si>
    <t>€/tonne</t>
  </si>
  <si>
    <t>Years</t>
  </si>
  <si>
    <t>Interval of years seeds bought:</t>
  </si>
  <si>
    <t>Cereal</t>
  </si>
  <si>
    <t>Amount purchased each year:</t>
  </si>
  <si>
    <t>Tonnes/yr</t>
  </si>
  <si>
    <t>Oilseed</t>
  </si>
  <si>
    <t>Grassland</t>
  </si>
  <si>
    <t>Permanent grasslands</t>
  </si>
  <si>
    <t>Sowing rate:</t>
  </si>
  <si>
    <t>€/yr</t>
  </si>
  <si>
    <t>Amount purchased in year intervals</t>
  </si>
  <si>
    <t>Amount of tonnes bought per year</t>
  </si>
  <si>
    <t>How many ha cultivated:</t>
  </si>
  <si>
    <t>How many tonnes of seeds used:</t>
  </si>
  <si>
    <t>tonnes</t>
  </si>
  <si>
    <t>TOTAL spent on seeds in one year</t>
  </si>
  <si>
    <t>Food peas</t>
  </si>
  <si>
    <t>Autumn rapeseed (average for one ha so the model can choose for this cultivar)</t>
  </si>
  <si>
    <t>€</t>
  </si>
  <si>
    <t>Default values (based on oats)</t>
  </si>
  <si>
    <t>Production costs/hr/ha:</t>
  </si>
  <si>
    <t>€ /hr/ha</t>
  </si>
  <si>
    <t>weeks</t>
  </si>
  <si>
    <t>hrs</t>
  </si>
  <si>
    <t>€/hr</t>
  </si>
  <si>
    <t xml:space="preserve">Hourly wage </t>
  </si>
  <si>
    <t>Tax on wage that must be paid</t>
  </si>
  <si>
    <t>Amount of money spent on hired labour before tax</t>
  </si>
  <si>
    <t>€ /yr</t>
  </si>
  <si>
    <t>Amount of hours/ha worked by hired labour</t>
  </si>
  <si>
    <t xml:space="preserve">Amount of hours/ha worked by Markus </t>
  </si>
  <si>
    <t>Proportion of workhours hired labour is working</t>
  </si>
  <si>
    <t xml:space="preserve">Proportion of workhours Markus is working </t>
  </si>
  <si>
    <t xml:space="preserve">Other workers hourly wage </t>
  </si>
  <si>
    <t xml:space="preserve">Markus hourly wage </t>
  </si>
  <si>
    <t xml:space="preserve">Markus off farm income </t>
  </si>
  <si>
    <t xml:space="preserve">Amount of money spent on hired labour after tax </t>
  </si>
  <si>
    <t>Hours spent sewing</t>
  </si>
  <si>
    <t>L/hr</t>
  </si>
  <si>
    <t>Litres of fuel consumed per hour when harvesting</t>
  </si>
  <si>
    <t>Litres of fuel consumed per hour when sowing</t>
  </si>
  <si>
    <t>Cost of fuel per litre</t>
  </si>
  <si>
    <t>€/L</t>
  </si>
  <si>
    <t>Fuel cost per hour of harvest</t>
  </si>
  <si>
    <t>Fuel cost per hour of sowing</t>
  </si>
  <si>
    <t>Hours spent harvesting</t>
  </si>
  <si>
    <t>€/ha</t>
  </si>
  <si>
    <t>Land rental costs</t>
  </si>
  <si>
    <t xml:space="preserve">Costs of spreading digestates </t>
  </si>
  <si>
    <t>Contractors costs (harvesting oil hemp)</t>
  </si>
  <si>
    <t>Variable costs</t>
  </si>
  <si>
    <t>Land rental costs at farm level</t>
  </si>
  <si>
    <t>€/ha/farm</t>
  </si>
  <si>
    <t>Amount of land rented</t>
  </si>
  <si>
    <t>Soil:</t>
  </si>
  <si>
    <t>Soil type:</t>
  </si>
  <si>
    <t>OM content</t>
  </si>
  <si>
    <t>OM degradation rate:</t>
  </si>
  <si>
    <t>Soil depth</t>
  </si>
  <si>
    <t>m</t>
  </si>
  <si>
    <t>Bulk density</t>
  </si>
  <si>
    <t>Texture factor</t>
  </si>
  <si>
    <t>kg/m3</t>
  </si>
  <si>
    <t>Soil pH</t>
  </si>
  <si>
    <t>Pw value</t>
  </si>
  <si>
    <t>Potassium content</t>
  </si>
  <si>
    <t>Non-symbiotic N fixtaion</t>
  </si>
  <si>
    <t>Climatic</t>
  </si>
  <si>
    <t>N deposition</t>
  </si>
  <si>
    <t>Phosphorus deposition</t>
  </si>
  <si>
    <t>Potassium deposition</t>
  </si>
  <si>
    <t>Mean temperature</t>
  </si>
  <si>
    <t>˚C</t>
  </si>
  <si>
    <t>Period with pF &lt;3.5</t>
  </si>
  <si>
    <t>Water availability</t>
  </si>
  <si>
    <t>days</t>
  </si>
  <si>
    <t>m3</t>
  </si>
  <si>
    <t>Erosion</t>
  </si>
  <si>
    <t>Soil eroded</t>
  </si>
  <si>
    <t>mm</t>
  </si>
  <si>
    <t>OM content in erosion</t>
  </si>
  <si>
    <t>N content in erosion</t>
  </si>
  <si>
    <t>P content in erosion</t>
  </si>
  <si>
    <t>K content in erosion</t>
  </si>
  <si>
    <t>Factor:</t>
  </si>
  <si>
    <t>Clay loam</t>
  </si>
  <si>
    <t>Erosion C factor</t>
  </si>
  <si>
    <t>Harvesable index</t>
  </si>
  <si>
    <t>Oat food grain</t>
  </si>
  <si>
    <t>Oat feed grain</t>
  </si>
  <si>
    <t xml:space="preserve">DM yield </t>
  </si>
  <si>
    <t>kg DM/ha</t>
  </si>
  <si>
    <t>Hemp oil seed cake</t>
  </si>
  <si>
    <t>Amount of bedding required per cow/day (kg/cow/day)</t>
  </si>
  <si>
    <t xml:space="preserve">DM/tonne/yr </t>
  </si>
  <si>
    <t>Total K (kg/Tonne FM)</t>
  </si>
  <si>
    <t>CH4 production (m3/year)</t>
  </si>
  <si>
    <t>Megajoules of energy produced each year (MJ/yr)</t>
  </si>
  <si>
    <t>Kilowhatts per year (kwh/yr)</t>
  </si>
  <si>
    <t>DM yield for entire crop farm level</t>
  </si>
  <si>
    <t>kg/ha/yr</t>
  </si>
  <si>
    <t>Effective organic matter (source: eurofins)</t>
  </si>
  <si>
    <t>Fresh yield</t>
  </si>
  <si>
    <t>FM kg/ha</t>
  </si>
  <si>
    <t>Minimum amount required for farm functions</t>
  </si>
  <si>
    <t>Minimum amoutn required to feed chickens</t>
  </si>
  <si>
    <t>Cattle grazing</t>
  </si>
  <si>
    <t>Cattle in barn</t>
  </si>
  <si>
    <t>Time in barn</t>
  </si>
  <si>
    <t>Manure storage</t>
  </si>
  <si>
    <t>Manure on pasture</t>
  </si>
  <si>
    <t>N in manure on pasture</t>
  </si>
  <si>
    <t>Amount of manure in storage</t>
  </si>
  <si>
    <t>Proportion of time in barn</t>
  </si>
  <si>
    <t>Time on pasture</t>
  </si>
  <si>
    <t>hrs/day</t>
  </si>
  <si>
    <t>Hrs/yr</t>
  </si>
  <si>
    <t>Collective of time on pasture</t>
  </si>
  <si>
    <t>Proportion of time spent on pasture in year</t>
  </si>
  <si>
    <t>% of year</t>
  </si>
  <si>
    <t>Days spent grazing</t>
  </si>
  <si>
    <t>Days/yr</t>
  </si>
  <si>
    <t>kg/animal/year</t>
  </si>
  <si>
    <t>Urine on pasture</t>
  </si>
  <si>
    <t>L/yr</t>
  </si>
  <si>
    <t>N in urine on pasture</t>
  </si>
  <si>
    <t>Total N on pasture</t>
  </si>
  <si>
    <t>Kg N/animal/year</t>
  </si>
  <si>
    <t>Amount of manure produced each year</t>
  </si>
  <si>
    <t>N excretion per year via manure</t>
  </si>
  <si>
    <t>kg N/animal/year</t>
  </si>
  <si>
    <t>kg/animal/yr</t>
  </si>
  <si>
    <t>Amount of urine produced each year</t>
  </si>
  <si>
    <t>L/animal/year</t>
  </si>
  <si>
    <t>N excretion via urine per year</t>
  </si>
  <si>
    <t>Kg/yr</t>
  </si>
  <si>
    <t>N in storage via manure</t>
  </si>
  <si>
    <t>N in storage via urine</t>
  </si>
  <si>
    <t>N total in storage</t>
  </si>
  <si>
    <t>Bedding (Straw)</t>
  </si>
  <si>
    <t>Tonnes/animal/yr</t>
  </si>
  <si>
    <t>MWh/yr</t>
  </si>
  <si>
    <t>(Koppelmaki et al., 2019)</t>
  </si>
  <si>
    <t>Communications with Markus</t>
  </si>
  <si>
    <t>Luke</t>
  </si>
  <si>
    <t>ME</t>
  </si>
  <si>
    <t>Nutritional requirements for Eastern Finn cattle cattle (12 month old heifers)</t>
  </si>
  <si>
    <t>Mature weight</t>
  </si>
  <si>
    <t>https://www.nordgen.org/en/native-breed/itasuomenkarja-isk/</t>
  </si>
  <si>
    <t>https://agriculture.vic.gov.au/livestock-and-animals/beef/breeding/mature-cow-size-impacts-on-replacement-heifers</t>
  </si>
  <si>
    <t>Weight at 12 months old heifer</t>
  </si>
  <si>
    <t>Table 17 Luke excretion document</t>
  </si>
  <si>
    <t>ME, MJ/day</t>
  </si>
  <si>
    <t>C-value</t>
  </si>
  <si>
    <t>Luke excretion data</t>
  </si>
  <si>
    <t>Average live weight</t>
  </si>
  <si>
    <t>Table 18 Luke excretion data</t>
  </si>
  <si>
    <t>Table 20 Luke excretion data</t>
  </si>
  <si>
    <t>Live weight gain</t>
  </si>
  <si>
    <t>Weight at birth</t>
  </si>
  <si>
    <t>VS kg/tonne manure</t>
  </si>
  <si>
    <t>Fixed costs that are not included in final calculation</t>
  </si>
  <si>
    <t>kg/day</t>
  </si>
  <si>
    <t>Table 12 equation excretion data luke</t>
  </si>
  <si>
    <t xml:space="preserve">Dry matter intake (DMI) </t>
  </si>
  <si>
    <t>https://pir.sa.gov.au/__data/assets/pdf_file/0007/272869/Calculating_dry_matter_intakes.pdf</t>
  </si>
  <si>
    <t>DMI for the year</t>
  </si>
  <si>
    <t>kg /yr</t>
  </si>
  <si>
    <t>kg/year</t>
  </si>
  <si>
    <t>Energy requirements/intake for year</t>
  </si>
  <si>
    <t>ME, MJ/year</t>
  </si>
  <si>
    <t>Crude protein requirement</t>
  </si>
  <si>
    <t>LW 2 year old heifer</t>
  </si>
  <si>
    <t>Live weight as a 1 year old heifer</t>
  </si>
  <si>
    <t>Luke excretion data averages</t>
  </si>
  <si>
    <t>Metabolisable energy intake</t>
  </si>
  <si>
    <t>Intake of digestable OM (DOMI)</t>
  </si>
  <si>
    <t>Equation 44 Luke excretion data (using ME of grass clover and silages)</t>
  </si>
  <si>
    <t>ME concentration in diet</t>
  </si>
  <si>
    <t>Digestibility of OM (OMD)</t>
  </si>
  <si>
    <t>g/g</t>
  </si>
  <si>
    <t>Organic matter concentration of diet</t>
  </si>
  <si>
    <t>Digestibility of DM (DMD)</t>
  </si>
  <si>
    <t>Equation 45 Luke</t>
  </si>
  <si>
    <t>Equation 46 Luke</t>
  </si>
  <si>
    <t>Equation 47 Luke</t>
  </si>
  <si>
    <t>Indigestible DM excreted</t>
  </si>
  <si>
    <t>Output faeces</t>
  </si>
  <si>
    <t>Equation 48 Luke</t>
  </si>
  <si>
    <t>Output urine</t>
  </si>
  <si>
    <t>L/day</t>
  </si>
  <si>
    <t>Equation 49 Luke (used default K intake values)</t>
  </si>
  <si>
    <t>Digestibility value of grass clover silage and pastures</t>
  </si>
  <si>
    <t>N intake</t>
  </si>
  <si>
    <t>g/day</t>
  </si>
  <si>
    <t>N intake/day</t>
  </si>
  <si>
    <t>N in faeces</t>
  </si>
  <si>
    <t>Intake of digestable feed per day</t>
  </si>
  <si>
    <t>Digestible N intake</t>
  </si>
  <si>
    <t>N in faeces per year</t>
  </si>
  <si>
    <t>Luke ruminant feeding tables</t>
  </si>
  <si>
    <t>Eastern Finn cattle excretion data (using default data for urinary output)</t>
  </si>
  <si>
    <t>Digestible energy</t>
  </si>
  <si>
    <t>https://www1.agric.gov.ab.ca/$department/deptdocs.nsf/all/agdex4521/$file/400_60-2.pdf?OpenElement</t>
  </si>
  <si>
    <t>MJ/year</t>
  </si>
  <si>
    <t>Gross energy intake per year in DM</t>
  </si>
  <si>
    <t>https://www.woolwise.com/wp-content/uploads/2017/07/ANUT-300-500-08-T-02.pdf</t>
  </si>
  <si>
    <t>Decision variables</t>
  </si>
  <si>
    <t>Themes:</t>
  </si>
  <si>
    <t>Components:</t>
  </si>
  <si>
    <t>Bedding for cattle</t>
  </si>
  <si>
    <t>Amount of hay required/year</t>
  </si>
  <si>
    <t>Tonnes/year</t>
  </si>
  <si>
    <t>kg/day/animal</t>
  </si>
  <si>
    <t>Hay requirement for cattle</t>
  </si>
  <si>
    <t>Cattle</t>
  </si>
  <si>
    <t>Units:</t>
  </si>
  <si>
    <t>Min:</t>
  </si>
  <si>
    <t>Max:</t>
  </si>
  <si>
    <t>no.</t>
  </si>
  <si>
    <t>Amount of cattle (1 year old heifers)</t>
  </si>
  <si>
    <t>Area required for evercise yard:</t>
  </si>
  <si>
    <t>m2 (6m2 required per cow)</t>
  </si>
  <si>
    <t>Grazing many practises pamphlet from Ladunvinkki</t>
  </si>
  <si>
    <t>Biomasses</t>
  </si>
  <si>
    <t>Amount distributed in energy production</t>
  </si>
  <si>
    <t>Amount distributed for feeding</t>
  </si>
  <si>
    <t>Max DM yield for each feed crop</t>
  </si>
  <si>
    <t>https://www.suomi.fi/services/outdoor-cattle-grazing-regional-state-administrative-agency/453241de-7473-46eb-965f-c5d71646a2f8</t>
  </si>
  <si>
    <t>Objective:</t>
  </si>
  <si>
    <t>Maximise operating profit and leisure time</t>
  </si>
  <si>
    <t>Maximise food production (maximise production of all food crops)</t>
  </si>
  <si>
    <t>New crop Barley values</t>
  </si>
  <si>
    <t>Barley grain</t>
  </si>
  <si>
    <t>Barley straw</t>
  </si>
  <si>
    <t>Malting barley</t>
  </si>
  <si>
    <t>Required amount for desired beer production</t>
  </si>
  <si>
    <t>Seed Costs:</t>
  </si>
  <si>
    <t>Work done by Markus</t>
  </si>
  <si>
    <t>Work done by hired labour</t>
  </si>
  <si>
    <t>Depends on area cultivated on</t>
  </si>
  <si>
    <t>Decision variable</t>
  </si>
  <si>
    <t>Crops used for bedding</t>
  </si>
  <si>
    <t>Amount of BSG imported into the system</t>
  </si>
  <si>
    <t>Amount of brewers yeast imported into the system</t>
  </si>
  <si>
    <t>Biogas brewery data</t>
  </si>
  <si>
    <t>TS BSG:</t>
  </si>
  <si>
    <t>TS Brewers yeast</t>
  </si>
  <si>
    <t>VS BSG:</t>
  </si>
  <si>
    <t>VS Brewers yeast:</t>
  </si>
  <si>
    <t>m3/t VS</t>
  </si>
  <si>
    <t>Gas yield BSG</t>
  </si>
  <si>
    <t>Gas yield brewers yeast</t>
  </si>
  <si>
    <t>Methane content BSG</t>
  </si>
  <si>
    <t>Methane content yeast</t>
  </si>
  <si>
    <t>Brewery by-products nutrition</t>
  </si>
  <si>
    <t>Brewery energy needs for production</t>
  </si>
  <si>
    <t>Electricity consumtion (brewery + biogas plant)</t>
  </si>
  <si>
    <t>kWh/hl</t>
  </si>
  <si>
    <t>Average based on communications with brewery experts</t>
  </si>
  <si>
    <t>Eletricity consumption based on annual production (500000L)</t>
  </si>
  <si>
    <t>Steam consumption</t>
  </si>
  <si>
    <t>kWh/batch</t>
  </si>
  <si>
    <t>One batch produces around 3650L of beer. This steam consumption matches with washing demand</t>
  </si>
  <si>
    <t>kWh/m3</t>
  </si>
  <si>
    <t>Nutritional data</t>
  </si>
  <si>
    <t>Brewery by-products</t>
  </si>
  <si>
    <t>BSG</t>
  </si>
  <si>
    <t>Brewers yeast</t>
  </si>
  <si>
    <t>Work</t>
  </si>
  <si>
    <t>Proportion of time Markus works on farm</t>
  </si>
  <si>
    <t>Prportion of time contract casual workers work on farm</t>
  </si>
  <si>
    <t>Average time needed to rear cattle all year round</t>
  </si>
  <si>
    <t>Cattle prices</t>
  </si>
  <si>
    <t>Price for meat</t>
  </si>
  <si>
    <t>Average time needed per cow</t>
  </si>
  <si>
    <t>Casual labour needed per cow</t>
  </si>
  <si>
    <t>Markus labour needed per cow</t>
  </si>
  <si>
    <t>https://www.sciencedirect.com/science/article/pii/S0959652622041245?casa_token=aHYTlWo8aEcAAAAA:kE57TrgaVEwFnx34SXo4NTehpC4-46WMaGOZonysNT7y-9W4J6nNGQGUo7h1Nc11gMOJlgY3b7-q</t>
  </si>
  <si>
    <t>Management</t>
  </si>
  <si>
    <t>Details</t>
  </si>
  <si>
    <t>Requirements</t>
  </si>
  <si>
    <t>Duration grazing period</t>
  </si>
  <si>
    <t>Costs per animal</t>
  </si>
  <si>
    <t>Casual labour</t>
  </si>
  <si>
    <t>CH4 emissions rumen</t>
  </si>
  <si>
    <t>CH4 emissions manure</t>
  </si>
  <si>
    <t>Body weight</t>
  </si>
  <si>
    <t>Carcass percentage</t>
  </si>
  <si>
    <t>Carcass price</t>
  </si>
  <si>
    <t>Bedding material</t>
  </si>
  <si>
    <t>Water demand</t>
  </si>
  <si>
    <t>Saturation factor</t>
  </si>
  <si>
    <t>Structure factor</t>
  </si>
  <si>
    <t>Energy maintenance</t>
  </si>
  <si>
    <t>Protein maintenance</t>
  </si>
  <si>
    <t>Subsidy for Eastern Finn</t>
  </si>
  <si>
    <t>euros/100kg</t>
  </si>
  <si>
    <t>Luke, annual prices of organic meat, heifers 3 year average</t>
  </si>
  <si>
    <t>€/unit</t>
  </si>
  <si>
    <t>Eastern Finn cattle unit</t>
  </si>
  <si>
    <t>Subsidy per Eastern Finn cattle 1 year old heifer</t>
  </si>
  <si>
    <t>€/animal</t>
  </si>
  <si>
    <t>MJ/head/day</t>
  </si>
  <si>
    <t xml:space="preserve">https://fabaweb.mloy.fi/SKJOWeb/BovineTrade/BovineForSale/SelBovineForSale.asp?viewname=MilkCountsSearch&amp;BovineBreed=22&amp;BovineType=3,4,5,6,7,18,19 and https://www.theseus.fi/bitstream/handle/10024/33798/Hallittusiirtyminenalkuperaisrotujenkasv.pdf?sequence=1&amp;isAllowed=y </t>
  </si>
  <si>
    <t>Investments</t>
  </si>
  <si>
    <t>€/LU</t>
  </si>
  <si>
    <t>mins/FU (functional unit = 1 kg carcass weight)</t>
  </si>
  <si>
    <t>Carcass weight (at slaughter at end of year (2 yo heifer))</t>
  </si>
  <si>
    <t xml:space="preserve">Dressing % </t>
  </si>
  <si>
    <t>Average luke excretion data</t>
  </si>
  <si>
    <t>Equation 2 luke excretion data</t>
  </si>
  <si>
    <t>mins/animal/yr</t>
  </si>
  <si>
    <t>hrs/animal/yr</t>
  </si>
  <si>
    <t>Costs of purchasing Eastern Finn heifers (1 year old heifer)</t>
  </si>
  <si>
    <t>https://www.theseus.fi/bitstream/handle/10024/55918/Inkeroinen_Heikki.pdf?sequence=1&amp;isAllowed=y</t>
  </si>
  <si>
    <t>Energy use on beef farm</t>
  </si>
  <si>
    <t>Kwh/animal</t>
  </si>
  <si>
    <t>https://www.sciencedirect.com/science/article/pii/S0308521X21002031</t>
  </si>
  <si>
    <t>Water demand for beef heifers</t>
  </si>
  <si>
    <t>L/kg produced</t>
  </si>
  <si>
    <t>https://www.mtk.fi/beef</t>
  </si>
  <si>
    <t>€/cow stall</t>
  </si>
  <si>
    <t>Costs/m2</t>
  </si>
  <si>
    <t>€/m2</t>
  </si>
  <si>
    <t>m2/cow</t>
  </si>
  <si>
    <t>Costs per cow stall (mode 7 barn --&gt; small m2, good for small finn cattle)</t>
  </si>
  <si>
    <t>Metabolic weight</t>
  </si>
  <si>
    <t>/kg Metabolic weight</t>
  </si>
  <si>
    <t>L/kg beef produced</t>
  </si>
  <si>
    <t>days/year</t>
  </si>
  <si>
    <t>Livestock unit (European)</t>
  </si>
  <si>
    <t>livestock unit/heifer</t>
  </si>
  <si>
    <t>https://ec.europa.eu/eurostat/statistics-explained/index.php?title=Glossary:Livestock_unit_(LSU)</t>
  </si>
  <si>
    <t>Other variable costs</t>
  </si>
  <si>
    <t>Contract work</t>
  </si>
  <si>
    <t>Machine rents paid</t>
  </si>
  <si>
    <t>Insurance</t>
  </si>
  <si>
    <t>Maintenance</t>
  </si>
  <si>
    <t>Other fixed costs</t>
  </si>
  <si>
    <t>https://portal.mtt.fi/portal/pls/portal/tt_mtt.tt_mtt_kankir_pack.laheta</t>
  </si>
  <si>
    <t>VS (%)</t>
  </si>
  <si>
    <t>Fuel consumption/ha</t>
  </si>
  <si>
    <t>(L/ha)</t>
  </si>
  <si>
    <t>Total N kg/tonne DM</t>
  </si>
  <si>
    <t>Total P kg /tonne DM</t>
  </si>
  <si>
    <t>Residue to product ratio</t>
  </si>
  <si>
    <t>R/P</t>
  </si>
  <si>
    <t>Crop rotation decision variables (5 year crop rotation)</t>
  </si>
  <si>
    <t>Crop type</t>
  </si>
  <si>
    <t>Cereals</t>
  </si>
  <si>
    <t>Oilseeds</t>
  </si>
  <si>
    <t>Pulses</t>
  </si>
  <si>
    <t>Grass leys</t>
  </si>
  <si>
    <t>Total cash crops</t>
  </si>
  <si>
    <t>Total grasses</t>
  </si>
  <si>
    <t>Total land used (ha):</t>
  </si>
  <si>
    <t>Range for decision variable</t>
  </si>
  <si>
    <t>Max (+20%)</t>
  </si>
  <si>
    <t>Total cereals</t>
  </si>
  <si>
    <t>Total oil seeds</t>
  </si>
  <si>
    <t>Total food pea</t>
  </si>
  <si>
    <t>Grass clover leys</t>
  </si>
  <si>
    <t>Total grass clover leys</t>
  </si>
  <si>
    <t>Total perennial pastures</t>
  </si>
  <si>
    <t xml:space="preserve">Totals </t>
  </si>
  <si>
    <t>Specific crops</t>
  </si>
  <si>
    <t>Area occupied</t>
  </si>
  <si>
    <t>% dominance in crop rotation</t>
  </si>
  <si>
    <t>Crop rotation decision variables (4 year crop rotation)</t>
  </si>
  <si>
    <t>Groups</t>
  </si>
  <si>
    <t>Cash crops</t>
  </si>
  <si>
    <t>Nutritional value of crops</t>
  </si>
  <si>
    <t>Dietary energy (kcal/100g FM)</t>
  </si>
  <si>
    <t>Carbohydrates (g/100g FM)</t>
  </si>
  <si>
    <t>Dietary fibre (g/100g FM)</t>
  </si>
  <si>
    <t>Protein contents (g/100g FM)</t>
  </si>
  <si>
    <t>Wheat</t>
  </si>
  <si>
    <t>Crop</t>
  </si>
  <si>
    <t>Crop product:</t>
  </si>
  <si>
    <t>Canola oil:</t>
  </si>
  <si>
    <t>Peas:</t>
  </si>
  <si>
    <t>Oat grains:</t>
  </si>
  <si>
    <t>Rye flour:</t>
  </si>
  <si>
    <t>Amount of product in grains/fruits</t>
  </si>
  <si>
    <t>FM yield (kg/ha):</t>
  </si>
  <si>
    <t>Hemp seed</t>
  </si>
  <si>
    <t>Fat (g/100g FM)</t>
  </si>
  <si>
    <t>Digestate application</t>
  </si>
  <si>
    <t>Biodigestor</t>
  </si>
  <si>
    <t>Manure and hay input calculated in Eco sheet</t>
  </si>
  <si>
    <t>Biodigestor values in different sources:</t>
  </si>
  <si>
    <t>Source: (citation)</t>
  </si>
  <si>
    <t>Context:</t>
  </si>
  <si>
    <t>(Li et al., 2017)</t>
  </si>
  <si>
    <t>Cattle slurry digestate</t>
  </si>
  <si>
    <t>Digestates</t>
  </si>
  <si>
    <t>Nkoa, 2013</t>
  </si>
  <si>
    <t>Svoboda et al., 2013</t>
  </si>
  <si>
    <t>Cattle manure digestate</t>
  </si>
  <si>
    <t>Borjesson &amp; Berglund., 2007</t>
  </si>
  <si>
    <t>Sommer et al., 1997</t>
  </si>
  <si>
    <t>Digested cattle manure</t>
  </si>
  <si>
    <t>Moller, 2015</t>
  </si>
  <si>
    <t>Solid manure storage digestate</t>
  </si>
  <si>
    <t>Hansen et al., 2006</t>
  </si>
  <si>
    <t>Average:</t>
  </si>
  <si>
    <t>Rani., 2022</t>
  </si>
  <si>
    <t>Wheat straw</t>
  </si>
  <si>
    <t>C_degradation anoxic (TOC)</t>
  </si>
  <si>
    <t>Cattle manure</t>
  </si>
  <si>
    <t>Li et al., 2011</t>
  </si>
  <si>
    <t>Xianya's paper:</t>
  </si>
  <si>
    <t xml:space="preserve">From previous Palopuro research </t>
  </si>
  <si>
    <t>Averages:</t>
  </si>
  <si>
    <t>TOC of influent (fraction)</t>
  </si>
  <si>
    <t>COD of influent (fraction)</t>
  </si>
  <si>
    <t>CH4 emissioins from manure management</t>
  </si>
  <si>
    <t>Kg CH4/head/yr</t>
  </si>
  <si>
    <t>IPCC equation 10.22</t>
  </si>
  <si>
    <t>Livestock units for 1 yo heifer (European metric</t>
  </si>
  <si>
    <t>MJ</t>
  </si>
  <si>
    <t>Barley (hulled):</t>
  </si>
  <si>
    <t>Minimum area needed to satisfy beer production</t>
  </si>
  <si>
    <t>kWh/yr</t>
  </si>
  <si>
    <t>Total steam consumption</t>
  </si>
  <si>
    <t>Minimum amount needed for brewery and biogas functions:</t>
  </si>
  <si>
    <t>MJ/yr</t>
  </si>
  <si>
    <t>P in manure</t>
  </si>
  <si>
    <t>K in manure</t>
  </si>
  <si>
    <t>kg P/animal/yr</t>
  </si>
  <si>
    <t>kg K/animal/yr</t>
  </si>
  <si>
    <t>Fertiliser application of digestates:</t>
  </si>
  <si>
    <t>Max N to apply: (kg N/ha)</t>
  </si>
  <si>
    <t>TN kg/t DM</t>
  </si>
  <si>
    <t>Amount of N applied due to availability of digestate (kg N/ha)</t>
  </si>
  <si>
    <t>Assumption of humification coefficient of 0.35 for straw and 0.2 for diegstate and degradation of digestate is 0.6</t>
  </si>
  <si>
    <t>Average weight of cattle</t>
  </si>
  <si>
    <t>Grassland data (grass clover leys) data all calculated from National Resource Insitute Finland</t>
  </si>
  <si>
    <t>Grass species composition (as silage, with early cut)</t>
  </si>
  <si>
    <t>Species name:</t>
  </si>
  <si>
    <t>N g/ha</t>
  </si>
  <si>
    <t>Silage (early cut)</t>
  </si>
  <si>
    <t>Digestate</t>
  </si>
  <si>
    <t xml:space="preserve">CH4 (m3-tVS) </t>
  </si>
  <si>
    <t>Methane content (%):</t>
  </si>
  <si>
    <t>Straw used for bedding (Finnish life cycle beef assessment</t>
  </si>
  <si>
    <t>Chemical oxygen demand</t>
  </si>
  <si>
    <t>Silage (kg DM)</t>
  </si>
  <si>
    <t>Digestate (kg FM)</t>
  </si>
  <si>
    <t>Horse manure (kg DM)</t>
  </si>
  <si>
    <t>Chicken manure (kg DM)</t>
  </si>
  <si>
    <t>Assumptions for animals --&gt; heifer &gt;1 yo and using equations to calculate typical Eastern Finn cattle excretion rates (https://jukuri.luke.fi/bitstream/handle/10024/553607/luke-luobio_68_2023.pdf?sequence=1&amp;isAllowed=y)</t>
  </si>
  <si>
    <t>Barley (theoretical for scenarios)</t>
  </si>
  <si>
    <t>FarmDESIGN input:</t>
  </si>
  <si>
    <t>https://www.proagria.fi/uploads/Maidon_tuotosseuranta_tulokset_2022.pdf</t>
  </si>
  <si>
    <t>Detailed list of excretion data for Eastern Finn cattle</t>
  </si>
  <si>
    <t>Barley (for brewery scenarios)</t>
  </si>
  <si>
    <t>Animal</t>
  </si>
  <si>
    <t>Animal product</t>
  </si>
  <si>
    <t>Production</t>
  </si>
  <si>
    <t>Marketable portion</t>
  </si>
  <si>
    <t>Nutrients</t>
  </si>
  <si>
    <t>Dietary energy</t>
  </si>
  <si>
    <t>Carbohydrates</t>
  </si>
  <si>
    <t>Dietary fibre</t>
  </si>
  <si>
    <t>Fat contents</t>
  </si>
  <si>
    <t>Energy contents</t>
  </si>
  <si>
    <t>Protein contens</t>
  </si>
  <si>
    <t>Energy requirement</t>
  </si>
  <si>
    <t>Protein requirement</t>
  </si>
  <si>
    <t>per kg DM</t>
  </si>
  <si>
    <t>kcal/100 g FM</t>
  </si>
  <si>
    <t>€/kg</t>
  </si>
  <si>
    <t>fraction</t>
  </si>
  <si>
    <t>https://www.ncbi.nlm.nih.gov/pmc/articles/PMC10000121/</t>
  </si>
  <si>
    <t>https://fdc.nal.usda.gov/fdc-app.html#/food-details/2646175/nutrients</t>
  </si>
  <si>
    <t>MJ/kg</t>
  </si>
  <si>
    <t>CP g/kg</t>
  </si>
  <si>
    <t>Maximise food production (maximise production of protein and energy content on all food crops)</t>
  </si>
  <si>
    <t>Livestock units</t>
  </si>
  <si>
    <t>LU for 1 eastern Finn heifer (kg)</t>
  </si>
  <si>
    <t>€/heifer</t>
  </si>
  <si>
    <t>Meat characteristics</t>
  </si>
  <si>
    <t>Fraction of manunre in baseline</t>
  </si>
  <si>
    <t>Fraction of manure in scenarios (depends on the amount of cattle)</t>
  </si>
  <si>
    <t>kg/100kg BW</t>
  </si>
  <si>
    <t>kg/kg DMI</t>
  </si>
  <si>
    <t>Subsidy per animal</t>
  </si>
  <si>
    <t>Total price per animal (costs of production and subsidies)</t>
  </si>
  <si>
    <t>€ total:</t>
  </si>
  <si>
    <t>Mwh/yr</t>
  </si>
  <si>
    <t>Kwh for total amount of animals</t>
  </si>
  <si>
    <t>no of animals:</t>
  </si>
  <si>
    <t>No.</t>
  </si>
  <si>
    <t>(data converted with equation in manual) https://statdb.luke.fi/PxWeb/pxweb/en/LUKE/LUKE__08%20Indikaattorit__06%20Ymp%c3%a4rist%c3%b6__16%20Peltojen%20vesieroosio/01_Peltojen_vesieroosio_kunta.px/table/tableViewLayout2/?rxid=089e05c4-d98c-4f5b-a29b-9949f7246d34</t>
  </si>
  <si>
    <t>Area used for cultivation</t>
  </si>
  <si>
    <t>Minimum amount needed for brewery, animals and biogas functions:</t>
  </si>
  <si>
    <t>Equation from IPCC 10.56</t>
  </si>
  <si>
    <t>IPCC 10.22 equation</t>
  </si>
  <si>
    <t>IPCC 10.20 equation</t>
  </si>
  <si>
    <t>Max yield that can be achieved based on limit of decision variable</t>
  </si>
  <si>
    <t>Crop:</t>
  </si>
  <si>
    <t>Yield per ha (kg DM/ha)</t>
  </si>
  <si>
    <t>Max yield based on decision variable max (kg DM)</t>
  </si>
  <si>
    <t>Rapeseed</t>
  </si>
  <si>
    <t>Rapseed straw</t>
  </si>
  <si>
    <t>Grass clover ley</t>
  </si>
  <si>
    <t>Imported manures</t>
  </si>
  <si>
    <t>Oat straw</t>
  </si>
  <si>
    <t>Oat feed grains</t>
  </si>
  <si>
    <t>Oat food grains</t>
  </si>
  <si>
    <t>Seeds</t>
  </si>
  <si>
    <t>Seed cake</t>
  </si>
  <si>
    <t>Perennial pasture</t>
  </si>
  <si>
    <t>Grain</t>
  </si>
  <si>
    <t>Rye straw</t>
  </si>
  <si>
    <t>Barley</t>
  </si>
  <si>
    <t>Straw</t>
  </si>
  <si>
    <t>Brewer's spent yeast</t>
  </si>
  <si>
    <t>Carcass weight (at slaughter at end of year (1 yo heifer))</t>
  </si>
  <si>
    <t>Minimum amount required to feed chickens</t>
  </si>
  <si>
    <t>kg FM/yr</t>
  </si>
  <si>
    <t>Communications with brewery experts</t>
  </si>
  <si>
    <t>Eastern Finn</t>
  </si>
  <si>
    <t>Meat</t>
  </si>
  <si>
    <t>MJ/kg LW</t>
  </si>
  <si>
    <t>CP g/kg LW</t>
  </si>
  <si>
    <t>Tonnes/animal/year</t>
  </si>
  <si>
    <t>https://www.dairynz.co.nz/animal/heifers/feeding-nutrition/</t>
  </si>
  <si>
    <t>Amount that can applied on the oil seeds and cereal crops (DM kg/ha) (based on availability)</t>
  </si>
  <si>
    <t>g/kg Metabolic weight</t>
  </si>
  <si>
    <t>MJ/kg Metabolic weight</t>
  </si>
  <si>
    <t>Equation 89 Luke excretion data</t>
  </si>
  <si>
    <t>Metabolisable energy intake for growth</t>
  </si>
  <si>
    <t>https://www.sciencedirect.com/science/article/pii/S0022030277840745#:~:text=The%20sum%20of%20factorial%20nitrogen,net%20protein%20requirement%20for%20maintenance.</t>
  </si>
  <si>
    <t>Crude protein required intake for growth</t>
  </si>
  <si>
    <t>Ratios of farmDESIGN inputs</t>
  </si>
  <si>
    <t>Ratio of manure</t>
  </si>
  <si>
    <t>Ratio of crop residues</t>
  </si>
  <si>
    <t>Ratio of bedding</t>
  </si>
  <si>
    <t>Horse manure:</t>
  </si>
  <si>
    <t>Chicken manure:</t>
  </si>
  <si>
    <t>Biomass for energy:</t>
  </si>
  <si>
    <t>Deep litter</t>
  </si>
  <si>
    <t>DM manure on pasture</t>
  </si>
  <si>
    <t>kg DM/animal/yr</t>
  </si>
  <si>
    <t>DM of manure in storage</t>
  </si>
  <si>
    <t>Feed requirement</t>
  </si>
  <si>
    <t>Category:</t>
  </si>
  <si>
    <t>Age:</t>
  </si>
  <si>
    <t>Age start of cycle</t>
  </si>
  <si>
    <t>Age at end of cycle</t>
  </si>
  <si>
    <t>Weight:</t>
  </si>
  <si>
    <t>Average daily gain</t>
  </si>
  <si>
    <t>Energy:</t>
  </si>
  <si>
    <t>Energy required for maintenance</t>
  </si>
  <si>
    <t>ME intake per kg DM</t>
  </si>
  <si>
    <t>Protein</t>
  </si>
  <si>
    <t>Protein intake for growth</t>
  </si>
  <si>
    <t>ME, MJ</t>
  </si>
  <si>
    <t>Excretion</t>
  </si>
  <si>
    <t>Slaughter age</t>
  </si>
  <si>
    <t>Carcass weight</t>
  </si>
  <si>
    <t>DM% of manure</t>
  </si>
  <si>
    <t>Heifer calves</t>
  </si>
  <si>
    <t>Bull calves</t>
  </si>
  <si>
    <t>1yo heifers</t>
  </si>
  <si>
    <t>2yo heifers</t>
  </si>
  <si>
    <t>2 yo steers</t>
  </si>
  <si>
    <t>Joining bulls</t>
  </si>
  <si>
    <t>Numbers:</t>
  </si>
  <si>
    <t>Livestock unit:</t>
  </si>
  <si>
    <t>Proportion of herd</t>
  </si>
  <si>
    <t>Replacement rate</t>
  </si>
  <si>
    <t>1 yo steers</t>
  </si>
  <si>
    <t>Live weight at start of growth period</t>
  </si>
  <si>
    <t>Live weight at end of growth period</t>
  </si>
  <si>
    <t>Birth weight:</t>
  </si>
  <si>
    <t>Intake:</t>
  </si>
  <si>
    <t>Dry matter intake:</t>
  </si>
  <si>
    <t>Average for bull calves</t>
  </si>
  <si>
    <t>Average for heifer calves</t>
  </si>
  <si>
    <t>1 yo bulls</t>
  </si>
  <si>
    <t>2 yo bulls</t>
  </si>
  <si>
    <t>Correction factor</t>
  </si>
  <si>
    <t>Cows (lactating) and pregnant</t>
  </si>
  <si>
    <t>https://dulvertonangus.com.au/longevity-the-unmeasured-trait/</t>
  </si>
  <si>
    <t>Table 29</t>
  </si>
  <si>
    <t>slaughter age x carcass weight</t>
  </si>
  <si>
    <t>https://www.sciencedirect.com/science/article/pii/S0308521X21002032</t>
  </si>
  <si>
    <t>https://www.sciencedirect.com/science/article/pii/S0308521X21002033</t>
  </si>
  <si>
    <t>https://www.sciencedirect.com/science/article/pii/S0308521X21002034</t>
  </si>
  <si>
    <t>https://www.sciencedirect.com/science/article/pii/S0308521X21002035</t>
  </si>
  <si>
    <t>https://www.sciencedirect.com/science/article/pii/S0308521X21002036</t>
  </si>
  <si>
    <t>https://www.sciencedirect.com/science/article/pii/S0308521X21002037</t>
  </si>
  <si>
    <t>https://www.sciencedirect.com/science/article/pii/S0308521X21002038</t>
  </si>
  <si>
    <t>https://www.sciencedirect.com/science/article/pii/S0308521X21002039</t>
  </si>
  <si>
    <t>https://www.sciencedirect.com/science/article/pii/S0308521X21002040</t>
  </si>
  <si>
    <t>https://www.sciencedirect.com/science/article/pii/S0308521X21002041</t>
  </si>
  <si>
    <t>https://www.sciencedirect.com/science/article/pii/S0308521X21002042</t>
  </si>
  <si>
    <t>https://www.sciencedirect.com/science/article/pii/S0308521X21002043</t>
  </si>
  <si>
    <t>https://www.sciencedirect.com/science/article/pii/S0308521X21002044</t>
  </si>
  <si>
    <t>https://www.sciencedirect.com/science/article/pii/S0308521X21002045</t>
  </si>
  <si>
    <t>https://www.sciencedirect.com/science/article/pii/S0308521X21002046</t>
  </si>
  <si>
    <t>https://www.sciencedirect.com/science/article/pii/S0308521X21002047</t>
  </si>
  <si>
    <t>https://www.sciencedirect.com/science/article/pii/S0308521X21002048</t>
  </si>
  <si>
    <t>https://www.sciencedirect.com/science/article/pii/S0308521X21002049</t>
  </si>
  <si>
    <t>Joining bulls mature (greater than 5 years) (for calculations)</t>
  </si>
  <si>
    <t>Equation 119 Luke</t>
  </si>
  <si>
    <t>Equation 126 Luke</t>
  </si>
  <si>
    <t>Total MJ required</t>
  </si>
  <si>
    <t>MJ/d</t>
  </si>
  <si>
    <t>Equation 127 Luke</t>
  </si>
  <si>
    <t>Equation 128 and 130 Luke</t>
  </si>
  <si>
    <t>Equation 129 and 130 Luke</t>
  </si>
  <si>
    <t>MJ needed for milking</t>
  </si>
  <si>
    <t>Energy required for growth (LWC for lactating cows)</t>
  </si>
  <si>
    <t>Live weight change (applicable for lactating animals)</t>
  </si>
  <si>
    <t>MJ needed for pregnancy</t>
  </si>
  <si>
    <t>MJ/kg ECM</t>
  </si>
  <si>
    <t>ECM production</t>
  </si>
  <si>
    <t>Milk production</t>
  </si>
  <si>
    <t>Average milk production:</t>
  </si>
  <si>
    <t xml:space="preserve">Protein </t>
  </si>
  <si>
    <t>Fat</t>
  </si>
  <si>
    <t>kg/cow</t>
  </si>
  <si>
    <t>https://www.feedinglivestock.vic.gov.au/beef-resources/useful-tables-beef/</t>
  </si>
  <si>
    <t>Proportion of time on pasture</t>
  </si>
  <si>
    <t>https://www.msdvetmanual.com/management-and-nutrition/nutrition-beef-cattle/feeding-and-nutritional-management-of-beef-cattle</t>
  </si>
  <si>
    <t>https://www.publish.csiro.au/ebook/chapter/9780643107427_Chapter4</t>
  </si>
  <si>
    <t>https://www.publish.csiro.au/ebook/chapter/9780643107427_Chapter5</t>
  </si>
  <si>
    <t>https://www.publish.csiro.au/ebook/chapter/9780643107427_Chapter6</t>
  </si>
  <si>
    <t>https://www.publish.csiro.au/ebook/chapter/9780643107427_Chapter7</t>
  </si>
  <si>
    <t>https://www.publish.csiro.au/ebook/chapter/9780643107427_Chapter8</t>
  </si>
  <si>
    <t>https://www.publish.csiro.au/ebook/chapter/9780643107427_Chapter9</t>
  </si>
  <si>
    <t>https://www.publish.csiro.au/ebook/chapter/9780643107427_Chapter10</t>
  </si>
  <si>
    <t>https://www.publish.csiro.au/ebook/chapter/9780643107427_Chapter11</t>
  </si>
  <si>
    <t>https://www.publish.csiro.au/ebook/chapter/9780643107427_Chapter12</t>
  </si>
  <si>
    <t>https://www.publish.csiro.au/ebook/chapter/9780643107427_Chapter2</t>
  </si>
  <si>
    <t>https://www.publish.csiro.au/ebook/chapter/9780643107427_Chapter3</t>
  </si>
  <si>
    <t>https://extension.sdstate.edu/sites/default/files/2021-05/S-0013-23.pdf</t>
  </si>
  <si>
    <t>Digestibility value of grass clover silage and pastures (leys and permanent)</t>
  </si>
  <si>
    <t>DM of manure</t>
  </si>
  <si>
    <t>https://www.sciencedirect.com/science/article/pii/S0022030207718969</t>
  </si>
  <si>
    <t>Equation 44, Luke</t>
  </si>
  <si>
    <t>Equation 45, Luke</t>
  </si>
  <si>
    <t>Emissions</t>
  </si>
  <si>
    <t>Methane emission enteric fermentation</t>
  </si>
  <si>
    <t>Methane emissions from manure</t>
  </si>
  <si>
    <t>kg CH4/head/yr</t>
  </si>
  <si>
    <t>Concentration of milk and pasture in calf diet</t>
  </si>
  <si>
    <t>28-63</t>
  </si>
  <si>
    <t>1-28</t>
  </si>
  <si>
    <t>63-91</t>
  </si>
  <si>
    <t>91-182</t>
  </si>
  <si>
    <t>Averages from baseline data of grass clover and silage</t>
  </si>
  <si>
    <t>Averages from baseline data of grass clover and silage and all hays</t>
  </si>
  <si>
    <t>K intake</t>
  </si>
  <si>
    <t>g/d</t>
  </si>
  <si>
    <t>Appendix 4</t>
  </si>
  <si>
    <t>Appendix 5</t>
  </si>
  <si>
    <t>Appendix 6</t>
  </si>
  <si>
    <t>Appendix 3</t>
  </si>
  <si>
    <t>Equation 46</t>
  </si>
  <si>
    <t>Equation 47</t>
  </si>
  <si>
    <t>Equation 48</t>
  </si>
  <si>
    <t>l/d</t>
  </si>
  <si>
    <t>Equation 49</t>
  </si>
  <si>
    <t>N g/kg DM</t>
  </si>
  <si>
    <t>Luke feeding tables</t>
  </si>
  <si>
    <t>Digestibility of feed x DMI</t>
  </si>
  <si>
    <t>Crude protein for growth divided by 6.25</t>
  </si>
  <si>
    <t>N intake x DMI</t>
  </si>
  <si>
    <t>N intake/day x Digestibility of feed</t>
  </si>
  <si>
    <t>Equation 116</t>
  </si>
  <si>
    <t>Methane conversion factor</t>
  </si>
  <si>
    <t>% GE in feed converted to methane</t>
  </si>
  <si>
    <t>IPCC chapter 10 equation, equation 10.21</t>
  </si>
  <si>
    <t>https://www.ncbi.nlm.nih.gov/pmc/articles/PMC8229771/</t>
  </si>
  <si>
    <t>GE intake per kg DM</t>
  </si>
  <si>
    <t>Default table 34</t>
  </si>
  <si>
    <t>IPCC chapter 10 equation, equation 10.22</t>
  </si>
  <si>
    <t>Emission factor for defined livestock population</t>
  </si>
  <si>
    <t>kg CH4/head/year</t>
  </si>
  <si>
    <t>IPCC chapter 10, table 10.14</t>
  </si>
  <si>
    <t>kg/head/year</t>
  </si>
  <si>
    <t>L/head/year</t>
  </si>
  <si>
    <t xml:space="preserve">N in urine </t>
  </si>
  <si>
    <t>Appendix 7</t>
  </si>
  <si>
    <t>2yo heifers (in calf, non lactating)</t>
  </si>
  <si>
    <t>kg N/head/year</t>
  </si>
  <si>
    <t>kg DM/animal/year</t>
  </si>
  <si>
    <t>N kg/animal/year</t>
  </si>
  <si>
    <t>FarmDESIGN parameters</t>
  </si>
  <si>
    <t>Subsidy unit</t>
  </si>
  <si>
    <t xml:space="preserve">unit </t>
  </si>
  <si>
    <t>Total price per animal (market price of production and subsidies)</t>
  </si>
  <si>
    <t>Price per animal</t>
  </si>
  <si>
    <t>€/100 kg</t>
  </si>
  <si>
    <t>Subsidy divided by average live weight</t>
  </si>
  <si>
    <t>Equation was the finctional unit (carcass weight) multiplied with the amount of minutes of work required for each functional unit as a result of the study linked in the cell. This number was then multiplied by the proportion of work done by regular and casual labour to give a number for the average working hours per animal</t>
  </si>
  <si>
    <t>kg/100kg BW (NDF)</t>
  </si>
  <si>
    <t>https://www.sciencedirect.com/science/article/pii/S0959652619303622?via=ihub</t>
  </si>
  <si>
    <t>Appendix D of results (gives equations)</t>
  </si>
  <si>
    <t>Max based on crop rotation</t>
  </si>
  <si>
    <t>Range for fixing the model</t>
  </si>
  <si>
    <t>Min (-20%)</t>
  </si>
  <si>
    <t>Number of animals (depends on 1 cow)</t>
  </si>
  <si>
    <t>kg DM/year</t>
  </si>
  <si>
    <t>DMI in barn</t>
  </si>
  <si>
    <t>DMI in pasture</t>
  </si>
  <si>
    <t>kg CH4/yr</t>
  </si>
  <si>
    <t>Margin for production (all costs, labour and care)</t>
  </si>
  <si>
    <t>Price per animal when relative to the weight from production</t>
  </si>
  <si>
    <t>Equation 10.21 IPCC</t>
  </si>
  <si>
    <t>Energy use for entire herd</t>
  </si>
  <si>
    <t>Energy use per animal</t>
  </si>
  <si>
    <t>Kwh/animal/year</t>
  </si>
  <si>
    <t>kwh/year</t>
  </si>
  <si>
    <t xml:space="preserve">Amount of animals in system </t>
  </si>
  <si>
    <t>Total energy use for the herd</t>
  </si>
  <si>
    <t xml:space="preserve">Total energy use converted to MJ </t>
  </si>
  <si>
    <t>Steam needed for brewery operations</t>
  </si>
  <si>
    <t>Mwh/year</t>
  </si>
  <si>
    <t>Energy needed for brewery operations (Eletricity consumption based on annual production (500000L))</t>
  </si>
  <si>
    <t>Energy needed for farm operations and biogas plant operations</t>
  </si>
  <si>
    <t>Total energy required from biogas plant for animal and brewery operations</t>
  </si>
  <si>
    <t>Total energy needed for farm operations and animal needs (eco and Fin scenarios)</t>
  </si>
  <si>
    <t>Total energy required from biogas plant for animal and brewery operations (eco_brew and Fin_brew scenarios)</t>
  </si>
  <si>
    <t>Amount of animals in systems in livestock units:</t>
  </si>
  <si>
    <t>Total LU</t>
  </si>
  <si>
    <t>Amount of heifer calves</t>
  </si>
  <si>
    <t>Amount of bulls 1yo</t>
  </si>
  <si>
    <t>Amount of bulls 2yo</t>
  </si>
  <si>
    <t>Amount of steers</t>
  </si>
  <si>
    <t>Amount of bull calves</t>
  </si>
  <si>
    <t>Amount of heifers 1yo</t>
  </si>
  <si>
    <t>Amount of heifers 2yo</t>
  </si>
  <si>
    <t>Amount of Suckler cows</t>
  </si>
  <si>
    <t>Total Amount of bull calves manure (kg/day)</t>
  </si>
  <si>
    <t>Total Amount of heifer calves manure (kg/day)</t>
  </si>
  <si>
    <t>Total Amount of steers manure (kg/day)</t>
  </si>
  <si>
    <t>Total Amount of bulls 1yo manure (kg/day)</t>
  </si>
  <si>
    <t>Total Amount of bulls 2yo manure (kg/day)</t>
  </si>
  <si>
    <t>Total amount Joining bulls manure (kg/day)</t>
  </si>
  <si>
    <t>Total Amount of heifers 1yo manure (kg/day)</t>
  </si>
  <si>
    <t>Total Amount of heifers 2yo manure (kg/day)</t>
  </si>
  <si>
    <t>Total Amount of Suckler cows manure (kg/day)</t>
  </si>
  <si>
    <t>kg/animal/day</t>
  </si>
  <si>
    <t>total faeces excreted (kg/year)</t>
  </si>
  <si>
    <t>kg/head/day</t>
  </si>
  <si>
    <t>P in urine</t>
  </si>
  <si>
    <t>kg P/head/year</t>
  </si>
  <si>
    <t>C in manure</t>
  </si>
  <si>
    <t>DOI: 10.1007/s10705-010-9394-0</t>
  </si>
  <si>
    <t>OATS: (Accountants calculations (obtained from Markus)) --&gt; All crops will share same financial data (except oil hemp seeds which have unique contractor costs)</t>
  </si>
  <si>
    <t>Price dry matter</t>
  </si>
  <si>
    <t>€/kg DM</t>
  </si>
  <si>
    <t>Pg/100g DM</t>
  </si>
  <si>
    <t>p g/100g DM</t>
  </si>
  <si>
    <t>All feed values of grasses come from feedpedia or Luke. If there is a comment on a cell, it often indictaes data was obtained from a scientific journal and the comment holds the link</t>
  </si>
  <si>
    <t>kg P/ha</t>
  </si>
  <si>
    <t>g P/kg DM</t>
  </si>
  <si>
    <t>P g/100g DM</t>
  </si>
  <si>
    <t>Whole wheat flour</t>
  </si>
  <si>
    <t>2,73</t>
  </si>
  <si>
    <t>Deep litter values from calves &lt;1yo</t>
  </si>
  <si>
    <t>Deep litter values from &gt;1yo bulls with slaughter weight of 391kg</t>
  </si>
  <si>
    <t>Deep litter from values &gt;1yo heifers (ex storage)</t>
  </si>
  <si>
    <t>Deep litter from values suckler cows (ex storage)</t>
  </si>
  <si>
    <t>Deep litter nutrient contents found on: Source: https://core.ac.uk/download/pdf/84730303.pdf</t>
  </si>
  <si>
    <t>% dominance in crop rotation in each partition (cash cop land and grasslands)</t>
  </si>
  <si>
    <t>Area remaining when proportionate land taken our of each crop for the cultivation of barley (ha/crop)</t>
  </si>
  <si>
    <t>% in crop rotation based on new partition values</t>
  </si>
  <si>
    <t>Max Digestate that can be applied (based on nitrate directive from EU) (DM kg/ha)</t>
  </si>
  <si>
    <t>Min Digestate that can be applied (when chicken and horse manure placed in digestor only (DM kg/ha)</t>
  </si>
  <si>
    <t>Amount for fertilisation as used in FarmDESIGN:</t>
  </si>
  <si>
    <t>Price per product (based on application costs) (€/kg)</t>
  </si>
  <si>
    <t>Fertility rate</t>
  </si>
  <si>
    <t>Price per animal when relative to the weight from production based on the amount of animals that are culled each year</t>
  </si>
  <si>
    <t>Total DM intake for year requirements (kg DM/yr)</t>
  </si>
  <si>
    <t>Scenario</t>
  </si>
  <si>
    <t>5-year crop rotation</t>
  </si>
  <si>
    <t>Contraint</t>
  </si>
  <si>
    <t>Sub-scenario</t>
  </si>
  <si>
    <t>Component of farm</t>
  </si>
  <si>
    <t>Animals</t>
  </si>
  <si>
    <t>Value put in farmDESIGN: (min)</t>
  </si>
  <si>
    <t>Value put in farmDESIGN: (max)</t>
  </si>
  <si>
    <t>Grazing dry matter intake deviation</t>
  </si>
  <si>
    <t>Grazing energy needs deviation</t>
  </si>
  <si>
    <t>Grazing protein need deviation</t>
  </si>
  <si>
    <t>Indoor dry matter intake deviation</t>
  </si>
  <si>
    <t>Indoor energy needs deviation</t>
  </si>
  <si>
    <t>Indoor protein need deviation</t>
  </si>
  <si>
    <t>Meat self supply</t>
  </si>
  <si>
    <t>Bioenergy</t>
  </si>
  <si>
    <t>Energy production</t>
  </si>
  <si>
    <t>Bedding balance deviation</t>
  </si>
  <si>
    <t>Self-supply</t>
  </si>
  <si>
    <t>Group frequency</t>
  </si>
  <si>
    <t>Fraction of land</t>
  </si>
  <si>
    <t>Farm land</t>
  </si>
  <si>
    <t>Barley for beer production</t>
  </si>
  <si>
    <t>Imported beer by-products</t>
  </si>
  <si>
    <t>Self supply</t>
  </si>
  <si>
    <t>Fin</t>
  </si>
  <si>
    <t>Same as Eco</t>
  </si>
  <si>
    <t>Fin_brew</t>
  </si>
  <si>
    <t>Same as eco_brew</t>
  </si>
  <si>
    <t>Eco_brew (need to also add eco constraints as they are the same in this subscenario. The ones listed here are additional constraints that had to be added)</t>
  </si>
  <si>
    <t>10080000 for farm + 1393.2 per animal</t>
  </si>
  <si>
    <t>Area</t>
  </si>
  <si>
    <t>10080000 for farm + 1393.2 per animal + 856604.347826087 for brewery electricity and steam needs</t>
  </si>
  <si>
    <t>4-year crop rotation</t>
  </si>
  <si>
    <t>Cash crops frequency</t>
  </si>
  <si>
    <t>Eco, Eco_brew, Fin, Fin_brew (constraints the same as 5-year rotation only different group frequencies)</t>
  </si>
  <si>
    <t>3 cut silage</t>
  </si>
  <si>
    <t>Eco, Eco_brew, Fin, Fin_brew (constraints the same as 5-year rotation, only difference is the crop products of grass-clover leys, exact values in the supplementary material)</t>
  </si>
  <si>
    <t>Same as 5-year crop rotation</t>
  </si>
  <si>
    <t>Decision variable:</t>
  </si>
  <si>
    <t>Component of farm:</t>
  </si>
  <si>
    <t>Sub-scenario:</t>
  </si>
  <si>
    <t>Scenario:</t>
  </si>
  <si>
    <t>Destination of straw crop products (includes oats, wheat, rye, autumn rapeseed, food peas, can be split between bedding, feeding (both in barn or grazing on pasture), and biodigester)</t>
  </si>
  <si>
    <t>Destination of perennial pastures and grass clover pastures (feeding)</t>
  </si>
  <si>
    <t>Destination of grass clover silage (feeding or biodigester)</t>
  </si>
  <si>
    <t>Destination of Hemp oil seed cake (feeding or biodigester)</t>
  </si>
  <si>
    <t>Destination of oat feed grain</t>
  </si>
  <si>
    <t>Crops self supply (only for crops products sold/exported which includes oat food and feed grain, wheat grain, winter rye grain, autumn rapeseed, buckwheat grain and food pea pods)</t>
  </si>
  <si>
    <t>Deviation fed in non grazing period of all crop products that can be used as feed</t>
  </si>
  <si>
    <t>Fraction of non-grazing period</t>
  </si>
  <si>
    <t>Crop areas (cash crops)</t>
  </si>
  <si>
    <t>Crop area (grass clover ley)</t>
  </si>
  <si>
    <t>Crop are perennial pasture</t>
  </si>
  <si>
    <t>Suckler cow number</t>
  </si>
  <si>
    <t>Joining bull number</t>
  </si>
  <si>
    <t>Steers 1yo number</t>
  </si>
  <si>
    <t>Replacement rate Suckler cows</t>
  </si>
  <si>
    <t>Replacement rate joining bulls</t>
  </si>
  <si>
    <t>Chicken manure to energy production</t>
  </si>
  <si>
    <t>Horse manure to energy production</t>
  </si>
  <si>
    <t>Maximum area a cash crop can occupy (for decision variable)</t>
  </si>
  <si>
    <t>5-year crop rotation, 3 cuts of silage</t>
  </si>
  <si>
    <t>Eco, eco_brew, fin, fin_brew</t>
  </si>
  <si>
    <t>4-year crop rotation (Basis is the same as 5-year crops rotation and 3 cuts, only difference being the decision variables on crop area)</t>
  </si>
  <si>
    <t>Total DM intake for year limit (kg/year)</t>
  </si>
  <si>
    <t>Protein intake per day (g/kg DM)</t>
  </si>
  <si>
    <t>Total protein intake for year (g/year)</t>
  </si>
  <si>
    <t>Total protein intake for year (kg/year)</t>
  </si>
  <si>
    <t>ADG</t>
  </si>
  <si>
    <t>LW</t>
  </si>
  <si>
    <t>Total energy requirements</t>
  </si>
  <si>
    <t>Dry matter intake for year corrected</t>
  </si>
  <si>
    <t>Protein total eaten each year</t>
  </si>
  <si>
    <t>Protein intake per day</t>
  </si>
  <si>
    <t>Delta between growth MJ and maintenance MJ (for farmDESIGN input)</t>
  </si>
  <si>
    <t>Total MJ required per year (as calculated by farmDESIGN, includes growth and maintenance)</t>
  </si>
  <si>
    <t>MJ/head/year</t>
  </si>
  <si>
    <t>Date:</t>
  </si>
  <si>
    <t>2yo bulls</t>
  </si>
  <si>
    <t>1 yo heifers</t>
  </si>
  <si>
    <t>2 yo heifers</t>
  </si>
  <si>
    <t>5cr</t>
  </si>
  <si>
    <t>eco</t>
  </si>
  <si>
    <t>Suckler cows</t>
  </si>
  <si>
    <t>Steers 1 yo</t>
  </si>
  <si>
    <t>5cr_A</t>
  </si>
  <si>
    <t>Highest number of cattle I could configure or optimise to (letter after scenario denotes a optimisation)</t>
  </si>
  <si>
    <t>5cr_B</t>
  </si>
  <si>
    <t>5cr_C</t>
  </si>
  <si>
    <t>5cr_D</t>
  </si>
  <si>
    <t xml:space="preserve">Total costs for animal production (€) </t>
  </si>
  <si>
    <t xml:space="preserve">Total profit for meat production (€) </t>
  </si>
  <si>
    <t>5cr_E</t>
  </si>
  <si>
    <t>5cr_F</t>
  </si>
  <si>
    <t>5cr_G</t>
  </si>
  <si>
    <t>5cr_H</t>
  </si>
  <si>
    <t>Total amount of deep litter (depends on animal number (T FM/year):</t>
  </si>
  <si>
    <t>FM/tonnes/head/yr (manure produced + hay used in a year) data from spreadsheet assumes that manure collected over whole year and not a portion (tonnes FM/head/yr)</t>
  </si>
  <si>
    <t>Total biomasses: (kg DM)</t>
  </si>
  <si>
    <t>eco_brew</t>
  </si>
  <si>
    <t>Age at slaughter (days)</t>
  </si>
  <si>
    <t>Carcass weight (kg)</t>
  </si>
  <si>
    <t>Price per kg (€/kg)</t>
  </si>
  <si>
    <t>Total price per head (€/head)</t>
  </si>
  <si>
    <t>Gross margin €</t>
  </si>
  <si>
    <t>Costs per animal (€/head)</t>
  </si>
  <si>
    <t>Regular labour needed per animal (hrs/animal)</t>
  </si>
  <si>
    <t>Casual labour needed per animal (hrs/animal)</t>
  </si>
  <si>
    <t>Labour costs per animal (€/head)</t>
  </si>
  <si>
    <t>Total costs for production of animals (€/head)</t>
  </si>
  <si>
    <t>Profit per animal (€/head)</t>
  </si>
  <si>
    <t>economics</t>
  </si>
  <si>
    <t>general costs</t>
  </si>
  <si>
    <t>euros</t>
  </si>
  <si>
    <t>fin</t>
  </si>
  <si>
    <t>Ratio fo crop residues without the brewery by-products</t>
  </si>
  <si>
    <t>n/a</t>
  </si>
  <si>
    <t>Leisure time</t>
  </si>
  <si>
    <t>Operating profit</t>
  </si>
  <si>
    <t>5cr_I</t>
  </si>
  <si>
    <t>5cr_J</t>
  </si>
  <si>
    <t>5cr_K</t>
  </si>
  <si>
    <t>&lt;-- amount of weeks needed to meet casual labour demand of cattle</t>
  </si>
  <si>
    <t>5cr_hrs</t>
  </si>
  <si>
    <t>Surplus regular labour</t>
  </si>
  <si>
    <t>Surplus casual labour</t>
  </si>
  <si>
    <t>5cr_hrs_A</t>
  </si>
  <si>
    <t>5cr_hrs_B</t>
  </si>
  <si>
    <t>5cr_hrs_C</t>
  </si>
  <si>
    <t>fin_brew</t>
  </si>
  <si>
    <t>fin_brew_hrs</t>
  </si>
  <si>
    <t>4cr</t>
  </si>
  <si>
    <t>Grass clover leys maximum area that can be occupied</t>
  </si>
  <si>
    <t>4cr_A</t>
  </si>
  <si>
    <t>4cr_B</t>
  </si>
  <si>
    <t>4cr_C</t>
  </si>
  <si>
    <t>4cr_D</t>
  </si>
  <si>
    <t>4cr_E</t>
  </si>
  <si>
    <t>4cr_F</t>
  </si>
  <si>
    <t>4cr_G</t>
  </si>
  <si>
    <t>4cr_H</t>
  </si>
  <si>
    <t>4cr_I</t>
  </si>
  <si>
    <t>4cr_J</t>
  </si>
  <si>
    <t>Max digestate that can be applied at farm level (kg DM/year)</t>
  </si>
  <si>
    <t>4cr_K</t>
  </si>
  <si>
    <t>Value to place in farmDESIGN to ensure field constraints are not violated in brewery scenarios 4 year crop rotation</t>
  </si>
  <si>
    <t>Value to place in farmDESIGN to ensure field constraints are not violated in non brewery scenarios 4 year crop rotation</t>
  </si>
  <si>
    <t>% dominance in crop rotation in each partition (cash crop land and grasslands)</t>
  </si>
  <si>
    <t>Max</t>
  </si>
  <si>
    <t>ha of crop rotstion in 4 year crop rotation for initial run</t>
  </si>
  <si>
    <t>% dominance without Barley</t>
  </si>
  <si>
    <t xml:space="preserve">Max oat feed grain yield </t>
  </si>
  <si>
    <t>DM yield in relation to a partition</t>
  </si>
  <si>
    <t>DM yield for Siebrants program based on ratios in land (DM kg/ha)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</si>
</sst>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00"/>
    <numFmt numFmtId="168" formatCode="#,##0.000000"/>
    <numFmt numFmtId="171" formatCode="0.0000000"/>
  </numFmts>
  <fonts count="12" x14ac:knownFonts="1">
    <font>
      <sz val="11"/>
      <color theme="1"/>
      <name val="Calibri"/>
      <family val="2"/>
      <scheme val="minor"/>
    </font>
    <font>
      <sz val="11"/>
      <color theme="1"/>
      <name val="Calibri"/>
      <family val="2"/>
    </font>
    <font>
      <b/>
      <sz val="11"/>
      <color theme="1"/>
      <name val="Calibri"/>
      <family val="2"/>
      <scheme val="minor"/>
    </font>
    <font>
      <u/>
      <sz val="11"/>
      <color theme="10"/>
      <name val="Calibri"/>
      <family val="2"/>
      <scheme val="minor"/>
    </font>
    <font>
      <sz val="8"/>
      <name val="Calibri"/>
      <family val="2"/>
      <scheme val="minor"/>
    </font>
    <font>
      <sz val="9"/>
      <color indexed="81"/>
      <name val="Tahoma"/>
      <family val="2"/>
    </font>
    <font>
      <b/>
      <sz val="9"/>
      <color indexed="81"/>
      <name val="Tahoma"/>
      <family val="2"/>
    </font>
    <font>
      <sz val="11"/>
      <name val="Calibri"/>
      <family val="2"/>
      <scheme val="minor"/>
    </font>
    <font>
      <sz val="11"/>
      <color rgb="FFFF0000"/>
      <name val="Calibri"/>
      <family val="2"/>
      <scheme val="minor"/>
    </font>
    <font>
      <sz val="9"/>
      <color indexed="81"/>
      <name val="Tahoma"/>
      <charset val="1"/>
    </font>
    <font>
      <b/>
      <sz val="9"/>
      <color indexed="81"/>
      <name val="Tahoma"/>
      <charset val="1"/>
    </font>
    <font>
      <sz val="10"/>
      <color theme="1"/>
      <name val="Calibri"/>
    </font>
  </fonts>
  <fills count="15">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3399"/>
        <bgColor indexed="64"/>
      </patternFill>
    </fill>
    <fill>
      <patternFill patternType="solid">
        <fgColor rgb="FF66FF33"/>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FC000"/>
        <bgColor indexed="64"/>
      </patternFill>
    </fill>
  </fills>
  <borders count="18">
    <border>
      <left/>
      <right/>
      <top/>
      <bottom/>
      <diagonal/>
    </border>
    <border>
      <left/>
      <right style="thick">
        <color auto="1"/>
      </right>
      <top style="thick">
        <color auto="1"/>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style="thick">
        <color auto="1"/>
      </left>
      <right/>
      <top style="thick">
        <color auto="1"/>
      </top>
      <bottom/>
      <diagonal/>
    </border>
    <border>
      <left style="thick">
        <color auto="1"/>
      </left>
      <right/>
      <top/>
      <bottom/>
      <diagonal/>
    </border>
    <border>
      <left/>
      <right/>
      <top style="thick">
        <color auto="1"/>
      </top>
      <bottom/>
      <diagonal/>
    </border>
    <border>
      <left/>
      <right/>
      <top/>
      <bottom style="thick">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80">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vertical="center"/>
    </xf>
    <xf numFmtId="0" fontId="0" fillId="0" borderId="0" xfId="0" applyAlignment="1">
      <alignment horizontal="left" vertical="top" wrapText="1" readingOrder="1"/>
    </xf>
    <xf numFmtId="0" fontId="0" fillId="2" borderId="0" xfId="0" applyFill="1" applyAlignment="1">
      <alignment vertical="center"/>
    </xf>
    <xf numFmtId="0" fontId="0" fillId="2" borderId="0" xfId="0" applyFill="1"/>
    <xf numFmtId="0" fontId="0" fillId="2" borderId="0" xfId="0" applyFill="1" applyAlignment="1">
      <alignment horizontal="left"/>
    </xf>
    <xf numFmtId="0" fontId="0" fillId="3" borderId="0" xfId="0" applyFill="1" applyAlignment="1">
      <alignment vertical="center"/>
    </xf>
    <xf numFmtId="0" fontId="0" fillId="3" borderId="0" xfId="0" applyFill="1"/>
    <xf numFmtId="0" fontId="0" fillId="3" borderId="0" xfId="0" applyFill="1" applyAlignment="1">
      <alignment horizontal="center"/>
    </xf>
    <xf numFmtId="0" fontId="1" fillId="0" borderId="0" xfId="0" applyFont="1"/>
    <xf numFmtId="0" fontId="0" fillId="0" borderId="0" xfId="0" applyAlignment="1">
      <alignment wrapText="1"/>
    </xf>
    <xf numFmtId="0" fontId="0" fillId="0" borderId="0" xfId="0" applyAlignment="1">
      <alignment vertical="center" wrapText="1"/>
    </xf>
    <xf numFmtId="0" fontId="0" fillId="0" borderId="1" xfId="0" applyBorder="1"/>
    <xf numFmtId="0" fontId="0" fillId="0" borderId="2" xfId="0" applyBorder="1"/>
    <xf numFmtId="0" fontId="0" fillId="0" borderId="4" xfId="0" applyBorder="1"/>
    <xf numFmtId="0" fontId="0" fillId="0" borderId="5" xfId="0" applyBorder="1"/>
    <xf numFmtId="0" fontId="0" fillId="0" borderId="7" xfId="0" applyBorder="1"/>
    <xf numFmtId="0" fontId="0" fillId="0" borderId="6" xfId="0" applyBorder="1"/>
    <xf numFmtId="0" fontId="0" fillId="0" borderId="8" xfId="0" applyBorder="1"/>
    <xf numFmtId="0" fontId="0" fillId="0" borderId="3" xfId="0" applyBorder="1"/>
    <xf numFmtId="0" fontId="0" fillId="7" borderId="0" xfId="0" applyFill="1"/>
    <xf numFmtId="0" fontId="0" fillId="10" borderId="0" xfId="0" applyFill="1"/>
    <xf numFmtId="0" fontId="0" fillId="11" borderId="0" xfId="0" applyFill="1"/>
    <xf numFmtId="0" fontId="0" fillId="12" borderId="0" xfId="0" applyFill="1"/>
    <xf numFmtId="0" fontId="0" fillId="0" borderId="0" xfId="0" applyAlignment="1">
      <alignment horizontal="left" vertical="center"/>
    </xf>
    <xf numFmtId="0" fontId="0" fillId="2" borderId="6" xfId="0" applyFill="1" applyBorder="1"/>
    <xf numFmtId="0" fontId="0" fillId="0" borderId="6" xfId="0" applyBorder="1" applyAlignment="1">
      <alignment vertical="center"/>
    </xf>
    <xf numFmtId="0" fontId="0" fillId="3" borderId="6" xfId="0" applyFill="1" applyBorder="1" applyAlignment="1">
      <alignment vertical="center"/>
    </xf>
    <xf numFmtId="0" fontId="0" fillId="0" borderId="8" xfId="0" applyBorder="1" applyAlignment="1">
      <alignment horizontal="left"/>
    </xf>
    <xf numFmtId="0" fontId="0" fillId="2" borderId="9" xfId="0" applyFill="1" applyBorder="1"/>
    <xf numFmtId="0" fontId="0" fillId="2" borderId="10" xfId="0" applyFill="1" applyBorder="1"/>
    <xf numFmtId="0" fontId="0" fillId="2" borderId="11" xfId="0" applyFill="1" applyBorder="1"/>
    <xf numFmtId="0" fontId="0" fillId="0" borderId="12" xfId="0" applyBorder="1" applyAlignment="1">
      <alignment horizontal="center" vertical="center"/>
    </xf>
    <xf numFmtId="0" fontId="0" fillId="0" borderId="13" xfId="0" applyBorder="1"/>
    <xf numFmtId="0" fontId="0" fillId="0" borderId="12" xfId="0" applyBorder="1"/>
    <xf numFmtId="0" fontId="0" fillId="2" borderId="12" xfId="0" applyFill="1" applyBorder="1" applyAlignment="1">
      <alignment vertical="center"/>
    </xf>
    <xf numFmtId="0" fontId="0" fillId="0" borderId="12" xfId="0" applyBorder="1" applyAlignment="1">
      <alignment vertical="center"/>
    </xf>
    <xf numFmtId="0" fontId="0" fillId="3" borderId="12" xfId="0" applyFill="1" applyBorder="1" applyAlignment="1">
      <alignment vertical="center"/>
    </xf>
    <xf numFmtId="0" fontId="0" fillId="0" borderId="14" xfId="0" applyBorder="1"/>
    <xf numFmtId="0" fontId="0" fillId="0" borderId="15" xfId="0" applyBorder="1"/>
    <xf numFmtId="0" fontId="0" fillId="0" borderId="15" xfId="0" applyBorder="1" applyAlignment="1">
      <alignment horizontal="left"/>
    </xf>
    <xf numFmtId="0" fontId="0" fillId="0" borderId="16" xfId="0" applyBorder="1"/>
    <xf numFmtId="0" fontId="0" fillId="0" borderId="10" xfId="0" applyBorder="1"/>
    <xf numFmtId="0" fontId="0" fillId="0" borderId="11" xfId="0" applyBorder="1"/>
    <xf numFmtId="0" fontId="0" fillId="0" borderId="12" xfId="0" applyBorder="1" applyAlignment="1">
      <alignment horizontal="left" vertical="center"/>
    </xf>
    <xf numFmtId="0" fontId="0" fillId="0" borderId="14" xfId="0" applyBorder="1" applyAlignment="1">
      <alignment horizontal="left" vertical="center"/>
    </xf>
    <xf numFmtId="0" fontId="0" fillId="0" borderId="9" xfId="0" applyBorder="1"/>
    <xf numFmtId="0" fontId="0" fillId="0" borderId="10" xfId="0" applyBorder="1" applyAlignment="1">
      <alignment wrapText="1"/>
    </xf>
    <xf numFmtId="0" fontId="0" fillId="0" borderId="11" xfId="0" applyBorder="1" applyAlignment="1">
      <alignment wrapText="1"/>
    </xf>
    <xf numFmtId="0" fontId="0" fillId="0" borderId="14" xfId="0" applyBorder="1" applyAlignment="1">
      <alignment wrapText="1"/>
    </xf>
    <xf numFmtId="0" fontId="0" fillId="0" borderId="13" xfId="0" applyBorder="1" applyAlignment="1">
      <alignment wrapText="1"/>
    </xf>
    <xf numFmtId="1" fontId="0" fillId="2" borderId="0" xfId="0" applyNumberFormat="1" applyFill="1"/>
    <xf numFmtId="0" fontId="7" fillId="0" borderId="0" xfId="0" applyFont="1"/>
    <xf numFmtId="0" fontId="3" fillId="0" borderId="0" xfId="1" applyBorder="1"/>
    <xf numFmtId="0" fontId="7" fillId="2" borderId="0" xfId="0" applyFont="1" applyFill="1"/>
    <xf numFmtId="1" fontId="7" fillId="0" borderId="0" xfId="0" applyNumberFormat="1" applyFont="1"/>
    <xf numFmtId="1" fontId="0" fillId="0" borderId="0" xfId="0" applyNumberFormat="1"/>
    <xf numFmtId="165" fontId="0" fillId="0" borderId="0" xfId="0" applyNumberFormat="1"/>
    <xf numFmtId="164" fontId="0" fillId="0" borderId="0" xfId="0" applyNumberFormat="1"/>
    <xf numFmtId="1" fontId="7" fillId="2" borderId="0" xfId="0" applyNumberFormat="1" applyFont="1" applyFill="1"/>
    <xf numFmtId="0" fontId="0" fillId="0" borderId="12" xfId="0" applyBorder="1" applyAlignment="1">
      <alignment wrapText="1"/>
    </xf>
    <xf numFmtId="0" fontId="0" fillId="5" borderId="12" xfId="0" applyFill="1" applyBorder="1"/>
    <xf numFmtId="0" fontId="0" fillId="6" borderId="12" xfId="0" applyFill="1" applyBorder="1"/>
    <xf numFmtId="0" fontId="0" fillId="7" borderId="12" xfId="0" applyFill="1" applyBorder="1"/>
    <xf numFmtId="0" fontId="0" fillId="9" borderId="14" xfId="0" applyFill="1" applyBorder="1"/>
    <xf numFmtId="0" fontId="0" fillId="9" borderId="15" xfId="0" applyFill="1" applyBorder="1"/>
    <xf numFmtId="0" fontId="0" fillId="9" borderId="16" xfId="0" applyFill="1" applyBorder="1"/>
    <xf numFmtId="0" fontId="2" fillId="0" borderId="9" xfId="0" applyFont="1" applyBorder="1"/>
    <xf numFmtId="0" fontId="0" fillId="4" borderId="12" xfId="0" applyFill="1" applyBorder="1"/>
    <xf numFmtId="0" fontId="0" fillId="4" borderId="13" xfId="0" applyFill="1" applyBorder="1"/>
    <xf numFmtId="0" fontId="0" fillId="4" borderId="9" xfId="0" applyFill="1" applyBorder="1"/>
    <xf numFmtId="0" fontId="0" fillId="4" borderId="10" xfId="0" applyFill="1" applyBorder="1"/>
    <xf numFmtId="0" fontId="0" fillId="4" borderId="11" xfId="0" applyFill="1" applyBorder="1"/>
    <xf numFmtId="0" fontId="2" fillId="0" borderId="12" xfId="0" applyFont="1" applyBorder="1" applyAlignment="1">
      <alignment wrapText="1"/>
    </xf>
    <xf numFmtId="0" fontId="2" fillId="0" borderId="12" xfId="0" applyFont="1" applyBorder="1"/>
    <xf numFmtId="0" fontId="0" fillId="4" borderId="10" xfId="0" applyFill="1" applyBorder="1" applyAlignment="1">
      <alignment wrapText="1"/>
    </xf>
    <xf numFmtId="0" fontId="0" fillId="4" borderId="11" xfId="0" applyFill="1" applyBorder="1" applyAlignment="1">
      <alignment wrapText="1"/>
    </xf>
    <xf numFmtId="0" fontId="1" fillId="0" borderId="15" xfId="0" applyFont="1" applyBorder="1"/>
    <xf numFmtId="0" fontId="0" fillId="8" borderId="0" xfId="0" applyFill="1" applyAlignment="1">
      <alignment wrapText="1"/>
    </xf>
    <xf numFmtId="0" fontId="0" fillId="8" borderId="13" xfId="0" applyFill="1" applyBorder="1" applyAlignment="1">
      <alignment wrapText="1"/>
    </xf>
    <xf numFmtId="0" fontId="8" fillId="0" borderId="13" xfId="0" applyFont="1" applyBorder="1"/>
    <xf numFmtId="0" fontId="0" fillId="0" borderId="15" xfId="0" applyBorder="1" applyAlignment="1">
      <alignment wrapText="1"/>
    </xf>
    <xf numFmtId="0" fontId="3" fillId="0" borderId="13" xfId="1" applyBorder="1" applyAlignment="1">
      <alignment wrapText="1"/>
    </xf>
    <xf numFmtId="0" fontId="0" fillId="0" borderId="16" xfId="0" applyBorder="1" applyAlignment="1">
      <alignment wrapText="1"/>
    </xf>
    <xf numFmtId="0" fontId="0" fillId="0" borderId="12" xfId="0" applyBorder="1" applyAlignment="1">
      <alignment horizontal="left" vertical="center" wrapText="1"/>
    </xf>
    <xf numFmtId="0" fontId="0" fillId="0" borderId="12" xfId="0" applyBorder="1" applyAlignment="1">
      <alignment horizontal="left"/>
    </xf>
    <xf numFmtId="0" fontId="0" fillId="4" borderId="0" xfId="0" applyFill="1"/>
    <xf numFmtId="0" fontId="0" fillId="8" borderId="9" xfId="0" applyFill="1" applyBorder="1"/>
    <xf numFmtId="0" fontId="0" fillId="8" borderId="10" xfId="0" applyFill="1" applyBorder="1" applyAlignment="1">
      <alignment wrapText="1"/>
    </xf>
    <xf numFmtId="0" fontId="0" fillId="8" borderId="10" xfId="0" applyFill="1" applyBorder="1"/>
    <xf numFmtId="0" fontId="0" fillId="8" borderId="11" xfId="0" applyFill="1" applyBorder="1"/>
    <xf numFmtId="0" fontId="0" fillId="0" borderId="15" xfId="0" applyBorder="1" applyAlignment="1">
      <alignment horizontal="left" vertical="center"/>
    </xf>
    <xf numFmtId="0" fontId="0" fillId="14" borderId="0" xfId="0" applyFill="1" applyAlignment="1">
      <alignment wrapText="1"/>
    </xf>
    <xf numFmtId="0" fontId="0" fillId="2" borderId="15" xfId="0" applyFill="1" applyBorder="1"/>
    <xf numFmtId="0" fontId="3" fillId="0" borderId="13" xfId="1" applyBorder="1" applyAlignment="1">
      <alignment horizontal="left" wrapText="1"/>
    </xf>
    <xf numFmtId="166" fontId="0" fillId="0" borderId="0" xfId="0" applyNumberFormat="1"/>
    <xf numFmtId="0" fontId="0" fillId="12" borderId="11" xfId="0" applyFill="1" applyBorder="1"/>
    <xf numFmtId="0" fontId="0" fillId="12" borderId="13" xfId="0" applyFill="1" applyBorder="1"/>
    <xf numFmtId="0" fontId="0" fillId="0" borderId="15" xfId="0" applyBorder="1" applyAlignment="1">
      <alignment horizontal="center"/>
    </xf>
    <xf numFmtId="0" fontId="0" fillId="0" borderId="9" xfId="0" applyBorder="1" applyAlignment="1">
      <alignment wrapText="1"/>
    </xf>
    <xf numFmtId="4" fontId="0" fillId="0" borderId="0" xfId="0" applyNumberFormat="1"/>
    <xf numFmtId="0" fontId="3" fillId="0" borderId="11" xfId="1" applyBorder="1" applyAlignment="1">
      <alignment wrapText="1"/>
    </xf>
    <xf numFmtId="0" fontId="3" fillId="0" borderId="0" xfId="1" applyAlignment="1">
      <alignment wrapText="1"/>
    </xf>
    <xf numFmtId="0" fontId="0" fillId="0" borderId="0" xfId="0" applyAlignment="1">
      <alignment horizontal="center" vertical="center" wrapText="1"/>
    </xf>
    <xf numFmtId="0" fontId="0" fillId="14" borderId="0" xfId="0" applyFill="1"/>
    <xf numFmtId="0" fontId="7" fillId="14" borderId="0" xfId="0" applyFont="1" applyFill="1" applyAlignment="1">
      <alignment wrapText="1"/>
    </xf>
    <xf numFmtId="0" fontId="8" fillId="0" borderId="0" xfId="0" applyFont="1"/>
    <xf numFmtId="0" fontId="7" fillId="0" borderId="0" xfId="0" applyFont="1" applyAlignment="1">
      <alignment wrapText="1"/>
    </xf>
    <xf numFmtId="49" fontId="0" fillId="0" borderId="12" xfId="0" applyNumberFormat="1" applyBorder="1" applyAlignment="1">
      <alignment wrapText="1"/>
    </xf>
    <xf numFmtId="0" fontId="0" fillId="2" borderId="0" xfId="0" applyFill="1" applyAlignment="1">
      <alignment horizontal="center" vertical="center" wrapText="1"/>
    </xf>
    <xf numFmtId="0" fontId="0" fillId="2" borderId="0" xfId="0" applyFill="1" applyAlignment="1">
      <alignment wrapText="1"/>
    </xf>
    <xf numFmtId="0" fontId="0" fillId="4" borderId="0" xfId="0" applyFill="1" applyAlignment="1">
      <alignment wrapText="1"/>
    </xf>
    <xf numFmtId="0" fontId="7" fillId="4" borderId="0" xfId="0" applyFont="1" applyFill="1" applyAlignment="1">
      <alignment wrapText="1"/>
    </xf>
    <xf numFmtId="0" fontId="0" fillId="3" borderId="0" xfId="0" applyFill="1" applyAlignment="1">
      <alignment wrapText="1"/>
    </xf>
    <xf numFmtId="0" fontId="7" fillId="3" borderId="0" xfId="0" applyFont="1" applyFill="1" applyAlignment="1">
      <alignment wrapText="1"/>
    </xf>
    <xf numFmtId="1" fontId="0" fillId="0" borderId="0" xfId="0" applyNumberFormat="1" applyAlignment="1">
      <alignment wrapText="1"/>
    </xf>
    <xf numFmtId="1" fontId="0" fillId="2" borderId="0" xfId="0" applyNumberFormat="1" applyFill="1" applyAlignment="1">
      <alignment wrapText="1"/>
    </xf>
    <xf numFmtId="1" fontId="7" fillId="0" borderId="0" xfId="0" applyNumberFormat="1" applyFont="1" applyAlignment="1">
      <alignment wrapText="1"/>
    </xf>
    <xf numFmtId="1" fontId="0" fillId="0" borderId="13" xfId="0" applyNumberFormat="1" applyBorder="1" applyAlignment="1">
      <alignment wrapText="1"/>
    </xf>
    <xf numFmtId="0" fontId="0" fillId="2" borderId="16" xfId="0" applyFill="1" applyBorder="1" applyAlignment="1">
      <alignment wrapText="1"/>
    </xf>
    <xf numFmtId="0" fontId="0" fillId="2" borderId="13" xfId="0" applyFill="1" applyBorder="1" applyAlignment="1">
      <alignment wrapText="1"/>
    </xf>
    <xf numFmtId="165" fontId="0" fillId="0" borderId="13" xfId="0" applyNumberFormat="1" applyBorder="1" applyAlignment="1">
      <alignment wrapText="1"/>
    </xf>
    <xf numFmtId="0" fontId="0" fillId="9" borderId="15" xfId="0" applyFill="1" applyBorder="1" applyAlignment="1">
      <alignment wrapText="1"/>
    </xf>
    <xf numFmtId="1" fontId="0" fillId="0" borderId="11" xfId="0" applyNumberFormat="1" applyBorder="1" applyAlignment="1">
      <alignment wrapText="1"/>
    </xf>
    <xf numFmtId="2" fontId="0" fillId="0" borderId="15" xfId="0" applyNumberFormat="1" applyBorder="1"/>
    <xf numFmtId="2" fontId="0" fillId="0" borderId="0" xfId="0" applyNumberFormat="1"/>
    <xf numFmtId="0" fontId="0" fillId="0" borderId="17" xfId="0" applyBorder="1" applyAlignment="1">
      <alignment wrapText="1"/>
    </xf>
    <xf numFmtId="0" fontId="0" fillId="0" borderId="17" xfId="0" applyBorder="1"/>
    <xf numFmtId="1" fontId="0" fillId="0" borderId="17" xfId="0" applyNumberFormat="1" applyBorder="1"/>
    <xf numFmtId="3" fontId="0" fillId="0" borderId="0" xfId="0" applyNumberFormat="1" applyAlignment="1">
      <alignment horizontal="right" wrapText="1"/>
    </xf>
    <xf numFmtId="0" fontId="0" fillId="0" borderId="0" xfId="0" applyAlignment="1">
      <alignment horizontal="right" wrapText="1"/>
    </xf>
    <xf numFmtId="167" fontId="0" fillId="0" borderId="0" xfId="0" applyNumberFormat="1" applyAlignment="1">
      <alignment horizontal="right" wrapText="1"/>
    </xf>
    <xf numFmtId="168" fontId="0" fillId="0" borderId="0" xfId="0" applyNumberFormat="1" applyAlignment="1">
      <alignment horizontal="right" wrapText="1"/>
    </xf>
    <xf numFmtId="14" fontId="0" fillId="0" borderId="0" xfId="0" applyNumberFormat="1"/>
    <xf numFmtId="0" fontId="0" fillId="2" borderId="10" xfId="0" applyFill="1" applyBorder="1" applyAlignment="1">
      <alignment horizontal="center" vertical="center" wrapText="1"/>
    </xf>
    <xf numFmtId="0" fontId="7" fillId="0" borderId="10" xfId="0" applyFont="1" applyBorder="1" applyAlignment="1">
      <alignment wrapText="1"/>
    </xf>
    <xf numFmtId="0" fontId="0" fillId="2" borderId="0" xfId="0" applyFill="1" applyAlignment="1">
      <alignment horizontal="center"/>
    </xf>
    <xf numFmtId="0" fontId="0" fillId="0" borderId="0" xfId="0" applyAlignment="1">
      <alignment horizontal="right"/>
    </xf>
    <xf numFmtId="0" fontId="0" fillId="0" borderId="0" xfId="0" applyAlignment="1">
      <alignment horizontal="left" vertical="center"/>
    </xf>
    <xf numFmtId="0" fontId="0" fillId="0" borderId="0" xfId="0"/>
    <xf numFmtId="0" fontId="7" fillId="0" borderId="0" xfId="0" applyFont="1"/>
    <xf numFmtId="0" fontId="7" fillId="0" borderId="0" xfId="0" applyFont="1" applyAlignment="1">
      <alignment horizontal="right"/>
    </xf>
    <xf numFmtId="0" fontId="0" fillId="2" borderId="0" xfId="0" applyFill="1"/>
    <xf numFmtId="0" fontId="0" fillId="0" borderId="0" xfId="0" applyAlignment="1">
      <alignment horizontal="center"/>
    </xf>
    <xf numFmtId="0" fontId="7" fillId="0" borderId="0" xfId="0" applyFont="1" applyAlignment="1">
      <alignment horizontal="center"/>
    </xf>
    <xf numFmtId="0" fontId="0" fillId="0" borderId="12" xfId="0" applyBorder="1" applyAlignment="1">
      <alignment horizontal="left" vertical="center" wrapText="1"/>
    </xf>
    <xf numFmtId="0" fontId="0" fillId="0" borderId="14" xfId="0" applyBorder="1" applyAlignment="1">
      <alignment horizontal="left" vertical="center" wrapText="1"/>
    </xf>
    <xf numFmtId="0" fontId="0" fillId="0" borderId="0" xfId="0" applyAlignment="1">
      <alignment horizontal="left" vertical="center" wrapText="1"/>
    </xf>
    <xf numFmtId="0" fontId="0" fillId="0" borderId="12" xfId="0" applyBorder="1" applyAlignment="1">
      <alignment horizontal="left" vertical="top" wrapText="1"/>
    </xf>
    <xf numFmtId="0" fontId="0" fillId="0" borderId="15" xfId="0" applyBorder="1" applyAlignment="1">
      <alignment horizontal="left" vertical="center"/>
    </xf>
    <xf numFmtId="0" fontId="0" fillId="0" borderId="0" xfId="0" applyAlignment="1">
      <alignment horizontal="left"/>
    </xf>
    <xf numFmtId="0" fontId="0" fillId="0" borderId="13"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10" xfId="0" applyBorder="1" applyAlignment="1">
      <alignment horizontal="left" vertical="center" wrapText="1"/>
    </xf>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vertical="center"/>
    </xf>
    <xf numFmtId="0" fontId="0" fillId="0" borderId="14" xfId="0" applyBorder="1" applyAlignment="1">
      <alignment horizontal="left" vertical="center"/>
    </xf>
    <xf numFmtId="0" fontId="0" fillId="0" borderId="10" xfId="0" applyBorder="1" applyAlignment="1">
      <alignment horizontal="center"/>
    </xf>
    <xf numFmtId="0" fontId="0" fillId="0" borderId="11" xfId="0" applyBorder="1" applyAlignment="1">
      <alignment horizontal="center"/>
    </xf>
    <xf numFmtId="0" fontId="0" fillId="0" borderId="13" xfId="0" applyBorder="1"/>
    <xf numFmtId="0" fontId="0" fillId="0" borderId="10" xfId="0" applyBorder="1" applyAlignment="1">
      <alignment horizontal="left" vertical="center"/>
    </xf>
    <xf numFmtId="0" fontId="0" fillId="0" borderId="0" xfId="0" applyAlignment="1">
      <alignment horizontal="center" vertical="center" wrapText="1"/>
    </xf>
    <xf numFmtId="0" fontId="0" fillId="0" borderId="12" xfId="0" applyBorder="1" applyAlignment="1">
      <alignment horizontal="left"/>
    </xf>
    <xf numFmtId="0" fontId="0" fillId="0" borderId="9" xfId="0" applyBorder="1" applyAlignment="1">
      <alignment horizontal="left" vertical="center"/>
    </xf>
    <xf numFmtId="0" fontId="0" fillId="0" borderId="9" xfId="0" applyBorder="1" applyAlignment="1">
      <alignment horizontal="left" vertical="center" wrapText="1"/>
    </xf>
    <xf numFmtId="0" fontId="0" fillId="0" borderId="6" xfId="0" applyBorder="1" applyAlignment="1">
      <alignment horizontal="left" vertical="center"/>
    </xf>
    <xf numFmtId="0" fontId="0" fillId="2" borderId="6" xfId="0" applyFill="1" applyBorder="1" applyAlignment="1">
      <alignment horizontal="left" vertical="center"/>
    </xf>
    <xf numFmtId="0" fontId="0" fillId="0" borderId="2" xfId="0" applyBorder="1"/>
    <xf numFmtId="0" fontId="0" fillId="13" borderId="0" xfId="0" applyFill="1"/>
    <xf numFmtId="0" fontId="0" fillId="13" borderId="2" xfId="0" applyFill="1" applyBorder="1"/>
    <xf numFmtId="0" fontId="0" fillId="0" borderId="17" xfId="0" applyBorder="1" applyAlignment="1">
      <alignment horizontal="left" vertical="center" wrapText="1"/>
    </xf>
    <xf numFmtId="0" fontId="0" fillId="0" borderId="17" xfId="0" applyBorder="1" applyAlignment="1">
      <alignment horizontal="center" wrapText="1"/>
    </xf>
    <xf numFmtId="165" fontId="11" fillId="0" borderId="0" xfId="0" applyNumberFormat="1" applyFont="1"/>
    <xf numFmtId="171" fontId="7" fillId="0" borderId="0" xfId="0" applyNumberFormat="1" applyFont="1"/>
  </cellXfs>
  <cellStyles count="2">
    <cellStyle name="Hyperlink" xfId="1" builtinId="8"/>
    <cellStyle name="Normal" xfId="0" builtinId="0"/>
  </cellStyles>
  <dxfs count="0"/>
  <tableStyles count="0" defaultTableStyle="TableStyleMedium2" defaultPivotStyle="PivotStyleLight16"/>
  <colors>
    <mruColors>
      <color rgb="FFFF3399"/>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FFA9645F-802F-4418-8E15-EB6F91AC1EF2}" type="doc">
      <dgm:prSet loTypeId="urn:microsoft.com/office/officeart/2005/8/layout/orgChart1" loCatId="hierarchy" qsTypeId="urn:microsoft.com/office/officeart/2005/8/quickstyle/simple1" qsCatId="simple" csTypeId="urn:microsoft.com/office/officeart/2005/8/colors/accent1_2" csCatId="accent1" phldr="1"/>
      <dgm:spPr/>
      <dgm:t>
        <a:bodyPr/>
        <a:lstStyle/>
        <a:p>
          <a:endParaRPr lang="en-AU"/>
        </a:p>
      </dgm:t>
    </dgm:pt>
    <dgm:pt modelId="{EC4C5EB2-1627-4F98-BA49-322BB2659BD8}">
      <dgm:prSet phldrT="[Text]"/>
      <dgm:spPr/>
      <dgm:t>
        <a:bodyPr/>
        <a:lstStyle/>
        <a:p>
          <a:r>
            <a:rPr lang="en-AU"/>
            <a:t>Calves</a:t>
          </a:r>
        </a:p>
      </dgm:t>
    </dgm:pt>
    <dgm:pt modelId="{876C3B3F-F191-4773-A3C0-25F8387CC8F5}" type="parTrans" cxnId="{264DAC6F-AA7C-4D70-A676-86263A8C2309}">
      <dgm:prSet/>
      <dgm:spPr/>
      <dgm:t>
        <a:bodyPr/>
        <a:lstStyle/>
        <a:p>
          <a:endParaRPr lang="en-AU"/>
        </a:p>
      </dgm:t>
    </dgm:pt>
    <dgm:pt modelId="{86484579-79F7-4744-8BB0-708400DD8327}" type="sibTrans" cxnId="{264DAC6F-AA7C-4D70-A676-86263A8C2309}">
      <dgm:prSet/>
      <dgm:spPr/>
      <dgm:t>
        <a:bodyPr/>
        <a:lstStyle/>
        <a:p>
          <a:endParaRPr lang="en-AU"/>
        </a:p>
      </dgm:t>
    </dgm:pt>
    <dgm:pt modelId="{59BA24EF-66D1-421F-9594-6EF7AE6FE2B3}" type="asst">
      <dgm:prSet phldrT="[Text]"/>
      <dgm:spPr/>
      <dgm:t>
        <a:bodyPr/>
        <a:lstStyle/>
        <a:p>
          <a:r>
            <a:rPr lang="en-AU"/>
            <a:t>Heifers</a:t>
          </a:r>
        </a:p>
      </dgm:t>
    </dgm:pt>
    <dgm:pt modelId="{02564E3E-73C6-4AE0-B34A-1DFC9A14E440}" type="parTrans" cxnId="{498E7720-80CF-405A-9EFE-39C19F16BBD5}">
      <dgm:prSet/>
      <dgm:spPr/>
      <dgm:t>
        <a:bodyPr/>
        <a:lstStyle/>
        <a:p>
          <a:endParaRPr lang="en-AU"/>
        </a:p>
      </dgm:t>
    </dgm:pt>
    <dgm:pt modelId="{30E638F3-94A7-49CB-B8D2-E76F4E7AD9AB}" type="sibTrans" cxnId="{498E7720-80CF-405A-9EFE-39C19F16BBD5}">
      <dgm:prSet/>
      <dgm:spPr/>
      <dgm:t>
        <a:bodyPr/>
        <a:lstStyle/>
        <a:p>
          <a:endParaRPr lang="en-AU"/>
        </a:p>
      </dgm:t>
    </dgm:pt>
    <dgm:pt modelId="{AD20B030-8F7E-4C37-9F22-6CB458EFD55B}" type="asst">
      <dgm:prSet phldrT="[Text]"/>
      <dgm:spPr/>
      <dgm:t>
        <a:bodyPr/>
        <a:lstStyle/>
        <a:p>
          <a:r>
            <a:rPr lang="en-AU"/>
            <a:t>Bulls</a:t>
          </a:r>
        </a:p>
      </dgm:t>
    </dgm:pt>
    <dgm:pt modelId="{A7537612-27C9-473F-A56A-5CF97BBB8B8D}" type="parTrans" cxnId="{EDFD7A37-FA44-4CC7-BB84-E81FCE247199}">
      <dgm:prSet/>
      <dgm:spPr/>
      <dgm:t>
        <a:bodyPr/>
        <a:lstStyle/>
        <a:p>
          <a:endParaRPr lang="en-AU"/>
        </a:p>
      </dgm:t>
    </dgm:pt>
    <dgm:pt modelId="{F2FA781A-41C8-49A5-B8F3-184E757359E3}" type="sibTrans" cxnId="{EDFD7A37-FA44-4CC7-BB84-E81FCE247199}">
      <dgm:prSet/>
      <dgm:spPr/>
      <dgm:t>
        <a:bodyPr/>
        <a:lstStyle/>
        <a:p>
          <a:endParaRPr lang="en-AU"/>
        </a:p>
      </dgm:t>
    </dgm:pt>
    <dgm:pt modelId="{5895EC40-BC98-4FDD-AAD7-3D93A10A4118}" type="asst">
      <dgm:prSet phldrT="[Text]"/>
      <dgm:spPr/>
      <dgm:t>
        <a:bodyPr/>
        <a:lstStyle/>
        <a:p>
          <a:r>
            <a:rPr lang="en-AU"/>
            <a:t>1 year olds</a:t>
          </a:r>
        </a:p>
      </dgm:t>
    </dgm:pt>
    <dgm:pt modelId="{97FB6071-10CD-44DA-8300-87CB76124C9D}" type="parTrans" cxnId="{71FB0EA9-86E7-43DB-8EC5-3F29E0352E56}">
      <dgm:prSet/>
      <dgm:spPr/>
      <dgm:t>
        <a:bodyPr/>
        <a:lstStyle/>
        <a:p>
          <a:endParaRPr lang="en-AU"/>
        </a:p>
      </dgm:t>
    </dgm:pt>
    <dgm:pt modelId="{0C1A3B86-9447-4934-9623-507AA4DAE383}" type="sibTrans" cxnId="{71FB0EA9-86E7-43DB-8EC5-3F29E0352E56}">
      <dgm:prSet/>
      <dgm:spPr/>
      <dgm:t>
        <a:bodyPr/>
        <a:lstStyle/>
        <a:p>
          <a:endParaRPr lang="en-AU"/>
        </a:p>
      </dgm:t>
    </dgm:pt>
    <dgm:pt modelId="{DF2F4509-EB23-4912-94AA-BEF4FD6C17DE}" type="asst">
      <dgm:prSet phldrT="[Text]"/>
      <dgm:spPr/>
      <dgm:t>
        <a:bodyPr/>
        <a:lstStyle/>
        <a:p>
          <a:r>
            <a:rPr lang="en-AU"/>
            <a:t>2 year olds</a:t>
          </a:r>
        </a:p>
      </dgm:t>
    </dgm:pt>
    <dgm:pt modelId="{D0C99E26-BD21-4F23-9A7E-EC93DC1AA2CE}" type="parTrans" cxnId="{2A378EE4-8947-4AA0-AA87-D304FA9FC2C6}">
      <dgm:prSet/>
      <dgm:spPr/>
      <dgm:t>
        <a:bodyPr/>
        <a:lstStyle/>
        <a:p>
          <a:endParaRPr lang="en-AU"/>
        </a:p>
      </dgm:t>
    </dgm:pt>
    <dgm:pt modelId="{83FF531D-EA28-4787-AEDC-5A68EA4C6F93}" type="sibTrans" cxnId="{2A378EE4-8947-4AA0-AA87-D304FA9FC2C6}">
      <dgm:prSet/>
      <dgm:spPr/>
      <dgm:t>
        <a:bodyPr/>
        <a:lstStyle/>
        <a:p>
          <a:endParaRPr lang="en-AU"/>
        </a:p>
      </dgm:t>
    </dgm:pt>
    <dgm:pt modelId="{B03071DC-6422-4435-98DB-3EB791552E98}" type="asst">
      <dgm:prSet phldrT="[Text]"/>
      <dgm:spPr/>
      <dgm:t>
        <a:bodyPr/>
        <a:lstStyle/>
        <a:p>
          <a:r>
            <a:rPr lang="en-AU"/>
            <a:t>Suckler cows</a:t>
          </a:r>
        </a:p>
      </dgm:t>
    </dgm:pt>
    <dgm:pt modelId="{F289B998-8E08-459C-B7A2-DE67F2BE0F17}" type="parTrans" cxnId="{C7784599-1E83-48BA-B8F2-6E2A8BD749DE}">
      <dgm:prSet/>
      <dgm:spPr/>
      <dgm:t>
        <a:bodyPr/>
        <a:lstStyle/>
        <a:p>
          <a:endParaRPr lang="en-AU"/>
        </a:p>
      </dgm:t>
    </dgm:pt>
    <dgm:pt modelId="{F7A795EB-A5F1-4A81-8777-1B2AB12B6A07}" type="sibTrans" cxnId="{C7784599-1E83-48BA-B8F2-6E2A8BD749DE}">
      <dgm:prSet/>
      <dgm:spPr/>
      <dgm:t>
        <a:bodyPr/>
        <a:lstStyle/>
        <a:p>
          <a:endParaRPr lang="en-AU"/>
        </a:p>
      </dgm:t>
    </dgm:pt>
    <dgm:pt modelId="{79F2730D-892A-4968-985B-5F156422F3B6}" type="asst">
      <dgm:prSet phldrT="[Text]"/>
      <dgm:spPr/>
      <dgm:t>
        <a:bodyPr/>
        <a:lstStyle/>
        <a:p>
          <a:r>
            <a:rPr lang="en-AU"/>
            <a:t>Abattoir</a:t>
          </a:r>
        </a:p>
      </dgm:t>
    </dgm:pt>
    <dgm:pt modelId="{AD269927-63C4-460F-A457-973C700639A5}" type="parTrans" cxnId="{71200FA3-1545-40AA-8E49-5D97C52B5A86}">
      <dgm:prSet/>
      <dgm:spPr/>
      <dgm:t>
        <a:bodyPr/>
        <a:lstStyle/>
        <a:p>
          <a:endParaRPr lang="en-AU"/>
        </a:p>
      </dgm:t>
    </dgm:pt>
    <dgm:pt modelId="{413C26F3-D207-4BA5-A378-D73A8B2278EF}" type="sibTrans" cxnId="{71200FA3-1545-40AA-8E49-5D97C52B5A86}">
      <dgm:prSet/>
      <dgm:spPr/>
      <dgm:t>
        <a:bodyPr/>
        <a:lstStyle/>
        <a:p>
          <a:endParaRPr lang="en-AU"/>
        </a:p>
      </dgm:t>
    </dgm:pt>
    <dgm:pt modelId="{048F635B-8D17-4108-A307-623595D1B6AD}" type="asst">
      <dgm:prSet phldrT="[Text]"/>
      <dgm:spPr/>
      <dgm:t>
        <a:bodyPr/>
        <a:lstStyle/>
        <a:p>
          <a:r>
            <a:rPr lang="en-AU"/>
            <a:t>Steers 1 yo</a:t>
          </a:r>
        </a:p>
      </dgm:t>
    </dgm:pt>
    <dgm:pt modelId="{022D5683-74BB-4FE8-BAB9-C1FF1308F51A}" type="parTrans" cxnId="{F14F402F-28CA-4388-B327-0C2EE0375E9E}">
      <dgm:prSet/>
      <dgm:spPr/>
      <dgm:t>
        <a:bodyPr/>
        <a:lstStyle/>
        <a:p>
          <a:endParaRPr lang="en-AU"/>
        </a:p>
      </dgm:t>
    </dgm:pt>
    <dgm:pt modelId="{A23A3439-2809-4F9D-9D39-6E1BC06FDC4A}" type="sibTrans" cxnId="{F14F402F-28CA-4388-B327-0C2EE0375E9E}">
      <dgm:prSet/>
      <dgm:spPr/>
      <dgm:t>
        <a:bodyPr/>
        <a:lstStyle/>
        <a:p>
          <a:endParaRPr lang="en-AU"/>
        </a:p>
      </dgm:t>
    </dgm:pt>
    <dgm:pt modelId="{22B14166-DDCA-4607-98E3-807AA7214F6E}" type="asst">
      <dgm:prSet phldrT="[Text]"/>
      <dgm:spPr/>
      <dgm:t>
        <a:bodyPr/>
        <a:lstStyle/>
        <a:p>
          <a:r>
            <a:rPr lang="en-AU"/>
            <a:t>1 yo bulls</a:t>
          </a:r>
        </a:p>
      </dgm:t>
    </dgm:pt>
    <dgm:pt modelId="{98F658FF-5A46-46BA-813B-092548D8ED1E}" type="parTrans" cxnId="{D399110D-C4AB-4F0A-87ED-1C706C1EFB80}">
      <dgm:prSet/>
      <dgm:spPr/>
      <dgm:t>
        <a:bodyPr/>
        <a:lstStyle/>
        <a:p>
          <a:endParaRPr lang="en-AU"/>
        </a:p>
      </dgm:t>
    </dgm:pt>
    <dgm:pt modelId="{44F64E15-3E5D-41C0-B4BB-89DD201E4E2E}" type="sibTrans" cxnId="{D399110D-C4AB-4F0A-87ED-1C706C1EFB80}">
      <dgm:prSet/>
      <dgm:spPr/>
      <dgm:t>
        <a:bodyPr/>
        <a:lstStyle/>
        <a:p>
          <a:endParaRPr lang="en-AU"/>
        </a:p>
      </dgm:t>
    </dgm:pt>
    <dgm:pt modelId="{57017A5C-DABD-493C-B61E-5F644A4D7E75}" type="asst">
      <dgm:prSet phldrT="[Text]"/>
      <dgm:spPr/>
      <dgm:t>
        <a:bodyPr/>
        <a:lstStyle/>
        <a:p>
          <a:r>
            <a:rPr lang="en-AU"/>
            <a:t>Abattoir</a:t>
          </a:r>
        </a:p>
      </dgm:t>
    </dgm:pt>
    <dgm:pt modelId="{CE55F0C0-D8C5-4EE3-9A08-51367FBA69FB}" type="parTrans" cxnId="{F01AD701-7125-4300-8471-E341D05653DC}">
      <dgm:prSet/>
      <dgm:spPr/>
      <dgm:t>
        <a:bodyPr/>
        <a:lstStyle/>
        <a:p>
          <a:endParaRPr lang="en-AU"/>
        </a:p>
      </dgm:t>
    </dgm:pt>
    <dgm:pt modelId="{E6E1FD34-6546-4412-A4E9-8B1C57477A2C}" type="sibTrans" cxnId="{F01AD701-7125-4300-8471-E341D05653DC}">
      <dgm:prSet/>
      <dgm:spPr/>
      <dgm:t>
        <a:bodyPr/>
        <a:lstStyle/>
        <a:p>
          <a:endParaRPr lang="en-AU"/>
        </a:p>
      </dgm:t>
    </dgm:pt>
    <dgm:pt modelId="{B293FB52-A819-4E57-B1F5-3A3B099ABA59}" type="asst">
      <dgm:prSet phldrT="[Text]"/>
      <dgm:spPr/>
      <dgm:t>
        <a:bodyPr/>
        <a:lstStyle/>
        <a:p>
          <a:r>
            <a:rPr lang="en-AU"/>
            <a:t>2 year olds</a:t>
          </a:r>
        </a:p>
      </dgm:t>
    </dgm:pt>
    <dgm:pt modelId="{38C4E371-FE55-4268-8292-147E343B8088}" type="parTrans" cxnId="{5266FBFD-D10D-4C42-8A15-B4241FCE5ED0}">
      <dgm:prSet/>
      <dgm:spPr/>
      <dgm:t>
        <a:bodyPr/>
        <a:lstStyle/>
        <a:p>
          <a:endParaRPr lang="en-AU"/>
        </a:p>
      </dgm:t>
    </dgm:pt>
    <dgm:pt modelId="{C9E57C27-E3A0-4AD4-8A99-357E0A757691}" type="sibTrans" cxnId="{5266FBFD-D10D-4C42-8A15-B4241FCE5ED0}">
      <dgm:prSet/>
      <dgm:spPr/>
      <dgm:t>
        <a:bodyPr/>
        <a:lstStyle/>
        <a:p>
          <a:endParaRPr lang="en-AU"/>
        </a:p>
      </dgm:t>
    </dgm:pt>
    <dgm:pt modelId="{34C6E2CF-90C0-4F83-A81C-AF501443638E}" type="asst">
      <dgm:prSet phldrT="[Text]"/>
      <dgm:spPr/>
      <dgm:t>
        <a:bodyPr/>
        <a:lstStyle/>
        <a:p>
          <a:r>
            <a:rPr lang="en-AU"/>
            <a:t>Joining bulls</a:t>
          </a:r>
        </a:p>
      </dgm:t>
    </dgm:pt>
    <dgm:pt modelId="{D3B336D0-B814-4EA2-A465-D81C619AE288}" type="parTrans" cxnId="{0E18DD3D-9CE7-4AFC-99B3-769C5986DD96}">
      <dgm:prSet/>
      <dgm:spPr/>
      <dgm:t>
        <a:bodyPr/>
        <a:lstStyle/>
        <a:p>
          <a:endParaRPr lang="en-AU"/>
        </a:p>
      </dgm:t>
    </dgm:pt>
    <dgm:pt modelId="{C600BDE4-65A9-4F47-BC65-38724EB1D630}" type="sibTrans" cxnId="{0E18DD3D-9CE7-4AFC-99B3-769C5986DD96}">
      <dgm:prSet/>
      <dgm:spPr/>
      <dgm:t>
        <a:bodyPr/>
        <a:lstStyle/>
        <a:p>
          <a:endParaRPr lang="en-AU"/>
        </a:p>
      </dgm:t>
    </dgm:pt>
    <dgm:pt modelId="{F2E6F5D4-1BCE-4952-BAFD-F0584D88CAC9}" type="asst">
      <dgm:prSet phldrT="[Text]"/>
      <dgm:spPr/>
      <dgm:t>
        <a:bodyPr/>
        <a:lstStyle/>
        <a:p>
          <a:r>
            <a:rPr lang="en-AU"/>
            <a:t>Abattoir</a:t>
          </a:r>
        </a:p>
      </dgm:t>
    </dgm:pt>
    <dgm:pt modelId="{1BE962EA-C174-4477-B580-EC129336A8D7}" type="parTrans" cxnId="{1FC640FF-2C04-49EB-92D1-96D546E74597}">
      <dgm:prSet/>
      <dgm:spPr/>
      <dgm:t>
        <a:bodyPr/>
        <a:lstStyle/>
        <a:p>
          <a:endParaRPr lang="en-AU"/>
        </a:p>
      </dgm:t>
    </dgm:pt>
    <dgm:pt modelId="{D333EA97-CD38-4359-97F6-6B1FBCCEFF98}" type="sibTrans" cxnId="{1FC640FF-2C04-49EB-92D1-96D546E74597}">
      <dgm:prSet/>
      <dgm:spPr/>
      <dgm:t>
        <a:bodyPr/>
        <a:lstStyle/>
        <a:p>
          <a:endParaRPr lang="en-AU"/>
        </a:p>
      </dgm:t>
    </dgm:pt>
    <dgm:pt modelId="{89E9221B-7E6A-474A-AD16-98787ADFE9AF}" type="pres">
      <dgm:prSet presAssocID="{FFA9645F-802F-4418-8E15-EB6F91AC1EF2}" presName="hierChild1" presStyleCnt="0">
        <dgm:presLayoutVars>
          <dgm:orgChart val="1"/>
          <dgm:chPref val="1"/>
          <dgm:dir/>
          <dgm:animOne val="branch"/>
          <dgm:animLvl val="lvl"/>
          <dgm:resizeHandles/>
        </dgm:presLayoutVars>
      </dgm:prSet>
      <dgm:spPr/>
    </dgm:pt>
    <dgm:pt modelId="{10010D68-9AC5-4959-BD3F-1A702525A8AD}" type="pres">
      <dgm:prSet presAssocID="{EC4C5EB2-1627-4F98-BA49-322BB2659BD8}" presName="hierRoot1" presStyleCnt="0">
        <dgm:presLayoutVars>
          <dgm:hierBranch val="init"/>
        </dgm:presLayoutVars>
      </dgm:prSet>
      <dgm:spPr/>
    </dgm:pt>
    <dgm:pt modelId="{7785F28D-996B-4A1E-A85B-BA22E55D1FD3}" type="pres">
      <dgm:prSet presAssocID="{EC4C5EB2-1627-4F98-BA49-322BB2659BD8}" presName="rootComposite1" presStyleCnt="0"/>
      <dgm:spPr/>
    </dgm:pt>
    <dgm:pt modelId="{33D2B833-8027-4D9F-BDBB-9DB80077E0FD}" type="pres">
      <dgm:prSet presAssocID="{EC4C5EB2-1627-4F98-BA49-322BB2659BD8}" presName="rootText1" presStyleLbl="node0" presStyleIdx="0" presStyleCnt="1">
        <dgm:presLayoutVars>
          <dgm:chPref val="3"/>
        </dgm:presLayoutVars>
      </dgm:prSet>
      <dgm:spPr/>
    </dgm:pt>
    <dgm:pt modelId="{A21D7AC6-2F2A-4C40-97FA-FCD8B0B79E98}" type="pres">
      <dgm:prSet presAssocID="{EC4C5EB2-1627-4F98-BA49-322BB2659BD8}" presName="rootConnector1" presStyleLbl="node1" presStyleIdx="0" presStyleCnt="0"/>
      <dgm:spPr/>
    </dgm:pt>
    <dgm:pt modelId="{74FD8E24-A81D-4E3B-A994-ADB6C05DE293}" type="pres">
      <dgm:prSet presAssocID="{EC4C5EB2-1627-4F98-BA49-322BB2659BD8}" presName="hierChild2" presStyleCnt="0"/>
      <dgm:spPr/>
    </dgm:pt>
    <dgm:pt modelId="{81D73CEF-3186-4E87-878C-2E28F1393E2E}" type="pres">
      <dgm:prSet presAssocID="{EC4C5EB2-1627-4F98-BA49-322BB2659BD8}" presName="hierChild3" presStyleCnt="0"/>
      <dgm:spPr/>
    </dgm:pt>
    <dgm:pt modelId="{E336613D-5BFF-49BA-AC9E-634EC5090AF8}" type="pres">
      <dgm:prSet presAssocID="{02564E3E-73C6-4AE0-B34A-1DFC9A14E440}" presName="Name111" presStyleLbl="parChTrans1D2" presStyleIdx="0" presStyleCnt="2"/>
      <dgm:spPr/>
    </dgm:pt>
    <dgm:pt modelId="{B68A8101-8440-456D-BBA0-89FD27B9041D}" type="pres">
      <dgm:prSet presAssocID="{59BA24EF-66D1-421F-9594-6EF7AE6FE2B3}" presName="hierRoot3" presStyleCnt="0">
        <dgm:presLayoutVars>
          <dgm:hierBranch val="init"/>
        </dgm:presLayoutVars>
      </dgm:prSet>
      <dgm:spPr/>
    </dgm:pt>
    <dgm:pt modelId="{6D7AF579-CA25-4053-A420-8CCBAC5CE8A2}" type="pres">
      <dgm:prSet presAssocID="{59BA24EF-66D1-421F-9594-6EF7AE6FE2B3}" presName="rootComposite3" presStyleCnt="0"/>
      <dgm:spPr/>
    </dgm:pt>
    <dgm:pt modelId="{46D19199-8D3D-4C0C-B0A7-524A7B9EA135}" type="pres">
      <dgm:prSet presAssocID="{59BA24EF-66D1-421F-9594-6EF7AE6FE2B3}" presName="rootText3" presStyleLbl="asst1" presStyleIdx="0" presStyleCnt="12">
        <dgm:presLayoutVars>
          <dgm:chPref val="3"/>
        </dgm:presLayoutVars>
      </dgm:prSet>
      <dgm:spPr/>
    </dgm:pt>
    <dgm:pt modelId="{8129CD9F-9CDC-4062-9C88-D889094790B4}" type="pres">
      <dgm:prSet presAssocID="{59BA24EF-66D1-421F-9594-6EF7AE6FE2B3}" presName="rootConnector3" presStyleLbl="asst1" presStyleIdx="0" presStyleCnt="12"/>
      <dgm:spPr/>
    </dgm:pt>
    <dgm:pt modelId="{E9599B34-7A4B-4FE3-AB22-30689E9B1241}" type="pres">
      <dgm:prSet presAssocID="{59BA24EF-66D1-421F-9594-6EF7AE6FE2B3}" presName="hierChild6" presStyleCnt="0"/>
      <dgm:spPr/>
    </dgm:pt>
    <dgm:pt modelId="{9831950D-CFAB-449B-9A4C-77C4C57B5166}" type="pres">
      <dgm:prSet presAssocID="{59BA24EF-66D1-421F-9594-6EF7AE6FE2B3}" presName="hierChild7" presStyleCnt="0"/>
      <dgm:spPr/>
    </dgm:pt>
    <dgm:pt modelId="{F6D54FD5-BC6A-4537-837A-FD575C01EB7F}" type="pres">
      <dgm:prSet presAssocID="{97FB6071-10CD-44DA-8300-87CB76124C9D}" presName="Name111" presStyleLbl="parChTrans1D3" presStyleIdx="0" presStyleCnt="3"/>
      <dgm:spPr/>
    </dgm:pt>
    <dgm:pt modelId="{DCD9B16F-BF4A-428A-A62F-5107B2BBBEC5}" type="pres">
      <dgm:prSet presAssocID="{5895EC40-BC98-4FDD-AAD7-3D93A10A4118}" presName="hierRoot3" presStyleCnt="0">
        <dgm:presLayoutVars>
          <dgm:hierBranch val="init"/>
        </dgm:presLayoutVars>
      </dgm:prSet>
      <dgm:spPr/>
    </dgm:pt>
    <dgm:pt modelId="{6055BCE2-D21C-473D-A11E-EF4F1F3F7559}" type="pres">
      <dgm:prSet presAssocID="{5895EC40-BC98-4FDD-AAD7-3D93A10A4118}" presName="rootComposite3" presStyleCnt="0"/>
      <dgm:spPr/>
    </dgm:pt>
    <dgm:pt modelId="{2366F270-AA4D-40D7-AD50-74883E85A39B}" type="pres">
      <dgm:prSet presAssocID="{5895EC40-BC98-4FDD-AAD7-3D93A10A4118}" presName="rootText3" presStyleLbl="asst1" presStyleIdx="1" presStyleCnt="12">
        <dgm:presLayoutVars>
          <dgm:chPref val="3"/>
        </dgm:presLayoutVars>
      </dgm:prSet>
      <dgm:spPr/>
    </dgm:pt>
    <dgm:pt modelId="{104FD630-1645-4E0F-B311-6464DD94DEE3}" type="pres">
      <dgm:prSet presAssocID="{5895EC40-BC98-4FDD-AAD7-3D93A10A4118}" presName="rootConnector3" presStyleLbl="asst1" presStyleIdx="1" presStyleCnt="12"/>
      <dgm:spPr/>
    </dgm:pt>
    <dgm:pt modelId="{91C89B57-B193-4AF3-9892-CA3282B89793}" type="pres">
      <dgm:prSet presAssocID="{5895EC40-BC98-4FDD-AAD7-3D93A10A4118}" presName="hierChild6" presStyleCnt="0"/>
      <dgm:spPr/>
    </dgm:pt>
    <dgm:pt modelId="{3D9B69DA-BE83-4B4C-A916-D31A3A20E4B4}" type="pres">
      <dgm:prSet presAssocID="{5895EC40-BC98-4FDD-AAD7-3D93A10A4118}" presName="hierChild7" presStyleCnt="0"/>
      <dgm:spPr/>
    </dgm:pt>
    <dgm:pt modelId="{63FEC7FC-A5E4-4A3F-BF45-CD344D5BA9A6}" type="pres">
      <dgm:prSet presAssocID="{D0C99E26-BD21-4F23-9A7E-EC93DC1AA2CE}" presName="Name111" presStyleLbl="parChTrans1D4" presStyleIdx="0" presStyleCnt="7"/>
      <dgm:spPr/>
    </dgm:pt>
    <dgm:pt modelId="{F2786D3C-562E-4C5B-BBD9-3676D6585CD1}" type="pres">
      <dgm:prSet presAssocID="{DF2F4509-EB23-4912-94AA-BEF4FD6C17DE}" presName="hierRoot3" presStyleCnt="0">
        <dgm:presLayoutVars>
          <dgm:hierBranch val="init"/>
        </dgm:presLayoutVars>
      </dgm:prSet>
      <dgm:spPr/>
    </dgm:pt>
    <dgm:pt modelId="{C59ED9F9-2693-4539-9BE0-A3109437F1D8}" type="pres">
      <dgm:prSet presAssocID="{DF2F4509-EB23-4912-94AA-BEF4FD6C17DE}" presName="rootComposite3" presStyleCnt="0"/>
      <dgm:spPr/>
    </dgm:pt>
    <dgm:pt modelId="{C45FF0FE-5AC4-45B5-882D-C96689D3B5BC}" type="pres">
      <dgm:prSet presAssocID="{DF2F4509-EB23-4912-94AA-BEF4FD6C17DE}" presName="rootText3" presStyleLbl="asst1" presStyleIdx="2" presStyleCnt="12">
        <dgm:presLayoutVars>
          <dgm:chPref val="3"/>
        </dgm:presLayoutVars>
      </dgm:prSet>
      <dgm:spPr/>
    </dgm:pt>
    <dgm:pt modelId="{336F0B47-F494-4195-914B-DBB500197785}" type="pres">
      <dgm:prSet presAssocID="{DF2F4509-EB23-4912-94AA-BEF4FD6C17DE}" presName="rootConnector3" presStyleLbl="asst1" presStyleIdx="2" presStyleCnt="12"/>
      <dgm:spPr/>
    </dgm:pt>
    <dgm:pt modelId="{E406C4DC-168C-46ED-B280-D71145ECC4B1}" type="pres">
      <dgm:prSet presAssocID="{DF2F4509-EB23-4912-94AA-BEF4FD6C17DE}" presName="hierChild6" presStyleCnt="0"/>
      <dgm:spPr/>
    </dgm:pt>
    <dgm:pt modelId="{35003B36-2ABD-4798-8DBC-3CA087390AB6}" type="pres">
      <dgm:prSet presAssocID="{DF2F4509-EB23-4912-94AA-BEF4FD6C17DE}" presName="hierChild7" presStyleCnt="0"/>
      <dgm:spPr/>
    </dgm:pt>
    <dgm:pt modelId="{89C788A9-37B7-446E-AFCA-14545F4316CF}" type="pres">
      <dgm:prSet presAssocID="{F289B998-8E08-459C-B7A2-DE67F2BE0F17}" presName="Name111" presStyleLbl="parChTrans1D4" presStyleIdx="1" presStyleCnt="7"/>
      <dgm:spPr/>
    </dgm:pt>
    <dgm:pt modelId="{0C5724D4-C1F9-4B09-967C-1A4DA6A1B898}" type="pres">
      <dgm:prSet presAssocID="{B03071DC-6422-4435-98DB-3EB791552E98}" presName="hierRoot3" presStyleCnt="0">
        <dgm:presLayoutVars>
          <dgm:hierBranch val="init"/>
        </dgm:presLayoutVars>
      </dgm:prSet>
      <dgm:spPr/>
    </dgm:pt>
    <dgm:pt modelId="{A39740B7-19EC-4165-8304-C6A32883C529}" type="pres">
      <dgm:prSet presAssocID="{B03071DC-6422-4435-98DB-3EB791552E98}" presName="rootComposite3" presStyleCnt="0"/>
      <dgm:spPr/>
    </dgm:pt>
    <dgm:pt modelId="{11C53B5B-EEB4-46E8-A690-744EA46DDB43}" type="pres">
      <dgm:prSet presAssocID="{B03071DC-6422-4435-98DB-3EB791552E98}" presName="rootText3" presStyleLbl="asst1" presStyleIdx="3" presStyleCnt="12">
        <dgm:presLayoutVars>
          <dgm:chPref val="3"/>
        </dgm:presLayoutVars>
      </dgm:prSet>
      <dgm:spPr/>
    </dgm:pt>
    <dgm:pt modelId="{6A8456F3-ACB5-4F70-AE8B-002C94A09698}" type="pres">
      <dgm:prSet presAssocID="{B03071DC-6422-4435-98DB-3EB791552E98}" presName="rootConnector3" presStyleLbl="asst1" presStyleIdx="3" presStyleCnt="12"/>
      <dgm:spPr/>
    </dgm:pt>
    <dgm:pt modelId="{DA9AB57A-3029-4635-9B2B-C43F8D8F9920}" type="pres">
      <dgm:prSet presAssocID="{B03071DC-6422-4435-98DB-3EB791552E98}" presName="hierChild6" presStyleCnt="0"/>
      <dgm:spPr/>
    </dgm:pt>
    <dgm:pt modelId="{5F741B9A-3ECA-4DD9-BBCC-0D76807E084E}" type="pres">
      <dgm:prSet presAssocID="{B03071DC-6422-4435-98DB-3EB791552E98}" presName="hierChild7" presStyleCnt="0"/>
      <dgm:spPr/>
    </dgm:pt>
    <dgm:pt modelId="{208D8FAC-047F-4779-BD2F-F319ED658917}" type="pres">
      <dgm:prSet presAssocID="{AD269927-63C4-460F-A457-973C700639A5}" presName="Name111" presStyleLbl="parChTrans1D4" presStyleIdx="2" presStyleCnt="7"/>
      <dgm:spPr/>
    </dgm:pt>
    <dgm:pt modelId="{338E5574-5805-4DDB-88B6-687A402478F7}" type="pres">
      <dgm:prSet presAssocID="{79F2730D-892A-4968-985B-5F156422F3B6}" presName="hierRoot3" presStyleCnt="0">
        <dgm:presLayoutVars>
          <dgm:hierBranch val="init"/>
        </dgm:presLayoutVars>
      </dgm:prSet>
      <dgm:spPr/>
    </dgm:pt>
    <dgm:pt modelId="{83E8541F-8029-42D0-A3ED-F828CD8E81F4}" type="pres">
      <dgm:prSet presAssocID="{79F2730D-892A-4968-985B-5F156422F3B6}" presName="rootComposite3" presStyleCnt="0"/>
      <dgm:spPr/>
    </dgm:pt>
    <dgm:pt modelId="{743A2F3A-4E95-4CD8-856A-DC37432A1BDD}" type="pres">
      <dgm:prSet presAssocID="{79F2730D-892A-4968-985B-5F156422F3B6}" presName="rootText3" presStyleLbl="asst1" presStyleIdx="4" presStyleCnt="12">
        <dgm:presLayoutVars>
          <dgm:chPref val="3"/>
        </dgm:presLayoutVars>
      </dgm:prSet>
      <dgm:spPr/>
    </dgm:pt>
    <dgm:pt modelId="{B6221B12-9AB7-4EFF-A2D7-E44B3D6BF197}" type="pres">
      <dgm:prSet presAssocID="{79F2730D-892A-4968-985B-5F156422F3B6}" presName="rootConnector3" presStyleLbl="asst1" presStyleIdx="4" presStyleCnt="12"/>
      <dgm:spPr/>
    </dgm:pt>
    <dgm:pt modelId="{681F24D1-8276-4435-93EE-7C72BC58A766}" type="pres">
      <dgm:prSet presAssocID="{79F2730D-892A-4968-985B-5F156422F3B6}" presName="hierChild6" presStyleCnt="0"/>
      <dgm:spPr/>
    </dgm:pt>
    <dgm:pt modelId="{343C5362-34C0-4A62-A4B6-E7310A0C7A4F}" type="pres">
      <dgm:prSet presAssocID="{79F2730D-892A-4968-985B-5F156422F3B6}" presName="hierChild7" presStyleCnt="0"/>
      <dgm:spPr/>
    </dgm:pt>
    <dgm:pt modelId="{C2504CE8-A25C-4E30-B187-1740F43BA592}" type="pres">
      <dgm:prSet presAssocID="{A7537612-27C9-473F-A56A-5CF97BBB8B8D}" presName="Name111" presStyleLbl="parChTrans1D2" presStyleIdx="1" presStyleCnt="2"/>
      <dgm:spPr/>
    </dgm:pt>
    <dgm:pt modelId="{498203AE-381A-400D-9F04-C452F3B0C66B}" type="pres">
      <dgm:prSet presAssocID="{AD20B030-8F7E-4C37-9F22-6CB458EFD55B}" presName="hierRoot3" presStyleCnt="0">
        <dgm:presLayoutVars>
          <dgm:hierBranch val="init"/>
        </dgm:presLayoutVars>
      </dgm:prSet>
      <dgm:spPr/>
    </dgm:pt>
    <dgm:pt modelId="{C05D9169-0BA2-41BF-AEA1-395F320577C2}" type="pres">
      <dgm:prSet presAssocID="{AD20B030-8F7E-4C37-9F22-6CB458EFD55B}" presName="rootComposite3" presStyleCnt="0"/>
      <dgm:spPr/>
    </dgm:pt>
    <dgm:pt modelId="{2B5227EA-601E-439D-9F0B-F4E90FECECD9}" type="pres">
      <dgm:prSet presAssocID="{AD20B030-8F7E-4C37-9F22-6CB458EFD55B}" presName="rootText3" presStyleLbl="asst1" presStyleIdx="5" presStyleCnt="12">
        <dgm:presLayoutVars>
          <dgm:chPref val="3"/>
        </dgm:presLayoutVars>
      </dgm:prSet>
      <dgm:spPr/>
    </dgm:pt>
    <dgm:pt modelId="{4BC60801-EEA2-4D79-A9C7-F12B3652B0FD}" type="pres">
      <dgm:prSet presAssocID="{AD20B030-8F7E-4C37-9F22-6CB458EFD55B}" presName="rootConnector3" presStyleLbl="asst1" presStyleIdx="5" presStyleCnt="12"/>
      <dgm:spPr/>
    </dgm:pt>
    <dgm:pt modelId="{C6BDBE71-6EEA-4299-98B2-410E0488CE8B}" type="pres">
      <dgm:prSet presAssocID="{AD20B030-8F7E-4C37-9F22-6CB458EFD55B}" presName="hierChild6" presStyleCnt="0"/>
      <dgm:spPr/>
    </dgm:pt>
    <dgm:pt modelId="{03182F55-4FB5-4743-B7F8-C555B0D6A62C}" type="pres">
      <dgm:prSet presAssocID="{AD20B030-8F7E-4C37-9F22-6CB458EFD55B}" presName="hierChild7" presStyleCnt="0"/>
      <dgm:spPr/>
    </dgm:pt>
    <dgm:pt modelId="{86A04D70-7EC2-4F16-9CF9-E1CD8D6C2A01}" type="pres">
      <dgm:prSet presAssocID="{022D5683-74BB-4FE8-BAB9-C1FF1308F51A}" presName="Name111" presStyleLbl="parChTrans1D3" presStyleIdx="1" presStyleCnt="3"/>
      <dgm:spPr/>
    </dgm:pt>
    <dgm:pt modelId="{808EBB72-7EE8-4A6F-80C2-F53023A9C15C}" type="pres">
      <dgm:prSet presAssocID="{048F635B-8D17-4108-A307-623595D1B6AD}" presName="hierRoot3" presStyleCnt="0">
        <dgm:presLayoutVars>
          <dgm:hierBranch val="init"/>
        </dgm:presLayoutVars>
      </dgm:prSet>
      <dgm:spPr/>
    </dgm:pt>
    <dgm:pt modelId="{D9AAA0C5-5712-4344-807B-F50D1F751D4A}" type="pres">
      <dgm:prSet presAssocID="{048F635B-8D17-4108-A307-623595D1B6AD}" presName="rootComposite3" presStyleCnt="0"/>
      <dgm:spPr/>
    </dgm:pt>
    <dgm:pt modelId="{7284FF11-2B6A-4034-A8C6-AE292556B396}" type="pres">
      <dgm:prSet presAssocID="{048F635B-8D17-4108-A307-623595D1B6AD}" presName="rootText3" presStyleLbl="asst1" presStyleIdx="6" presStyleCnt="12">
        <dgm:presLayoutVars>
          <dgm:chPref val="3"/>
        </dgm:presLayoutVars>
      </dgm:prSet>
      <dgm:spPr/>
    </dgm:pt>
    <dgm:pt modelId="{EECF481F-B4BD-4DBB-BA82-2EAFDAAA99DE}" type="pres">
      <dgm:prSet presAssocID="{048F635B-8D17-4108-A307-623595D1B6AD}" presName="rootConnector3" presStyleLbl="asst1" presStyleIdx="6" presStyleCnt="12"/>
      <dgm:spPr/>
    </dgm:pt>
    <dgm:pt modelId="{7D788854-4573-43A2-ADF8-0DB001CEADC3}" type="pres">
      <dgm:prSet presAssocID="{048F635B-8D17-4108-A307-623595D1B6AD}" presName="hierChild6" presStyleCnt="0"/>
      <dgm:spPr/>
    </dgm:pt>
    <dgm:pt modelId="{85E29245-A1BF-4F2E-8A3B-2A5294537000}" type="pres">
      <dgm:prSet presAssocID="{048F635B-8D17-4108-A307-623595D1B6AD}" presName="hierChild7" presStyleCnt="0"/>
      <dgm:spPr/>
    </dgm:pt>
    <dgm:pt modelId="{F97650C2-960D-4E2B-9AD3-6E6BDA0F93CF}" type="pres">
      <dgm:prSet presAssocID="{CE55F0C0-D8C5-4EE3-9A08-51367FBA69FB}" presName="Name111" presStyleLbl="parChTrans1D4" presStyleIdx="3" presStyleCnt="7"/>
      <dgm:spPr/>
    </dgm:pt>
    <dgm:pt modelId="{08C618D9-3621-4301-9D70-4BC53E8A5F58}" type="pres">
      <dgm:prSet presAssocID="{57017A5C-DABD-493C-B61E-5F644A4D7E75}" presName="hierRoot3" presStyleCnt="0">
        <dgm:presLayoutVars>
          <dgm:hierBranch val="init"/>
        </dgm:presLayoutVars>
      </dgm:prSet>
      <dgm:spPr/>
    </dgm:pt>
    <dgm:pt modelId="{34B0A475-3AD0-466F-8F1E-CF5BF035622D}" type="pres">
      <dgm:prSet presAssocID="{57017A5C-DABD-493C-B61E-5F644A4D7E75}" presName="rootComposite3" presStyleCnt="0"/>
      <dgm:spPr/>
    </dgm:pt>
    <dgm:pt modelId="{81E85E98-6F95-4961-86B8-BBF4EECDD4FF}" type="pres">
      <dgm:prSet presAssocID="{57017A5C-DABD-493C-B61E-5F644A4D7E75}" presName="rootText3" presStyleLbl="asst1" presStyleIdx="7" presStyleCnt="12">
        <dgm:presLayoutVars>
          <dgm:chPref val="3"/>
        </dgm:presLayoutVars>
      </dgm:prSet>
      <dgm:spPr/>
    </dgm:pt>
    <dgm:pt modelId="{33F8C56C-7ABB-431D-9669-5041E1249672}" type="pres">
      <dgm:prSet presAssocID="{57017A5C-DABD-493C-B61E-5F644A4D7E75}" presName="rootConnector3" presStyleLbl="asst1" presStyleIdx="7" presStyleCnt="12"/>
      <dgm:spPr/>
    </dgm:pt>
    <dgm:pt modelId="{B321F295-5288-4B02-A0C4-7B0028D68C59}" type="pres">
      <dgm:prSet presAssocID="{57017A5C-DABD-493C-B61E-5F644A4D7E75}" presName="hierChild6" presStyleCnt="0"/>
      <dgm:spPr/>
    </dgm:pt>
    <dgm:pt modelId="{EB97AEFE-CCCA-4EE8-B576-9FE5FCA7A0D0}" type="pres">
      <dgm:prSet presAssocID="{57017A5C-DABD-493C-B61E-5F644A4D7E75}" presName="hierChild7" presStyleCnt="0"/>
      <dgm:spPr/>
    </dgm:pt>
    <dgm:pt modelId="{EAEFACAC-44F5-455F-954B-81747ECC5F79}" type="pres">
      <dgm:prSet presAssocID="{98F658FF-5A46-46BA-813B-092548D8ED1E}" presName="Name111" presStyleLbl="parChTrans1D3" presStyleIdx="2" presStyleCnt="3"/>
      <dgm:spPr/>
    </dgm:pt>
    <dgm:pt modelId="{42A774B4-8889-47CE-997F-96828FD80F59}" type="pres">
      <dgm:prSet presAssocID="{22B14166-DDCA-4607-98E3-807AA7214F6E}" presName="hierRoot3" presStyleCnt="0">
        <dgm:presLayoutVars>
          <dgm:hierBranch val="init"/>
        </dgm:presLayoutVars>
      </dgm:prSet>
      <dgm:spPr/>
    </dgm:pt>
    <dgm:pt modelId="{6F5FF041-274F-4E94-B603-9D6170D6C7EB}" type="pres">
      <dgm:prSet presAssocID="{22B14166-DDCA-4607-98E3-807AA7214F6E}" presName="rootComposite3" presStyleCnt="0"/>
      <dgm:spPr/>
    </dgm:pt>
    <dgm:pt modelId="{3AB8F653-6953-4CB6-A9C6-A38F27C5D689}" type="pres">
      <dgm:prSet presAssocID="{22B14166-DDCA-4607-98E3-807AA7214F6E}" presName="rootText3" presStyleLbl="asst1" presStyleIdx="8" presStyleCnt="12">
        <dgm:presLayoutVars>
          <dgm:chPref val="3"/>
        </dgm:presLayoutVars>
      </dgm:prSet>
      <dgm:spPr/>
    </dgm:pt>
    <dgm:pt modelId="{EFF5262C-6619-427A-9416-58EA52185795}" type="pres">
      <dgm:prSet presAssocID="{22B14166-DDCA-4607-98E3-807AA7214F6E}" presName="rootConnector3" presStyleLbl="asst1" presStyleIdx="8" presStyleCnt="12"/>
      <dgm:spPr/>
    </dgm:pt>
    <dgm:pt modelId="{A3C735B9-7EEC-47DE-B1DA-5C033C2A662C}" type="pres">
      <dgm:prSet presAssocID="{22B14166-DDCA-4607-98E3-807AA7214F6E}" presName="hierChild6" presStyleCnt="0"/>
      <dgm:spPr/>
    </dgm:pt>
    <dgm:pt modelId="{B3BA6E64-28EE-4953-AEBA-D888C2B4A0A8}" type="pres">
      <dgm:prSet presAssocID="{22B14166-DDCA-4607-98E3-807AA7214F6E}" presName="hierChild7" presStyleCnt="0"/>
      <dgm:spPr/>
    </dgm:pt>
    <dgm:pt modelId="{88EAAB43-F601-4FAD-9FE5-5B8F38B073FD}" type="pres">
      <dgm:prSet presAssocID="{38C4E371-FE55-4268-8292-147E343B8088}" presName="Name111" presStyleLbl="parChTrans1D4" presStyleIdx="4" presStyleCnt="7"/>
      <dgm:spPr/>
    </dgm:pt>
    <dgm:pt modelId="{96D9ED4B-7910-4542-BEF6-66C5BB99E0D9}" type="pres">
      <dgm:prSet presAssocID="{B293FB52-A819-4E57-B1F5-3A3B099ABA59}" presName="hierRoot3" presStyleCnt="0">
        <dgm:presLayoutVars>
          <dgm:hierBranch val="init"/>
        </dgm:presLayoutVars>
      </dgm:prSet>
      <dgm:spPr/>
    </dgm:pt>
    <dgm:pt modelId="{29EB49FB-B05C-4BD6-A1D6-34C4D4ED3B4C}" type="pres">
      <dgm:prSet presAssocID="{B293FB52-A819-4E57-B1F5-3A3B099ABA59}" presName="rootComposite3" presStyleCnt="0"/>
      <dgm:spPr/>
    </dgm:pt>
    <dgm:pt modelId="{EAA4CDB5-85E6-4D93-B6B9-E21CF0750D2B}" type="pres">
      <dgm:prSet presAssocID="{B293FB52-A819-4E57-B1F5-3A3B099ABA59}" presName="rootText3" presStyleLbl="asst1" presStyleIdx="9" presStyleCnt="12">
        <dgm:presLayoutVars>
          <dgm:chPref val="3"/>
        </dgm:presLayoutVars>
      </dgm:prSet>
      <dgm:spPr/>
    </dgm:pt>
    <dgm:pt modelId="{2B3B1C86-840D-4B80-BCCE-88959053F28E}" type="pres">
      <dgm:prSet presAssocID="{B293FB52-A819-4E57-B1F5-3A3B099ABA59}" presName="rootConnector3" presStyleLbl="asst1" presStyleIdx="9" presStyleCnt="12"/>
      <dgm:spPr/>
    </dgm:pt>
    <dgm:pt modelId="{8B0426C2-C0AB-48AB-8A61-6C7908535117}" type="pres">
      <dgm:prSet presAssocID="{B293FB52-A819-4E57-B1F5-3A3B099ABA59}" presName="hierChild6" presStyleCnt="0"/>
      <dgm:spPr/>
    </dgm:pt>
    <dgm:pt modelId="{A63D95D1-0B6F-4E80-A942-F225BD157240}" type="pres">
      <dgm:prSet presAssocID="{B293FB52-A819-4E57-B1F5-3A3B099ABA59}" presName="hierChild7" presStyleCnt="0"/>
      <dgm:spPr/>
    </dgm:pt>
    <dgm:pt modelId="{91F648DE-E8CF-4F92-AC33-969BEB19515C}" type="pres">
      <dgm:prSet presAssocID="{D3B336D0-B814-4EA2-A465-D81C619AE288}" presName="Name111" presStyleLbl="parChTrans1D4" presStyleIdx="5" presStyleCnt="7"/>
      <dgm:spPr/>
    </dgm:pt>
    <dgm:pt modelId="{A23E4F35-2624-406D-A011-B33F04E923DD}" type="pres">
      <dgm:prSet presAssocID="{34C6E2CF-90C0-4F83-A81C-AF501443638E}" presName="hierRoot3" presStyleCnt="0">
        <dgm:presLayoutVars>
          <dgm:hierBranch val="init"/>
        </dgm:presLayoutVars>
      </dgm:prSet>
      <dgm:spPr/>
    </dgm:pt>
    <dgm:pt modelId="{DBE5E472-9A01-4ADC-9C62-336245672824}" type="pres">
      <dgm:prSet presAssocID="{34C6E2CF-90C0-4F83-A81C-AF501443638E}" presName="rootComposite3" presStyleCnt="0"/>
      <dgm:spPr/>
    </dgm:pt>
    <dgm:pt modelId="{17853E4A-667B-4870-8064-D49AC247A348}" type="pres">
      <dgm:prSet presAssocID="{34C6E2CF-90C0-4F83-A81C-AF501443638E}" presName="rootText3" presStyleLbl="asst1" presStyleIdx="10" presStyleCnt="12">
        <dgm:presLayoutVars>
          <dgm:chPref val="3"/>
        </dgm:presLayoutVars>
      </dgm:prSet>
      <dgm:spPr/>
    </dgm:pt>
    <dgm:pt modelId="{36E01D59-2539-4DBF-8106-CD6CDE3DA24E}" type="pres">
      <dgm:prSet presAssocID="{34C6E2CF-90C0-4F83-A81C-AF501443638E}" presName="rootConnector3" presStyleLbl="asst1" presStyleIdx="10" presStyleCnt="12"/>
      <dgm:spPr/>
    </dgm:pt>
    <dgm:pt modelId="{DBE1A61E-22A8-4759-A732-F03FC2CB4EA6}" type="pres">
      <dgm:prSet presAssocID="{34C6E2CF-90C0-4F83-A81C-AF501443638E}" presName="hierChild6" presStyleCnt="0"/>
      <dgm:spPr/>
    </dgm:pt>
    <dgm:pt modelId="{6DB3720F-DAA0-468D-AAAC-B1764E703CE1}" type="pres">
      <dgm:prSet presAssocID="{34C6E2CF-90C0-4F83-A81C-AF501443638E}" presName="hierChild7" presStyleCnt="0"/>
      <dgm:spPr/>
    </dgm:pt>
    <dgm:pt modelId="{0CD81C3B-246F-44FC-8365-5EFE5C7733B9}" type="pres">
      <dgm:prSet presAssocID="{1BE962EA-C174-4477-B580-EC129336A8D7}" presName="Name111" presStyleLbl="parChTrans1D4" presStyleIdx="6" presStyleCnt="7"/>
      <dgm:spPr/>
    </dgm:pt>
    <dgm:pt modelId="{6B5F2544-F66B-4FD2-A943-351E66CE25EF}" type="pres">
      <dgm:prSet presAssocID="{F2E6F5D4-1BCE-4952-BAFD-F0584D88CAC9}" presName="hierRoot3" presStyleCnt="0">
        <dgm:presLayoutVars>
          <dgm:hierBranch val="init"/>
        </dgm:presLayoutVars>
      </dgm:prSet>
      <dgm:spPr/>
    </dgm:pt>
    <dgm:pt modelId="{5C30CFE4-8F6A-4354-A11E-7A5D7811D4B1}" type="pres">
      <dgm:prSet presAssocID="{F2E6F5D4-1BCE-4952-BAFD-F0584D88CAC9}" presName="rootComposite3" presStyleCnt="0"/>
      <dgm:spPr/>
    </dgm:pt>
    <dgm:pt modelId="{322389D1-303A-4285-8EE7-64AB825FAAFE}" type="pres">
      <dgm:prSet presAssocID="{F2E6F5D4-1BCE-4952-BAFD-F0584D88CAC9}" presName="rootText3" presStyleLbl="asst1" presStyleIdx="11" presStyleCnt="12">
        <dgm:presLayoutVars>
          <dgm:chPref val="3"/>
        </dgm:presLayoutVars>
      </dgm:prSet>
      <dgm:spPr/>
    </dgm:pt>
    <dgm:pt modelId="{6483C763-EB97-4192-8244-20F4789F9A28}" type="pres">
      <dgm:prSet presAssocID="{F2E6F5D4-1BCE-4952-BAFD-F0584D88CAC9}" presName="rootConnector3" presStyleLbl="asst1" presStyleIdx="11" presStyleCnt="12"/>
      <dgm:spPr/>
    </dgm:pt>
    <dgm:pt modelId="{7181E245-CCEF-47FE-8D83-3B31CFA44024}" type="pres">
      <dgm:prSet presAssocID="{F2E6F5D4-1BCE-4952-BAFD-F0584D88CAC9}" presName="hierChild6" presStyleCnt="0"/>
      <dgm:spPr/>
    </dgm:pt>
    <dgm:pt modelId="{93DBCCEC-41AA-414F-9851-5FFBCB2BDBA9}" type="pres">
      <dgm:prSet presAssocID="{F2E6F5D4-1BCE-4952-BAFD-F0584D88CAC9}" presName="hierChild7" presStyleCnt="0"/>
      <dgm:spPr/>
    </dgm:pt>
  </dgm:ptLst>
  <dgm:cxnLst>
    <dgm:cxn modelId="{F01AD701-7125-4300-8471-E341D05653DC}" srcId="{048F635B-8D17-4108-A307-623595D1B6AD}" destId="{57017A5C-DABD-493C-B61E-5F644A4D7E75}" srcOrd="0" destOrd="0" parTransId="{CE55F0C0-D8C5-4EE3-9A08-51367FBA69FB}" sibTransId="{E6E1FD34-6546-4412-A4E9-8B1C57477A2C}"/>
    <dgm:cxn modelId="{5611B00A-23B3-4AB4-A718-68FF40CFFF1F}" type="presOf" srcId="{DF2F4509-EB23-4912-94AA-BEF4FD6C17DE}" destId="{C45FF0FE-5AC4-45B5-882D-C96689D3B5BC}" srcOrd="0" destOrd="0" presId="urn:microsoft.com/office/officeart/2005/8/layout/orgChart1"/>
    <dgm:cxn modelId="{D399110D-C4AB-4F0A-87ED-1C706C1EFB80}" srcId="{AD20B030-8F7E-4C37-9F22-6CB458EFD55B}" destId="{22B14166-DDCA-4607-98E3-807AA7214F6E}" srcOrd="1" destOrd="0" parTransId="{98F658FF-5A46-46BA-813B-092548D8ED1E}" sibTransId="{44F64E15-3E5D-41C0-B4BB-89DD201E4E2E}"/>
    <dgm:cxn modelId="{F410160D-A34A-4B48-90E1-565CF2C055A7}" type="presOf" srcId="{B293FB52-A819-4E57-B1F5-3A3B099ABA59}" destId="{EAA4CDB5-85E6-4D93-B6B9-E21CF0750D2B}" srcOrd="0" destOrd="0" presId="urn:microsoft.com/office/officeart/2005/8/layout/orgChart1"/>
    <dgm:cxn modelId="{11450A15-742F-47E1-BD60-B67ED6B8278C}" type="presOf" srcId="{59BA24EF-66D1-421F-9594-6EF7AE6FE2B3}" destId="{46D19199-8D3D-4C0C-B0A7-524A7B9EA135}" srcOrd="0" destOrd="0" presId="urn:microsoft.com/office/officeart/2005/8/layout/orgChart1"/>
    <dgm:cxn modelId="{4AA54815-CD17-42B1-81FF-6003CDF62B1C}" type="presOf" srcId="{DF2F4509-EB23-4912-94AA-BEF4FD6C17DE}" destId="{336F0B47-F494-4195-914B-DBB500197785}" srcOrd="1" destOrd="0" presId="urn:microsoft.com/office/officeart/2005/8/layout/orgChart1"/>
    <dgm:cxn modelId="{4450C117-F07F-4545-8AD4-1374666B654A}" type="presOf" srcId="{B03071DC-6422-4435-98DB-3EB791552E98}" destId="{11C53B5B-EEB4-46E8-A690-744EA46DDB43}" srcOrd="0" destOrd="0" presId="urn:microsoft.com/office/officeart/2005/8/layout/orgChart1"/>
    <dgm:cxn modelId="{B4A3DB1B-F6B9-4617-8B1B-7EF805A28680}" type="presOf" srcId="{02564E3E-73C6-4AE0-B34A-1DFC9A14E440}" destId="{E336613D-5BFF-49BA-AC9E-634EC5090AF8}" srcOrd="0" destOrd="0" presId="urn:microsoft.com/office/officeart/2005/8/layout/orgChart1"/>
    <dgm:cxn modelId="{498E7720-80CF-405A-9EFE-39C19F16BBD5}" srcId="{EC4C5EB2-1627-4F98-BA49-322BB2659BD8}" destId="{59BA24EF-66D1-421F-9594-6EF7AE6FE2B3}" srcOrd="0" destOrd="0" parTransId="{02564E3E-73C6-4AE0-B34A-1DFC9A14E440}" sibTransId="{30E638F3-94A7-49CB-B8D2-E76F4E7AD9AB}"/>
    <dgm:cxn modelId="{83B05929-7C35-43E7-AD65-EC499AE40C80}" type="presOf" srcId="{B293FB52-A819-4E57-B1F5-3A3B099ABA59}" destId="{2B3B1C86-840D-4B80-BCCE-88959053F28E}" srcOrd="1" destOrd="0" presId="urn:microsoft.com/office/officeart/2005/8/layout/orgChart1"/>
    <dgm:cxn modelId="{BCD0062C-4FAF-4664-9641-B9DCEDBAF1F2}" type="presOf" srcId="{F289B998-8E08-459C-B7A2-DE67F2BE0F17}" destId="{89C788A9-37B7-446E-AFCA-14545F4316CF}" srcOrd="0" destOrd="0" presId="urn:microsoft.com/office/officeart/2005/8/layout/orgChart1"/>
    <dgm:cxn modelId="{F14F402F-28CA-4388-B327-0C2EE0375E9E}" srcId="{AD20B030-8F7E-4C37-9F22-6CB458EFD55B}" destId="{048F635B-8D17-4108-A307-623595D1B6AD}" srcOrd="0" destOrd="0" parTransId="{022D5683-74BB-4FE8-BAB9-C1FF1308F51A}" sibTransId="{A23A3439-2809-4F9D-9D39-6E1BC06FDC4A}"/>
    <dgm:cxn modelId="{1A45AE36-8AEC-47CC-B8DB-900E72FDA5D3}" type="presOf" srcId="{F2E6F5D4-1BCE-4952-BAFD-F0584D88CAC9}" destId="{6483C763-EB97-4192-8244-20F4789F9A28}" srcOrd="1" destOrd="0" presId="urn:microsoft.com/office/officeart/2005/8/layout/orgChart1"/>
    <dgm:cxn modelId="{EDFD7A37-FA44-4CC7-BB84-E81FCE247199}" srcId="{EC4C5EB2-1627-4F98-BA49-322BB2659BD8}" destId="{AD20B030-8F7E-4C37-9F22-6CB458EFD55B}" srcOrd="1" destOrd="0" parTransId="{A7537612-27C9-473F-A56A-5CF97BBB8B8D}" sibTransId="{F2FA781A-41C8-49A5-B8F3-184E757359E3}"/>
    <dgm:cxn modelId="{0E18DD3D-9CE7-4AFC-99B3-769C5986DD96}" srcId="{B293FB52-A819-4E57-B1F5-3A3B099ABA59}" destId="{34C6E2CF-90C0-4F83-A81C-AF501443638E}" srcOrd="0" destOrd="0" parTransId="{D3B336D0-B814-4EA2-A465-D81C619AE288}" sibTransId="{C600BDE4-65A9-4F47-BC65-38724EB1D630}"/>
    <dgm:cxn modelId="{21D22B3E-0B5B-4853-A0FF-F80329E645F2}" type="presOf" srcId="{1BE962EA-C174-4477-B580-EC129336A8D7}" destId="{0CD81C3B-246F-44FC-8365-5EFE5C7733B9}" srcOrd="0" destOrd="0" presId="urn:microsoft.com/office/officeart/2005/8/layout/orgChart1"/>
    <dgm:cxn modelId="{E7E68763-D04A-4DB1-ACAD-F3BC88A50DB3}" type="presOf" srcId="{CE55F0C0-D8C5-4EE3-9A08-51367FBA69FB}" destId="{F97650C2-960D-4E2B-9AD3-6E6BDA0F93CF}" srcOrd="0" destOrd="0" presId="urn:microsoft.com/office/officeart/2005/8/layout/orgChart1"/>
    <dgm:cxn modelId="{A9602664-D52B-4285-BA02-6593E3151F7C}" type="presOf" srcId="{D0C99E26-BD21-4F23-9A7E-EC93DC1AA2CE}" destId="{63FEC7FC-A5E4-4A3F-BF45-CD344D5BA9A6}" srcOrd="0" destOrd="0" presId="urn:microsoft.com/office/officeart/2005/8/layout/orgChart1"/>
    <dgm:cxn modelId="{264DAC6F-AA7C-4D70-A676-86263A8C2309}" srcId="{FFA9645F-802F-4418-8E15-EB6F91AC1EF2}" destId="{EC4C5EB2-1627-4F98-BA49-322BB2659BD8}" srcOrd="0" destOrd="0" parTransId="{876C3B3F-F191-4773-A3C0-25F8387CC8F5}" sibTransId="{86484579-79F7-4744-8BB0-708400DD8327}"/>
    <dgm:cxn modelId="{D4275C53-12EF-48C8-A689-D07F533B7B04}" type="presOf" srcId="{AD269927-63C4-460F-A457-973C700639A5}" destId="{208D8FAC-047F-4779-BD2F-F319ED658917}" srcOrd="0" destOrd="0" presId="urn:microsoft.com/office/officeart/2005/8/layout/orgChart1"/>
    <dgm:cxn modelId="{437F0D56-02E5-491C-94EE-35F65CF0C78A}" type="presOf" srcId="{A7537612-27C9-473F-A56A-5CF97BBB8B8D}" destId="{C2504CE8-A25C-4E30-B187-1740F43BA592}" srcOrd="0" destOrd="0" presId="urn:microsoft.com/office/officeart/2005/8/layout/orgChart1"/>
    <dgm:cxn modelId="{8FA37193-8E82-48D0-A290-7815675517ED}" type="presOf" srcId="{79F2730D-892A-4968-985B-5F156422F3B6}" destId="{743A2F3A-4E95-4CD8-856A-DC37432A1BDD}" srcOrd="0" destOrd="0" presId="urn:microsoft.com/office/officeart/2005/8/layout/orgChart1"/>
    <dgm:cxn modelId="{E7D01794-C56C-4A87-BED3-B7681F193785}" type="presOf" srcId="{AD20B030-8F7E-4C37-9F22-6CB458EFD55B}" destId="{4BC60801-EEA2-4D79-A9C7-F12B3652B0FD}" srcOrd="1" destOrd="0" presId="urn:microsoft.com/office/officeart/2005/8/layout/orgChart1"/>
    <dgm:cxn modelId="{C7784599-1E83-48BA-B8F2-6E2A8BD749DE}" srcId="{DF2F4509-EB23-4912-94AA-BEF4FD6C17DE}" destId="{B03071DC-6422-4435-98DB-3EB791552E98}" srcOrd="0" destOrd="0" parTransId="{F289B998-8E08-459C-B7A2-DE67F2BE0F17}" sibTransId="{F7A795EB-A5F1-4A81-8777-1B2AB12B6A07}"/>
    <dgm:cxn modelId="{DCA88399-E516-47CC-9BA8-5044B9F7D0A0}" type="presOf" srcId="{048F635B-8D17-4108-A307-623595D1B6AD}" destId="{7284FF11-2B6A-4034-A8C6-AE292556B396}" srcOrd="0" destOrd="0" presId="urn:microsoft.com/office/officeart/2005/8/layout/orgChart1"/>
    <dgm:cxn modelId="{32A5AE9A-65C8-4418-8522-8999E781C5D5}" type="presOf" srcId="{34C6E2CF-90C0-4F83-A81C-AF501443638E}" destId="{17853E4A-667B-4870-8064-D49AC247A348}" srcOrd="0" destOrd="0" presId="urn:microsoft.com/office/officeart/2005/8/layout/orgChart1"/>
    <dgm:cxn modelId="{FE78249C-B614-430D-9DD6-5984DFF5CD04}" type="presOf" srcId="{AD20B030-8F7E-4C37-9F22-6CB458EFD55B}" destId="{2B5227EA-601E-439D-9F0B-F4E90FECECD9}" srcOrd="0" destOrd="0" presId="urn:microsoft.com/office/officeart/2005/8/layout/orgChart1"/>
    <dgm:cxn modelId="{4702599D-CC02-4720-9230-3F0688F654FD}" type="presOf" srcId="{98F658FF-5A46-46BA-813B-092548D8ED1E}" destId="{EAEFACAC-44F5-455F-954B-81747ECC5F79}" srcOrd="0" destOrd="0" presId="urn:microsoft.com/office/officeart/2005/8/layout/orgChart1"/>
    <dgm:cxn modelId="{500B139E-98BD-4B9C-93CB-8BCB4D74B82D}" type="presOf" srcId="{FFA9645F-802F-4418-8E15-EB6F91AC1EF2}" destId="{89E9221B-7E6A-474A-AD16-98787ADFE9AF}" srcOrd="0" destOrd="0" presId="urn:microsoft.com/office/officeart/2005/8/layout/orgChart1"/>
    <dgm:cxn modelId="{2EA264A0-5AD6-4340-A4AD-BE9DE0330D3B}" type="presOf" srcId="{5895EC40-BC98-4FDD-AAD7-3D93A10A4118}" destId="{2366F270-AA4D-40D7-AD50-74883E85A39B}" srcOrd="0" destOrd="0" presId="urn:microsoft.com/office/officeart/2005/8/layout/orgChart1"/>
    <dgm:cxn modelId="{71200FA3-1545-40AA-8E49-5D97C52B5A86}" srcId="{B03071DC-6422-4435-98DB-3EB791552E98}" destId="{79F2730D-892A-4968-985B-5F156422F3B6}" srcOrd="0" destOrd="0" parTransId="{AD269927-63C4-460F-A457-973C700639A5}" sibTransId="{413C26F3-D207-4BA5-A378-D73A8B2278EF}"/>
    <dgm:cxn modelId="{A98602A9-69AE-4AF6-8D2D-1C8258C996A2}" type="presOf" srcId="{59BA24EF-66D1-421F-9594-6EF7AE6FE2B3}" destId="{8129CD9F-9CDC-4062-9C88-D889094790B4}" srcOrd="1" destOrd="0" presId="urn:microsoft.com/office/officeart/2005/8/layout/orgChart1"/>
    <dgm:cxn modelId="{71FB0EA9-86E7-43DB-8EC5-3F29E0352E56}" srcId="{59BA24EF-66D1-421F-9594-6EF7AE6FE2B3}" destId="{5895EC40-BC98-4FDD-AAD7-3D93A10A4118}" srcOrd="0" destOrd="0" parTransId="{97FB6071-10CD-44DA-8300-87CB76124C9D}" sibTransId="{0C1A3B86-9447-4934-9623-507AA4DAE383}"/>
    <dgm:cxn modelId="{E7AA8AAB-92E3-4F0B-B22F-7D33A636DE93}" type="presOf" srcId="{D3B336D0-B814-4EA2-A465-D81C619AE288}" destId="{91F648DE-E8CF-4F92-AC33-969BEB19515C}" srcOrd="0" destOrd="0" presId="urn:microsoft.com/office/officeart/2005/8/layout/orgChart1"/>
    <dgm:cxn modelId="{3BBB12C1-A897-44DD-AA96-ACFC6D3C0D30}" type="presOf" srcId="{22B14166-DDCA-4607-98E3-807AA7214F6E}" destId="{3AB8F653-6953-4CB6-A9C6-A38F27C5D689}" srcOrd="0" destOrd="0" presId="urn:microsoft.com/office/officeart/2005/8/layout/orgChart1"/>
    <dgm:cxn modelId="{5735E5C3-A8CE-4AF6-9307-C52A89A01D11}" type="presOf" srcId="{57017A5C-DABD-493C-B61E-5F644A4D7E75}" destId="{81E85E98-6F95-4961-86B8-BBF4EECDD4FF}" srcOrd="0" destOrd="0" presId="urn:microsoft.com/office/officeart/2005/8/layout/orgChart1"/>
    <dgm:cxn modelId="{41E303C4-201C-47B4-A846-9F49C06DDA24}" type="presOf" srcId="{F2E6F5D4-1BCE-4952-BAFD-F0584D88CAC9}" destId="{322389D1-303A-4285-8EE7-64AB825FAAFE}" srcOrd="0" destOrd="0" presId="urn:microsoft.com/office/officeart/2005/8/layout/orgChart1"/>
    <dgm:cxn modelId="{488709C9-821C-4DDC-84CE-C8493E8B3B5D}" type="presOf" srcId="{38C4E371-FE55-4268-8292-147E343B8088}" destId="{88EAAB43-F601-4FAD-9FE5-5B8F38B073FD}" srcOrd="0" destOrd="0" presId="urn:microsoft.com/office/officeart/2005/8/layout/orgChart1"/>
    <dgm:cxn modelId="{4EF5D6D5-6E6A-419B-BCC9-4D69EE36184C}" type="presOf" srcId="{79F2730D-892A-4968-985B-5F156422F3B6}" destId="{B6221B12-9AB7-4EFF-A2D7-E44B3D6BF197}" srcOrd="1" destOrd="0" presId="urn:microsoft.com/office/officeart/2005/8/layout/orgChart1"/>
    <dgm:cxn modelId="{E75CE9DB-7744-4226-9104-4192C4817442}" type="presOf" srcId="{34C6E2CF-90C0-4F83-A81C-AF501443638E}" destId="{36E01D59-2539-4DBF-8106-CD6CDE3DA24E}" srcOrd="1" destOrd="0" presId="urn:microsoft.com/office/officeart/2005/8/layout/orgChart1"/>
    <dgm:cxn modelId="{D8ED8FE2-C007-4F7F-9690-847051285CAF}" type="presOf" srcId="{048F635B-8D17-4108-A307-623595D1B6AD}" destId="{EECF481F-B4BD-4DBB-BA82-2EAFDAAA99DE}" srcOrd="1" destOrd="0" presId="urn:microsoft.com/office/officeart/2005/8/layout/orgChart1"/>
    <dgm:cxn modelId="{2A378EE4-8947-4AA0-AA87-D304FA9FC2C6}" srcId="{5895EC40-BC98-4FDD-AAD7-3D93A10A4118}" destId="{DF2F4509-EB23-4912-94AA-BEF4FD6C17DE}" srcOrd="0" destOrd="0" parTransId="{D0C99E26-BD21-4F23-9A7E-EC93DC1AA2CE}" sibTransId="{83FF531D-EA28-4787-AEDC-5A68EA4C6F93}"/>
    <dgm:cxn modelId="{D50B77E5-4BF8-403F-B308-F830645EA76A}" type="presOf" srcId="{EC4C5EB2-1627-4F98-BA49-322BB2659BD8}" destId="{A21D7AC6-2F2A-4C40-97FA-FCD8B0B79E98}" srcOrd="1" destOrd="0" presId="urn:microsoft.com/office/officeart/2005/8/layout/orgChart1"/>
    <dgm:cxn modelId="{9A68F6EA-E45A-4F96-88AE-28E8A5CA3896}" type="presOf" srcId="{B03071DC-6422-4435-98DB-3EB791552E98}" destId="{6A8456F3-ACB5-4F70-AE8B-002C94A09698}" srcOrd="1" destOrd="0" presId="urn:microsoft.com/office/officeart/2005/8/layout/orgChart1"/>
    <dgm:cxn modelId="{4BC25FEB-BA45-4B68-AACD-3627B261048B}" type="presOf" srcId="{EC4C5EB2-1627-4F98-BA49-322BB2659BD8}" destId="{33D2B833-8027-4D9F-BDBB-9DB80077E0FD}" srcOrd="0" destOrd="0" presId="urn:microsoft.com/office/officeart/2005/8/layout/orgChart1"/>
    <dgm:cxn modelId="{C447BBEE-A1CE-43D0-8E0D-DCD408583C2B}" type="presOf" srcId="{22B14166-DDCA-4607-98E3-807AA7214F6E}" destId="{EFF5262C-6619-427A-9416-58EA52185795}" srcOrd="1" destOrd="0" presId="urn:microsoft.com/office/officeart/2005/8/layout/orgChart1"/>
    <dgm:cxn modelId="{70F58FF1-A79B-46CD-9887-D9420BFA720D}" type="presOf" srcId="{97FB6071-10CD-44DA-8300-87CB76124C9D}" destId="{F6D54FD5-BC6A-4537-837A-FD575C01EB7F}" srcOrd="0" destOrd="0" presId="urn:microsoft.com/office/officeart/2005/8/layout/orgChart1"/>
    <dgm:cxn modelId="{2D224EF4-9741-4DBF-8036-540AFB76C709}" type="presOf" srcId="{022D5683-74BB-4FE8-BAB9-C1FF1308F51A}" destId="{86A04D70-7EC2-4F16-9CF9-E1CD8D6C2A01}" srcOrd="0" destOrd="0" presId="urn:microsoft.com/office/officeart/2005/8/layout/orgChart1"/>
    <dgm:cxn modelId="{CD2459F5-878D-4CF7-AB8D-D183AF8C6AFF}" type="presOf" srcId="{5895EC40-BC98-4FDD-AAD7-3D93A10A4118}" destId="{104FD630-1645-4E0F-B311-6464DD94DEE3}" srcOrd="1" destOrd="0" presId="urn:microsoft.com/office/officeart/2005/8/layout/orgChart1"/>
    <dgm:cxn modelId="{433184F6-E119-40FF-9934-41699F9B3E98}" type="presOf" srcId="{57017A5C-DABD-493C-B61E-5F644A4D7E75}" destId="{33F8C56C-7ABB-431D-9669-5041E1249672}" srcOrd="1" destOrd="0" presId="urn:microsoft.com/office/officeart/2005/8/layout/orgChart1"/>
    <dgm:cxn modelId="{5266FBFD-D10D-4C42-8A15-B4241FCE5ED0}" srcId="{22B14166-DDCA-4607-98E3-807AA7214F6E}" destId="{B293FB52-A819-4E57-B1F5-3A3B099ABA59}" srcOrd="0" destOrd="0" parTransId="{38C4E371-FE55-4268-8292-147E343B8088}" sibTransId="{C9E57C27-E3A0-4AD4-8A99-357E0A757691}"/>
    <dgm:cxn modelId="{1FC640FF-2C04-49EB-92D1-96D546E74597}" srcId="{34C6E2CF-90C0-4F83-A81C-AF501443638E}" destId="{F2E6F5D4-1BCE-4952-BAFD-F0584D88CAC9}" srcOrd="0" destOrd="0" parTransId="{1BE962EA-C174-4477-B580-EC129336A8D7}" sibTransId="{D333EA97-CD38-4359-97F6-6B1FBCCEFF98}"/>
    <dgm:cxn modelId="{1A9E382D-275E-444C-8889-BFB9632D1024}" type="presParOf" srcId="{89E9221B-7E6A-474A-AD16-98787ADFE9AF}" destId="{10010D68-9AC5-4959-BD3F-1A702525A8AD}" srcOrd="0" destOrd="0" presId="urn:microsoft.com/office/officeart/2005/8/layout/orgChart1"/>
    <dgm:cxn modelId="{BEE5758B-0287-4460-96CC-303960359B9C}" type="presParOf" srcId="{10010D68-9AC5-4959-BD3F-1A702525A8AD}" destId="{7785F28D-996B-4A1E-A85B-BA22E55D1FD3}" srcOrd="0" destOrd="0" presId="urn:microsoft.com/office/officeart/2005/8/layout/orgChart1"/>
    <dgm:cxn modelId="{E1025C07-35E6-4650-81AD-4D0B79D18162}" type="presParOf" srcId="{7785F28D-996B-4A1E-A85B-BA22E55D1FD3}" destId="{33D2B833-8027-4D9F-BDBB-9DB80077E0FD}" srcOrd="0" destOrd="0" presId="urn:microsoft.com/office/officeart/2005/8/layout/orgChart1"/>
    <dgm:cxn modelId="{F9D14E64-56D5-4AD6-A780-47D88EED1CCE}" type="presParOf" srcId="{7785F28D-996B-4A1E-A85B-BA22E55D1FD3}" destId="{A21D7AC6-2F2A-4C40-97FA-FCD8B0B79E98}" srcOrd="1" destOrd="0" presId="urn:microsoft.com/office/officeart/2005/8/layout/orgChart1"/>
    <dgm:cxn modelId="{046660C9-DB76-42B9-B865-F5A13C2AA862}" type="presParOf" srcId="{10010D68-9AC5-4959-BD3F-1A702525A8AD}" destId="{74FD8E24-A81D-4E3B-A994-ADB6C05DE293}" srcOrd="1" destOrd="0" presId="urn:microsoft.com/office/officeart/2005/8/layout/orgChart1"/>
    <dgm:cxn modelId="{1EC0F3C1-922F-4ACC-A366-E1DD675D4913}" type="presParOf" srcId="{10010D68-9AC5-4959-BD3F-1A702525A8AD}" destId="{81D73CEF-3186-4E87-878C-2E28F1393E2E}" srcOrd="2" destOrd="0" presId="urn:microsoft.com/office/officeart/2005/8/layout/orgChart1"/>
    <dgm:cxn modelId="{11BE8C9B-4115-4D7D-BECB-C4E2474B9C88}" type="presParOf" srcId="{81D73CEF-3186-4E87-878C-2E28F1393E2E}" destId="{E336613D-5BFF-49BA-AC9E-634EC5090AF8}" srcOrd="0" destOrd="0" presId="urn:microsoft.com/office/officeart/2005/8/layout/orgChart1"/>
    <dgm:cxn modelId="{EB4DFEEA-0A9D-4EF8-8A8B-F258496E6DA1}" type="presParOf" srcId="{81D73CEF-3186-4E87-878C-2E28F1393E2E}" destId="{B68A8101-8440-456D-BBA0-89FD27B9041D}" srcOrd="1" destOrd="0" presId="urn:microsoft.com/office/officeart/2005/8/layout/orgChart1"/>
    <dgm:cxn modelId="{36CA27E8-4CDF-4025-A288-134B88D21DF8}" type="presParOf" srcId="{B68A8101-8440-456D-BBA0-89FD27B9041D}" destId="{6D7AF579-CA25-4053-A420-8CCBAC5CE8A2}" srcOrd="0" destOrd="0" presId="urn:microsoft.com/office/officeart/2005/8/layout/orgChart1"/>
    <dgm:cxn modelId="{885C081A-9412-4900-AD2F-028249EC233A}" type="presParOf" srcId="{6D7AF579-CA25-4053-A420-8CCBAC5CE8A2}" destId="{46D19199-8D3D-4C0C-B0A7-524A7B9EA135}" srcOrd="0" destOrd="0" presId="urn:microsoft.com/office/officeart/2005/8/layout/orgChart1"/>
    <dgm:cxn modelId="{3E56ABA5-9C80-40E7-AD46-D684998C0196}" type="presParOf" srcId="{6D7AF579-CA25-4053-A420-8CCBAC5CE8A2}" destId="{8129CD9F-9CDC-4062-9C88-D889094790B4}" srcOrd="1" destOrd="0" presId="urn:microsoft.com/office/officeart/2005/8/layout/orgChart1"/>
    <dgm:cxn modelId="{8882E28E-BF95-46CD-8850-D1A7F31E53D6}" type="presParOf" srcId="{B68A8101-8440-456D-BBA0-89FD27B9041D}" destId="{E9599B34-7A4B-4FE3-AB22-30689E9B1241}" srcOrd="1" destOrd="0" presId="urn:microsoft.com/office/officeart/2005/8/layout/orgChart1"/>
    <dgm:cxn modelId="{CD4C4644-882C-47D2-90AC-4C367D8530F5}" type="presParOf" srcId="{B68A8101-8440-456D-BBA0-89FD27B9041D}" destId="{9831950D-CFAB-449B-9A4C-77C4C57B5166}" srcOrd="2" destOrd="0" presId="urn:microsoft.com/office/officeart/2005/8/layout/orgChart1"/>
    <dgm:cxn modelId="{F8A9FD9E-5BF3-429B-B76D-AC32652CD00B}" type="presParOf" srcId="{9831950D-CFAB-449B-9A4C-77C4C57B5166}" destId="{F6D54FD5-BC6A-4537-837A-FD575C01EB7F}" srcOrd="0" destOrd="0" presId="urn:microsoft.com/office/officeart/2005/8/layout/orgChart1"/>
    <dgm:cxn modelId="{7B1830D4-03EF-43DB-B5ED-596628EFA2E1}" type="presParOf" srcId="{9831950D-CFAB-449B-9A4C-77C4C57B5166}" destId="{DCD9B16F-BF4A-428A-A62F-5107B2BBBEC5}" srcOrd="1" destOrd="0" presId="urn:microsoft.com/office/officeart/2005/8/layout/orgChart1"/>
    <dgm:cxn modelId="{C9116F8D-A398-4588-9157-91D5BC2104B6}" type="presParOf" srcId="{DCD9B16F-BF4A-428A-A62F-5107B2BBBEC5}" destId="{6055BCE2-D21C-473D-A11E-EF4F1F3F7559}" srcOrd="0" destOrd="0" presId="urn:microsoft.com/office/officeart/2005/8/layout/orgChart1"/>
    <dgm:cxn modelId="{BB824CA5-368A-44B7-B0BB-12251EE03E21}" type="presParOf" srcId="{6055BCE2-D21C-473D-A11E-EF4F1F3F7559}" destId="{2366F270-AA4D-40D7-AD50-74883E85A39B}" srcOrd="0" destOrd="0" presId="urn:microsoft.com/office/officeart/2005/8/layout/orgChart1"/>
    <dgm:cxn modelId="{E108044C-4CFB-4BCA-B2FF-E18285070C97}" type="presParOf" srcId="{6055BCE2-D21C-473D-A11E-EF4F1F3F7559}" destId="{104FD630-1645-4E0F-B311-6464DD94DEE3}" srcOrd="1" destOrd="0" presId="urn:microsoft.com/office/officeart/2005/8/layout/orgChart1"/>
    <dgm:cxn modelId="{1F048CA2-F6B2-4754-AAE1-2FB56197992B}" type="presParOf" srcId="{DCD9B16F-BF4A-428A-A62F-5107B2BBBEC5}" destId="{91C89B57-B193-4AF3-9892-CA3282B89793}" srcOrd="1" destOrd="0" presId="urn:microsoft.com/office/officeart/2005/8/layout/orgChart1"/>
    <dgm:cxn modelId="{FC515974-507E-4BB5-8CF4-DD2AA91D1D5F}" type="presParOf" srcId="{DCD9B16F-BF4A-428A-A62F-5107B2BBBEC5}" destId="{3D9B69DA-BE83-4B4C-A916-D31A3A20E4B4}" srcOrd="2" destOrd="0" presId="urn:microsoft.com/office/officeart/2005/8/layout/orgChart1"/>
    <dgm:cxn modelId="{916B3579-620F-4205-B267-F0F5F9CB5873}" type="presParOf" srcId="{3D9B69DA-BE83-4B4C-A916-D31A3A20E4B4}" destId="{63FEC7FC-A5E4-4A3F-BF45-CD344D5BA9A6}" srcOrd="0" destOrd="0" presId="urn:microsoft.com/office/officeart/2005/8/layout/orgChart1"/>
    <dgm:cxn modelId="{C77E8F84-C6AB-41A9-B4A4-6896EBACDADA}" type="presParOf" srcId="{3D9B69DA-BE83-4B4C-A916-D31A3A20E4B4}" destId="{F2786D3C-562E-4C5B-BBD9-3676D6585CD1}" srcOrd="1" destOrd="0" presId="urn:microsoft.com/office/officeart/2005/8/layout/orgChart1"/>
    <dgm:cxn modelId="{3AA3007F-C8FF-49C1-8211-16CD27F25C8D}" type="presParOf" srcId="{F2786D3C-562E-4C5B-BBD9-3676D6585CD1}" destId="{C59ED9F9-2693-4539-9BE0-A3109437F1D8}" srcOrd="0" destOrd="0" presId="urn:microsoft.com/office/officeart/2005/8/layout/orgChart1"/>
    <dgm:cxn modelId="{0FFCAE53-92F9-41F5-B702-DBA0ACCB2C99}" type="presParOf" srcId="{C59ED9F9-2693-4539-9BE0-A3109437F1D8}" destId="{C45FF0FE-5AC4-45B5-882D-C96689D3B5BC}" srcOrd="0" destOrd="0" presId="urn:microsoft.com/office/officeart/2005/8/layout/orgChart1"/>
    <dgm:cxn modelId="{4B6D3BBA-80DA-4F68-9629-814AFE986A29}" type="presParOf" srcId="{C59ED9F9-2693-4539-9BE0-A3109437F1D8}" destId="{336F0B47-F494-4195-914B-DBB500197785}" srcOrd="1" destOrd="0" presId="urn:microsoft.com/office/officeart/2005/8/layout/orgChart1"/>
    <dgm:cxn modelId="{A62D0576-0E63-409C-B0C7-AE40DC62748F}" type="presParOf" srcId="{F2786D3C-562E-4C5B-BBD9-3676D6585CD1}" destId="{E406C4DC-168C-46ED-B280-D71145ECC4B1}" srcOrd="1" destOrd="0" presId="urn:microsoft.com/office/officeart/2005/8/layout/orgChart1"/>
    <dgm:cxn modelId="{7C0F8E26-2E33-4F02-8226-785746DFDB78}" type="presParOf" srcId="{F2786D3C-562E-4C5B-BBD9-3676D6585CD1}" destId="{35003B36-2ABD-4798-8DBC-3CA087390AB6}" srcOrd="2" destOrd="0" presId="urn:microsoft.com/office/officeart/2005/8/layout/orgChart1"/>
    <dgm:cxn modelId="{3CCBDAC1-E509-464F-8E66-5BFE82BE8EB7}" type="presParOf" srcId="{35003B36-2ABD-4798-8DBC-3CA087390AB6}" destId="{89C788A9-37B7-446E-AFCA-14545F4316CF}" srcOrd="0" destOrd="0" presId="urn:microsoft.com/office/officeart/2005/8/layout/orgChart1"/>
    <dgm:cxn modelId="{63040F4F-0CDD-49A8-84B7-973499FBAE81}" type="presParOf" srcId="{35003B36-2ABD-4798-8DBC-3CA087390AB6}" destId="{0C5724D4-C1F9-4B09-967C-1A4DA6A1B898}" srcOrd="1" destOrd="0" presId="urn:microsoft.com/office/officeart/2005/8/layout/orgChart1"/>
    <dgm:cxn modelId="{73DC0766-F0D0-4DCD-B24F-87215D7AE277}" type="presParOf" srcId="{0C5724D4-C1F9-4B09-967C-1A4DA6A1B898}" destId="{A39740B7-19EC-4165-8304-C6A32883C529}" srcOrd="0" destOrd="0" presId="urn:microsoft.com/office/officeart/2005/8/layout/orgChart1"/>
    <dgm:cxn modelId="{35143E85-9754-45FE-935C-AE5D5BA838C6}" type="presParOf" srcId="{A39740B7-19EC-4165-8304-C6A32883C529}" destId="{11C53B5B-EEB4-46E8-A690-744EA46DDB43}" srcOrd="0" destOrd="0" presId="urn:microsoft.com/office/officeart/2005/8/layout/orgChart1"/>
    <dgm:cxn modelId="{47B70EF7-2FC5-425F-B9BC-40E97F174115}" type="presParOf" srcId="{A39740B7-19EC-4165-8304-C6A32883C529}" destId="{6A8456F3-ACB5-4F70-AE8B-002C94A09698}" srcOrd="1" destOrd="0" presId="urn:microsoft.com/office/officeart/2005/8/layout/orgChart1"/>
    <dgm:cxn modelId="{9D65E0E2-02B8-443F-BB68-B31B6DA0B77C}" type="presParOf" srcId="{0C5724D4-C1F9-4B09-967C-1A4DA6A1B898}" destId="{DA9AB57A-3029-4635-9B2B-C43F8D8F9920}" srcOrd="1" destOrd="0" presId="urn:microsoft.com/office/officeart/2005/8/layout/orgChart1"/>
    <dgm:cxn modelId="{EA92DBB5-C05B-4263-A8D4-A6AD98AE8F95}" type="presParOf" srcId="{0C5724D4-C1F9-4B09-967C-1A4DA6A1B898}" destId="{5F741B9A-3ECA-4DD9-BBCC-0D76807E084E}" srcOrd="2" destOrd="0" presId="urn:microsoft.com/office/officeart/2005/8/layout/orgChart1"/>
    <dgm:cxn modelId="{25C6E07E-D91E-4554-A19B-D22E832AFD7F}" type="presParOf" srcId="{5F741B9A-3ECA-4DD9-BBCC-0D76807E084E}" destId="{208D8FAC-047F-4779-BD2F-F319ED658917}" srcOrd="0" destOrd="0" presId="urn:microsoft.com/office/officeart/2005/8/layout/orgChart1"/>
    <dgm:cxn modelId="{91150D7F-0F64-49CD-BFF8-626342EA3077}" type="presParOf" srcId="{5F741B9A-3ECA-4DD9-BBCC-0D76807E084E}" destId="{338E5574-5805-4DDB-88B6-687A402478F7}" srcOrd="1" destOrd="0" presId="urn:microsoft.com/office/officeart/2005/8/layout/orgChart1"/>
    <dgm:cxn modelId="{E87E9E8C-20CB-4D75-B1A2-AA3990ED2442}" type="presParOf" srcId="{338E5574-5805-4DDB-88B6-687A402478F7}" destId="{83E8541F-8029-42D0-A3ED-F828CD8E81F4}" srcOrd="0" destOrd="0" presId="urn:microsoft.com/office/officeart/2005/8/layout/orgChart1"/>
    <dgm:cxn modelId="{761F67CC-DC64-4D09-AE3D-745C9869CFF3}" type="presParOf" srcId="{83E8541F-8029-42D0-A3ED-F828CD8E81F4}" destId="{743A2F3A-4E95-4CD8-856A-DC37432A1BDD}" srcOrd="0" destOrd="0" presId="urn:microsoft.com/office/officeart/2005/8/layout/orgChart1"/>
    <dgm:cxn modelId="{E9935E6B-6884-4D7B-9614-83EA93DC27DD}" type="presParOf" srcId="{83E8541F-8029-42D0-A3ED-F828CD8E81F4}" destId="{B6221B12-9AB7-4EFF-A2D7-E44B3D6BF197}" srcOrd="1" destOrd="0" presId="urn:microsoft.com/office/officeart/2005/8/layout/orgChart1"/>
    <dgm:cxn modelId="{76C54C2F-A0EA-4E7E-9CD4-2A922B14A75D}" type="presParOf" srcId="{338E5574-5805-4DDB-88B6-687A402478F7}" destId="{681F24D1-8276-4435-93EE-7C72BC58A766}" srcOrd="1" destOrd="0" presId="urn:microsoft.com/office/officeart/2005/8/layout/orgChart1"/>
    <dgm:cxn modelId="{284E9B18-3789-4E28-9DDF-E8EAF9723432}" type="presParOf" srcId="{338E5574-5805-4DDB-88B6-687A402478F7}" destId="{343C5362-34C0-4A62-A4B6-E7310A0C7A4F}" srcOrd="2" destOrd="0" presId="urn:microsoft.com/office/officeart/2005/8/layout/orgChart1"/>
    <dgm:cxn modelId="{31CC972D-2EBC-4544-91DA-1F4FECA39131}" type="presParOf" srcId="{81D73CEF-3186-4E87-878C-2E28F1393E2E}" destId="{C2504CE8-A25C-4E30-B187-1740F43BA592}" srcOrd="2" destOrd="0" presId="urn:microsoft.com/office/officeart/2005/8/layout/orgChart1"/>
    <dgm:cxn modelId="{C3B602D0-0A63-4FE5-99BB-E91298494FCF}" type="presParOf" srcId="{81D73CEF-3186-4E87-878C-2E28F1393E2E}" destId="{498203AE-381A-400D-9F04-C452F3B0C66B}" srcOrd="3" destOrd="0" presId="urn:microsoft.com/office/officeart/2005/8/layout/orgChart1"/>
    <dgm:cxn modelId="{B5DE79C3-D08C-4DDA-898E-88E7BCD73AED}" type="presParOf" srcId="{498203AE-381A-400D-9F04-C452F3B0C66B}" destId="{C05D9169-0BA2-41BF-AEA1-395F320577C2}" srcOrd="0" destOrd="0" presId="urn:microsoft.com/office/officeart/2005/8/layout/orgChart1"/>
    <dgm:cxn modelId="{BBBA4E7B-9BEA-4C4F-B1FB-19793C9F2871}" type="presParOf" srcId="{C05D9169-0BA2-41BF-AEA1-395F320577C2}" destId="{2B5227EA-601E-439D-9F0B-F4E90FECECD9}" srcOrd="0" destOrd="0" presId="urn:microsoft.com/office/officeart/2005/8/layout/orgChart1"/>
    <dgm:cxn modelId="{05918F3E-3354-4497-BA00-30784293F837}" type="presParOf" srcId="{C05D9169-0BA2-41BF-AEA1-395F320577C2}" destId="{4BC60801-EEA2-4D79-A9C7-F12B3652B0FD}" srcOrd="1" destOrd="0" presId="urn:microsoft.com/office/officeart/2005/8/layout/orgChart1"/>
    <dgm:cxn modelId="{665DCC8F-6B2A-4B3A-9E65-1D2C750CB7C4}" type="presParOf" srcId="{498203AE-381A-400D-9F04-C452F3B0C66B}" destId="{C6BDBE71-6EEA-4299-98B2-410E0488CE8B}" srcOrd="1" destOrd="0" presId="urn:microsoft.com/office/officeart/2005/8/layout/orgChart1"/>
    <dgm:cxn modelId="{33E8FBD5-1366-45DC-9097-1AA54F626354}" type="presParOf" srcId="{498203AE-381A-400D-9F04-C452F3B0C66B}" destId="{03182F55-4FB5-4743-B7F8-C555B0D6A62C}" srcOrd="2" destOrd="0" presId="urn:microsoft.com/office/officeart/2005/8/layout/orgChart1"/>
    <dgm:cxn modelId="{E7DAB257-68E3-4C77-8C44-2DA5D37010E0}" type="presParOf" srcId="{03182F55-4FB5-4743-B7F8-C555B0D6A62C}" destId="{86A04D70-7EC2-4F16-9CF9-E1CD8D6C2A01}" srcOrd="0" destOrd="0" presId="urn:microsoft.com/office/officeart/2005/8/layout/orgChart1"/>
    <dgm:cxn modelId="{2D4069B9-8784-425F-B44C-F0C8447FCBC9}" type="presParOf" srcId="{03182F55-4FB5-4743-B7F8-C555B0D6A62C}" destId="{808EBB72-7EE8-4A6F-80C2-F53023A9C15C}" srcOrd="1" destOrd="0" presId="urn:microsoft.com/office/officeart/2005/8/layout/orgChart1"/>
    <dgm:cxn modelId="{5C97FAE1-7108-4BAF-8C0F-CE73A0ADD739}" type="presParOf" srcId="{808EBB72-7EE8-4A6F-80C2-F53023A9C15C}" destId="{D9AAA0C5-5712-4344-807B-F50D1F751D4A}" srcOrd="0" destOrd="0" presId="urn:microsoft.com/office/officeart/2005/8/layout/orgChart1"/>
    <dgm:cxn modelId="{1C946E8E-9849-4C6B-A2CB-A1659286A165}" type="presParOf" srcId="{D9AAA0C5-5712-4344-807B-F50D1F751D4A}" destId="{7284FF11-2B6A-4034-A8C6-AE292556B396}" srcOrd="0" destOrd="0" presId="urn:microsoft.com/office/officeart/2005/8/layout/orgChart1"/>
    <dgm:cxn modelId="{9CF7683D-5B05-4705-AFC4-E41365B53094}" type="presParOf" srcId="{D9AAA0C5-5712-4344-807B-F50D1F751D4A}" destId="{EECF481F-B4BD-4DBB-BA82-2EAFDAAA99DE}" srcOrd="1" destOrd="0" presId="urn:microsoft.com/office/officeart/2005/8/layout/orgChart1"/>
    <dgm:cxn modelId="{3CEE12E4-D902-4137-9448-99F5DC9D2A4E}" type="presParOf" srcId="{808EBB72-7EE8-4A6F-80C2-F53023A9C15C}" destId="{7D788854-4573-43A2-ADF8-0DB001CEADC3}" srcOrd="1" destOrd="0" presId="urn:microsoft.com/office/officeart/2005/8/layout/orgChart1"/>
    <dgm:cxn modelId="{BCCAA45B-0428-43D0-B59E-661EC71FE36E}" type="presParOf" srcId="{808EBB72-7EE8-4A6F-80C2-F53023A9C15C}" destId="{85E29245-A1BF-4F2E-8A3B-2A5294537000}" srcOrd="2" destOrd="0" presId="urn:microsoft.com/office/officeart/2005/8/layout/orgChart1"/>
    <dgm:cxn modelId="{6FE4EB07-8A83-49A6-A669-6C97304F5981}" type="presParOf" srcId="{85E29245-A1BF-4F2E-8A3B-2A5294537000}" destId="{F97650C2-960D-4E2B-9AD3-6E6BDA0F93CF}" srcOrd="0" destOrd="0" presId="urn:microsoft.com/office/officeart/2005/8/layout/orgChart1"/>
    <dgm:cxn modelId="{31F9F8ED-78FA-4120-B1D0-677000F304B7}" type="presParOf" srcId="{85E29245-A1BF-4F2E-8A3B-2A5294537000}" destId="{08C618D9-3621-4301-9D70-4BC53E8A5F58}" srcOrd="1" destOrd="0" presId="urn:microsoft.com/office/officeart/2005/8/layout/orgChart1"/>
    <dgm:cxn modelId="{49D414F5-654C-428C-9FCC-93425F70D529}" type="presParOf" srcId="{08C618D9-3621-4301-9D70-4BC53E8A5F58}" destId="{34B0A475-3AD0-466F-8F1E-CF5BF035622D}" srcOrd="0" destOrd="0" presId="urn:microsoft.com/office/officeart/2005/8/layout/orgChart1"/>
    <dgm:cxn modelId="{D8E924E6-E6FC-40A7-81CE-AC64D090E43C}" type="presParOf" srcId="{34B0A475-3AD0-466F-8F1E-CF5BF035622D}" destId="{81E85E98-6F95-4961-86B8-BBF4EECDD4FF}" srcOrd="0" destOrd="0" presId="urn:microsoft.com/office/officeart/2005/8/layout/orgChart1"/>
    <dgm:cxn modelId="{71AABAB0-6106-41E4-ADDD-F793D5162D51}" type="presParOf" srcId="{34B0A475-3AD0-466F-8F1E-CF5BF035622D}" destId="{33F8C56C-7ABB-431D-9669-5041E1249672}" srcOrd="1" destOrd="0" presId="urn:microsoft.com/office/officeart/2005/8/layout/orgChart1"/>
    <dgm:cxn modelId="{59E21724-F590-4452-8EB4-5AFB6608A44C}" type="presParOf" srcId="{08C618D9-3621-4301-9D70-4BC53E8A5F58}" destId="{B321F295-5288-4B02-A0C4-7B0028D68C59}" srcOrd="1" destOrd="0" presId="urn:microsoft.com/office/officeart/2005/8/layout/orgChart1"/>
    <dgm:cxn modelId="{2CEA4E0A-4EA5-40E6-BB18-55D9D3482059}" type="presParOf" srcId="{08C618D9-3621-4301-9D70-4BC53E8A5F58}" destId="{EB97AEFE-CCCA-4EE8-B576-9FE5FCA7A0D0}" srcOrd="2" destOrd="0" presId="urn:microsoft.com/office/officeart/2005/8/layout/orgChart1"/>
    <dgm:cxn modelId="{C5BF65BC-61CF-4654-BCA9-811EF469B63E}" type="presParOf" srcId="{03182F55-4FB5-4743-B7F8-C555B0D6A62C}" destId="{EAEFACAC-44F5-455F-954B-81747ECC5F79}" srcOrd="2" destOrd="0" presId="urn:microsoft.com/office/officeart/2005/8/layout/orgChart1"/>
    <dgm:cxn modelId="{B15EBDCF-FC03-4508-8274-D6D21E4987DE}" type="presParOf" srcId="{03182F55-4FB5-4743-B7F8-C555B0D6A62C}" destId="{42A774B4-8889-47CE-997F-96828FD80F59}" srcOrd="3" destOrd="0" presId="urn:microsoft.com/office/officeart/2005/8/layout/orgChart1"/>
    <dgm:cxn modelId="{4D24D677-1B8D-4BFF-9189-6BBBBDC75B83}" type="presParOf" srcId="{42A774B4-8889-47CE-997F-96828FD80F59}" destId="{6F5FF041-274F-4E94-B603-9D6170D6C7EB}" srcOrd="0" destOrd="0" presId="urn:microsoft.com/office/officeart/2005/8/layout/orgChart1"/>
    <dgm:cxn modelId="{F7EC2C6D-352F-4F48-A8ED-F828A98E5863}" type="presParOf" srcId="{6F5FF041-274F-4E94-B603-9D6170D6C7EB}" destId="{3AB8F653-6953-4CB6-A9C6-A38F27C5D689}" srcOrd="0" destOrd="0" presId="urn:microsoft.com/office/officeart/2005/8/layout/orgChart1"/>
    <dgm:cxn modelId="{41C9982F-4DED-4BAC-A1B1-43E28630D849}" type="presParOf" srcId="{6F5FF041-274F-4E94-B603-9D6170D6C7EB}" destId="{EFF5262C-6619-427A-9416-58EA52185795}" srcOrd="1" destOrd="0" presId="urn:microsoft.com/office/officeart/2005/8/layout/orgChart1"/>
    <dgm:cxn modelId="{66D3CD7B-00D6-4CA8-9A11-2B8214414315}" type="presParOf" srcId="{42A774B4-8889-47CE-997F-96828FD80F59}" destId="{A3C735B9-7EEC-47DE-B1DA-5C033C2A662C}" srcOrd="1" destOrd="0" presId="urn:microsoft.com/office/officeart/2005/8/layout/orgChart1"/>
    <dgm:cxn modelId="{004B50BA-DC94-463E-A9A6-A71A7CDE12D0}" type="presParOf" srcId="{42A774B4-8889-47CE-997F-96828FD80F59}" destId="{B3BA6E64-28EE-4953-AEBA-D888C2B4A0A8}" srcOrd="2" destOrd="0" presId="urn:microsoft.com/office/officeart/2005/8/layout/orgChart1"/>
    <dgm:cxn modelId="{12E7B4A5-A0D0-44AB-9B13-C48CB9C1C692}" type="presParOf" srcId="{B3BA6E64-28EE-4953-AEBA-D888C2B4A0A8}" destId="{88EAAB43-F601-4FAD-9FE5-5B8F38B073FD}" srcOrd="0" destOrd="0" presId="urn:microsoft.com/office/officeart/2005/8/layout/orgChart1"/>
    <dgm:cxn modelId="{9CDDAA37-9552-4518-9AB1-22236BEE698E}" type="presParOf" srcId="{B3BA6E64-28EE-4953-AEBA-D888C2B4A0A8}" destId="{96D9ED4B-7910-4542-BEF6-66C5BB99E0D9}" srcOrd="1" destOrd="0" presId="urn:microsoft.com/office/officeart/2005/8/layout/orgChart1"/>
    <dgm:cxn modelId="{5341E93B-FB9C-4879-B86F-70B887A7368D}" type="presParOf" srcId="{96D9ED4B-7910-4542-BEF6-66C5BB99E0D9}" destId="{29EB49FB-B05C-4BD6-A1D6-34C4D4ED3B4C}" srcOrd="0" destOrd="0" presId="urn:microsoft.com/office/officeart/2005/8/layout/orgChart1"/>
    <dgm:cxn modelId="{1F593935-3CCA-49BC-B3D9-4E6DFBD54BAF}" type="presParOf" srcId="{29EB49FB-B05C-4BD6-A1D6-34C4D4ED3B4C}" destId="{EAA4CDB5-85E6-4D93-B6B9-E21CF0750D2B}" srcOrd="0" destOrd="0" presId="urn:microsoft.com/office/officeart/2005/8/layout/orgChart1"/>
    <dgm:cxn modelId="{B6100F31-6C06-4199-AF44-7A174E8B95DB}" type="presParOf" srcId="{29EB49FB-B05C-4BD6-A1D6-34C4D4ED3B4C}" destId="{2B3B1C86-840D-4B80-BCCE-88959053F28E}" srcOrd="1" destOrd="0" presId="urn:microsoft.com/office/officeart/2005/8/layout/orgChart1"/>
    <dgm:cxn modelId="{6E70FCF2-16DC-4905-9FB5-67799238AFF4}" type="presParOf" srcId="{96D9ED4B-7910-4542-BEF6-66C5BB99E0D9}" destId="{8B0426C2-C0AB-48AB-8A61-6C7908535117}" srcOrd="1" destOrd="0" presId="urn:microsoft.com/office/officeart/2005/8/layout/orgChart1"/>
    <dgm:cxn modelId="{996B0B90-0EB7-4CD6-A885-7E438B757BAC}" type="presParOf" srcId="{96D9ED4B-7910-4542-BEF6-66C5BB99E0D9}" destId="{A63D95D1-0B6F-4E80-A942-F225BD157240}" srcOrd="2" destOrd="0" presId="urn:microsoft.com/office/officeart/2005/8/layout/orgChart1"/>
    <dgm:cxn modelId="{5DC8FE3D-B5EE-4308-BF55-2CAA561E6C9B}" type="presParOf" srcId="{A63D95D1-0B6F-4E80-A942-F225BD157240}" destId="{91F648DE-E8CF-4F92-AC33-969BEB19515C}" srcOrd="0" destOrd="0" presId="urn:microsoft.com/office/officeart/2005/8/layout/orgChart1"/>
    <dgm:cxn modelId="{EB40DA12-D0E4-47F7-99FC-C5729DE1E1F6}" type="presParOf" srcId="{A63D95D1-0B6F-4E80-A942-F225BD157240}" destId="{A23E4F35-2624-406D-A011-B33F04E923DD}" srcOrd="1" destOrd="0" presId="urn:microsoft.com/office/officeart/2005/8/layout/orgChart1"/>
    <dgm:cxn modelId="{2B955B79-8255-4BBA-80E1-421256BAF227}" type="presParOf" srcId="{A23E4F35-2624-406D-A011-B33F04E923DD}" destId="{DBE5E472-9A01-4ADC-9C62-336245672824}" srcOrd="0" destOrd="0" presId="urn:microsoft.com/office/officeart/2005/8/layout/orgChart1"/>
    <dgm:cxn modelId="{73D1B7F4-31CA-4538-B9EC-2288353436C0}" type="presParOf" srcId="{DBE5E472-9A01-4ADC-9C62-336245672824}" destId="{17853E4A-667B-4870-8064-D49AC247A348}" srcOrd="0" destOrd="0" presId="urn:microsoft.com/office/officeart/2005/8/layout/orgChart1"/>
    <dgm:cxn modelId="{EEED6AA8-76F0-48E9-9AE1-335A6D361EB8}" type="presParOf" srcId="{DBE5E472-9A01-4ADC-9C62-336245672824}" destId="{36E01D59-2539-4DBF-8106-CD6CDE3DA24E}" srcOrd="1" destOrd="0" presId="urn:microsoft.com/office/officeart/2005/8/layout/orgChart1"/>
    <dgm:cxn modelId="{19AD7539-5314-4A3E-A9DA-B951C088D6FC}" type="presParOf" srcId="{A23E4F35-2624-406D-A011-B33F04E923DD}" destId="{DBE1A61E-22A8-4759-A732-F03FC2CB4EA6}" srcOrd="1" destOrd="0" presId="urn:microsoft.com/office/officeart/2005/8/layout/orgChart1"/>
    <dgm:cxn modelId="{1F1C2AFA-4839-40C6-8551-E3661913862D}" type="presParOf" srcId="{A23E4F35-2624-406D-A011-B33F04E923DD}" destId="{6DB3720F-DAA0-468D-AAAC-B1764E703CE1}" srcOrd="2" destOrd="0" presId="urn:microsoft.com/office/officeart/2005/8/layout/orgChart1"/>
    <dgm:cxn modelId="{7E618AE8-FEBE-4BBE-83E6-C8BB0F309D38}" type="presParOf" srcId="{6DB3720F-DAA0-468D-AAAC-B1764E703CE1}" destId="{0CD81C3B-246F-44FC-8365-5EFE5C7733B9}" srcOrd="0" destOrd="0" presId="urn:microsoft.com/office/officeart/2005/8/layout/orgChart1"/>
    <dgm:cxn modelId="{7EDFA3A9-D444-43E1-A7FA-E2694EB949D9}" type="presParOf" srcId="{6DB3720F-DAA0-468D-AAAC-B1764E703CE1}" destId="{6B5F2544-F66B-4FD2-A943-351E66CE25EF}" srcOrd="1" destOrd="0" presId="urn:microsoft.com/office/officeart/2005/8/layout/orgChart1"/>
    <dgm:cxn modelId="{08F33753-0B82-4679-A0A4-664D3EAFAD1C}" type="presParOf" srcId="{6B5F2544-F66B-4FD2-A943-351E66CE25EF}" destId="{5C30CFE4-8F6A-4354-A11E-7A5D7811D4B1}" srcOrd="0" destOrd="0" presId="urn:microsoft.com/office/officeart/2005/8/layout/orgChart1"/>
    <dgm:cxn modelId="{0D92928F-C629-4938-A3A2-12619E0C3C55}" type="presParOf" srcId="{5C30CFE4-8F6A-4354-A11E-7A5D7811D4B1}" destId="{322389D1-303A-4285-8EE7-64AB825FAAFE}" srcOrd="0" destOrd="0" presId="urn:microsoft.com/office/officeart/2005/8/layout/orgChart1"/>
    <dgm:cxn modelId="{C2FE5DC9-D426-446E-93AB-81FD4DF621A9}" type="presParOf" srcId="{5C30CFE4-8F6A-4354-A11E-7A5D7811D4B1}" destId="{6483C763-EB97-4192-8244-20F4789F9A28}" srcOrd="1" destOrd="0" presId="urn:microsoft.com/office/officeart/2005/8/layout/orgChart1"/>
    <dgm:cxn modelId="{2B2E0AD4-6F99-4C22-8255-84B3CCC11CC6}" type="presParOf" srcId="{6B5F2544-F66B-4FD2-A943-351E66CE25EF}" destId="{7181E245-CCEF-47FE-8D83-3B31CFA44024}" srcOrd="1" destOrd="0" presId="urn:microsoft.com/office/officeart/2005/8/layout/orgChart1"/>
    <dgm:cxn modelId="{66472B8F-E90B-4B4A-A991-DF72FAE24F3A}" type="presParOf" srcId="{6B5F2544-F66B-4FD2-A943-351E66CE25EF}" destId="{93DBCCEC-41AA-414F-9851-5FFBCB2BDBA9}" srcOrd="2" destOrd="0" presId="urn:microsoft.com/office/officeart/2005/8/layout/orgChart1"/>
  </dgm:cxnLst>
  <dgm:bg/>
  <dgm:whole/>
  <dgm:extLst>
    <a:ext uri="http://schemas.microsoft.com/office/drawing/2008/diagram">
      <dsp:dataModelExt xmlns:dsp="http://schemas.microsoft.com/office/drawing/2008/diagram" relId="rId19"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CD81C3B-246F-44FC-8365-5EFE5C7733B9}">
      <dsp:nvSpPr>
        <dsp:cNvPr id="0" name=""/>
        <dsp:cNvSpPr/>
      </dsp:nvSpPr>
      <dsp:spPr>
        <a:xfrm>
          <a:off x="6724033" y="4085903"/>
          <a:ext cx="109509" cy="479754"/>
        </a:xfrm>
        <a:custGeom>
          <a:avLst/>
          <a:gdLst/>
          <a:ahLst/>
          <a:cxnLst/>
          <a:rect l="0" t="0" r="0" b="0"/>
          <a:pathLst>
            <a:path>
              <a:moveTo>
                <a:pt x="109509" y="0"/>
              </a:moveTo>
              <a:lnTo>
                <a:pt x="109509" y="479754"/>
              </a:lnTo>
              <a:lnTo>
                <a:pt x="0" y="47975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1F648DE-E8CF-4F92-AC33-969BEB19515C}">
      <dsp:nvSpPr>
        <dsp:cNvPr id="0" name=""/>
        <dsp:cNvSpPr/>
      </dsp:nvSpPr>
      <dsp:spPr>
        <a:xfrm>
          <a:off x="7355015" y="3345411"/>
          <a:ext cx="109509" cy="479754"/>
        </a:xfrm>
        <a:custGeom>
          <a:avLst/>
          <a:gdLst/>
          <a:ahLst/>
          <a:cxnLst/>
          <a:rect l="0" t="0" r="0" b="0"/>
          <a:pathLst>
            <a:path>
              <a:moveTo>
                <a:pt x="109509" y="0"/>
              </a:moveTo>
              <a:lnTo>
                <a:pt x="109509" y="479754"/>
              </a:lnTo>
              <a:lnTo>
                <a:pt x="0" y="47975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8EAAB43-F601-4FAD-9FE5-5B8F38B073FD}">
      <dsp:nvSpPr>
        <dsp:cNvPr id="0" name=""/>
        <dsp:cNvSpPr/>
      </dsp:nvSpPr>
      <dsp:spPr>
        <a:xfrm>
          <a:off x="7985997" y="2604920"/>
          <a:ext cx="109509" cy="479754"/>
        </a:xfrm>
        <a:custGeom>
          <a:avLst/>
          <a:gdLst/>
          <a:ahLst/>
          <a:cxnLst/>
          <a:rect l="0" t="0" r="0" b="0"/>
          <a:pathLst>
            <a:path>
              <a:moveTo>
                <a:pt x="109509" y="0"/>
              </a:moveTo>
              <a:lnTo>
                <a:pt x="109509" y="479754"/>
              </a:lnTo>
              <a:lnTo>
                <a:pt x="0" y="47975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AEFACAC-44F5-455F-954B-81747ECC5F79}">
      <dsp:nvSpPr>
        <dsp:cNvPr id="0" name=""/>
        <dsp:cNvSpPr/>
      </dsp:nvSpPr>
      <dsp:spPr>
        <a:xfrm>
          <a:off x="5571578" y="1864428"/>
          <a:ext cx="2002455" cy="479754"/>
        </a:xfrm>
        <a:custGeom>
          <a:avLst/>
          <a:gdLst/>
          <a:ahLst/>
          <a:cxnLst/>
          <a:rect l="0" t="0" r="0" b="0"/>
          <a:pathLst>
            <a:path>
              <a:moveTo>
                <a:pt x="0" y="0"/>
              </a:moveTo>
              <a:lnTo>
                <a:pt x="0" y="479754"/>
              </a:lnTo>
              <a:lnTo>
                <a:pt x="2002455" y="47975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97650C2-960D-4E2B-9AD3-6E6BDA0F93CF}">
      <dsp:nvSpPr>
        <dsp:cNvPr id="0" name=""/>
        <dsp:cNvSpPr/>
      </dsp:nvSpPr>
      <dsp:spPr>
        <a:xfrm>
          <a:off x="4831087" y="2604920"/>
          <a:ext cx="109509" cy="479754"/>
        </a:xfrm>
        <a:custGeom>
          <a:avLst/>
          <a:gdLst/>
          <a:ahLst/>
          <a:cxnLst/>
          <a:rect l="0" t="0" r="0" b="0"/>
          <a:pathLst>
            <a:path>
              <a:moveTo>
                <a:pt x="109509" y="0"/>
              </a:moveTo>
              <a:lnTo>
                <a:pt x="109509" y="479754"/>
              </a:lnTo>
              <a:lnTo>
                <a:pt x="0" y="47975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6A04D70-7EC2-4F16-9CF9-E1CD8D6C2A01}">
      <dsp:nvSpPr>
        <dsp:cNvPr id="0" name=""/>
        <dsp:cNvSpPr/>
      </dsp:nvSpPr>
      <dsp:spPr>
        <a:xfrm>
          <a:off x="5462069" y="1864428"/>
          <a:ext cx="109509" cy="479754"/>
        </a:xfrm>
        <a:custGeom>
          <a:avLst/>
          <a:gdLst/>
          <a:ahLst/>
          <a:cxnLst/>
          <a:rect l="0" t="0" r="0" b="0"/>
          <a:pathLst>
            <a:path>
              <a:moveTo>
                <a:pt x="109509" y="0"/>
              </a:moveTo>
              <a:lnTo>
                <a:pt x="109509" y="479754"/>
              </a:lnTo>
              <a:lnTo>
                <a:pt x="0" y="47975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2504CE8-A25C-4E30-B187-1740F43BA592}">
      <dsp:nvSpPr>
        <dsp:cNvPr id="0" name=""/>
        <dsp:cNvSpPr/>
      </dsp:nvSpPr>
      <dsp:spPr>
        <a:xfrm>
          <a:off x="3678632" y="1123937"/>
          <a:ext cx="1371473" cy="479754"/>
        </a:xfrm>
        <a:custGeom>
          <a:avLst/>
          <a:gdLst/>
          <a:ahLst/>
          <a:cxnLst/>
          <a:rect l="0" t="0" r="0" b="0"/>
          <a:pathLst>
            <a:path>
              <a:moveTo>
                <a:pt x="0" y="0"/>
              </a:moveTo>
              <a:lnTo>
                <a:pt x="0" y="479754"/>
              </a:lnTo>
              <a:lnTo>
                <a:pt x="1371473" y="479754"/>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08D8FAC-047F-4779-BD2F-F319ED658917}">
      <dsp:nvSpPr>
        <dsp:cNvPr id="0" name=""/>
        <dsp:cNvSpPr/>
      </dsp:nvSpPr>
      <dsp:spPr>
        <a:xfrm>
          <a:off x="1045194" y="4085903"/>
          <a:ext cx="109509" cy="479754"/>
        </a:xfrm>
        <a:custGeom>
          <a:avLst/>
          <a:gdLst/>
          <a:ahLst/>
          <a:cxnLst/>
          <a:rect l="0" t="0" r="0" b="0"/>
          <a:pathLst>
            <a:path>
              <a:moveTo>
                <a:pt x="109509" y="0"/>
              </a:moveTo>
              <a:lnTo>
                <a:pt x="109509" y="479754"/>
              </a:lnTo>
              <a:lnTo>
                <a:pt x="0" y="47975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9C788A9-37B7-446E-AFCA-14545F4316CF}">
      <dsp:nvSpPr>
        <dsp:cNvPr id="0" name=""/>
        <dsp:cNvSpPr/>
      </dsp:nvSpPr>
      <dsp:spPr>
        <a:xfrm>
          <a:off x="1676176" y="3345411"/>
          <a:ext cx="109509" cy="479754"/>
        </a:xfrm>
        <a:custGeom>
          <a:avLst/>
          <a:gdLst/>
          <a:ahLst/>
          <a:cxnLst/>
          <a:rect l="0" t="0" r="0" b="0"/>
          <a:pathLst>
            <a:path>
              <a:moveTo>
                <a:pt x="109509" y="0"/>
              </a:moveTo>
              <a:lnTo>
                <a:pt x="109509" y="479754"/>
              </a:lnTo>
              <a:lnTo>
                <a:pt x="0" y="47975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3FEC7FC-A5E4-4A3F-BF45-CD344D5BA9A6}">
      <dsp:nvSpPr>
        <dsp:cNvPr id="0" name=""/>
        <dsp:cNvSpPr/>
      </dsp:nvSpPr>
      <dsp:spPr>
        <a:xfrm>
          <a:off x="2307158" y="2604920"/>
          <a:ext cx="109509" cy="479754"/>
        </a:xfrm>
        <a:custGeom>
          <a:avLst/>
          <a:gdLst/>
          <a:ahLst/>
          <a:cxnLst/>
          <a:rect l="0" t="0" r="0" b="0"/>
          <a:pathLst>
            <a:path>
              <a:moveTo>
                <a:pt x="109509" y="0"/>
              </a:moveTo>
              <a:lnTo>
                <a:pt x="109509" y="479754"/>
              </a:lnTo>
              <a:lnTo>
                <a:pt x="0" y="47975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6D54FD5-BC6A-4537-837A-FD575C01EB7F}">
      <dsp:nvSpPr>
        <dsp:cNvPr id="0" name=""/>
        <dsp:cNvSpPr/>
      </dsp:nvSpPr>
      <dsp:spPr>
        <a:xfrm>
          <a:off x="2938140" y="1864428"/>
          <a:ext cx="109509" cy="479754"/>
        </a:xfrm>
        <a:custGeom>
          <a:avLst/>
          <a:gdLst/>
          <a:ahLst/>
          <a:cxnLst/>
          <a:rect l="0" t="0" r="0" b="0"/>
          <a:pathLst>
            <a:path>
              <a:moveTo>
                <a:pt x="109509" y="0"/>
              </a:moveTo>
              <a:lnTo>
                <a:pt x="109509" y="479754"/>
              </a:lnTo>
              <a:lnTo>
                <a:pt x="0" y="479754"/>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336613D-5BFF-49BA-AC9E-634EC5090AF8}">
      <dsp:nvSpPr>
        <dsp:cNvPr id="0" name=""/>
        <dsp:cNvSpPr/>
      </dsp:nvSpPr>
      <dsp:spPr>
        <a:xfrm>
          <a:off x="3569123" y="1123937"/>
          <a:ext cx="109509" cy="479754"/>
        </a:xfrm>
        <a:custGeom>
          <a:avLst/>
          <a:gdLst/>
          <a:ahLst/>
          <a:cxnLst/>
          <a:rect l="0" t="0" r="0" b="0"/>
          <a:pathLst>
            <a:path>
              <a:moveTo>
                <a:pt x="109509" y="0"/>
              </a:moveTo>
              <a:lnTo>
                <a:pt x="109509" y="479754"/>
              </a:lnTo>
              <a:lnTo>
                <a:pt x="0" y="479754"/>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3D2B833-8027-4D9F-BDBB-9DB80077E0FD}">
      <dsp:nvSpPr>
        <dsp:cNvPr id="0" name=""/>
        <dsp:cNvSpPr/>
      </dsp:nvSpPr>
      <dsp:spPr>
        <a:xfrm>
          <a:off x="3157159" y="602464"/>
          <a:ext cx="1042945" cy="5214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795" tIns="10795" rIns="10795" bIns="10795" numCol="1" spcCol="1270" anchor="ctr" anchorCtr="0">
          <a:noAutofit/>
        </a:bodyPr>
        <a:lstStyle/>
        <a:p>
          <a:pPr marL="0" lvl="0" indent="0" algn="ctr" defTabSz="755650">
            <a:lnSpc>
              <a:spcPct val="90000"/>
            </a:lnSpc>
            <a:spcBef>
              <a:spcPct val="0"/>
            </a:spcBef>
            <a:spcAft>
              <a:spcPct val="35000"/>
            </a:spcAft>
            <a:buNone/>
          </a:pPr>
          <a:r>
            <a:rPr lang="en-AU" sz="1700" kern="1200"/>
            <a:t>Calves</a:t>
          </a:r>
        </a:p>
      </dsp:txBody>
      <dsp:txXfrm>
        <a:off x="3157159" y="602464"/>
        <a:ext cx="1042945" cy="521472"/>
      </dsp:txXfrm>
    </dsp:sp>
    <dsp:sp modelId="{46D19199-8D3D-4C0C-B0A7-524A7B9EA135}">
      <dsp:nvSpPr>
        <dsp:cNvPr id="0" name=""/>
        <dsp:cNvSpPr/>
      </dsp:nvSpPr>
      <dsp:spPr>
        <a:xfrm>
          <a:off x="2526177" y="1342955"/>
          <a:ext cx="1042945" cy="5214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795" tIns="10795" rIns="10795" bIns="10795" numCol="1" spcCol="1270" anchor="ctr" anchorCtr="0">
          <a:noAutofit/>
        </a:bodyPr>
        <a:lstStyle/>
        <a:p>
          <a:pPr marL="0" lvl="0" indent="0" algn="ctr" defTabSz="755650">
            <a:lnSpc>
              <a:spcPct val="90000"/>
            </a:lnSpc>
            <a:spcBef>
              <a:spcPct val="0"/>
            </a:spcBef>
            <a:spcAft>
              <a:spcPct val="35000"/>
            </a:spcAft>
            <a:buNone/>
          </a:pPr>
          <a:r>
            <a:rPr lang="en-AU" sz="1700" kern="1200"/>
            <a:t>Heifers</a:t>
          </a:r>
        </a:p>
      </dsp:txBody>
      <dsp:txXfrm>
        <a:off x="2526177" y="1342955"/>
        <a:ext cx="1042945" cy="521472"/>
      </dsp:txXfrm>
    </dsp:sp>
    <dsp:sp modelId="{2366F270-AA4D-40D7-AD50-74883E85A39B}">
      <dsp:nvSpPr>
        <dsp:cNvPr id="0" name=""/>
        <dsp:cNvSpPr/>
      </dsp:nvSpPr>
      <dsp:spPr>
        <a:xfrm>
          <a:off x="1895195" y="2083447"/>
          <a:ext cx="1042945" cy="5214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795" tIns="10795" rIns="10795" bIns="10795" numCol="1" spcCol="1270" anchor="ctr" anchorCtr="0">
          <a:noAutofit/>
        </a:bodyPr>
        <a:lstStyle/>
        <a:p>
          <a:pPr marL="0" lvl="0" indent="0" algn="ctr" defTabSz="755650">
            <a:lnSpc>
              <a:spcPct val="90000"/>
            </a:lnSpc>
            <a:spcBef>
              <a:spcPct val="0"/>
            </a:spcBef>
            <a:spcAft>
              <a:spcPct val="35000"/>
            </a:spcAft>
            <a:buNone/>
          </a:pPr>
          <a:r>
            <a:rPr lang="en-AU" sz="1700" kern="1200"/>
            <a:t>1 year olds</a:t>
          </a:r>
        </a:p>
      </dsp:txBody>
      <dsp:txXfrm>
        <a:off x="1895195" y="2083447"/>
        <a:ext cx="1042945" cy="521472"/>
      </dsp:txXfrm>
    </dsp:sp>
    <dsp:sp modelId="{C45FF0FE-5AC4-45B5-882D-C96689D3B5BC}">
      <dsp:nvSpPr>
        <dsp:cNvPr id="0" name=""/>
        <dsp:cNvSpPr/>
      </dsp:nvSpPr>
      <dsp:spPr>
        <a:xfrm>
          <a:off x="1264213" y="2823938"/>
          <a:ext cx="1042945" cy="5214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795" tIns="10795" rIns="10795" bIns="10795" numCol="1" spcCol="1270" anchor="ctr" anchorCtr="0">
          <a:noAutofit/>
        </a:bodyPr>
        <a:lstStyle/>
        <a:p>
          <a:pPr marL="0" lvl="0" indent="0" algn="ctr" defTabSz="755650">
            <a:lnSpc>
              <a:spcPct val="90000"/>
            </a:lnSpc>
            <a:spcBef>
              <a:spcPct val="0"/>
            </a:spcBef>
            <a:spcAft>
              <a:spcPct val="35000"/>
            </a:spcAft>
            <a:buNone/>
          </a:pPr>
          <a:r>
            <a:rPr lang="en-AU" sz="1700" kern="1200"/>
            <a:t>2 year olds</a:t>
          </a:r>
        </a:p>
      </dsp:txBody>
      <dsp:txXfrm>
        <a:off x="1264213" y="2823938"/>
        <a:ext cx="1042945" cy="521472"/>
      </dsp:txXfrm>
    </dsp:sp>
    <dsp:sp modelId="{11C53B5B-EEB4-46E8-A690-744EA46DDB43}">
      <dsp:nvSpPr>
        <dsp:cNvPr id="0" name=""/>
        <dsp:cNvSpPr/>
      </dsp:nvSpPr>
      <dsp:spPr>
        <a:xfrm>
          <a:off x="633231" y="3564430"/>
          <a:ext cx="1042945" cy="5214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795" tIns="10795" rIns="10795" bIns="10795" numCol="1" spcCol="1270" anchor="ctr" anchorCtr="0">
          <a:noAutofit/>
        </a:bodyPr>
        <a:lstStyle/>
        <a:p>
          <a:pPr marL="0" lvl="0" indent="0" algn="ctr" defTabSz="755650">
            <a:lnSpc>
              <a:spcPct val="90000"/>
            </a:lnSpc>
            <a:spcBef>
              <a:spcPct val="0"/>
            </a:spcBef>
            <a:spcAft>
              <a:spcPct val="35000"/>
            </a:spcAft>
            <a:buNone/>
          </a:pPr>
          <a:r>
            <a:rPr lang="en-AU" sz="1700" kern="1200"/>
            <a:t>Suckler cows</a:t>
          </a:r>
        </a:p>
      </dsp:txBody>
      <dsp:txXfrm>
        <a:off x="633231" y="3564430"/>
        <a:ext cx="1042945" cy="521472"/>
      </dsp:txXfrm>
    </dsp:sp>
    <dsp:sp modelId="{743A2F3A-4E95-4CD8-856A-DC37432A1BDD}">
      <dsp:nvSpPr>
        <dsp:cNvPr id="0" name=""/>
        <dsp:cNvSpPr/>
      </dsp:nvSpPr>
      <dsp:spPr>
        <a:xfrm>
          <a:off x="2248" y="4304921"/>
          <a:ext cx="1042945" cy="5214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795" tIns="10795" rIns="10795" bIns="10795" numCol="1" spcCol="1270" anchor="ctr" anchorCtr="0">
          <a:noAutofit/>
        </a:bodyPr>
        <a:lstStyle/>
        <a:p>
          <a:pPr marL="0" lvl="0" indent="0" algn="ctr" defTabSz="755650">
            <a:lnSpc>
              <a:spcPct val="90000"/>
            </a:lnSpc>
            <a:spcBef>
              <a:spcPct val="0"/>
            </a:spcBef>
            <a:spcAft>
              <a:spcPct val="35000"/>
            </a:spcAft>
            <a:buNone/>
          </a:pPr>
          <a:r>
            <a:rPr lang="en-AU" sz="1700" kern="1200"/>
            <a:t>Abattoir</a:t>
          </a:r>
        </a:p>
      </dsp:txBody>
      <dsp:txXfrm>
        <a:off x="2248" y="4304921"/>
        <a:ext cx="1042945" cy="521472"/>
      </dsp:txXfrm>
    </dsp:sp>
    <dsp:sp modelId="{2B5227EA-601E-439D-9F0B-F4E90FECECD9}">
      <dsp:nvSpPr>
        <dsp:cNvPr id="0" name=""/>
        <dsp:cNvSpPr/>
      </dsp:nvSpPr>
      <dsp:spPr>
        <a:xfrm>
          <a:off x="5050105" y="1342955"/>
          <a:ext cx="1042945" cy="5214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795" tIns="10795" rIns="10795" bIns="10795" numCol="1" spcCol="1270" anchor="ctr" anchorCtr="0">
          <a:noAutofit/>
        </a:bodyPr>
        <a:lstStyle/>
        <a:p>
          <a:pPr marL="0" lvl="0" indent="0" algn="ctr" defTabSz="755650">
            <a:lnSpc>
              <a:spcPct val="90000"/>
            </a:lnSpc>
            <a:spcBef>
              <a:spcPct val="0"/>
            </a:spcBef>
            <a:spcAft>
              <a:spcPct val="35000"/>
            </a:spcAft>
            <a:buNone/>
          </a:pPr>
          <a:r>
            <a:rPr lang="en-AU" sz="1700" kern="1200"/>
            <a:t>Bulls</a:t>
          </a:r>
        </a:p>
      </dsp:txBody>
      <dsp:txXfrm>
        <a:off x="5050105" y="1342955"/>
        <a:ext cx="1042945" cy="521472"/>
      </dsp:txXfrm>
    </dsp:sp>
    <dsp:sp modelId="{7284FF11-2B6A-4034-A8C6-AE292556B396}">
      <dsp:nvSpPr>
        <dsp:cNvPr id="0" name=""/>
        <dsp:cNvSpPr/>
      </dsp:nvSpPr>
      <dsp:spPr>
        <a:xfrm>
          <a:off x="4419123" y="2083447"/>
          <a:ext cx="1042945" cy="5214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795" tIns="10795" rIns="10795" bIns="10795" numCol="1" spcCol="1270" anchor="ctr" anchorCtr="0">
          <a:noAutofit/>
        </a:bodyPr>
        <a:lstStyle/>
        <a:p>
          <a:pPr marL="0" lvl="0" indent="0" algn="ctr" defTabSz="755650">
            <a:lnSpc>
              <a:spcPct val="90000"/>
            </a:lnSpc>
            <a:spcBef>
              <a:spcPct val="0"/>
            </a:spcBef>
            <a:spcAft>
              <a:spcPct val="35000"/>
            </a:spcAft>
            <a:buNone/>
          </a:pPr>
          <a:r>
            <a:rPr lang="en-AU" sz="1700" kern="1200"/>
            <a:t>Steers 1 yo</a:t>
          </a:r>
        </a:p>
      </dsp:txBody>
      <dsp:txXfrm>
        <a:off x="4419123" y="2083447"/>
        <a:ext cx="1042945" cy="521472"/>
      </dsp:txXfrm>
    </dsp:sp>
    <dsp:sp modelId="{81E85E98-6F95-4961-86B8-BBF4EECDD4FF}">
      <dsp:nvSpPr>
        <dsp:cNvPr id="0" name=""/>
        <dsp:cNvSpPr/>
      </dsp:nvSpPr>
      <dsp:spPr>
        <a:xfrm>
          <a:off x="3788141" y="2823938"/>
          <a:ext cx="1042945" cy="5214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795" tIns="10795" rIns="10795" bIns="10795" numCol="1" spcCol="1270" anchor="ctr" anchorCtr="0">
          <a:noAutofit/>
        </a:bodyPr>
        <a:lstStyle/>
        <a:p>
          <a:pPr marL="0" lvl="0" indent="0" algn="ctr" defTabSz="755650">
            <a:lnSpc>
              <a:spcPct val="90000"/>
            </a:lnSpc>
            <a:spcBef>
              <a:spcPct val="0"/>
            </a:spcBef>
            <a:spcAft>
              <a:spcPct val="35000"/>
            </a:spcAft>
            <a:buNone/>
          </a:pPr>
          <a:r>
            <a:rPr lang="en-AU" sz="1700" kern="1200"/>
            <a:t>Abattoir</a:t>
          </a:r>
        </a:p>
      </dsp:txBody>
      <dsp:txXfrm>
        <a:off x="3788141" y="2823938"/>
        <a:ext cx="1042945" cy="521472"/>
      </dsp:txXfrm>
    </dsp:sp>
    <dsp:sp modelId="{3AB8F653-6953-4CB6-A9C6-A38F27C5D689}">
      <dsp:nvSpPr>
        <dsp:cNvPr id="0" name=""/>
        <dsp:cNvSpPr/>
      </dsp:nvSpPr>
      <dsp:spPr>
        <a:xfrm>
          <a:off x="7574034" y="2083447"/>
          <a:ext cx="1042945" cy="5214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795" tIns="10795" rIns="10795" bIns="10795" numCol="1" spcCol="1270" anchor="ctr" anchorCtr="0">
          <a:noAutofit/>
        </a:bodyPr>
        <a:lstStyle/>
        <a:p>
          <a:pPr marL="0" lvl="0" indent="0" algn="ctr" defTabSz="755650">
            <a:lnSpc>
              <a:spcPct val="90000"/>
            </a:lnSpc>
            <a:spcBef>
              <a:spcPct val="0"/>
            </a:spcBef>
            <a:spcAft>
              <a:spcPct val="35000"/>
            </a:spcAft>
            <a:buNone/>
          </a:pPr>
          <a:r>
            <a:rPr lang="en-AU" sz="1700" kern="1200"/>
            <a:t>1 yo bulls</a:t>
          </a:r>
        </a:p>
      </dsp:txBody>
      <dsp:txXfrm>
        <a:off x="7574034" y="2083447"/>
        <a:ext cx="1042945" cy="521472"/>
      </dsp:txXfrm>
    </dsp:sp>
    <dsp:sp modelId="{EAA4CDB5-85E6-4D93-B6B9-E21CF0750D2B}">
      <dsp:nvSpPr>
        <dsp:cNvPr id="0" name=""/>
        <dsp:cNvSpPr/>
      </dsp:nvSpPr>
      <dsp:spPr>
        <a:xfrm>
          <a:off x="6943052" y="2823938"/>
          <a:ext cx="1042945" cy="5214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795" tIns="10795" rIns="10795" bIns="10795" numCol="1" spcCol="1270" anchor="ctr" anchorCtr="0">
          <a:noAutofit/>
        </a:bodyPr>
        <a:lstStyle/>
        <a:p>
          <a:pPr marL="0" lvl="0" indent="0" algn="ctr" defTabSz="755650">
            <a:lnSpc>
              <a:spcPct val="90000"/>
            </a:lnSpc>
            <a:spcBef>
              <a:spcPct val="0"/>
            </a:spcBef>
            <a:spcAft>
              <a:spcPct val="35000"/>
            </a:spcAft>
            <a:buNone/>
          </a:pPr>
          <a:r>
            <a:rPr lang="en-AU" sz="1700" kern="1200"/>
            <a:t>2 year olds</a:t>
          </a:r>
        </a:p>
      </dsp:txBody>
      <dsp:txXfrm>
        <a:off x="6943052" y="2823938"/>
        <a:ext cx="1042945" cy="521472"/>
      </dsp:txXfrm>
    </dsp:sp>
    <dsp:sp modelId="{17853E4A-667B-4870-8064-D49AC247A348}">
      <dsp:nvSpPr>
        <dsp:cNvPr id="0" name=""/>
        <dsp:cNvSpPr/>
      </dsp:nvSpPr>
      <dsp:spPr>
        <a:xfrm>
          <a:off x="6312070" y="3564430"/>
          <a:ext cx="1042945" cy="5214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795" tIns="10795" rIns="10795" bIns="10795" numCol="1" spcCol="1270" anchor="ctr" anchorCtr="0">
          <a:noAutofit/>
        </a:bodyPr>
        <a:lstStyle/>
        <a:p>
          <a:pPr marL="0" lvl="0" indent="0" algn="ctr" defTabSz="755650">
            <a:lnSpc>
              <a:spcPct val="90000"/>
            </a:lnSpc>
            <a:spcBef>
              <a:spcPct val="0"/>
            </a:spcBef>
            <a:spcAft>
              <a:spcPct val="35000"/>
            </a:spcAft>
            <a:buNone/>
          </a:pPr>
          <a:r>
            <a:rPr lang="en-AU" sz="1700" kern="1200"/>
            <a:t>Joining bulls</a:t>
          </a:r>
        </a:p>
      </dsp:txBody>
      <dsp:txXfrm>
        <a:off x="6312070" y="3564430"/>
        <a:ext cx="1042945" cy="521472"/>
      </dsp:txXfrm>
    </dsp:sp>
    <dsp:sp modelId="{322389D1-303A-4285-8EE7-64AB825FAAFE}">
      <dsp:nvSpPr>
        <dsp:cNvPr id="0" name=""/>
        <dsp:cNvSpPr/>
      </dsp:nvSpPr>
      <dsp:spPr>
        <a:xfrm>
          <a:off x="5681088" y="4304921"/>
          <a:ext cx="1042945" cy="521472"/>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0795" tIns="10795" rIns="10795" bIns="10795" numCol="1" spcCol="1270" anchor="ctr" anchorCtr="0">
          <a:noAutofit/>
        </a:bodyPr>
        <a:lstStyle/>
        <a:p>
          <a:pPr marL="0" lvl="0" indent="0" algn="ctr" defTabSz="755650">
            <a:lnSpc>
              <a:spcPct val="90000"/>
            </a:lnSpc>
            <a:spcBef>
              <a:spcPct val="0"/>
            </a:spcBef>
            <a:spcAft>
              <a:spcPct val="35000"/>
            </a:spcAft>
            <a:buNone/>
          </a:pPr>
          <a:r>
            <a:rPr lang="en-AU" sz="1700" kern="1200"/>
            <a:t>Abattoir</a:t>
          </a:r>
        </a:p>
      </dsp:txBody>
      <dsp:txXfrm>
        <a:off x="5681088" y="4304921"/>
        <a:ext cx="1042945" cy="521472"/>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customXml" Target="../ink/ink7.xml"/><Relationship Id="rId18" Type="http://schemas.openxmlformats.org/officeDocument/2006/relationships/diagramColors" Target="../diagrams/colors1.xml"/><Relationship Id="rId3" Type="http://schemas.openxmlformats.org/officeDocument/2006/relationships/customXml" Target="../ink/ink2.xml"/><Relationship Id="rId7" Type="http://schemas.openxmlformats.org/officeDocument/2006/relationships/customXml" Target="../ink/ink4.xml"/><Relationship Id="rId12" Type="http://schemas.openxmlformats.org/officeDocument/2006/relationships/image" Target="../media/image6.png"/><Relationship Id="rId17" Type="http://schemas.openxmlformats.org/officeDocument/2006/relationships/diagramQuickStyle" Target="../diagrams/quickStyle1.xml"/><Relationship Id="rId2" Type="http://schemas.openxmlformats.org/officeDocument/2006/relationships/image" Target="../media/image10.png"/><Relationship Id="rId16" Type="http://schemas.openxmlformats.org/officeDocument/2006/relationships/diagramLayout" Target="../diagrams/layout1.xml"/><Relationship Id="rId1" Type="http://schemas.openxmlformats.org/officeDocument/2006/relationships/customXml" Target="../ink/ink1.xml"/><Relationship Id="rId6" Type="http://schemas.openxmlformats.org/officeDocument/2006/relationships/image" Target="../media/image3.png"/><Relationship Id="rId11" Type="http://schemas.openxmlformats.org/officeDocument/2006/relationships/customXml" Target="../ink/ink6.xml"/><Relationship Id="rId5" Type="http://schemas.openxmlformats.org/officeDocument/2006/relationships/customXml" Target="../ink/ink3.xml"/><Relationship Id="rId15" Type="http://schemas.openxmlformats.org/officeDocument/2006/relationships/diagramData" Target="../diagrams/data1.xml"/><Relationship Id="rId10" Type="http://schemas.openxmlformats.org/officeDocument/2006/relationships/image" Target="../media/image5.png"/><Relationship Id="rId19" Type="http://schemas.microsoft.com/office/2007/relationships/diagramDrawing" Target="../diagrams/drawing1.xml"/><Relationship Id="rId4" Type="http://schemas.openxmlformats.org/officeDocument/2006/relationships/image" Target="../media/image20.png"/><Relationship Id="rId9" Type="http://schemas.openxmlformats.org/officeDocument/2006/relationships/customXml" Target="../ink/ink5.xml"/><Relationship Id="rId14" Type="http://schemas.openxmlformats.org/officeDocument/2006/relationships/image" Target="../media/image7.png"/></Relationships>
</file>

<file path=xl/drawings/_rels/drawing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3</xdr:row>
      <xdr:rowOff>0</xdr:rowOff>
    </xdr:from>
    <xdr:to>
      <xdr:col>20</xdr:col>
      <xdr:colOff>13770</xdr:colOff>
      <xdr:row>24</xdr:row>
      <xdr:rowOff>95278</xdr:rowOff>
    </xdr:to>
    <xdr:pic>
      <xdr:nvPicPr>
        <xdr:cNvPr id="2" name="Picture 1" descr="A white sheet with black text&#10;&#10;Description automatically generated">
          <a:extLst>
            <a:ext uri="{FF2B5EF4-FFF2-40B4-BE49-F238E27FC236}">
              <a16:creationId xmlns:a16="http://schemas.microsoft.com/office/drawing/2014/main" id="{057D9F72-A7A7-470C-90F7-7589E6F3CC45}"/>
            </a:ext>
          </a:extLst>
        </xdr:cNvPr>
        <xdr:cNvPicPr>
          <a:picLocks noChangeAspect="1"/>
        </xdr:cNvPicPr>
      </xdr:nvPicPr>
      <xdr:blipFill>
        <a:blip xmlns:r="http://schemas.openxmlformats.org/officeDocument/2006/relationships" r:embed="rId1"/>
        <a:stretch>
          <a:fillRect/>
        </a:stretch>
      </xdr:blipFill>
      <xdr:spPr>
        <a:xfrm>
          <a:off x="12763500" y="552450"/>
          <a:ext cx="5695992" cy="3890991"/>
        </a:xfrm>
        <a:prstGeom prst="rect">
          <a:avLst/>
        </a:prstGeom>
      </xdr:spPr>
    </xdr:pic>
    <xdr:clientData/>
  </xdr:twoCellAnchor>
  <xdr:twoCellAnchor editAs="oneCell">
    <xdr:from>
      <xdr:col>23</xdr:col>
      <xdr:colOff>0</xdr:colOff>
      <xdr:row>3</xdr:row>
      <xdr:rowOff>0</xdr:rowOff>
    </xdr:from>
    <xdr:to>
      <xdr:col>35</xdr:col>
      <xdr:colOff>190558</xdr:colOff>
      <xdr:row>36</xdr:row>
      <xdr:rowOff>47668</xdr:rowOff>
    </xdr:to>
    <xdr:pic>
      <xdr:nvPicPr>
        <xdr:cNvPr id="3" name="Picture 2" descr="A screenshot of a computer&#10;&#10;Description automatically generated">
          <a:extLst>
            <a:ext uri="{FF2B5EF4-FFF2-40B4-BE49-F238E27FC236}">
              <a16:creationId xmlns:a16="http://schemas.microsoft.com/office/drawing/2014/main" id="{91A7C93D-D5D4-CF29-AE6B-3191DAB052B4}"/>
            </a:ext>
          </a:extLst>
        </xdr:cNvPr>
        <xdr:cNvPicPr>
          <a:picLocks noChangeAspect="1"/>
        </xdr:cNvPicPr>
      </xdr:nvPicPr>
      <xdr:blipFill>
        <a:blip xmlns:r="http://schemas.openxmlformats.org/officeDocument/2006/relationships" r:embed="rId2"/>
        <a:stretch>
          <a:fillRect/>
        </a:stretch>
      </xdr:blipFill>
      <xdr:spPr>
        <a:xfrm>
          <a:off x="18592800" y="552450"/>
          <a:ext cx="7962958" cy="60150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390660</xdr:colOff>
      <xdr:row>17</xdr:row>
      <xdr:rowOff>174225</xdr:rowOff>
    </xdr:from>
    <xdr:to>
      <xdr:col>11</xdr:col>
      <xdr:colOff>391020</xdr:colOff>
      <xdr:row>17</xdr:row>
      <xdr:rowOff>174585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7" name="Ink 6">
              <a:extLst>
                <a:ext uri="{FF2B5EF4-FFF2-40B4-BE49-F238E27FC236}">
                  <a16:creationId xmlns:a16="http://schemas.microsoft.com/office/drawing/2014/main" id="{A94723DC-C589-62E6-4120-E627B038E20C}"/>
                </a:ext>
              </a:extLst>
            </xdr14:cNvPr>
            <xdr14:cNvContentPartPr/>
          </xdr14:nvContentPartPr>
          <xdr14:nvPr macro=""/>
          <xdr14:xfrm>
            <a:off x="7515360" y="3250800"/>
            <a:ext cx="360" cy="360"/>
          </xdr14:xfrm>
        </xdr:contentPart>
      </mc:Choice>
      <mc:Fallback xmlns="">
        <xdr:pic>
          <xdr:nvPicPr>
            <xdr:cNvPr id="7" name="Ink 6">
              <a:extLst>
                <a:ext uri="{FF2B5EF4-FFF2-40B4-BE49-F238E27FC236}">
                  <a16:creationId xmlns:a16="http://schemas.microsoft.com/office/drawing/2014/main" id="{A94723DC-C589-62E6-4120-E627B038E20C}"/>
                </a:ext>
              </a:extLst>
            </xdr:cNvPr>
            <xdr:cNvPicPr/>
          </xdr:nvPicPr>
          <xdr:blipFill>
            <a:blip xmlns:r="http://schemas.openxmlformats.org/officeDocument/2006/relationships" r:embed="rId2"/>
            <a:stretch>
              <a:fillRect/>
            </a:stretch>
          </xdr:blipFill>
          <xdr:spPr>
            <a:xfrm>
              <a:off x="7509240" y="3244680"/>
              <a:ext cx="12600" cy="12600"/>
            </a:xfrm>
            <a:prstGeom prst="rect">
              <a:avLst/>
            </a:prstGeom>
          </xdr:spPr>
        </xdr:pic>
      </mc:Fallback>
    </mc:AlternateContent>
    <xdr:clientData/>
  </xdr:twoCellAnchor>
  <xdr:twoCellAnchor editAs="oneCell">
    <xdr:from>
      <xdr:col>8</xdr:col>
      <xdr:colOff>551355</xdr:colOff>
      <xdr:row>25</xdr:row>
      <xdr:rowOff>75503</xdr:rowOff>
    </xdr:from>
    <xdr:to>
      <xdr:col>11</xdr:col>
      <xdr:colOff>32775</xdr:colOff>
      <xdr:row>28</xdr:row>
      <xdr:rowOff>63578</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64" name="Ink 63">
              <a:extLst>
                <a:ext uri="{FF2B5EF4-FFF2-40B4-BE49-F238E27FC236}">
                  <a16:creationId xmlns:a16="http://schemas.microsoft.com/office/drawing/2014/main" id="{A07322DA-2C29-FF6E-77FB-D4A277DEB245}"/>
                </a:ext>
              </a:extLst>
            </xdr14:cNvPr>
            <xdr14:cNvContentPartPr/>
          </xdr14:nvContentPartPr>
          <xdr14:nvPr macro=""/>
          <xdr14:xfrm>
            <a:off x="5732955" y="4599878"/>
            <a:ext cx="1424520" cy="531000"/>
          </xdr14:xfrm>
        </xdr:contentPart>
      </mc:Choice>
      <mc:Fallback xmlns="">
        <xdr:pic>
          <xdr:nvPicPr>
            <xdr:cNvPr id="64" name="Ink 63">
              <a:extLst>
                <a:ext uri="{FF2B5EF4-FFF2-40B4-BE49-F238E27FC236}">
                  <a16:creationId xmlns:a16="http://schemas.microsoft.com/office/drawing/2014/main" id="{A07322DA-2C29-FF6E-77FB-D4A277DEB245}"/>
                </a:ext>
              </a:extLst>
            </xdr:cNvPr>
            <xdr:cNvPicPr/>
          </xdr:nvPicPr>
          <xdr:blipFill>
            <a:blip xmlns:r="http://schemas.openxmlformats.org/officeDocument/2006/relationships" r:embed="rId4"/>
            <a:stretch>
              <a:fillRect/>
            </a:stretch>
          </xdr:blipFill>
          <xdr:spPr>
            <a:xfrm>
              <a:off x="5726837" y="4593758"/>
              <a:ext cx="1436757" cy="543240"/>
            </a:xfrm>
            <a:prstGeom prst="rect">
              <a:avLst/>
            </a:prstGeom>
          </xdr:spPr>
        </xdr:pic>
      </mc:Fallback>
    </mc:AlternateContent>
    <xdr:clientData/>
  </xdr:twoCellAnchor>
  <xdr:twoCellAnchor editAs="oneCell">
    <xdr:from>
      <xdr:col>6</xdr:col>
      <xdr:colOff>615915</xdr:colOff>
      <xdr:row>31</xdr:row>
      <xdr:rowOff>144810</xdr:rowOff>
    </xdr:from>
    <xdr:to>
      <xdr:col>9</xdr:col>
      <xdr:colOff>639855</xdr:colOff>
      <xdr:row>34</xdr:row>
      <xdr:rowOff>16245</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86" name="Ink 85">
              <a:extLst>
                <a:ext uri="{FF2B5EF4-FFF2-40B4-BE49-F238E27FC236}">
                  <a16:creationId xmlns:a16="http://schemas.microsoft.com/office/drawing/2014/main" id="{D4C908C6-C18F-1E1E-F8EF-4819F0592D13}"/>
                </a:ext>
              </a:extLst>
            </xdr14:cNvPr>
            <xdr14:cNvContentPartPr/>
          </xdr14:nvContentPartPr>
          <xdr14:nvPr macro=""/>
          <xdr14:xfrm>
            <a:off x="4502115" y="5755035"/>
            <a:ext cx="1967040" cy="414360"/>
          </xdr14:xfrm>
        </xdr:contentPart>
      </mc:Choice>
      <mc:Fallback xmlns="">
        <xdr:pic>
          <xdr:nvPicPr>
            <xdr:cNvPr id="86" name="Ink 85">
              <a:extLst>
                <a:ext uri="{FF2B5EF4-FFF2-40B4-BE49-F238E27FC236}">
                  <a16:creationId xmlns:a16="http://schemas.microsoft.com/office/drawing/2014/main" id="{D4C908C6-C18F-1E1E-F8EF-4819F0592D13}"/>
                </a:ext>
              </a:extLst>
            </xdr:cNvPr>
            <xdr:cNvPicPr/>
          </xdr:nvPicPr>
          <xdr:blipFill>
            <a:blip xmlns:r="http://schemas.openxmlformats.org/officeDocument/2006/relationships" r:embed="rId6"/>
            <a:stretch>
              <a:fillRect/>
            </a:stretch>
          </xdr:blipFill>
          <xdr:spPr>
            <a:xfrm>
              <a:off x="4495995" y="5748915"/>
              <a:ext cx="1979280" cy="426600"/>
            </a:xfrm>
            <a:prstGeom prst="rect">
              <a:avLst/>
            </a:prstGeom>
          </xdr:spPr>
        </xdr:pic>
      </mc:Fallback>
    </mc:AlternateContent>
    <xdr:clientData/>
  </xdr:twoCellAnchor>
  <xdr:twoCellAnchor editAs="oneCell">
    <xdr:from>
      <xdr:col>0</xdr:col>
      <xdr:colOff>561195</xdr:colOff>
      <xdr:row>22</xdr:row>
      <xdr:rowOff>93825</xdr:rowOff>
    </xdr:from>
    <xdr:to>
      <xdr:col>2</xdr:col>
      <xdr:colOff>388995</xdr:colOff>
      <xdr:row>25</xdr:row>
      <xdr:rowOff>122220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01" name="Ink 100">
              <a:extLst>
                <a:ext uri="{FF2B5EF4-FFF2-40B4-BE49-F238E27FC236}">
                  <a16:creationId xmlns:a16="http://schemas.microsoft.com/office/drawing/2014/main" id="{81C743D3-BAE8-47E8-E33B-90973A812B4D}"/>
                </a:ext>
              </a:extLst>
            </xdr14:cNvPr>
            <xdr14:cNvContentPartPr/>
          </xdr14:nvContentPartPr>
          <xdr14:nvPr macro=""/>
          <xdr14:xfrm>
            <a:off x="561195" y="4075275"/>
            <a:ext cx="1123200" cy="571320"/>
          </xdr14:xfrm>
        </xdr:contentPart>
      </mc:Choice>
      <mc:Fallback xmlns="">
        <xdr:pic>
          <xdr:nvPicPr>
            <xdr:cNvPr id="101" name="Ink 100">
              <a:extLst>
                <a:ext uri="{FF2B5EF4-FFF2-40B4-BE49-F238E27FC236}">
                  <a16:creationId xmlns:a16="http://schemas.microsoft.com/office/drawing/2014/main" id="{81C743D3-BAE8-47E8-E33B-90973A812B4D}"/>
                </a:ext>
              </a:extLst>
            </xdr:cNvPr>
            <xdr:cNvPicPr/>
          </xdr:nvPicPr>
          <xdr:blipFill>
            <a:blip xmlns:r="http://schemas.openxmlformats.org/officeDocument/2006/relationships" r:embed="rId8"/>
            <a:stretch>
              <a:fillRect/>
            </a:stretch>
          </xdr:blipFill>
          <xdr:spPr>
            <a:xfrm>
              <a:off x="555075" y="4069155"/>
              <a:ext cx="1135440" cy="583560"/>
            </a:xfrm>
            <a:prstGeom prst="rect">
              <a:avLst/>
            </a:prstGeom>
          </xdr:spPr>
        </xdr:pic>
      </mc:Fallback>
    </mc:AlternateContent>
    <xdr:clientData/>
  </xdr:twoCellAnchor>
  <xdr:twoCellAnchor editAs="oneCell">
    <xdr:from>
      <xdr:col>1</xdr:col>
      <xdr:colOff>139215</xdr:colOff>
      <xdr:row>29</xdr:row>
      <xdr:rowOff>148560</xdr:rowOff>
    </xdr:from>
    <xdr:to>
      <xdr:col>2</xdr:col>
      <xdr:colOff>138435</xdr:colOff>
      <xdr:row>33</xdr:row>
      <xdr:rowOff>23700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06" name="Ink 105">
              <a:extLst>
                <a:ext uri="{FF2B5EF4-FFF2-40B4-BE49-F238E27FC236}">
                  <a16:creationId xmlns:a16="http://schemas.microsoft.com/office/drawing/2014/main" id="{8973A7DF-B95E-5E66-B41A-BB9C26ACFC62}"/>
                </a:ext>
              </a:extLst>
            </xdr14:cNvPr>
            <xdr14:cNvContentPartPr/>
          </xdr14:nvContentPartPr>
          <xdr14:nvPr macro=""/>
          <xdr14:xfrm>
            <a:off x="786915" y="5396835"/>
            <a:ext cx="646920" cy="599040"/>
          </xdr14:xfrm>
        </xdr:contentPart>
      </mc:Choice>
      <mc:Fallback xmlns="">
        <xdr:pic>
          <xdr:nvPicPr>
            <xdr:cNvPr id="106" name="Ink 105">
              <a:extLst>
                <a:ext uri="{FF2B5EF4-FFF2-40B4-BE49-F238E27FC236}">
                  <a16:creationId xmlns:a16="http://schemas.microsoft.com/office/drawing/2014/main" id="{8973A7DF-B95E-5E66-B41A-BB9C26ACFC62}"/>
                </a:ext>
              </a:extLst>
            </xdr:cNvPr>
            <xdr:cNvPicPr/>
          </xdr:nvPicPr>
          <xdr:blipFill>
            <a:blip xmlns:r="http://schemas.openxmlformats.org/officeDocument/2006/relationships" r:embed="rId10"/>
            <a:stretch>
              <a:fillRect/>
            </a:stretch>
          </xdr:blipFill>
          <xdr:spPr>
            <a:xfrm>
              <a:off x="780795" y="5390715"/>
              <a:ext cx="659160" cy="611280"/>
            </a:xfrm>
            <a:prstGeom prst="rect">
              <a:avLst/>
            </a:prstGeom>
          </xdr:spPr>
        </xdr:pic>
      </mc:Fallback>
    </mc:AlternateContent>
    <xdr:clientData/>
  </xdr:twoCellAnchor>
  <xdr:twoCellAnchor editAs="oneCell">
    <xdr:from>
      <xdr:col>2</xdr:col>
      <xdr:colOff>289995</xdr:colOff>
      <xdr:row>3</xdr:row>
      <xdr:rowOff>11993</xdr:rowOff>
    </xdr:from>
    <xdr:to>
      <xdr:col>8</xdr:col>
      <xdr:colOff>455595</xdr:colOff>
      <xdr:row>35</xdr:row>
      <xdr:rowOff>66473</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30" name="Ink 129">
              <a:extLst>
                <a:ext uri="{FF2B5EF4-FFF2-40B4-BE49-F238E27FC236}">
                  <a16:creationId xmlns:a16="http://schemas.microsoft.com/office/drawing/2014/main" id="{933D2AB0-628C-3832-0053-4798B50438FF}"/>
                </a:ext>
              </a:extLst>
            </xdr14:cNvPr>
            <xdr14:cNvContentPartPr/>
          </xdr14:nvContentPartPr>
          <xdr14:nvPr macro=""/>
          <xdr14:xfrm>
            <a:off x="1585395" y="554918"/>
            <a:ext cx="4051800" cy="5845680"/>
          </xdr14:xfrm>
        </xdr:contentPart>
      </mc:Choice>
      <mc:Fallback xmlns="">
        <xdr:pic>
          <xdr:nvPicPr>
            <xdr:cNvPr id="130" name="Ink 129">
              <a:extLst>
                <a:ext uri="{FF2B5EF4-FFF2-40B4-BE49-F238E27FC236}">
                  <a16:creationId xmlns:a16="http://schemas.microsoft.com/office/drawing/2014/main" id="{933D2AB0-628C-3832-0053-4798B50438FF}"/>
                </a:ext>
              </a:extLst>
            </xdr:cNvPr>
            <xdr:cNvPicPr/>
          </xdr:nvPicPr>
          <xdr:blipFill>
            <a:blip xmlns:r="http://schemas.openxmlformats.org/officeDocument/2006/relationships" r:embed="rId12"/>
            <a:stretch>
              <a:fillRect/>
            </a:stretch>
          </xdr:blipFill>
          <xdr:spPr>
            <a:xfrm>
              <a:off x="1579278" y="548751"/>
              <a:ext cx="4064033" cy="5858014"/>
            </a:xfrm>
            <a:prstGeom prst="rect">
              <a:avLst/>
            </a:prstGeom>
          </xdr:spPr>
        </xdr:pic>
      </mc:Fallback>
    </mc:AlternateContent>
    <xdr:clientData/>
  </xdr:twoCellAnchor>
  <xdr:twoCellAnchor editAs="oneCell">
    <xdr:from>
      <xdr:col>4</xdr:col>
      <xdr:colOff>164565</xdr:colOff>
      <xdr:row>41</xdr:row>
      <xdr:rowOff>4500</xdr:rowOff>
    </xdr:from>
    <xdr:to>
      <xdr:col>7</xdr:col>
      <xdr:colOff>279945</xdr:colOff>
      <xdr:row>51</xdr:row>
      <xdr:rowOff>123270</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55" name="Ink 154">
              <a:extLst>
                <a:ext uri="{FF2B5EF4-FFF2-40B4-BE49-F238E27FC236}">
                  <a16:creationId xmlns:a16="http://schemas.microsoft.com/office/drawing/2014/main" id="{38C00871-088B-D31A-155B-7E6833337B29}"/>
                </a:ext>
              </a:extLst>
            </xdr14:cNvPr>
            <xdr14:cNvContentPartPr/>
          </xdr14:nvContentPartPr>
          <xdr14:nvPr macro=""/>
          <xdr14:xfrm>
            <a:off x="2755365" y="7424475"/>
            <a:ext cx="2058480" cy="1928520"/>
          </xdr14:xfrm>
        </xdr:contentPart>
      </mc:Choice>
      <mc:Fallback xmlns="">
        <xdr:pic>
          <xdr:nvPicPr>
            <xdr:cNvPr id="155" name="Ink 154">
              <a:extLst>
                <a:ext uri="{FF2B5EF4-FFF2-40B4-BE49-F238E27FC236}">
                  <a16:creationId xmlns:a16="http://schemas.microsoft.com/office/drawing/2014/main" id="{38C00871-088B-D31A-155B-7E6833337B29}"/>
                </a:ext>
              </a:extLst>
            </xdr:cNvPr>
            <xdr:cNvPicPr/>
          </xdr:nvPicPr>
          <xdr:blipFill>
            <a:blip xmlns:r="http://schemas.openxmlformats.org/officeDocument/2006/relationships" r:embed="rId14"/>
            <a:stretch>
              <a:fillRect/>
            </a:stretch>
          </xdr:blipFill>
          <xdr:spPr>
            <a:xfrm>
              <a:off x="2749248" y="7418310"/>
              <a:ext cx="2070714" cy="1940850"/>
            </a:xfrm>
            <a:prstGeom prst="rect">
              <a:avLst/>
            </a:prstGeom>
          </xdr:spPr>
        </xdr:pic>
      </mc:Fallback>
    </mc:AlternateContent>
    <xdr:clientData/>
  </xdr:twoCellAnchor>
  <xdr:twoCellAnchor>
    <xdr:from>
      <xdr:col>6</xdr:col>
      <xdr:colOff>299480</xdr:colOff>
      <xdr:row>7</xdr:row>
      <xdr:rowOff>53835</xdr:rowOff>
    </xdr:from>
    <xdr:to>
      <xdr:col>6</xdr:col>
      <xdr:colOff>299480</xdr:colOff>
      <xdr:row>15</xdr:row>
      <xdr:rowOff>46035</xdr:rowOff>
    </xdr:to>
    <xdr:cxnSp macro="">
      <xdr:nvCxnSpPr>
        <xdr:cNvPr id="156" name="Straight Connector 155">
          <a:extLst>
            <a:ext uri="{FF2B5EF4-FFF2-40B4-BE49-F238E27FC236}">
              <a16:creationId xmlns:a16="http://schemas.microsoft.com/office/drawing/2014/main" id="{1E1AD8DF-9BBD-68E7-EE68-8962AC159ABA}"/>
            </a:ext>
          </a:extLst>
        </xdr:cNvPr>
        <xdr:cNvCxnSpPr/>
      </xdr:nvCxnSpPr>
      <xdr:spPr>
        <a:xfrm rot="3563160">
          <a:off x="3465680" y="2040660"/>
          <a:ext cx="1440000" cy="0"/>
        </a:xfrm>
        <a:prstGeom prst="line">
          <a:avLst/>
        </a:prstGeom>
        <a:solidFill>
          <a:srgbClr val="000000">
            <a:alpha val="5000"/>
          </a:srgbClr>
        </a:solidFill>
        <a:ln w="12600">
          <a:solidFill>
            <a:srgbClr val="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236428</xdr:colOff>
      <xdr:row>6</xdr:row>
      <xdr:rowOff>84870</xdr:rowOff>
    </xdr:from>
    <xdr:to>
      <xdr:col>4</xdr:col>
      <xdr:colOff>236428</xdr:colOff>
      <xdr:row>13</xdr:row>
      <xdr:rowOff>78045</xdr:rowOff>
    </xdr:to>
    <xdr:cxnSp macro="">
      <xdr:nvCxnSpPr>
        <xdr:cNvPr id="158" name="Straight Connector 157">
          <a:extLst>
            <a:ext uri="{FF2B5EF4-FFF2-40B4-BE49-F238E27FC236}">
              <a16:creationId xmlns:a16="http://schemas.microsoft.com/office/drawing/2014/main" id="{46177BAD-F204-1DF9-CF2B-CB477F5232FF}"/>
            </a:ext>
          </a:extLst>
        </xdr:cNvPr>
        <xdr:cNvCxnSpPr/>
      </xdr:nvCxnSpPr>
      <xdr:spPr>
        <a:xfrm rot="7043656">
          <a:off x="2197228" y="1800720"/>
          <a:ext cx="1260000" cy="0"/>
        </a:xfrm>
        <a:prstGeom prst="line">
          <a:avLst/>
        </a:prstGeom>
        <a:solidFill>
          <a:srgbClr val="000000">
            <a:alpha val="5000"/>
          </a:srgbClr>
        </a:solidFill>
        <a:ln w="12600">
          <a:solidFill>
            <a:srgbClr val="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83280</xdr:colOff>
      <xdr:row>16</xdr:row>
      <xdr:rowOff>173580</xdr:rowOff>
    </xdr:from>
    <xdr:to>
      <xdr:col>7</xdr:col>
      <xdr:colOff>83280</xdr:colOff>
      <xdr:row>19</xdr:row>
      <xdr:rowOff>170655</xdr:rowOff>
    </xdr:to>
    <xdr:cxnSp macro="">
      <xdr:nvCxnSpPr>
        <xdr:cNvPr id="159" name="Straight Connector 158">
          <a:extLst>
            <a:ext uri="{FF2B5EF4-FFF2-40B4-BE49-F238E27FC236}">
              <a16:creationId xmlns:a16="http://schemas.microsoft.com/office/drawing/2014/main" id="{084203DA-C7BF-63F0-6B70-55747643C5E5}"/>
            </a:ext>
          </a:extLst>
        </xdr:cNvPr>
        <xdr:cNvCxnSpPr/>
      </xdr:nvCxnSpPr>
      <xdr:spPr>
        <a:xfrm rot="5400000">
          <a:off x="4347180" y="3339180"/>
          <a:ext cx="540000" cy="0"/>
        </a:xfrm>
        <a:prstGeom prst="line">
          <a:avLst/>
        </a:prstGeom>
        <a:solidFill>
          <a:srgbClr val="000000">
            <a:alpha val="5000"/>
          </a:srgbClr>
        </a:solidFill>
        <a:ln w="12600">
          <a:solidFill>
            <a:srgbClr val="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274260</xdr:colOff>
      <xdr:row>28</xdr:row>
      <xdr:rowOff>131460</xdr:rowOff>
    </xdr:from>
    <xdr:to>
      <xdr:col>7</xdr:col>
      <xdr:colOff>274260</xdr:colOff>
      <xdr:row>31</xdr:row>
      <xdr:rowOff>128535</xdr:rowOff>
    </xdr:to>
    <xdr:cxnSp macro="">
      <xdr:nvCxnSpPr>
        <xdr:cNvPr id="160" name="Straight Connector 159">
          <a:extLst>
            <a:ext uri="{FF2B5EF4-FFF2-40B4-BE49-F238E27FC236}">
              <a16:creationId xmlns:a16="http://schemas.microsoft.com/office/drawing/2014/main" id="{7541385D-A859-D75C-7205-C31800309B21}"/>
            </a:ext>
          </a:extLst>
        </xdr:cNvPr>
        <xdr:cNvCxnSpPr/>
      </xdr:nvCxnSpPr>
      <xdr:spPr>
        <a:xfrm rot="5400000">
          <a:off x="4538160" y="5468760"/>
          <a:ext cx="540000" cy="0"/>
        </a:xfrm>
        <a:prstGeom prst="line">
          <a:avLst/>
        </a:prstGeom>
        <a:solidFill>
          <a:srgbClr val="000000">
            <a:alpha val="5000"/>
          </a:srgbClr>
        </a:solidFill>
        <a:ln w="12600">
          <a:solidFill>
            <a:srgbClr val="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440580</xdr:colOff>
      <xdr:row>36</xdr:row>
      <xdr:rowOff>107640</xdr:rowOff>
    </xdr:from>
    <xdr:to>
      <xdr:col>4</xdr:col>
      <xdr:colOff>440580</xdr:colOff>
      <xdr:row>40</xdr:row>
      <xdr:rowOff>103740</xdr:rowOff>
    </xdr:to>
    <xdr:cxnSp macro="">
      <xdr:nvCxnSpPr>
        <xdr:cNvPr id="162" name="Straight Connector 161">
          <a:extLst>
            <a:ext uri="{FF2B5EF4-FFF2-40B4-BE49-F238E27FC236}">
              <a16:creationId xmlns:a16="http://schemas.microsoft.com/office/drawing/2014/main" id="{A5973A16-F2A3-8CAB-24A3-DCAD427DDFDF}"/>
            </a:ext>
          </a:extLst>
        </xdr:cNvPr>
        <xdr:cNvCxnSpPr/>
      </xdr:nvCxnSpPr>
      <xdr:spPr>
        <a:xfrm rot="5400000">
          <a:off x="2671380" y="6982740"/>
          <a:ext cx="720000" cy="0"/>
        </a:xfrm>
        <a:prstGeom prst="line">
          <a:avLst/>
        </a:prstGeom>
        <a:solidFill>
          <a:srgbClr val="000000">
            <a:alpha val="5000"/>
          </a:srgbClr>
        </a:solidFill>
        <a:ln w="12600">
          <a:solidFill>
            <a:srgbClr val="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287880</xdr:colOff>
      <xdr:row>46</xdr:row>
      <xdr:rowOff>111930</xdr:rowOff>
    </xdr:from>
    <xdr:to>
      <xdr:col>5</xdr:col>
      <xdr:colOff>287880</xdr:colOff>
      <xdr:row>48</xdr:row>
      <xdr:rowOff>109980</xdr:rowOff>
    </xdr:to>
    <xdr:cxnSp macro="">
      <xdr:nvCxnSpPr>
        <xdr:cNvPr id="163" name="Straight Connector 162">
          <a:extLst>
            <a:ext uri="{FF2B5EF4-FFF2-40B4-BE49-F238E27FC236}">
              <a16:creationId xmlns:a16="http://schemas.microsoft.com/office/drawing/2014/main" id="{9A8E8548-65E1-AD67-F2A7-97BA7C2F20DB}"/>
            </a:ext>
          </a:extLst>
        </xdr:cNvPr>
        <xdr:cNvCxnSpPr/>
      </xdr:nvCxnSpPr>
      <xdr:spPr>
        <a:xfrm rot="5400000">
          <a:off x="3346380" y="8616780"/>
          <a:ext cx="360000" cy="0"/>
        </a:xfrm>
        <a:prstGeom prst="line">
          <a:avLst/>
        </a:prstGeom>
        <a:solidFill>
          <a:srgbClr val="000000">
            <a:alpha val="5000"/>
          </a:srgbClr>
        </a:solidFill>
        <a:ln w="12600">
          <a:solidFill>
            <a:srgbClr val="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162030</xdr:colOff>
      <xdr:row>16</xdr:row>
      <xdr:rowOff>101580</xdr:rowOff>
    </xdr:from>
    <xdr:to>
      <xdr:col>2</xdr:col>
      <xdr:colOff>162030</xdr:colOff>
      <xdr:row>22</xdr:row>
      <xdr:rowOff>95730</xdr:rowOff>
    </xdr:to>
    <xdr:cxnSp macro="">
      <xdr:nvCxnSpPr>
        <xdr:cNvPr id="164" name="Straight Connector 163">
          <a:extLst>
            <a:ext uri="{FF2B5EF4-FFF2-40B4-BE49-F238E27FC236}">
              <a16:creationId xmlns:a16="http://schemas.microsoft.com/office/drawing/2014/main" id="{33B117AD-FE9D-CA87-2D9E-24A9A26B3FE2}"/>
            </a:ext>
          </a:extLst>
        </xdr:cNvPr>
        <xdr:cNvCxnSpPr/>
      </xdr:nvCxnSpPr>
      <xdr:spPr>
        <a:xfrm rot="7193773">
          <a:off x="917430" y="3537180"/>
          <a:ext cx="1080000" cy="0"/>
        </a:xfrm>
        <a:prstGeom prst="line">
          <a:avLst/>
        </a:prstGeom>
        <a:solidFill>
          <a:srgbClr val="000000">
            <a:alpha val="5000"/>
          </a:srgbClr>
        </a:solidFill>
        <a:ln w="12600">
          <a:solidFill>
            <a:srgbClr val="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245685</xdr:colOff>
      <xdr:row>22</xdr:row>
      <xdr:rowOff>169560</xdr:rowOff>
    </xdr:from>
    <xdr:to>
      <xdr:col>7</xdr:col>
      <xdr:colOff>245685</xdr:colOff>
      <xdr:row>25</xdr:row>
      <xdr:rowOff>166635</xdr:rowOff>
    </xdr:to>
    <xdr:cxnSp macro="">
      <xdr:nvCxnSpPr>
        <xdr:cNvPr id="172" name="Straight Connector 171">
          <a:extLst>
            <a:ext uri="{FF2B5EF4-FFF2-40B4-BE49-F238E27FC236}">
              <a16:creationId xmlns:a16="http://schemas.microsoft.com/office/drawing/2014/main" id="{6F5C8AF8-C07D-4DB9-84B0-6E999916C366}"/>
            </a:ext>
          </a:extLst>
        </xdr:cNvPr>
        <xdr:cNvCxnSpPr/>
      </xdr:nvCxnSpPr>
      <xdr:spPr>
        <a:xfrm rot="5400000">
          <a:off x="4509585" y="4421010"/>
          <a:ext cx="540000" cy="0"/>
        </a:xfrm>
        <a:prstGeom prst="line">
          <a:avLst/>
        </a:prstGeom>
        <a:solidFill>
          <a:srgbClr val="000000">
            <a:alpha val="5000"/>
          </a:srgbClr>
        </a:solidFill>
        <a:ln w="12600">
          <a:solidFill>
            <a:srgbClr val="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328613</xdr:colOff>
      <xdr:row>28</xdr:row>
      <xdr:rowOff>104775</xdr:rowOff>
    </xdr:from>
    <xdr:to>
      <xdr:col>4</xdr:col>
      <xdr:colOff>328613</xdr:colOff>
      <xdr:row>31</xdr:row>
      <xdr:rowOff>101850</xdr:rowOff>
    </xdr:to>
    <xdr:cxnSp macro="">
      <xdr:nvCxnSpPr>
        <xdr:cNvPr id="173" name="Straight Connector 172">
          <a:extLst>
            <a:ext uri="{FF2B5EF4-FFF2-40B4-BE49-F238E27FC236}">
              <a16:creationId xmlns:a16="http://schemas.microsoft.com/office/drawing/2014/main" id="{1983D531-7D96-440B-B290-5190E2B14FBB}"/>
            </a:ext>
          </a:extLst>
        </xdr:cNvPr>
        <xdr:cNvCxnSpPr/>
      </xdr:nvCxnSpPr>
      <xdr:spPr>
        <a:xfrm rot="5400000">
          <a:off x="2649413" y="5442075"/>
          <a:ext cx="540000" cy="0"/>
        </a:xfrm>
        <a:prstGeom prst="line">
          <a:avLst/>
        </a:prstGeom>
        <a:solidFill>
          <a:srgbClr val="000000">
            <a:alpha val="5000"/>
          </a:srgbClr>
        </a:solidFill>
        <a:ln w="12600">
          <a:solidFill>
            <a:srgbClr val="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471489</xdr:colOff>
      <xdr:row>26</xdr:row>
      <xdr:rowOff>123825</xdr:rowOff>
    </xdr:from>
    <xdr:to>
      <xdr:col>1</xdr:col>
      <xdr:colOff>471489</xdr:colOff>
      <xdr:row>29</xdr:row>
      <xdr:rowOff>120900</xdr:rowOff>
    </xdr:to>
    <xdr:cxnSp macro="">
      <xdr:nvCxnSpPr>
        <xdr:cNvPr id="174" name="Straight Connector 173">
          <a:extLst>
            <a:ext uri="{FF2B5EF4-FFF2-40B4-BE49-F238E27FC236}">
              <a16:creationId xmlns:a16="http://schemas.microsoft.com/office/drawing/2014/main" id="{433C92AE-288F-4FAD-BB2D-E2DFAF960523}"/>
            </a:ext>
          </a:extLst>
        </xdr:cNvPr>
        <xdr:cNvCxnSpPr/>
      </xdr:nvCxnSpPr>
      <xdr:spPr>
        <a:xfrm rot="5400000">
          <a:off x="849189" y="5099175"/>
          <a:ext cx="540000" cy="0"/>
        </a:xfrm>
        <a:prstGeom prst="line">
          <a:avLst/>
        </a:prstGeom>
        <a:solidFill>
          <a:srgbClr val="000000">
            <a:alpha val="5000"/>
          </a:srgbClr>
        </a:solidFill>
        <a:ln w="12600">
          <a:solidFill>
            <a:srgbClr val="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151382</xdr:colOff>
      <xdr:row>32</xdr:row>
      <xdr:rowOff>80040</xdr:rowOff>
    </xdr:from>
    <xdr:to>
      <xdr:col>3</xdr:col>
      <xdr:colOff>151382</xdr:colOff>
      <xdr:row>49</xdr:row>
      <xdr:rowOff>63465</xdr:rowOff>
    </xdr:to>
    <xdr:cxnSp macro="">
      <xdr:nvCxnSpPr>
        <xdr:cNvPr id="175" name="Straight Connector 174">
          <a:extLst>
            <a:ext uri="{FF2B5EF4-FFF2-40B4-BE49-F238E27FC236}">
              <a16:creationId xmlns:a16="http://schemas.microsoft.com/office/drawing/2014/main" id="{ECD77924-9010-162D-9ACC-D3C38A1DFEFB}"/>
            </a:ext>
          </a:extLst>
        </xdr:cNvPr>
        <xdr:cNvCxnSpPr/>
      </xdr:nvCxnSpPr>
      <xdr:spPr>
        <a:xfrm rot="3514715">
          <a:off x="564482" y="7401240"/>
          <a:ext cx="3060000" cy="0"/>
        </a:xfrm>
        <a:prstGeom prst="line">
          <a:avLst/>
        </a:prstGeom>
        <a:solidFill>
          <a:srgbClr val="000000">
            <a:alpha val="5000"/>
          </a:srgbClr>
        </a:solidFill>
        <a:ln w="12600">
          <a:solidFill>
            <a:srgbClr val="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533320</xdr:colOff>
      <xdr:row>35</xdr:row>
      <xdr:rowOff>36255</xdr:rowOff>
    </xdr:from>
    <xdr:to>
      <xdr:col>7</xdr:col>
      <xdr:colOff>533320</xdr:colOff>
      <xdr:row>49</xdr:row>
      <xdr:rowOff>22605</xdr:rowOff>
    </xdr:to>
    <xdr:cxnSp macro="">
      <xdr:nvCxnSpPr>
        <xdr:cNvPr id="176" name="Straight Connector 175">
          <a:extLst>
            <a:ext uri="{FF2B5EF4-FFF2-40B4-BE49-F238E27FC236}">
              <a16:creationId xmlns:a16="http://schemas.microsoft.com/office/drawing/2014/main" id="{A522781C-49AD-111F-2FA0-0D128A314657}"/>
            </a:ext>
          </a:extLst>
        </xdr:cNvPr>
        <xdr:cNvCxnSpPr/>
      </xdr:nvCxnSpPr>
      <xdr:spPr>
        <a:xfrm rot="6693082">
          <a:off x="3807220" y="7630380"/>
          <a:ext cx="2520000" cy="0"/>
        </a:xfrm>
        <a:prstGeom prst="line">
          <a:avLst/>
        </a:prstGeom>
        <a:solidFill>
          <a:srgbClr val="000000">
            <a:alpha val="5000"/>
          </a:srgbClr>
        </a:solidFill>
        <a:ln w="12600">
          <a:solidFill>
            <a:srgbClr val="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476783</xdr:colOff>
      <xdr:row>7</xdr:row>
      <xdr:rowOff>79935</xdr:rowOff>
    </xdr:from>
    <xdr:to>
      <xdr:col>4</xdr:col>
      <xdr:colOff>476783</xdr:colOff>
      <xdr:row>23</xdr:row>
      <xdr:rowOff>64335</xdr:rowOff>
    </xdr:to>
    <xdr:cxnSp macro="">
      <xdr:nvCxnSpPr>
        <xdr:cNvPr id="177" name="Straight Connector 176">
          <a:extLst>
            <a:ext uri="{FF2B5EF4-FFF2-40B4-BE49-F238E27FC236}">
              <a16:creationId xmlns:a16="http://schemas.microsoft.com/office/drawing/2014/main" id="{80783FE5-F437-6F87-F0CA-07D42188485D}"/>
            </a:ext>
          </a:extLst>
        </xdr:cNvPr>
        <xdr:cNvCxnSpPr/>
      </xdr:nvCxnSpPr>
      <xdr:spPr>
        <a:xfrm rot="6365929">
          <a:off x="1627583" y="2786760"/>
          <a:ext cx="2880000" cy="0"/>
        </a:xfrm>
        <a:prstGeom prst="line">
          <a:avLst/>
        </a:prstGeom>
        <a:solidFill>
          <a:srgbClr val="000000">
            <a:alpha val="5000"/>
          </a:srgbClr>
        </a:solidFill>
        <a:ln w="12600">
          <a:solidFill>
            <a:srgbClr val="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61558</xdr:colOff>
      <xdr:row>8</xdr:row>
      <xdr:rowOff>3436</xdr:rowOff>
    </xdr:from>
    <xdr:to>
      <xdr:col>26</xdr:col>
      <xdr:colOff>265449</xdr:colOff>
      <xdr:row>38</xdr:row>
      <xdr:rowOff>7807</xdr:rowOff>
    </xdr:to>
    <xdr:graphicFrame macro="">
      <xdr:nvGraphicFramePr>
        <xdr:cNvPr id="178" name="Diagram 177">
          <a:extLst>
            <a:ext uri="{FF2B5EF4-FFF2-40B4-BE49-F238E27FC236}">
              <a16:creationId xmlns:a16="http://schemas.microsoft.com/office/drawing/2014/main" id="{8A6FE4B1-06B6-A4A0-DB8D-2EAE293BF32E}"/>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5" r:lo="rId16" r:qs="rId17" r:cs="rId1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847724</xdr:colOff>
      <xdr:row>122</xdr:row>
      <xdr:rowOff>214508</xdr:rowOff>
    </xdr:from>
    <xdr:to>
      <xdr:col>12</xdr:col>
      <xdr:colOff>77918</xdr:colOff>
      <xdr:row>147</xdr:row>
      <xdr:rowOff>111950</xdr:rowOff>
    </xdr:to>
    <xdr:pic>
      <xdr:nvPicPr>
        <xdr:cNvPr id="2" name="Picture 1">
          <a:extLst>
            <a:ext uri="{FF2B5EF4-FFF2-40B4-BE49-F238E27FC236}">
              <a16:creationId xmlns:a16="http://schemas.microsoft.com/office/drawing/2014/main" id="{79A19821-D28B-FCBC-A5B5-6C71DD8EE5EB}"/>
            </a:ext>
          </a:extLst>
        </xdr:cNvPr>
        <xdr:cNvPicPr>
          <a:picLocks noChangeAspect="1"/>
        </xdr:cNvPicPr>
      </xdr:nvPicPr>
      <xdr:blipFill>
        <a:blip xmlns:r="http://schemas.openxmlformats.org/officeDocument/2006/relationships" r:embed="rId1"/>
        <a:stretch>
          <a:fillRect/>
        </a:stretch>
      </xdr:blipFill>
      <xdr:spPr>
        <a:xfrm>
          <a:off x="13882687" y="29889646"/>
          <a:ext cx="6443265" cy="6669717"/>
        </a:xfrm>
        <a:prstGeom prst="rect">
          <a:avLst/>
        </a:prstGeom>
      </xdr:spPr>
    </xdr:pic>
    <xdr:clientData/>
  </xdr:twoCellAnchor>
  <xdr:twoCellAnchor editAs="oneCell">
    <xdr:from>
      <xdr:col>7</xdr:col>
      <xdr:colOff>34727</xdr:colOff>
      <xdr:row>115</xdr:row>
      <xdr:rowOff>44648</xdr:rowOff>
    </xdr:from>
    <xdr:to>
      <xdr:col>11</xdr:col>
      <xdr:colOff>982993</xdr:colOff>
      <xdr:row>121</xdr:row>
      <xdr:rowOff>228094</xdr:rowOff>
    </xdr:to>
    <xdr:pic>
      <xdr:nvPicPr>
        <xdr:cNvPr id="3" name="Picture 2">
          <a:extLst>
            <a:ext uri="{FF2B5EF4-FFF2-40B4-BE49-F238E27FC236}">
              <a16:creationId xmlns:a16="http://schemas.microsoft.com/office/drawing/2014/main" id="{C0C31FD6-20AA-6B4A-C047-0510CD8C2E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614923" y="26679922"/>
          <a:ext cx="7010995" cy="18282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322261</xdr:colOff>
      <xdr:row>127</xdr:row>
      <xdr:rowOff>-1</xdr:rowOff>
    </xdr:from>
    <xdr:to>
      <xdr:col>12</xdr:col>
      <xdr:colOff>694133</xdr:colOff>
      <xdr:row>156</xdr:row>
      <xdr:rowOff>84093</xdr:rowOff>
    </xdr:to>
    <xdr:pic>
      <xdr:nvPicPr>
        <xdr:cNvPr id="2" name="Picture 1">
          <a:extLst>
            <a:ext uri="{FF2B5EF4-FFF2-40B4-BE49-F238E27FC236}">
              <a16:creationId xmlns:a16="http://schemas.microsoft.com/office/drawing/2014/main" id="{3C93E775-E666-43F6-9166-02ABFC428209}"/>
            </a:ext>
          </a:extLst>
        </xdr:cNvPr>
        <xdr:cNvPicPr>
          <a:picLocks noChangeAspect="1"/>
        </xdr:cNvPicPr>
      </xdr:nvPicPr>
      <xdr:blipFill>
        <a:blip xmlns:r="http://schemas.openxmlformats.org/officeDocument/2006/relationships" r:embed="rId1"/>
        <a:stretch>
          <a:fillRect/>
        </a:stretch>
      </xdr:blipFill>
      <xdr:spPr>
        <a:xfrm>
          <a:off x="14914561" y="30318074"/>
          <a:ext cx="6344047" cy="7351471"/>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11-20T15:18:16.920"/>
    </inkml:context>
    <inkml:brush xml:id="br0">
      <inkml:brushProperty name="width" value="0.035" units="cm"/>
      <inkml:brushProperty name="height" value="0.035" units="cm"/>
    </inkml:brush>
  </inkml:definitions>
  <inkml:trace contextRef="#ctx0" brushRef="#br0">1 1 10138</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11-20T15:22:54.454"/>
    </inkml:context>
    <inkml:brush xml:id="br0">
      <inkml:brushProperty name="width" value="0.035" units="cm"/>
      <inkml:brushProperty name="height" value="0.035" units="cm"/>
    </inkml:brush>
  </inkml:definitions>
  <inkml:trace contextRef="#ctx0" brushRef="#br0">127 849 10970,'-2'2'291,"0"0"-1,1 0 1,0 1 0,0 0-1,-1-2 1,0 1-1,-4 3 1,-6 8-126,-3 5-140,13-14-24,-2-1 0,2 1 0,-1-1 0,0 3 0,-1-2 0,3 1 0,-2-1 0,1 0 0,0 2 0,0 0 0,0-1 0,1 1 0,-1-2 0,2 8 0,-2 13-2,2-3 0,1 2 0,2 25 0,19 75-4,-15-81 5,0 2 2,1 6 8,3-2 0,22 70 0,-29-105 31,-8-18 68,-11-20-10,0-9-78,1-5 0,1 3 1,-11-62-1,-13-118-5,28 157-6,4 27-14,1-3 1,0-48-1,4 71 1,1 2 0,0-2 0,0 1 0,1 2 0,1-4 0,-1 2 0,1 1 0,1-2 0,1 4 1,-2-3-1,3 0 0,6-11 0,-8 17-22,0 0 1,2-2-1,-1 2 1,0-1-1,1 1 1,-2 0-1,1 1 1,1 0-1,0 0 1,0 1-1,2-1 1,-3 0-1,2 1 1,-2 0-1,3 2 1,-2-1-1,1 1 1,0-1-1,10 2 1,-9-1-47,-3 0 0,2 1 1,-1-1-1,1 1 0,-1 2 1,1 0-1,-2-1 0,2 0 1,-1 1-1,0 0 1,-2 0-1,3 2 0,-2-3 1,1 2-1,-3 1 0,3 0 1,-1 0-1,-1-1 0,8 12 1,-11-12 44,2-1 0,-1 0 0,-1 1 1,0 1-1,0 0 0,0-1 1,0 0-1,0 1 0,-1-1 0,1 0 1,-1 1-1,0-2 0,-1 3 1,1-2-1,-1 0 0,0 0 0,0 2 1,0-3-1,-2 6 0,-4 8-75,-2-1-1,2 0 0,-14 18 1,14-21 75,-10 19-12,8-13 127,-23 27-1,27-40-65,1-3 1,-1 3-1,0-1 1,1-1-1,-2 0 0,1 1 1,0-2-1,-1 0 1,-10 5-1,8-4-9,-36 13 18,41-16-19,-1 1 1,0-2 0,1 1-1,-1-1 1,0 0 0,1 0-1,-1 0 1,1 0 0,-2-1-1,-2-2 1,5 3-7,1-2-1,0 2 0,0-1 1,0 0-1,0 1 0,1-1 1,-1 0-1,0 0 1,1 1-1,0-1 0,-1 0 1,1 0-1,-1 0 0,1 0 1,-1 0-1,1 0 1,0 0-1,-2 0 0,2 0 1,0-1-1,0 1 0,-1 0 1,1 0-1,0 0 1,0 0-1,0-1 0,1 1 1,-1 0-1,0 0 0,0 0 1,2-1-1,-1-1-1,-1-2-1,1 2 0,0-1 1,0 1-1,0 0 1,0 0-1,1-1 0,0 2 1,3-5-1,1-2-4,3 2-1,0-2 0,0 1 1,0 3-1,0-2 0,1-1 1,1 3-1,-1 0 1,1 0-1,-2 0 0,4 1 1,10-2-1,-10 4-2,1 1 0,0-1 0,-2 2 0,2 2 0,-1-2 0,-1 1 0,3 1-1,20 8 1,6 3 21,53 29 0,-45-19 9,-44-22-14,-1 1 0,-1-1 0,3-1 0,-2 0 1,0 1-1,-1 0 0,1-1 0,2 0 0,-3 0 0,1-1 0,1 1 1,7-1-1,-3-1 56,-1-2 58,-9-1-40,-2-6 94,3 10-180,0 1 0,0-2 0,0 1 0,0 0 0,0-1 0,1 1 0,-1-1 0,0 1 0,1-1 1,-1 1-1,1-1 0,0 0 0,1 4 32,-1 12 4,5 12 545,-7-78-525,-7-64 0,0 93-59,7 23-7,2 0-16,1 0 23,-2 1 0,1 0-1,-1 0 1,1 0 0,-1 0-1,1 0 1,-1 0 0,0 0 0,1-1-1,-1 1 1,0 0 0,0 0-1,0 3 1,1-2 0,15 64 31,16 72-75,-27-101 74,-5-37 12,-1 0-36,1 0 1,-1-1-1,1 1 0,0 0 1,-1-1-1,1 1 0,0-1 1,-1 1-1,1 0 0,0-1 1,0 1-1,-1-1 1,1 1-1,0-1 0,0 1 1,0-2-1,0 2 0,-1-1 1,1 1-1,0-3 0,0 3 0,-11-46 3,-15-66-9,23 92-6,0-1 0,1 3-1,2-35 1,0 45 4,1 2 1,0 0 0,0 1-1,2-2 1,-2 2 0,1-2-1,1 3 1,-1-1 0,1-1-1,0 0 1,4-4 0,-5 8-4,-1 0-1,1-1 1,0 1 0,0-1 0,1 1 0,0 0 0,-1 0 0,0 1-1,0 0 1,1 0 0,0 0 0,0 0 0,-1 0 0,-1 0 0,2-1-1,1 2 1,-1-1 0,-1 1 0,0 0 0,2-1 0,-1 1 0,0 1-1,-1-1 1,5 1 0,8 4-77,1-1 1,28 15-1,12 4-2,-31-16 83,1 0 1,0-2 0,-1 0 0,3-2 0,49-2-1,-73-1 0,0 0-1,1-1 0,-2 1 0,2-1 1,0 0-1,4-3 0,-8 4 5,-1 0-1,1 0 0,-1-2 0,1 2 1,-1 0-1,1-1 0,-1 1 0,1 0 1,-1-1-1,0 1 0,1-1 0,-1 1 1,0 0-1,2-1 0,-2 1 0,0-1 1,0 1-1,0-1 0,0 1 0,0-1 1,0 0-1,0-1 0,0 1 2,0 0 0,0 0 0,0 0 1,0 0-1,0 1 0,0-1 0,-2 1 0,2-1 0,-1 0 0,1 0 0,-1 0 0,0 0 0,1 1 0,-1-1 0,0 0 1,1 0-1,-2-1 0,-8-7 3,-1 2 0,1-1 1,-1 1-1,0 1 0,-13-6 1,15 9-17,-2-2 0,2 2 0,-20-3 0,22 5-20,0 1-1,3-1 1,-2 1 0,-1 0-1,1 1 1,0 0-1,-11 2 1,14-1 23,0-1-1,1-1 1,-1 2 0,2-1-1,-3 1 1,2-1 0,0 2 0,0-1-1,1 0 1,-2 0 0,2 1-1,-1-1 1,0 1 0,1-2-1,-1 1 1,1 1 0,0-1-1,0 2 1,-1 0 0,1-2-1,0 1 1,1 0 0,0-2 0,-1 2-1,1 0 1,0 1 0,0 4-1,0-1 12,0 3-1,1-1 1,-1-1 0,1 1-1,2 1 1,-1-3-1,7 18 1,1-3-71,2 2-1,1-2 1,1 0 0,1-1 0,25 27 0,-31-39 37,0 1 0,-1-2 1,3-1-1,-1 0 0,-1 1 1,3-2-1,-1 0 1,17 7-1,-21-10-8,0-1 1,0 1-1,0 0 1,0-2-1,0 0 1,1 0-1,-1 0 1,0-1-1,1-1 1,-1 1-1,1-1 1,-2 0-1,1-1 0,1 0 1,8-5-1,2-1-15,-1-1 0,0 0 0,-2-2-1,0 0 1,0-1 0,1-1-1,-2 0 1,-1-1 0,15-18 0,-16 18 41,1 1 1,-1-1-1,3 3 1,19-19-1,12-6 132,-45 35-75,0 0 1,1 0 0,-1 0 0,0 0 0,0 0 0,0 0 0,-1 0-1,0 0 1,1 0 0,-1 0 0,0-1 0,1 1 0,0-1 0,-1 2-19,0-1 0,0 0 0,0 1 1,0-2-1,0 2 0,0-2 1,0 1-1,0 1 0,0-1 0,0 1 1,-1-1-1,1 1 0,0-1 1,0 1-1,-1-1 0,1 1 0,0-1 1,0 1-1,0-1 0,0 1 0,-1-1 1,1 1-1,-3-2 1,-1 0 1,1 0-1,0 0 1,1 0-1,-2 1 0,0 0 1,1 0-1,-7-1 1,2 0-44,-2-1 0,2 2 1,-1 0-1,0 0 1,1 1-1,-2 0 0,1 1 1,-18 4-1,24-4 14,-1 0 0,2 0-1,-1 0 1,0 1 0,0-2 0,0 3 0,1-2-1,-1 1 1,-1 0 0,2 0 0,-1 1-1,2-1 1,-1 0 0,-2 2 0,2 0 0,0-3-1,0 2 1,1 0 0,0 0 0,-1 0-1,0 0 1,2 1 0,-1-1 0,0 0 0,0 1-1,1-1 1,-1 7 0,0-5 0,1 1 1,1 1-1,-1 0 1,1-1-1,0 1 0,0-1 1,4 13-1,0-5-17,15 29 0,-19-41 26,0-2 0,0 3 0,0-1-1,0 0 1,1 0 0,-1 0 0,1 0 0,0 0-1,-1 1 1,1-2 0,0 1 0,-1-1 0,1 0-1,1 0 1,0 0 0,-1 0 0,0-1-1,-1 1 1,3 0 0,-2 0 0,0-1 0,1 2-1,-1-2 1,5 0 0,-3 0 9,1-2-1,-3 1 1,2 0-1,1 0 1,-2 0-1,0 0 1,-1 0-1,2 0 1,-1-1 0,-1 0-1,1-1 1,1 0-1,-1 0 1,0 1-1,1-4 1,3 1-6,-2-3-1,0 1 1,0 1-1,0-3 1,-1 1 0,1 0-1,-1 0 1,-1-2 0,5-16-1,-5 13 2,-2 0 0,0-2 0,0 0 0,0 1-1,-2-22 1,2 23-28,-1 13 14,0 0 1,0 0-1,0 0 1,0 0-1,0 0 0,1-1 1,-1 1-1,0 0 1,0 0-1,0 0 0,0 0 1,0 0-1,1-1 1,-1 1-1,0 0 0,0 0 1,0 0-1,0 0 1,2 0-1,-2 0 0,0 0 1,0 0-1,0 0 1,1 0-1,-1 0 0,0 0 1,0 0-1,1 0 0,-1 0 1,2 0-7,0 1-1,-1 0 1,1-1 0,-1 1 0,2 0-1,-1 0 1,-1 0 0,3 3 0,5 5 7,0-2 0,1 3 0,-3 0 1,1-1-1,-3 1 0,14 21 1,28 72-97,-33-65 30,47 129-373,-57-149 413,1 1 1,-2-1-1,-1 2 0,0 1 1,-1-1-1,-2 34 0,1-48 36,-1 0-1,0-1 0,0-1 0,1 0 0,-2 3 0,1-2 0,-1-1 0,0 0 0,-1 1 1,1-1-1,0 1 0,0-1 0,-3 1 0,2-2 0,0 0 0,1 1 0,-3 0 1,1-1-1,0 1 0,0-1 0,0 0 0,-6 2 0,4-3 13,-1 1 1,0 0-1,2 0 0,-3-2 0,2 1 0,-2-1 0,1-1 1,1 1-1,-2-1 0,2-1 0,-2 1 0,2-1 1,-1 0-1,3-1 0,-11-4 0,4 2-24,1 0 1,0 0-1,0-1 0,0-3 0,3 2 0,-3 1 1,2-2-1,0-1 0,-1-1 0,3 3 1,-1-2-1,0-2 0,-11-15 0,13 17-10,2-1-1,-1 1 0,0-2 1,0 2-1,1-2 1,1 1-1,-1 0 0,1-2 1,1 1-1,0 0 0,0 0 1,1 3-1,0-4 1,0 1-1,1 1 0,4-15 1,-1 9 17,0 2 0,2-1 0,-1 0 1,0 3-1,2-4 0,0 2 0,1 2 1,11-17-1,9-3 2,46-42 0,-47 46-14,33-37-7,6-7 42,-50 52 31,-16 19-52,0 0 0,0 0-1,0 0 1,0 0 0,0 0 0,0 0-1,2 0 1,-2 0 0,0-1-1,0 1 1,0 0 0,0 0 0,1 0-1,-1 0 1,0 0 0,0 0 0,0 0-1,0 0 1,1 0 0,-1 0-1,0 0 1,0-1 0,0 1 0,1 0-1,-1 0 1,0 0 0,0 1 0,0-1-1,1 0 1,-1 0 0,0 0-1,0 0 1,0 0 0,1 0 0,-1 0-1,0 0 1,0 0 0,0 0 0,0 0-1,1 1 1,-1-1 0,0 0 0,0 0-1,0 0 1,0 0 0,0 0-1,1 0 1,-1 0 0,0 0 0,0 0-1,0 0 1,0 0 0,0 1 0,5 11 144,-5-9-128,3 3 2,8 20 22,8 32 0,-17-49-44,1-1 1,-1 2 0,-2-1 0,1 2 0,-1-2 0,1 1 0,-3 13 0,-1-4 205,-1-16 29,3-10-94,1-10-152,0 2-1,1-2 0,1 0 1,2 4-1,-2-2 1,1 0-1,3-1 1,-3 3-1,2-2 1,2 1-1,0-1 1,1 3-1,-1-3 1,3 3-1,-2-1 1,1 2-1,2-1 1,12-13-1,-20 24-3,-1-1 0,0 0 1,2 0-1,-1 0 0,0 1 0,-1 0 1,1-1-1,1 1 0,-1 0 0,1 1 0,-1-1 1,0-1-1,1 2 0,0 0 0,-1 0 0,0 0 1,1 0-1,-1 2 0,0-2 0,0 1 1,1 0-1,0 0 0,4 3 0,8 3-51,-1 1-1,0 0 1,22 18-1,-22-15-1,97 61-150,-60-40 310,-36-23-52,0-1 1,0-1-1,1 0 0,1-2 1,-1-1-1,0 0 0,1 0 1,-1-1-1,33-1 0,-45-2-45,-3 0 1,1 0-1,0 0 0,1-1 0,-2 0 1,1 1-1,0-1 0,1 0 0,-1-1 1,-2 1-1,1-1 0,1 0 0,1 1 0,-2-1 1,1 0-1,-2 1 0,6-5 0,-4 1 5,0 0-1,0 0 0,0 0 1,-1-1-1,1 1 0,-2 0 0,0 0 1,3-12-1,-2 12 6,-1-1 0,0 0 0,0 1 0,-1-2 0,0 3 0,0-2 0,0-1 0,-1 1 1,1 2-1,-1-1 0,-2-9 0,1 10 14,2 2 1,-3-3-1,2 2 1,-1-1-1,0 0 1,-1 1-1,0 1 1,1-2-1,0 1 1,-1 1-1,0-1 1,-1 1-1,2 0 1,-2-1-1,0-1 1,-3 1-1,-7-3 6,-2 0 0,2 0 0,-1 1 0,1 1 0,0 1 0,-3 1 0,3 0 0,-17-1 0,28 3-35,0 0 0,2 2 0,-2-1 0,0-1 0,0 1 1,0 0-1,1 0 0,1 0 0,-3 0 0,2 1 0,0-1 0,-1 0 1,0 1-1,2-1 0,-1 2 0,0-2 0,1 2 0,-1-1 0,0 1 1,1-1-1,-2 0 0,3 0 0,-1 1 0,-1-1 0,1 0 0,-1 5 1,0 0-18,-2 2 0,2-3 0,1 3 0,0-1 1,0 0-1,1 1 0,-1 14 0,2-18 21,-1-1 0,0 2 0,1-1 0,0 1 0,0-1-1,0 0 1,5 7 0,-5-10 8,0 2 1,0-2-1,1-2 0,-1 2 0,0 0 0,0-1 1,2 1-1,-1-1 0,-1 1 0,1-1 1,0 0-1,0 1 0,-1-1 0,2 0 0,-1-1 1,1 2-1,-1-1 0,4 0 0,-1 0 3,1 1 0,-2-2 0,0 0 0,1 0-1,-1 0 1,2 0 0,-1 0 0,-1-2 0,2 1 0,-1 0-1,-1 0 1,0-2 0,1 1 0,4-2 0,-6 2-4,1 0 1,-2 1 0,0-1-1,1 0 1,-1 0 0,1-2 0,-1 2-1,0-1 1,-1 1 0,1-1-1,1 0 1,-1 0 0,0 0-1,-1 0 1,1 0 0,-1-1 0,-1 1-1,1-2 1,0 2 0,0 1-1,1-6 1,-1-32 101,-1 26-81,0-1-1,4-18 1,-4 33-27,0-1-1,1 0 1,-1-1 0,0 1-1,0 0 1,1 0-1,-1-1 1,1 2 0,-1 0-1,1-1 1,-1 0-1,0 0 1,0 0 0,1 1-1,1-1 1,-2 0 0,1 1-1,0-1 1,-1 1-1,1-1 1,0 1 0,1-1-1,0 0 0,-1 1-1,2 0 0,-2-1 1,0 1-1,1 0 0,-1 0 1,1 0-1,-1 0 0,1 1 1,1-1-1,-2 0 0,2 1 1,6 2-23,-2 0 1,2 0-1,13 11 1,-16-9 2,15 8-39,20 17 1,-29-20 49,0-2-1,-1 2 1,3-3 0,-2 0 0,1 1 0,17 4 0,12 1-128,49 4 0,-91-17 146,0 0-1,1 0 0,0 0 0,-1 0 1,2 0-1,-2 0 0,0 0 1,1 0-1,0 0 0,-1 0 1,1 0-1,0 0 0,-1 0 1,1-1-1,0 1 0,-1 0 1,1-1-1,-1 1 0,1 0 1,0-1-1,-1 1 0,1-1 0,-1 1 1,2 0-1,-1-2 0,0 1 9,-1 0 1,0-2-1,0 2 0,0 1 0,1-2 0,-1 1 0,0 0 0,0-1 0,1 0 0,-1 1 0,0-1 0,-1-1 0,0-6 36,0 0 0,-2-2-1,-3-10 1,4 15-78,-8-48 32,8 43-57,0-2 1,-2 1 0,-4-18-1,4 23-6,2 1-150,2 10 28,1 10 179,7 45 20,-4-28 23,1 33 0,-5-44 5,-2 24 297,1-39 52,0-9-257,0-11-99,0-1-15,2-1 0,0 1 0,0-1 0,3-1 0,0 2-1,-1 0 1,13-29 0,-14 40-25,0-1 0,1-1 1,2 1-1,-1 2 0,-1-3 0,1 2 0,0 0 0,0 1 0,2-2 0,-1 1 0,-1 1 0,2 0 0,-1 1 0,0-1 0,1-1 0,0 2 0,0 1 0,2-1 0,-3 1 0,1 0 0,10-1 0,-9 2-9,0 1 0,0-1 0,1 1-1,-2 1 1,3 0 0,-3-1 0,1 1 0,-1 2-1,3-1 1,-2 0 0,-1 1 0,1 0-1,0 1 1,10 7 0,2 6-103,2-3 0,32 37 0,-39-37 160,0-1-1,0-2 1,23 18-1,-29-24 8,-3-1-1,3-1 1,-1-1 0,-1 1-1,3-1 1,-3 0 0,2 1-1,-1-2 1,-1 1 0,3-1-1,10-1 1,-18 0-45,0 0 0,2 0 1,-1-1-1,-1 1 0,1-2 1,-1 2-1,1-1 0,-1 1 1,1-1-1,-1-1 0,1 1 1,-1 0-1,0 0 0,0 0 1,1 0-1,-1 0 0,0 0 1,1 0-1,-1 0 0,0 0 0,0 0 1,-1-1-1,1 1 0,-1 0 1,1-1-1,0-1 0,0-2 1,1-3 14,-1 0 1,2-1-1,-3 2 0,0-15 1,1 14-28,1-45-14,-2-2 0,-2 2 1,-2-2-1,-18-86 0,22 139 13,-2-1-13,1 0 0,1-1 0,-1 1 1,1 1-1,-1-1 0,1 0 0,0 0 0,0 1 0,0-3 0,0 2 0,1 0 0,0-1 0,2 3-51,-2 6 54,0 6 22,0 38-3,3 2-1,2-1 1,0 0-1,4-2 1,16 54-1,-17-68-50,-5-13 74,17 38 0,-19-55-74,0 2-1,1-1 0,0-1 0,-1 0 0,0 0 0,1 0 0,1 0 0,-1 1 0,0-2 1,1 0-1,0 1 0,0-1 0,6 3 0,-6-6-1233,-2-1 1098</inkml:trace>
  <inkml:trace contextRef="#ctx0" brushRef="#br0" timeOffset="398.32">3029 717 11995,'16'17'1424,"0"-6"1400,4-4-2087,5-4-1081,8-3-73,10-2-15,7-5 112,4-5 80,-1-4-144,0-3-200,-5 0-200,-3-4-184,-6 0-17,-12-6 97,-6-1 64,-1-5-88,-2-2 528</inkml:trace>
  <inkml:trace contextRef="#ctx0" brushRef="#br0" timeOffset="757.57">3484 8 11386,'-9'-2'437,"2"0"-1,-1 0 0,0 1 0,-9 0 0,26 13-1422,15 2 913,32 19-1,-32-21 372,35 24 1,-29-12-177,-3-1 1,-1 1-1,0 2 1,-1 2-1,34 48 0,-45-56-129,-1 2-1,-2 0 1,0 1-1,0-1 1,-1 3-1,-4 0 0,3-2 1,-3 2-1,3 28 1,-5-31-38,-2 2-1,-1-2 1,-1 0 0,-1 0 0,-6 36 0,4-43-37,-1 2 1,-1-3-1,1 0 0,-3 2 0,2-2 0,-2 1 0,0-2 1,-16 22-1,11-17-390,-26 28 1,6-18 173</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11-20T15:23:01.588"/>
    </inkml:context>
    <inkml:brush xml:id="br0">
      <inkml:brushProperty name="width" value="0.035" units="cm"/>
      <inkml:brushProperty name="height" value="0.035" units="cm"/>
    </inkml:brush>
  </inkml:definitions>
  <inkml:trace contextRef="#ctx0" brushRef="#br0">254 2026 5321,'9'3'121,"2"2"0,-1-4 0,1 0 0,-2 0 0,0 0 0,1-1-1,0 0 1,0-1 0,0 0 0,0 0 0,0 0 0,0-2 0,-1-1 0,0 1 0,1-1-1,-1-1 1,0 1 0,1 0 0,-2-2 0,0-1 0,-1 1 0,11-7 0,-10 4-45,0 1 0,0-1 0,1 0 0,-3-1 0,2 0 1,-3 1-1,3-2 0,-3 0 0,1 2 0,5-21 0,-10 28-70,6-16-153,-2-3 1,-2 4 0,6-27-1,-8 41 102,-1-1 0,0 0 0,0 0-1,0 0 1,0-1 0,0 1 0,0-2-1,0 3 1,-1-1 0,0 0 0,0 0 0,1 1-1,-2-1 1,1 1 0,-1-2 0,0 2-1,0-1 1,1 2 0,-2-3 0,1 2-1,-6-5 1,6 7 93,1-1 0,-1 1 0,1 0 0,-1 0 0,0 0 0,1 1 0,-2-1 0,2 1 0,0-1-1,-1 1 1,0 0 0,0-1 0,1 1 0,-1 0 0,-1 0 0,1 0 0,1 1 0,0-1 0,-1 0 0,0 1 0,1-1 0,-1 1 0,-1-1-1,2 1 1,0 0 0,-1 0 0,1 0 0,-1 1 0,2-1 0,-1-1 0,-1 1 0,-2 4 0,-1 0 75,0 2 1,1-3-1,-1 1 0,2 2 1,-1-2-1,1 0 0,-4 12 1,-2 4-78,3 0 0,0 2 0,1-2 0,2 3 0,-4 26 0,5-5-206,4 75 0,4-61-171,15 82 0,26 55 95,-39-164 255,-4-13-4,1-2-1,-2 3 1,-1-1-1,0 30 1,-2-35 37,-1-4 1,0 2-1,-1-1 0,0-2 1,-1 4-1,-1-2 0,1 0 1,-10 19-1,9-22 9,0 1 0,-2-1 0,1 1 0,-2-2 0,2 2 0,-2-3 0,0 2 0,0-3 0,-14 13 0,9-9 28,-1-3 0,3-1 0,-3 1 0,1-1 0,-2-1 1,-14 5-1,7-3 53,0-3 0,-2 1 1,3-2-1,-27 0 0,38-3-143,-1 0 1,2 0-1,-3-1 0,2-1 1,0 2-1,1-2 0,-1-1 1,0 0-1,0-2 0,1 3 1,-1-2-1,-8-7 0,9 7-149,1-2 0,-1 1-1,3-2 1,-1 0 0,0 1-1,1 0 1,-8-11 0,1-10-120</inkml:trace>
  <inkml:trace contextRef="#ctx0" brushRef="#br0" timeOffset="603.74">622 2431 11010,'-7'18'421,"5"-15"-481,0 3 0,1-2 0,-1-1 0,0 3 0,1-1 0,0-1 0,1-1 0,-1 3-1,1-2 1,0 1 0,1 6 0,5 14-77,0-5 0,1 2-1,0 0 1,2 0-1,1-3 1,21 39 0,-26-49 131,-1-3 0,1 0 1,1 1-1,-1-4 0,1 5 1,0-3-1,1-1 0,-3 2 0,4-2 1,-2 1-1,0-1 0,1 0 1,0-1-1,1 0 0,-1-1 1,1 0-1,-1 0 0,1 0 0,0-1 1,0-1-1,12 1 0,-17-2-30,0 1 0,1-1 0,1-1 0,-1 1 0,-1-1 0,0 0 0,1 0 0,0 0 0,-1 0 0,-1 0 0,3-1-1,-2 1 1,3-6 0,1 0-22,-1 2 0,0-2 0,-1 2 0,0-2 0,5-8 0,-6 3 55,2 0 0,-1-1 0,-2 1 0,2-2 0,-2 2 0,0-2 0,-1 2 0,0-1 0,-1 0 0,-1-1 0,-2-16 0,0 17 387,-1 3 0,-1-2 0,-5-13 0,4 16-114,5 9-234,8 16-236,53 130 194,-52-125 18,0-1 0,20 28 0,-24-37-46,3-1 0,-2-1 0,1 1 0,1-3 0,0 2 0,14 10 0,-19-16-58,2 1 0,-3-2 1,2 1-1,-1 0 0,2-1 1,3 1-1,5 0-152</inkml:trace>
  <inkml:trace contextRef="#ctx0" brushRef="#br0" timeOffset="2300.1">1222 2501 10514,'-5'5'29,"1"1"-1,1 3 1,1-4-1,-2 2 0,1-1 1,0-1-1,-1 18 1,4-19-49,-1 0 0,1 1 0,0-1 0,0 0 0,0 0 0,0 0 0,1 0 0,0 0 0,-1 3 0,1-4 0,-1 0 0,1 1 0,1 1 0,-1-2 0,4 3 0,3 9 10,0-2 0,1 0-1,0 0 1,2-2 0,-2 1-1,1-1 1,2-2 0,-3 1-1,4 0 1,-1-2 0,1 1 0,0-2-1,-1 0 1,2-1 0,-1 0-1,1 1 1,1-4 0,-2 1-1,2 0 1,-1-2 0,28 1 0,-37-3 8,-1 0 0,2-1 0,0 1 0,-2-1 0,2 0 1,-1-1-1,1 0 0,-2 0 0,1 0 0,0 0 1,0-1-1,-3 1 0,3-2 0,0 1 0,-1-2 1,7-4-1,-6 3 46,1-1-1,-1-1 1,-1 1 0,2-1 0,-3 1-1,1-2 1,-1 3 0,1-3 0,1-15-1,6-19 114,-4-1-1,10-82 0,-15 103-145,-2 4-1,-2-2 1,0-1-1,0 2 1,-2 1 0,0-1-1,-1-1 1,-11-28-1,5 21 16,-3 1 1,-1-1-1,-1 1 0,-1 3 0,-1-2 0,-38-41 0,53 62-12,-2 1-1,2 1 1,-1 0 0,1-1-1,-1 2 1,0-1 0,0 1-1,-1-1 1,1 1 0,-1 0-1,0-3 1,-10 2-1,15 3-12,0 1 0,0-1-1,-1 0 1,1 0-1,-1 0 1,0 0 0,1 0-1,-1 0 1,1 1 0,-1-1-1,1 0 1,0 0-1,0 0 1,0 0 0,-1 1-1,1-1 1,-1 0-1,1 1 1,0-1 0,-1 4-1,1-4 1,0 0-1,-1 1 1,1-1 0,0 1-1,0-1 1,-1 1-1,1-1 1,0 1 0,0 0-1,0-1 1,0 2-1,-3 23-15,2-18 16,-1 70 14,14 152 0,-10-208-13,1 1-1,3 0 0,12 42 0,-3-25 7,22 43 1,-22-50 19,-9-17 36,2 0-1,0 0 1,1 0 0,0-2 0,11 14 0,-20-27-61,0 2 1,0-2-1,1 0 0,-1 0 1,0 0-1,0 0 1,0 0-1,0 1 1,1-1-1,-1 0 1,0 0-1,0 0 1,0 0-1,0 0 1,1 0-1,-1 0 1,0 0-1,0 0 1,0 0-1,0 0 0,0 0 1,0 0-1,0 0 1,1 0-1,-1 0 1,0 0-1,0 0 1,0 0-1,1 0 1,-1 0-1,0 0 1,0 0-1,0 0 1,1 0-1,-1-1 1,0 1-1,0 0 0,0 0 1,0 0-1,0 0 1,2 0-1,-2-2 1,0 2-1,0 0 1,0 0-1,0 0 1,0 0-1,0-1 1,0 1-1,1 0 1,-1 0-1,0 0 1,0-1-1,0 1 0,0 0 1,0 0-1,0 0 1,0 0-1,0 0 1,0 0-1,0 0 1,0 0-1,0 0 1,1-19 109,-1 14-102,1-15 12,-1-11 1,2 4 1,1-2-1,10-51 0,-11 73-22,0 1 0,0-2 0,2 2 0,-2-2 0,1 2 0,1-2 0,0 2 0,0 0-1,-1-1 1,1 3 0,1-2 0,0 1 0,-1 0 0,3-2 0,-2 3 0,1 0 0,0 0 0,1 0 0,10-6 0,-12 8-26,2 0 1,-2 1-1,0 1 1,2-1-1,-2 0 1,1 1-1,-1 0 1,1 1-1,1-1 0,-2 1 1,1-1-1,-1 1 1,11 6-1,-4-2-39,-1 1 0,-1-2 0,1 2 0,0 2 0,15 11 0,-23-19 29,-1 2 0,0 0 0,0 0 0,1 1 0,-1 0 0,2 3 0,-3-5 25,-1-1 0,0 0 1,0 1-1,1 0 0,-1-1 0,0 1 0,0 2 1,0-2-1,0-1 0,1 1 0,-1 0 0,0 0 1,-1-1-1,1 1 0,0 0 0,0-1 0,0 1 1,0 0-1,0 0 0,-1-1 0,1 1 0,0 0 1,-1-1-1,1 1 0,0-1 0,-1 0 1,1 1-1,-1-1 0,1 2 0,-1-2 0,1 2 1,-1-1-1,-5 3-9,1-1 0,0 0 1,0 1-1,-1-2 1,0 1-1,1-1 0,-8 3 1,-45 11 132,37-10-15,-23 0 354,-77 9-1,115-15-436,2 0-18,2 0-1,0 0 1,-1 0-1,1 0 1,-2 1-1,1-1 1,1 0-1,1 1 1,-1 0-1,-1 2 1,0-2-1,-1 1 1,4-1-1,0-1 0,0 0 0,-1 1 1,1-1-1,0 0 0,0 1 0,0-1 0,0 0 1,0 1-1,0-1 0,0 0 0,0 1 0,0-1 1,0 0-1,0 1 0,0-1 0,0 0 1,0 1-1,0-1 0,0 0 0,0 1 0,1-1 1,-1 0-1,0 1 0,0-1 0,0 0 1,0 1-1,1-1 0,-1 0 0,0 0 0,0 0 1,1 0-1,9 13-7,-9-12 6,18 15 2,1 0 0,0-4 0,0 3 0,0-3 0,2 0 0,-1-2 0,1-1 0,33 11 0,-28-14-4,-2-1 1,1-2-1,0-2 1,0 0-1,35-2 1,-45 0 58,1 1 1,0-3-1,1-2 1,-3 1-1,2-1 1,-2-2 0,1 0-1,-1 0 1,18-13-1,-27 16-7,0 0-1,1-2 1,-3 2-1,1-1 0,0-1 1,0 0-1,-1 1 1,1-1-1,-1 0 0,0-3 1,-1 3-1,5-9 0,-5 5-24,0 1 0,0-1-1,-1-2 1,-1 5 0,1-4-1,-2 3 1,1-5 0,-2-11-1,-3-9 122,-1 2 0,-2 0-1,-1-2 1,-19-50-1,1 1 93,-16-40-172,37 109-86,0 1 1,0 1-1,-8-10 1,12 18-15,0 1 1,1 0-1,-3 0 0,2-2 1,-1 2-1,0 1 1,1-1-1,-1 1 0,0-1 1,-1 1-1,1 0 1,1-2-1,-2 2 1,1 0-1,0 0 0,0 0 1,-2 1-1,2-1 1,-1 0-1,3 1 0,-7-1 1,6 2 32,0-1-1,0 0 1,-1 0 0,1 1 0,0-1 0,0 1-1,0-1 1,0 1 0,1 0 0,-1-1 0,0 1-1,-1 0 1,1 1 0,0-1 0,0 0 0,0 0-1,0 0 1,1 0 0,-1 0 0,0 0 0,1 0-1,-1 0 1,1-1 0,-1 1 0,1 0 0,0 4-1,-1-4 1,1 2 0,-2 5 14,1 0 1,1-1-1,-2 15 0,2-15-18,0 44-13,2 3 1,8 54 0,-3-73-72,-1-1-1,3-2 1,-1 3-1,19 34 1,-20-49 57,3-2 0,-1 2 0,2-2 0,0-1 0,0 1 0,23 21 0,-28-32 48,2 2-1,0-2 0,2 1 0,0-2 0,-1 1 0,1-1 0,2-1 0,-3 0 1,0-1-1,2 0 0,0 0 0,21 5 0,-27-8-14,1 0-1,0-1 1,1 1 0,-1-1-1,-1 0 1,2 0 0,-1-1-1,1 0 1,-1 1-1,1-1 1,-2-1 0,9-5-1,-3 1-3,1 2-1,-2-3 0,1 0 0,19-18 0,-28 24 15,1-1-1,-1 0 0,0 0 1,0-1-1,0 0 0,-1 1 1,1 1-1,-1 0 0,1-2 1,-1 1-1,0-1 0,0 0 1,0 1-1,0-1 0,-1 1 1,1 0-1,-1-4 0,1 4 1,-1-1-1,0 0 0,0 1 1,0-1-1,0 0 0,-1 1 1,1-1-1,-1 0 0,1 1 1,-1-2-1,0 2 0,-2-5 1,0 3-7,1-1 1,0 2 0,-1-1-1,0 1 1,-1-2 0,1 2-1,1 2 1,-1-2-1,-1 1 1,-5-5 0,-5 1-85,-23-13 1,21 12-82,14 6 151,1 0-1,1 1 1,-1 0 0,0-1-1,-1 1 1,1 0-1,0-1 1,-1 1 0,0 0-1,1 0 1,0 0-1,0 0 1,-1 0 0,1 0-1,0 1 1,0-1 0,0 0-1,0 1 1,-1-1-1,1 1 1,-2 0 0,1 0 9,1 0 1,0 1 0,0 0-1,-1-1 1,1 0 0,0 0-1,-1 1 1,2-1 0,-1 1-1,1-1 1,-1 1 0,0 0 0,1 5-1,-2-3 4,1 3 0,1-2-1,-1-1 1,1 3 0,-1-1-1,1-1 1,1 2 0,-1-1-1,2 6 1,3 8-25,15 30 1,-13-31 17,-5-14 8,2 0 1,-1 0-1,-1-1 1,0 0-1,3 1 1,-2 1-1,1-3 1,-1 1-1,2-1 1,0 2-1,-1-2 1,1-2-1,-1 3 1,1-2-1,0 1 1,-1-1-1,1 0 1,7 2-1,5-1 38,0 3 0,2-3 0,-3-1 0,25 0 0,-23-2-18,0 0 0,1-1 0,-1-1 0,1-1 0,23-7 0,-35 8-7,-2 0-1,0 0 0,2-2 0,-3 2 0,2-2 1,-1 3-1,-1-3 0,2 0 0,-1 0 0,-1 0 1,1 0-1,-1-2 0,0 0 0,0 2 0,0-1 1,-1 0-1,0-1 0,-1 0 0,0 1 1,4-9-1,-4 5-9,0 2 0,0-2 0,-2 1 0,2-3 0,-2 3 0,2 0 1,-2-1-1,-2 0 0,2-2 0,-2 4 0,2-3 0,-2 4 0,0-4 0,-3-8 0,-1 5 10,1-1-1,-1 3 0,-1-2 0,-1 0 0,1 2 0,-2-2 0,-15-16 0,29 50-195,15 42 252,24 95 1,-45-165 26,0-3 1,1-1-1,0 2 1,0 0-1,1 0 0,0-2 1,2 1-1,-1 2 0,0-3 1,0 4-1,1-3 0,1 0 1,0 2-1,7-14 0,3 0-284,2-1-1,0 0 0,31-37 1,-33 48-145,-1-3 1,3 3-1,24-17 0,21-8 2339,-17 12-982</inkml:trace>
  <inkml:trace contextRef="#ctx0" brushRef="#br0" timeOffset="4175.72">3835 2326 6769,'-70'55'2391,"-14"10"-2000,80-62-369,2 0-1,-2 2 1,1-2-1,1 0 0,0-1 1,-1 4-1,1-3 0,0 1 1,1 0-1,-1 1 1,0-1-1,1 0 0,-1 0 1,1 0-1,0 0 0,0 9 1,0-9-25,1 2 1,1 1-1,-1-3 0,1 4 1,0-3-1,1 0 1,-1 3-1,1-3 1,0 2-1,4 7 0,2 4-37,1-5 0,2 1-1,-2 0 1,3 1 0,-1-2-1,2-1 1,13 13-1,-17-16 84,3-2-1,-1 2 0,1-3 1,1 2-1,-2-1 0,24 7 1,-25-11 27,0 0 1,0-2 0,1 1 0,-3-1 0,3-1-1,-1 0 1,1 0 0,-2-1 0,17-2 0,-21 2-34,2-2 0,-1 1 0,-1 0 0,1 0 1,-1-1-1,0 0 0,-1 0 0,1-1 0,1 0 1,-2 0-1,0-2 0,-1 3 0,2-1 1,-3-2-1,2 0 0,1 4 0,-2-3 0,0-2 1,0 2-1,-2-1 0,5-7 0,-3 4-27,0 0 1,-1 1-1,1-3 0,-2 4 0,0-4 0,-1 5 0,1-4 0,-1-1 1,-1 3-1,1-1 0,-1 1 0,0-2 0,-2 2 0,-2-12 0,2 14-25,1-3-32,-2 2 1,2-3-1,-1 3 0,-1 0 0,-1 0 1,1-2-1,-5-7 0,9 15 39,0 1 0,0 0 0,0 0 0,0 0 0,-1 0 0,1 0-1,0 0 1,0 0 0,0 0 0,0 0 0,0 0 0,0-1 0,0 1 0,0 0 0,0 0 0,0 0 0,0 0-1,-1 0 1,1 0 0,0 0 0,0 0 0,0 0 0,0 0 0,0 0 0,0 0 0,0 0 0,-1 0 0,1 0-1,0 0 1,0 0 0,0 0 0,0 0 0,0 0 0,0 0 0,0 0 0,0 0 0,0 0 0,-1 0 0,1 0-1,0 1 1,0-1 0,0 0 0,0 0 0,0 0 0,0 0 0,0 0 0,0 0 0,0 0 0,0 0 0,0 0-1,-2 10-134,2 9 58,1-9 91,1 1 1,0 1 0,0 0-1,1-2 1,0-1 0,0 3-1,2-1 1,0-2 0,9 17 0,-11-22 19,-1 0 0,1 1 0,0-2 1,0-1-1,1 2 0,-1 0 1,1-1-1,0 0 0,-1-1 0,0 0 1,1 0-1,0 2 0,-1-2 1,1 0-1,2-1 0,-2 1 0,0-1 1,1 0-1,-1 0 0,1-1 1,0 2-1,-1-2 0,1 0 0,7-2 1,-7 1-18,-1-1 1,0 1-1,-2-1 1,3 1-1,-2-1 1,1 0-1,0-3 0,-1 4 1,1-2-1,-1 1 1,0-1-1,1-1 1,-1 0-1,-1 2 1,0-1-1,1 0 1,-1-2-1,1 2 1,-1-1-1,0 1 0,0-4 1,-1-2-1,2 2-26,-2 1-1,2-2 0,-2 2 0,1 0 0,-2-2 1,1 2-1,-1-2 0,0 3 0,0-2 0,-1 0 1,0-1-1,0 2 0,0 0 0,-5-9 0,4 6 16,-2 2-1,-1-1 1,0 0-1,1 0 1,-3 4-1,1-3 0,0 1 1,0 0-1,0-1 1,0 2-1,-13-8 1,9 6 46,0 2 1,0 0 0,-1 1-1,0-2 1,0 4-1,4-1 1,-5-1 0,-15-1-1,24 5-49,0-1 1,0 1-1,-1 0 0,1 1 0,1-1 1,-1 0-1,0 2 0,1-1 0,-1-1 1,0 1-1,1 0 0,-6 4 0,6-4 1,0 0 0,1 0 0,0 1 0,-1 1 0,1-1 0,0 0-1,-1 0 1,1 0 0,0 0 0,0 0 0,0-1 0,0 2 0,0-1 0,0 1-1,1-1 1,-1 0 0,0 5 0,0-3-1,1 1 0,-1 2 1,1-2-1,0 0 0,1 1 0,-1-1 0,1-2 1,0 3-1,3 10 0,-3-13 13,0-1 1,0 1-1,0-1 0,1 0 1,-1-1-1,0 4 0,1-3 1,-1 0-1,0 0 0,1 0 1,0-1-1,0 1 0,1 1 1,-1-3-1,0 2 0,0-1 0,0 0 1,1 0-1,-1 0 0,3 1 1,9 1 13,0 3 0,0-4 0,1-2 0,-2 0 0,1 0 0,0 0 0,28-8 0,2-1 189,46-18 1,-57 12 127,-30 14-324,-3 0 0,2 0 0,0 0-1,-1 0 1,1-1 0,-1 1 0,0-2 0,1 2-1,-1-1 1,1 1 0,-1-1 0,0 2-1,0-1 1,-1-1 0,1-3 0,-1 5-17,2-7-94,0 16 70,-2 14 14,-1-20 9,1 3 0,0-2 0,0 0 0,0 0 1,1 2-1,0-2 0,-1 0 0,1 1 0,4 5 1,-1 1-1,0-2 0,2-2 1,0 3-1,-1-2 0,3 0 0,-2 0 1,0 0-1,14 9 0,-4-2-7,3-4 0,37 18 0,-54-25 34,1-3-1,-1-1 1,0 1 0,0 0 0,1-1-1,0 1 1,-1-1 0,1 0 0,0 1-1,0-2 1,-1 1 0,1 0-1,-1 0 1,1-1 0,-1 1 0,2-1-1,-1 0 1,-2 0 0,2-2 0,-2 2-1,1 0 1,2 0 0,-2 0-1,0-1 1,0 0 0,-1 1 0,1-1-1,0-1 1,3-2 0,-1 2-2,-1-1 1,-1-2 0,3 1 0,-2 1-1,-1-4 1,1 3 0,-2 0-1,2-1 1,-1 1 0,-2-3-1,2 3 1,0-11 0,-4-26-22,1 35-4,0 0 0,1 0 0,0-2 0,0 2 0,1-2 0,1-9 0,-2 17-2,0 1 1,0 0-1,1-1 1,-1 1-1,0-1 1,0 1-1,0-1 1,0 1-1,1 0 1,-1 0-1,0 0 1,0 0-1,1 0 1,-1-1-1,0 1 1,1 0-1,-1-1 0,0 1 1,1 0-1,-1-1 1,1 1-1,-1 0 1,0 0-1,1-1 1,-1 1-1,2 0 1,-1 0-1,-1 0 3,1 0-1,0 0 1,-1 0-1,1 1 1,0-1-1,-1 0 1,1 1 0,-1-1-1,0 0 1,1 1-1,-1-1 1,1 1-1,-1-1 1,0 0-1,0 0 1,1 1-1,18 32 19,-16-30-19,1 7 1,1-1 0,1-3 0,0 1 0,1 2-1,-2-2 1,2 0 0,-1-3 0,0 4 0,2-3 0,0-1 0,8 8 0,-10-9 4,1 0 0,-2 0-1,1-1 1,1 0 0,-3 0 0,2 0 0,0-1 0,-1 0 0,3-1-1,-2 1 1,1-1 0,-1-1 0,2 1 0,-3-1 0,3 0 0,5-3 0,-11 4-5,0 0 1,-1-1-1,1 0 1,-1 1-1,1-1 1,-1 0-1,0-2 1,1 3-1,0-1 1,-1 0-1,0 0 0,0 0 1,0 0-1,0 0 1,0-1-1,0 1 1,0 0-1,0-1 1,0 1-1,-1-3 1,2 3-1,-1 0 1,-1 0-1,0-1 1,0 0-1,1 1 1,-1-1-1,0-2 1,0 3-1,0-1 1,0 0-1,0 1 1,0 1-1,-1-5 1,1-1-8,-3 1 0,2 1 0,-1-4 0,0 4 0,0-1 0,0 0 0,-1 1 0,0-1 0,-7-8-1,-17-20-29,0-4 0,4 1-1,-34-64 1,57 99 21,0 1 0,0-1 0,0 1-1,0-2 1,-1 2 0,1-1 0,0 1 0,0-1-1,-1 0 1,1 1 0,0-1 0,0 1 0,0-1-1,0 0 1,0 1 0,0-1 0,0 1 0,0 0 0,0 0-1,0 0 1,1-2 0,-1 2 9,0 0 1,1 0-1,-1-1 1,0 1-1,0 0 1,0 0-1,0 0 0,1 0 1,-1-1-1,1 1 1,-1 0-1,0 0 1,2 0-1,-2 0 1,1 0-1,-1 0 0,0 0 1,1 0-1,-1 0 1,1 0-1,-1 1 1,1-1-1,26 9-27,-1 9 49,-1-5 0,3 2-1,1-3 1,-1 1 0,0-3-1,3-3 1,-3-2 0,2 3-1,3-5 1,-4-1 0,37-1-1,-55-1 38,-1-1 0,1 1 0,-1-2-1,-1 0 1,21-9 0,-26 9-28,0 1-1,-2 0 1,2-1 0,0 0-1,0-2 1,-1 2 0,0-1-1,0 0 1,0 0-1,0-2 1,-1 2 0,1-1-1,-2 1 1,2 0 0,0-2-1,-1 2 1,2-9-1,1-6 23,-1 0 0,-1-1 0,0 1 0,-1-2 0,-1-26 0,0 45-295,3 5 191,0 5 51,2 21-43,0-2-1,-3 3 1,0 28-1,-3-47 34,0 2 1,-1-3-1,0 3 0,0-1 0,0-2 0,-2 3 1,-2-3-1,1 3 0,-9 17 0,9-24 50,-2 2 1,2-3-1,-1 2 1,-1-1-1,1-1 1,0 0-1,-3 0 1,3 1-1,-3-2 1,1 1-1,-13 3 1,15-6 10,0 2 1,-2-3 0,3 0 0,-3 0 0,1-1-1,0 0 1,1-1 0,-1 1 0,-1-1 0,1 0-1,0 0 1,1 0 0,-1-1 0,-2 1 0,4-1-1,-11-3 1,10 2-8,1 0 0,1-2 0,-1 2 0,0 0 0,1 0 0,-1 1 0,1-1 0,-1-1 0,2-1 0,-1 1 0,0 0 0,0 0 1,0-3-1,0-2 0,2 6-34,0 1 0,1 0 1,0-2-1,-1 2 0,0-1 1,1 0-1,0 0 0,-1 0 1,1 0-1,0 1 1,0-3-1,0 3 0,0-1 1,0 0-1,1 0 0,-1 1 1,0-1-1,1 0 1,-1-2-1,1 2 0,-1 1 1,1 0-1,0-1 0,-1 1 1,1-1-1,0 1 0,-1-2 1,1 1-1,0 1 1,2-1-1,-2 1 0,0 0 1,4-1-1,-1-1-36,3 0 0,-1-1 0,0 1 0,1 0 0,0 1 0,-2 0 0,3-2 0,-2 3 0,-1 0 0,3 0 0,6 0 0,11 0-462,38 6-1,-50-2 346,15 1-259,-19-2 85,0-1 0,0 0 1,1 0-1,-3-1 0,2 0 1,15-3-1,-18 0-1585,-4-4 879</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11-20T15:23:27.205"/>
    </inkml:context>
    <inkml:brush xml:id="br0">
      <inkml:brushProperty name="width" value="0.035" units="cm"/>
      <inkml:brushProperty name="height" value="0.035" units="cm"/>
    </inkml:brush>
  </inkml:definitions>
  <inkml:trace contextRef="#ctx0" brushRef="#br0">545 3502 6857,'11'-1'55,"-1"0"0,1-1 0,-2 0 0,1 0 0,1-1 0,-4-1 0,4-1 0,-2 1 0,0-1 0,0 1 0,0-2 0,-1-1 0,1 1 0,11-14 0,1-1 5,0-2 0,-3-1 0,32-48 0,-34 45-47,0-1 0,20-48 0,-31 58-36,2 1 0,-2-2-1,-2 0 1,-1 0 0,4-33 0,-6 45-2,0 0 0,0 0 1,-1 2-1,0-3 0,1 1 0,-2 1 1,0-2-1,-2-10 0,3 13 21,0 3 0,-1 0-1,1 0 1,-2-1 0,1 1 0,0 0-1,0 0 1,0 0 0,0 0-1,1 0 1,-2 0 0,0-1 0,1 2-1,-1-1 1,1 1 0,-1 0-1,1 0 1,-1 0 0,0 0-1,0 0 1,0 1 0,0-1 0,-2 1-1,1-1 9,-2 1 0,2 0-1,2 0 1,-4 1-1,2-1 1,0 1 0,1 0-1,-3 0 1,3 0 0,-1 1-1,1 0 1,-2-1 0,2 1-1,-1 2 1,-1-2-1,-2 4 1,1-2 9,2 1 0,2-1-1,-2 2 1,0-1 0,0-1 0,1 1-1,1 2 1,0-2 0,-2 0-1,2 1 1,-3 9 0,-5 28 33,-9 79 0,7 44-14,11-134-17,6 378 173,4-178-82,-8-196 12,-2-2-1,-1-1 0,-1 2 0,-3-1 0,1 0 1,-4-1-1,-16 48 0,17-60-51,-1 1 0,-3-1 1,-19 34-1,26-48-63,-1 1 0,0-1 1,-2-1-1,3 1 0,-4 0 0,3-1 1,-2-1-1,0 1 0,0 0 0,0-2 1,-17 6-1,10-5-1,-1 1 1,-1-2-1,-2-1 1,2-1-1,1-1 1,-1 0-1,0-1 1,-2-1-1,-26-5 1,26 3-18,0-3 0,0 1 0,1-2 0,-2 0 0,3-1 0,0-1 0,0 0 1,-22-18-1,30 21-146,1-1 0,0 0 0,1 0 1,0-2-1,0 1 0,0 0 0,2-2 0,-1 1 1,1-1-1,1 1 0,-2 0 0,2-2 0,1 1 1,-1 0-1,-2-16 0,3-2-470</inkml:trace>
  <inkml:trace contextRef="#ctx0" brushRef="#br0" timeOffset="1440.75">1160 3439 7218,'-19'111'444,"9"-36"1,1-15-111,3 0 0,2 2 0,3-1 0,6 62 0,2-64-302,3-1 0,34 113 0,-41-159-31,0 1-1,3-2 1,-1 2 0,2-2 0,-1 1-1,1-2 1,0 0 0,1 1 0,11 12-1,-15-19 1,0 0 0,1-1 0,-1 1 0,0-1 0,2 2-1,-1-3 1,1 1 0,-1-1 0,0 0 0,1 0 0,-1 0-1,2-1 1,-2 1 0,1-2 0,-2 1 0,2 0 0,-1-1-1,2 0 1,-1-1 0,-1 1 0,1-1 0,6-2-1,8-4 12,1 1-1,-1-5 0,1 1 0,-2-1 0,-1 0 0,1-3 0,0 2 0,-4-3 0,33-29 0,-37 30 4,0 1 0,0-1-1,-2 0 1,0-1 0,13-24 0,-19 28-5,0 2 1,0-2 0,0 0 0,0 2-1,-1-2 1,0 1 0,-1-1 0,-1 0-1,0 1 1,0-16 0,0 23-8,0 0 0,-1 0 0,0 1 1,1-1-1,-1 1 0,0-1 0,-1 1 0,2-1 0,-2 1 0,1-1 1,-1 1-1,0-1 0,1 1 0,-1 1 0,1-2 0,-1 2 1,1-1-1,-2 0 0,1 1 0,-1-1 0,1 1 0,0 0 1,0 0-1,-1-1 0,0 2 0,1-2 0,0 1 0,0 0 1,-1 1-1,-3-1 0,2 1-2,1 0 1,-2 0-1,2 0 0,1 0 0,-2 0 1,1 1-1,-1 0 0,1-1 1,1 1-1,-3 2 0,2-2 1,0 0-1,0 1 0,0 0 0,0-1 1,0 1-1,0 0 0,0 2 1,1-3-1,-2 1 0,3 1 1,-5 6-1,-1 0-1,3 1 0,-1 1-1,2-1 1,-1 0 0,1 1 0,1-1 0,-1 2 0,0-1-1,2 1 1,-1 14 0,2-13 0,1 1 1,0 0-1,0 0 0,2-1 1,0 1-1,0-1 1,0 0-1,6 14 0,2-2 1,-4-6-2,1-2 0,0 1 0,14 19 0,-20-31 0,1-2 0,1 0 0,-1-1 0,1 1 0,-2 0-1,3-1 1,-1-1 0,1 2 0,-2-1 0,2 0 0,-1-1-1,0 0 1,1 0 0,0 0 0,0 0 0,7 1 0,-3-1 1,-1-2 0,2 0 0,-1 0 0,0 0 0,0 0 0,1-3 0,-2 2 0,0-1 0,0-1 0,2 1 0,-2-2 0,0 1 0,1-1 0,10-7 0,6-5 6,-1-5 0,42-41 0,-6 5 6,-23 28-9,56-54 9,-83 71-16,2 0 1,-2-1-1,1 0 0,-3 0 0,13-27 0,-19 35 5,0 1 0,0-2 0,-1 1 0,0 0 0,0 0-1,1 0 1,-1-1 0,-1 1 0,0 0 0,0 0 0,0-1 0,0 0 0,-1 1-1,-1 0 1,1 0 0,-1-6 0,1 8 2,0-1 0,-1 2 0,1-2 0,-1 2-1,0-1 1,-1 0 0,1-1 0,0 2 0,1-1 0,-1 1 0,1-1 0,-2 1-1,0 0 1,0 0 0,0 0 0,1 1 0,-1-1 0,-1 1 0,1-1 0,0 0-1,0 1 1,-1 0 0,1 1 0,-6-1 0,2 0-3,0 0 1,-1 1-1,3 1 0,-4-1 1,3 1-1,-2 0 1,2 1-1,-2 0 0,2 0 1,0 1-1,-1-1 1,-1 1-1,4 1 0,-3-1 1,1 1-1,1 1 1,-2-1-1,1 1 0,1 0 1,-9 9-1,8-6 1,-1 1 1,2 1-1,0-1 0,0 0 0,0 1 1,2-1-1,-2 3 0,2-2 0,0 0 0,0 0 1,1 1-1,1 0 0,-2 16 0,2-19-1,1 1 0,1 0 0,-1-1 0,3 0 0,-3 1 0,2-1 0,0 0 0,0 0 0,7 11 0,-6-13-1,-1 1-1,2-1 1,-1-1 0,1 1-1,0-1 1,0 0 0,2 0-1,-1-1 1,-1 1 0,3-1 0,9 7-1,-4-5 2,-3-1 1,1 0-1,2 1 0,-1-3 0,0 1 1,-1-1-1,2-1 0,-1 0 0,1-1 1,0 0-1,0 0 0,-1-2 0,1 1 0,-1-2 1,-1 1-1,1-1 0,1-1 0,0 0 1,-1-1-1,1 0 0,-4-2 0,20-7 1,-18 5 2,2 0 0,-3 1 1,0-1-1,2 0 1,-3-1-1,2 0 1,-2-1-1,0 1 1,1-3-1,-3 1 1,0 1-1,-1-2 0,0 0 1,1 0-1,-1 0 1,-2-1-1,2 1 1,-2-1-1,-1 0 1,0 1-1,1-20 1,-3 20 9,2-2 24,-2 0-1,0 0 0,-6-29 0,6 43 11,3 19 28,-3-16-74,21 122 72,-20-109-66,0-1 1,-1 1-1,0-1 1,-1 1-1,-1 0 1,-4 18-1,-2-15 12,2-17 2,5-2-20,1 0 1,0-1-1,-1 1 0,1 0 0,0-1 1,-1 1-1,1-1 0,0 1 1,-1 0-1,1-1 0,0 1 0,0-1 1,-1 1-1,1-1 0,0 1 1,0-2-1,0 2 0,0-1 0,-4-19 6,2-1 0,-1 0 0,2 0 0,1 0 0,1 1 0,4-23-1,-3 28-6,1 0 0,0-1 0,1 2 0,11-29 0,-12 34 0,1 0 0,1 1 0,1 0 0,-3-1 0,2 1 0,2 1 0,-2 0 0,3 0 0,5-6 0,-8 10 0,0 0 0,0-2 0,1 2 0,0 1 0,-1 0 0,-1 0 0,3 0 0,-2 0 0,2 1 0,-1 0 0,-1 0 0,2 1 0,11 0 0,5 2 2,0 0 0,30 9 0,18 3 10,-64-13-11,0-1-1,0 0 1,0 0 0,1 0 0,-1-1 0,0 0-1,-1 0 1,1-1 0,0 0 0,-2 0 0,3-2-1,-2 0 1,1 2 0,-1-1 0,1-1 0,-1 0-1,0 0 1,-1-1 0,0 0 0,1 0 0,-2 0 0,0-1-1,2 0 1,-3 0 0,1 0 0,0 0 0,5-12-1,15-46-1,-21 56 43,0-1-1,-1 0 1,0-1-1,-1 0 1,1-11-1,-2 20 122,-1 2-138,0 0-1,1 0 1,-1 0-1,1 0 0,-1 0 1,0 0-1,1 0 1,0 0-1,-1 0 1,1 0-1,0 0 1,-1 0-1,1 0 1,0 2-1,0-3 1,0 1-1,0 2 1,-1 0 10,-7 67 25,-12 52-14,14-94-32,-20 51 0,21-66-10,-1-2 0,1 1 0,-2-1 0,0 0 1,-1-1-1,-15 17 0,1-6 5,1 1 0,-5-3 0,-33 25 0,38-31-4,3-2-1,-3-1 0,-1 0 1,-1-1-1,-20 5 1,35-12 41,-1 0 0,1-1 1,0-1-1,-1 2 0,1-2 1,-15-2-1,20 2-23,2 0-1,-2 0 1,-1-1 0,2 0-1,0 0 1,0 1 0,-1-1-1,1-1 1,-2 1 0,2-1-1,1 0 1,0 1-1,-2-1 1,1 0 0,-1 1-1,2-1 1,-1 0 0,0 0-1,0 1 1,1-3 0,-1 2-1,2 0 1,-1-2 0,-3-3-1,3 5-20,1-1-1,0 2 0,-1-3 0,1 2 1,0-1-1,0 1 0,1-2 0,-1 2 1,0-1-1,1 1 0,-1-1 0,1 1 0,1-1 1,-1 1-1,0 0 0,-1-1 0,1 0 1,1 1-1,-1 0 0,1 0 0,-1 0 1,1 0-1,1 0 0,-1 1 0,3-4 0,-1 0-1,3 0-1,-1 1 1,1 0-1,-2 1 1,2 0-1,0 0 1,14-5-1,13 2 0,0 1-1,1 2 1,62 3-1,-89 0 2,81 7-34,-69-3-168,1-2-1,1-1 1,-3 0-1,2-2 1,35-5 0,-55 6 171,8-2-524,3 0 1,-2-1 0,-1 0-1,0-1 1,17-8 0,-14 3-394</inkml:trace>
  <inkml:trace contextRef="#ctx0" brushRef="#br0" timeOffset="1878.49">1126 3715 9090,'5'10'336,"7"-3"-16,5-2-72,0-6-16,7-4 8,4-8-32,-3-3-64,7-7-72,1 0-40,-2-1-8,10-1 0,3 1-112,1-1-208,2 0-120,-12-1 152</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11-20T15:23:30.350"/>
    </inkml:context>
    <inkml:brush xml:id="br0">
      <inkml:brushProperty name="width" value="0.035" units="cm"/>
      <inkml:brushProperty name="height" value="0.035" units="cm"/>
    </inkml:brush>
  </inkml:definitions>
  <inkml:trace contextRef="#ctx0" brushRef="#br0">9 1326 9546,'-4'19'65,"1"0"0,2 1 1,0-1-1,3 33 0,0-6-39,-4 206 62,4 137 382,25-53-2251,-25-311 1364</inkml:trace>
  <inkml:trace contextRef="#ctx0" brushRef="#br0" timeOffset="1070.26">440 2276 5409,'-3'21'1355,"1"-16"-1124,1-1 0,0 1 0,0 1 0,1 0 0,0 8 0,1-5-192,0 0 0,2 1 0,-1-2 0,-1 2 0,1-1 0,0 0 0,2-1 0,-1 0 0,3 1 0,-3-1 0,2 0 0,0 0 0,0-1 0,0 0 0,2 1 0,-1-2 0,1 0 0,14 12 0,-16-15-38,1 2 1,1-1-1,-2-2 0,1 1 0,0-1 1,-1 0-1,3 0 0,-3 0 0,2-1 1,-1 0-1,1 1 0,8-1 0,-11-1 4,1 0 0,-1-1-1,-1 1 1,1-2 0,0 1 0,-2 0-1,2 0 1,0-1 0,-2 1-1,2-1 1,0 1 0,-1-1-1,1 0 1,-1 0 0,-1-1-1,2 0 1,-1 0 0,-1 0-1,1 0 1,-1 0 0,1 1 0,2-8-1,7-20 307,1 0 0,-2-1-1,-1 0 1,9-46 0,-5 18-116,-6 30-139,-2 3-31,1 0 1,1 0 0,22-46-1,-30 71-24,0 0 0,0 0 0,1 0 0,-1 1 0,1-1 0,-1 0 0,0 0 0,1 1 0,-1-1 0,1 0 0,0 1 0,2-2 0,-2 2 0,-1 0 0,0 0-1,0 0 1,0 0 0,1 0 0,-1 0-1,0 0 1,0 0 0,0 0 0,1 0-1,-1 0 1,0 0 0,0 1 0,0-1-1,1 0 1,-1 0 0,0 0 0,0 0-1,0 0 1,0 0 0,1 1 0,-1-1-1,0 0 1,0 0 0,0 0 0,0 0-1,0 1 1,0-1 0,0 0 0,1 0-1,-1 0 1,0 1 0,0-1-1,0 0 1,4 27 40,-4-23-41,6 48 14,3 0 0,2 1 1,15 50-1,-3-22-7,-10-34-12,21 91-58,-28-104 30,-2 1-1,3 36 1,-7-40-60,0 0-1,-7 34 0,5-49 79,0-1 0,0 0-1,-2 1 1,-2-2 0,0 0 0,-6 15-1,9-22 23,-1-2 0,1 0 0,-1 0-1,-1 1 1,1-1 0,-2-1 0,2 0 0,-1 0-1,0 1 1,-1-1 0,3-1 0,-3 0 0,0 0-1,0-1 1,1 3 0,-2-4 0,0 1-1,-9 1 1,10-2-3,2-1 0,0 1 1,-1-1-1,0 0 0,0 0 0,2-1 0,-2 1 0,-1-1 0,2 0 0,0 0 1,-2-1-1,2 0 0,-1 2 0,1-4 0,0 1 0,0 1 0,0-1 0,0 1 0,-1-1 1,2 0-1,-1-2 0,1 2 0,-1-1 0,1 1 0,-3-7 0,3 3 4,-1 1-1,1 0 1,1-1-1,-1 1 1,1 0 0,1-2-1,0 2 1,0 0-1,-2-14 1,3 9 6,0 1 0,2-1 0,-1 1 0,1-2 1,4-16-1,3 1 0,1 0 0,2 0-1,26-42 1,-6 19-14,46-54 0,-46 62 3,53-87 1,-20-2 3,-21 37-5,-43 93-1,-1 1-1,0 0 0,0-1 0,0 1 0,0-1 1,1 1-1,-1 0 0,0-1 0,1 1 0,-1-1 1,0 1-1,0 0 0,1 0 0,-1-1 1,1 1-1,-1 0 0,0 0 0,1-1 0,-1 1 1,1 0-1,-1 0 0,1-1 0,-1 2 1,1-1-1,-1 0 1,0 0-1,1 0 1,-1 0-1,0 1 1,0-1-1,1 0 1,-1 0 0,0 1-1,0-1 1,2 0-1,-2 0 1,0 1-1,0-1 1,1 0-1,-1 1 1,0-1-1,0 0 1,0 1-1,0-1 1,5 26 26,-4-22-23,6 33 28,1-1 0,1-1 0,4-1-1,0 0 1,24 49 0,-35-80-30,1 0-1,-3 1 1,2-2 0,1 1-1,-1 1 1,-1-3-1,2 1 1,-1 1 0,2-1-1,-1 0 1,-1 1 0,1-2-1,0 1 1,-1 0 0,8 1-1,-8-3 4,1 1-1,-1-1 1,1 0-1,0 0 1,-1 0-1,1 0 1,-1 0-1,1 0 1,0-1-1,0 1 1,-1-1-1,0 1 1,0-2-1,1 1 1,-1 0-1,1 0 1,-1 0-1,0-1 1,0 0-1,-1 0 1,3-2-1,2 0 25,-2 0 0,-1-1 0,0-1 0,0 1-1,2 0 1,-2 0 0,0-1 0,-1 0 0,4-10 0,1-7 68,6-29 0,-7 19-13,1 8 1,-3 5-10,-1-1-1,1 1 0,2-38 0,-5 51-68,-2 1 0,1 0-1,-1-2 1,0 2 0,-1 0-1,0 0 1,0-1 0,0 2-1,1 0 1,-1-1 0,1 0 0,-4 0-1,2 1 1,0 1 0,-1-3-1,-8-6 1,7 7 1,0 1-1,-2 1 1,1-1-1,-1 1 1,2-1-1,-1 2 1,-2-1-1,2 2 1,-1 0 0,0-1-1,-14-3 1,20 6-6,0 0 0,-2 0 0,1 0 0,0 1 0,1-1 1,-1 0-1,0 2 0,1-1 0,-1-1 0,-1 1 0,2 0 0,0 0 1,0 1-1,-1-2 0,1 1 0,-1 0 0,1 0 0,0 1 1,0-1-1,0 0 0,-1 1 0,1-1 0,-1 1 0,2-1 0,-1 2 1,0-1-1,0 1 0,-2 3-2,2 1 0,-1 0-1,0-1 1,0 1 0,-1 14 0,3-13 0,0 0 1,0-1-1,2 1 1,-2 0-1,4 11 1,-3-16 1,-1 1 1,2-1-1,-1 1 1,-1-1-1,1 0 1,1 0-1,0 1 0,1-2 1,-1 1-1,0 1 1,0-2-1,0 1 1,1-1-1,1 3 1,-1-4 4,-1 0 1,-1-1 0,1 1-1,0 0 1,-1-1 0,1 0-1,0 1 1,1-1-1,-2 0 1,0 0 0,1 0-1,0 0 1,0 0 0,0 0-1,-1-1 1,1 1 0,3-2-1,30-12 77,-27 8-69,28-11-53,-2-2 0,-2-1 0,1-1-1,-2-2 1,1-2 0,28-32 0,-25 20-838,-2 0-1,50-78 1,-53 66 250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11-20T15:22:28.043"/>
    </inkml:context>
    <inkml:brush xml:id="br0">
      <inkml:brushProperty name="width" value="0.035" units="cm"/>
      <inkml:brushProperty name="height" value="0.035" units="cm"/>
    </inkml:brush>
  </inkml:definitions>
  <inkml:trace contextRef="#ctx0" brushRef="#br0">3657 3 6289,'-5'2'42,"-34"12"167,34-13-164,3 0 1,-2-1-1,0 0 0,1 1 1,-2-2-1,3 1 0,-1 0 1,0-1-1,-2 1 0,-2-2 1,-6-2 290,-2-1 0,4 2 0,-3 1 0,2 0 0,-2 1 0,-27 1 1,31 1-286,2 0 1,-1 1 0,1 0 0,-1 0 0,1 1 0,-2 1 0,3 0 0,-1-1 0,0 2 0,1-1 0,-14 11 0,-1 5-24,-26 33-1,5-7-14,36-39-4,1 1-1,-1-1 1,1 1-1,1 1 1,0-1-1,1 1 0,-1 0 1,1 0-1,0 0 1,2 0-1,-2 1 0,-3 18 1,-43 173 25,26-116 122,-15 122-1,35-176-105,1 3-1,2-2 0,1 1 1,0-2-1,3 1 0,1 1 1,1-1-1,17 59 0,-13-62-18,66 184 96,-64-188-122,0 0 1,1-1 0,16 26 0,-19-39-9,-1 1 1,2-1 0,1 0-1,-2-1 1,3-1-1,-3 1 1,18 11 0,-21-18-30,0 1-1,0-1 1,0-1 0,1 0 0,-2 0 0,2 0 0,-1-1-1,0 2 1,1-2 0,0-1 0,-1 1 0,1-1 0,0 0-1,0-1 1,-1 0 0,0 0 0,7-3 0,-3 1-118,-1 0 0,0 0 0,0-3 0,0 2 0,0-2 0,0 1 0,-2 0 0,2-2 0,-3-1 0,12-10 0,18-28-1149,1-6 468</inkml:trace>
  <inkml:trace contextRef="#ctx0" brushRef="#br0" timeOffset="1900.23">4333 1005 6793,'-12'-11'394,"1"4"-171,2 1 1,-3-1 0,3 1-1,-3 2 1,0-2-1,1 3 1,-1-1 0,-16-2-1,21 4-190,-3 1 0,1 1 0,0 0 0,0 0 0,0 1 0,-1 0 0,1 0-1,1 1 1,-1 0 0,2 2 0,-19 5 0,0 4-37,0 2-1,-39 31 1,57-40 0,1 0 0,-1 1 1,0 0-1,2 1 0,-1 0 1,0 0-1,2 0 0,0 0 1,-1 2-1,2-2 0,-7 18 1,9-17 1,0-1 0,1 0 0,1 1 1,0-1-1,0 0 0,0 1 0,0-1 1,0 0-1,3 9 0,4 9-4,11 37 0,-15-53 3,0-1 0,0 0-1,3 0 1,-2 1-1,1-2 1,7 9 0,-8-12-2,0-1 1,1 0-1,-2 0 0,2-1 1,-1 2-1,1-2 1,-1 0-1,0 0 0,1-1 1,1 0-1,9 4 1,-8-4 8,0 2 1,0-3-1,0 1 1,1-1-1,-2 0 1,1-1-1,0 0 1,-1 0-1,2 0 1,-1-1-1,0 0 1,0 0-1,0-1 1,0 1-1,-1-3 1,2 2-1,-3 0 1,9-6-1,2-2 4,0-2 1,-3 0-1,0-1 1,0-1-1,-1 1 1,0-1-1,-1-1 0,1-1 1,14-33-1,-15 30 5,-3 1-1,-1-2 0,0 0 1,-1 0-1,-1 0 1,-1 0-1,-1-1 0,-1 1 1,-1-23-1,-2 29 13,-1 12 11,0 7-9,1 5-9,1 1 1,0-2-1,0 0 1,1 0-1,0 2 0,0-1 1,1-1-1,0 0 0,1 0 1,0 0-1,0 0 0,1 0 1,0 0-1,1-1 0,6 12 1,11 7 4,-1-1 0,48 47 0,-66-70-26,18 17 4,1-1 0,0 0 0,0-3 0,2 0 0,1 0 0,-1-2-1,2-2 1,33 13 0,-51-23-1,-2 0-1,2-1 0,-1 0 1,1 0-1,-1 1 1,1-2-1,-1 0 0,1-2 1,-1 2-1,0-2 0,0 1 1,0-1-1,-1 0 1,2 0-1,13-8 0,-9 3 12,0 0-1,-1-2 0,1 0 0,-3 0 1,3-2-1,-2 1 0,13-16 0,-9 6 15,0 0-1,-1-1 1,-1 0-1,17-42 1,25-97 298,-52 149-285,14-46 105,-3-1-1,-3 0 1,-1 1-1,-3-4 0,-3 4 1,-3-4-1,0 2 1,-4 1-1,-12-60 1,14 103-133,-1 2 0,-1-1 0,-7-18 0,8 27-8,1-2 0,-2 2 0,1 0-1,-1-2 1,1 3 0,-1-2 0,0 2 0,-1-1-1,-5-4 1,8 8-8,0-1 0,1 1 0,0 0 0,0 0 0,-1 0 0,1 0 0,-1 1-1,0 0 1,1 0 0,-1-1 0,-1 1 0,1 0 0,1-1 0,0 1 0,-1 0 0,1 0-1,0 0 1,-1 1 0,-4-1 0,3 1-5,0 0 0,1 0 0,-1 0 0,2 1 0,-2 1 0,-1-2 0,1 1 0,1 0 0,-1 0 0,-1 4 0,-4 2-9,0 2 0,-1 0 0,4 1 1,-11 17-1,3 0 0,1 1 0,2-1 0,0 1 0,4 3 1,-1-2-1,-3 43 0,-3 186-97,13-231 116,0 18-10,1 2-1,3 0 0,2 0 0,0-1 1,21 71-1,-2-44-6,55 115 1,-73-173 13,3-1-1,-2-1 1,3 2-1,0-2 0,0 0 1,23 21-1,-27-29-2,-1 0-1,0-2 1,1 1 0,1 1-1,-1-1 1,1-2-1,1 0 1,-3 0-1,4 0 1,-3-1 0,0 1-1,2-1 1,-1-1-1,1 0 1,16 1-1,-20-4 7,-1 1-1,1 0 0,1-1 0,-2 0 0,0 0 0,0 0 0,2-1 1,-2 1-1,1 0 0,-2 0 0,2-1 0,-1-2 0,0 1 0,-1 1 1,0-1-1,1 1 0,-1-1 0,0-1 0,0 1 0,3-6 0,3-9 6,-1 2 1,0-2-1,9-34 0,61-231 17,-68 245-13,-2 15-7,-8 24 0,0 0-1,0 0 0,0-1 0,0 1 0,0 0 1,0 0-1,0 0 0,0 0 0,0-2 1,0 2-1,0 0 0,0 0 0,0 0 0,0-1 1,0 1-1,0 0 0,0 0 0,0 0 0,0 0 1,0 0-1,1 0 0,-1 0 0,0 0 0,0 0 1,0 0-1,0 0 0,0 0 0,1 0 0,-1 0 1,0-2-1,0 2 0,0 0 0,1 0 0,-1 0 1,0 0-1,0 0 0,0 0 0,0 0 1,1 0-1,-1 0 0,0 0 0,0 0 0,0 0 1,1 0-1,-1 0 0,0 0 0,0 0 0,0 2 1,1-2-1,-1 0 0,0 0 0,0 0 0,0 0 1,1 0-1,2 7 22,-3-7-21,11 23 34,-5-1 1,11 34-1,-10-31-34,0-2 0,14 33 0,-7-27 1,1-1 0,0 0 0,26 31 0,-33-51-2,-2 1 0,0-1 0,3-1 0,-2 1 0,3-2 0,-2 2 0,1-3 0,1 1 0,-2-1 0,2 1 0,-2-3 0,3 1 0,10 4 0,-10-6 0,-2 0-1,2-1 1,-2 1-1,1-1 1,-1-1-1,14-1 0,-20-1 1,0 2 0,0-1-1,-1 1 1,2-1-1,-1 0 1,-1 0-1,1 0 1,0-1 0,-1 0-1,2 0 1,-2 1-1,0-1 1,0 0-1,-1 1 1,2-1 0,-1 0-1,0-1 1,1 1-1,-2-1 1,1 1-1,0-2 1,-1 2 0,0-1-1,3-5 1,-2-9 5,1 3 0,-1-2 0,-1-1 0,0 1 0,-4-32 0,-2 11 3,0 1-1,-17-59 0,10 53 2,-8-58 0,19 94-11,1 1 0,0-2 0,0 2 0,0-1 0,2-10 0,-2 15 1,0 0-1,0 0 0,0 0 1,1 0-1,-1 0 1,1 0-1,-1 0 1,0 1-1,1-1 0,0 0 1,-1 0-1,1 0 1,0 0-1,-1 1 1,1-2-1,0 1 0,0 0 1,-1 1-1,2-1 1,-1 1-1,0 0 1,0 0-1,0-1 0,-1 1 1,1 0-1,0-1 1,0 1-1,0 0 1,0 0-1,0 0 0,0-2 1,0 2-1,0 0 1,0 2-1,0-2 1,1 0-1,1 0 0,4 2-1,2 1-1,0 1 1,-1-1-1,1 1 0,-1 1 1,0 0-1,-2 0 1,9 7-1,31 19 11,-33-25-7,2 0 1,-4-1-1,3 0 0,0-1 1,1 0-1,27 3 0,-21-6-3,0-1 0,-1-1 0,-1-1 0,32-7 0,-29 5 0,-8 2-2,-1-1 1,1 0 0,0-1 0,-2 0 0,2-1 0,18-11 0,-30 15 3,-1 1 1,0-1-1,1 0 0,-1 0 1,-1 0-1,1-1 1,0 1-1,1 1 0,-1-3 1,0 2-1,0 0 1,0 0-1,-1-1 0,1 1 1,-1 0-1,0-1 1,1 1-1,-1-1 0,0 1 1,1-1-1,-1 1 1,0-1-1,0 0 0,0 0 1,0 2-1,0-3 1,0 2-1,0-1 0,-1 1 1,1-1-1,-1-1 1,0-2 4,-2-1 0,0 1 0,1 0 0,-1 0 0,-1 1 0,1-1 0,-7-6 0,5 7-3,1 0 0,-2-1 0,2 3 0,-1-2 0,-2 1 0,2 0 0,1 0 0,-1 1 0,-2 0-1,1-1 1,0 2 0,0 0 0,0 0 0,0 1 0,0-1 0,0 1 0,0 0 0,1 0 0,-8 1 0,7 0-2,2 1 1,-2 1-1,1-1 1,-1 0-1,2 1 1,-1-1-1,0 1 1,0 1-1,0-1 1,3 1-1,-3 0 0,2 0 1,-2 0-1,1 1 1,1-2-1,1 3 1,-1-2-1,1 1 1,-2 1-1,2-2 1,-1 2-1,1-1 1,1 0-1,-1 1 1,2 0-1,0-1 1,-2 9-1,1-1 1,1-1 0,0 1-1,1 1 1,0-2 0,0 1 0,0-1 0,2 1-1,0-1 1,1 1 0,2-1 0,4 14-1,0-8-2,-2-1 0,4 0-1,0-2 1,1 1-1,-1-2 1,1 0-1,24 19 1,-16-16-2,0-2 0,1-1 1,1 0-1,0-2 0,25 9 0,-41-18 4,1 1 0,1-3-1,-3 1 1,3-1-1,-2 0 1,1 0-1,0 0 1,1-1-1,-2 0 1,13-2 0,-13 0 7,-1 1 0,-1 0 1,2-1-1,-2-2 0,1 2 1,0-1-1,-1 0 1,1-1-1,0 0 0,-2 1 1,0-2-1,0 1 0,8-10 1,8-12 114,-2-3-1,22-41 1,-9 12-36,3-4 67,-3-1 0,23-76 0,-53 138-148,10-29 50,2 0 0,24-39 0,-26 54-44,-2 0-1,4-2 1,-2 3-1,2 0 1,21-17 0,-27 25-7,-1 0 0,2 2 0,0 0 1,-2 0-1,3 0 0,-1 1 0,15-5 0,-19 7 1,-1 0 0,1 0-1,1 0 1,-1 1-1,1 0 1,-2 0 0,3 0-1,-2 0 1,1 0-1,0 1 1,-1 0-1,0 0 1,1 1 0,0-1-1,-1 1 1,6 4-1,-6-1 4,0-1-1,-1-1 0,1 2 0,0 0 0,-1 1 0,-1-1 0,1-1 0,0 1 1,-1 1-1,3 6 0,6 13 6,-4-12-2,11 19-66,-4-2 0,20 56 0,-31-76 19,0 2 0,-1-1 0,0 0 0,0 0-1,-1 1 1,-1 0 0,0-1 0,0 0 0,-1 1-1,-1-1 1,0 1 0,-5 15 0,-3-2 20,-2 0 1,1-2-1,-1 1 0,-3-2 1,-19 26-1,30-41 24,-1 1 0,-2-2 0,3 0 0,-1 0 0,-2 0 0,1 0 0,-1-1 0,0 0 0,0-1 0,0 1 0,-1-2 0,-1 2 0,3-2 0,-2 0 0,1 0 1,0-1-1,-16 3 0,13-5 29,-1 0 1,-1 0-1,2 0 1,-1-1-1,0 0 1,0-2-1,1 0 1,-1 0 0,2 0-1,-19-10 1,20 9-23,0-1 1,0 0-1,1-1 1,0 1-1,0-1 1,-1 0-1,4-2 1,-3 1-1,2 0 1,-1 0-1,2-1 1,-1 0 0,-5-11-1,4 3-13,-1 1 0,-7-32 1,13 41-4,0-2 0,0 2 0,0-1 0,1 0 0,0 0 0,0 0 0,0 0 0,1-1 0,2-10 0,-3 15 0,1 2 0,0-1 0,1 0 0,-1 0 0,0 1 0,0-1-1,0 1 1,0-1 0,0 1 0,1 0 0,-1 0 0,1-1 0,-1 1 0,1 0 0,-1 0 0,2-1 0,-3 1-1,2 1 1,0 0 0,0-1 0,-1 1 0,1-2 0,0 2 0,0 0 0,0 0 0,2-1 0,4 1-3,1 0 1,-1 1 0,1 1-1,10 0 1,-17 0 3,81 16-285,-43-7-590,3-3-1,46 4 1,-51-11 280</inkml:trace>
  <inkml:trace contextRef="#ctx0" brushRef="#br0" timeOffset="11183.82">13 6032 3617,'0'5'433,"-1"0"0,0 2 0,1-2 0,-4 7 0,2-6-308,1-1 1,0-1-1,0 1 1,0 1-1,0 7 1,5 22 14,3 1 0,-1-3 1,2 3-1,14 35 1,6 27-82,-21-71-51,14 63 13,-20-78-9,1-1 0,-1 1 0,-1 0 0,0 0-1,-2 20 1,1-27 33,0 2 0,0-2 0,0 1-1,-4 9 1,5-15-36,0 1-1,0-1 0,-1 0 1,1 0-1,0 0 0,0 0 0,-2 0 1,2 1-1,0-1 0,0 0 1,-1 0-1,1 0 0,0 0 1,0 0-1,-1 0 0,1 0 1,0 0-1,0 0 0,-1 0 1,1 0-1,0 0 0,-1 0 0,1 0 1,0 0-1,0 0 0,-1 0 1,1 0-1,0-1 0,0 1 1,-1 0-1,1 0 0,0 0 1,0 0-1,0 0 0,-1-1 1,1 1-1,0 0 0,0 0 0,0 0 1,-1-1-1,1 1 0,0 0 1,0 0-1,0-1 0,0 1 1,0 0-1,0 0 0,0-2 1,-1 2-1,1-1 0,-8-12 124,3-11-4,-1-1 0,-5-40 0,7 28-58,-5-16-41,5-1 1,1-1-1,5-82 0,1 95-27,4 0 0,19-77 0,-23 112-5,0-1 1,0 1-1,1 0 1,0 1 0,0-2-1,1 2 1,-1 0 0,1 0-1,1-1 1,-2 3 0,0-2-1,2 2 1,1-2 0,0 2-1,-1 0 1,1 0-1,0 0 1,0 1 0,-1-1-1,2 1 1,-2 1 0,1 0-1,1 1 1,-1 0 0,2 0-1,-2-1 1,1 2 0,0 0-1,13 2 1,-18-1-2,-1-1 1,0 0 0,0 0-1,0 1 1,-1-1-1,1 0 1,-1 1 0,1 0-1,1 0 1,-1 0 0,0 0-1,0 0 1,-1 0-1,0 0 1,0 1 0,1 0-1,-1-1 1,0 1-1,0 0 1,0-1 0,1 1-1,0 1 1,-1-2-1,0 0 1,-1 1 0,1 0-1,0 0 1,-1 0-1,1 1 1,-1-1 0,1 0-1,-1-1 1,0 1-1,0 0 1,0 1 0,0 2-1,-2 5-72,1 0 1,-2 0-1,1-1 0,-2 0 0,2 1 1,-7 12-1,-1-2 9,3-3 1,-4 2 0,-12 15 0,18-27 82,0-1 0,0-1 0,-2 3 0,2-3 0,-1 0 0,-1 0 0,2-2 0,-1 3 1,-2-2-1,-12 6 0,9-7 143,18-2-50,12 2-113,72 10 25,-58-10-17,1 1-1,33 12 1,-58-14-8,-3 1 0,4 0 0,-4 0 1,1 3-1,2-2 0,-2 0 0,0 1 1,10 10-1,-12-11-1,-1 0-1,0 0 1,1 2-1,-2-1 1,0 0 0,0 0-1,-1-1 1,2 4-1,-2-3 1,0 1 0,0-2-1,0 4 1,0 4-1,-1-4 6,0 2-1,-1-2 1,1 2-1,-2-2 0,1 0 1,-1 2-1,0-2 1,0 1-1,-1 0 0,-4 9 1,1-6 5,0-1 0,1 0 0,-3 0 0,1 0 0,-1-2 0,-16 19 0,12-17 2,-1 1 0,0-2 0,1 1 0,-3-2 1,1 1-1,-2-1 0,0-1 0,4 0 0,-5-1 1,1-2-1,-18 6 0,27-9 12,-2-1-1,2 0 1,-3 0 0,2-1-1,0 0 1,0 0 0,0-1-1,-14-2 1,19 2-17,0 1 0,-1-1 0,2 0 0,-2-1 0,1 1 0,-2-1 0,2 1-1,1 0 1,-2-1 0,1 0 0,0 1 0,0-1 0,1 1 0,-2-2 0,1 1 0,1 0 0,-1 0 0,1-2 0,-1 2 0,1 0 0,0-2 0,0 2 0,0 0 0,0-1 0,-1-6 0,2-5-6,-2-1 1,4 1 0,-2 1-1,2-1 1,0-1 0,1 0-1,0 2 1,1-1 0,6-15-1,-5 17 2,3-2-1,-2 2 0,2 0 0,18-22 0,-6 8-5,-17 23 5,0-1 0,0 1 0,-2 0 0,2 1 0,0-1 0,0 1 0,1 0 0,-1-1 0,0 2 0,-1-1 0,2-1 0,0 1 0,0 0 0,5 0 0,-3 1-2,0 1 1,0-1 0,0 1-1,0 0 1,0 0-1,1 1 1,-3 0 0,11 1-1,4 7 2,0-2 0,-2 1-1,0 1 1,29 19-1,-15-7 15,-15-10 1,30 17 0,-38-25-10,-3 0 0,1-1 0,2 1 1,-1-1-1,1 0 0,-1-1 1,1 0-1,7 0 0,-8-1 3,-3-1 0,1 1 0,2-1 1,-2 0-1,0 0 0,2 0 0,-2-1 0,0-1 0,1 1 0,-1 0 0,10-6 0,-14 7-2,0-1 0,0 1 0,1 0 0,-1 0 0,0 0 0,0-1 0,-1 1 0,1 0 0,1-2 0,-1 2-1,-1-1 1,2-2 0,2-23 139,-1 16-49,-1 1-28,3-4-28,-2-2 1,0-1 0,0-21 0,-3 38-45,1 0 7,-1 1 0,1-1 1,-1 1-1,1-1 0,-1 1 0,0 0 0,1-1 1,-1 1-1,0 0 0,1 0 0,-1-1 0,0 1 1,1 0-1,-1 0 0,0-1 0,0 1 0,0 0 1,0 0-1,0 0 0,2 2 3,0 12 9,2 1 1,0-2-1,1 1 1,8 18 0,-11-29-13,0 1 1,0-1-1,0-1 0,1 1 1,-2-1-1,2 1 1,0-1-1,0 1 1,1-1-1,-1 0 1,0-1-1,0 1 0,1-1 1,0-1-1,0 2 1,0-1-1,0 0 1,1-1-1,5 3 1,4-1-3,2-1 0,32 1 0,-41-3 5,1-1-1,-2 0 0,1 0 1,0 0-1,-1-1 1,1 0-1,0 0 0,-1-2 1,8-2-1,-12 5 2,0 0-1,0-1 1,0 1 0,-1-1-1,0 1 1,0-1 0,0 0-1,0 0 1,1-1-1,-1 2 1,0-1 0,0 0-1,0 0 1,-1 0-1,1-1 1,0 1 0,-1 0-1,0 0 1,1-3-1,1-6 12,-2 0-1,-2-20 1,2 25-11,-2-8 8,0-1-1,-6-19 1,6 21 22,-2 1 0,2-1 0,-2-22 0,4 35-34,0-2 0,0 2 0,0-2 0,0 2 0,0-1 0,0 0 0,0 1 0,0-1 0,1 1-1,-1 0 1,0 0 0,0-1 0,0 1 0,1-1 0,-1 1 0,0-1 0,1 0 0,-1 1 0,0 0-1,1 0 1,-1 0 0,0 0-1,0 0 1,1 0 0,-1 0-1,0 0 1,0 0 0,0 0-1,1 0 1,-1 0 0,0 0-1,0 0 1,2 0 0,-2 0-1,0 1 1,0-1-1,0 0 1,1 0 0,-1 0-1,0 0 1,0 0 0,0 1-1,0-1 1,1 0 0,-1 0-1,11 19 3,-8-15 14,50 63 92,-6-4-76,-42-57-32,0 0 0,-1-1 0,0 0 0,3 1 0,-2-1 0,1-1 0,0 0 0,0 0 0,1 0 0,-1 0 0,9 3 0,-12-6 1,1 0-1,-2 0 1,3 0 0,-2 0 0,1-1-1,0 1 1,1-1 0,-2 0 0,1 0-1,-2 0 1,2-1 0,1 1 0,-1-1-1,-1 0 1,0 0 0,1 0 0,0-1-1,-1 1 1,1-1 0,-2 0 0,1 0-1,7-5 1,1-4 8,0-3-1,0 3 1,-3-3-1,3 2 1,-4-3 0,2 2-1,-3-2 1,12-27-1,-14 35-3,-2-1-1,0-2 0,0 2 1,-1-1-1,0-1 0,0 1 1,-1-1-1,0 2 0,0-1 1,-1-1-1,-3-15 0,0 9 2,-1 1-1,-1-1 0,0 1 0,-1-1 0,-13-21 0,5 9-5,13 21-5,-1 1 1,1-2 0,-3 2 0,1 1 0,0-2 0,-1 2 0,0 0 0,1-1 0,-11-8 0,14 14 2,1-1 0,-1 1 0,0 0 0,1 0 0,0 0 1,0-1-1,-1 1 0,1 0 0,-1 0 0,0 0 0,1 0 0,-1 0 1,1 0-1,-1 0 0,1 0 0,-1 0 0,0 0 0,1 0 0,-1 1 1,1-1-1,0 0 0,0 0 0,-2 1 0,1-1 0,1 0 0,0 0 1,-1 1-1,1-1 0,-1 1 0,1-1 0,-1 0 0,1 1 0,0-1 1,-1 1-1,0 0 0,-9 21-16,10-21 17,-5 11 3,2 0 0,-1 1 0,1-1 0,1 2-1,0-1 1,1 1 0,0-1 0,1-1 0,0 2 0,1-2-1,2 2 1,-2-2 0,2 2 0,0-1 0,-1-1-1,3 1 1,0-1 0,0 0 0,0 0 0,2 0 0,10 14-1,0-3-4,1 0 0,1-3 1,35 35-1,-40-45 2,0 0 0,-2 1 1,2-2-1,1 0 0,-1-2 0,3-1 1,21 10-1,-33-14 1,0-1 0,0 0-1,1-1 1,-1 1 0,-1-1 0,2 0 0,-1 0-1,0 0 1,0-1 0,0 0 0,1 0 0,-1 0-1,0-1 1,0 0 0,0 0 0,0 0 0,9-7-1,-7 5 5,0-1-1,-2-1 1,0 0-1,2 0 0,-1 0 1,-3-1-1,3-1 0,-2 2 1,1-1-1,5-16 0,-3 7 39,0-1-1,-2 0 1,0 0-1,-1-1 1,1 1-1,-3-1 0,0 0 1,-1-1-1,0 3 1,-1-3-1,-1 1 1,-1 0-1,-6-29 0,7 42-17,-1 1-1,0 0 1,0 0-1,-1-2 0,2 2 1,-2 1-1,-1-1 1,1 0-1,0 1 0,0-2 1,-1 2-1,3 0 1,-4 0-1,1 0 0,0 1 1,0 0-1,-1-1 1,3 0-1,-2 1 0,-1 1 1,-6-3-1,7 3-18,1 1 0,-2 0 1,2-2-1,-1 2 0,1 0 0,-1 0 0,0 0 0,1 0 1,-1 2-1,1-2 0,-2 0 0,3 1 0,-2 0 0,1 0 0,-1 0 1,0 1-1,1-1 0,1 2 0,-1-1 0,0 0 0,1 0 1,-2 0-1,2 1 0,-1 0 0,1-1 0,0 0 0,0 1 0,-4 6 1,3 0-7,0-3 1,0 2 0,0 0 0,1-1 0,0 2 0,0-1 0,1-1-1,0 2 1,1-1 0,-1 0 0,2 1 0,-1-1 0,3 15 0,4 5-2,0 3 0,17 39 1,-17-48 2,47 109 0,-44-113-3,-2 1 0,4-1 0,-1 0 0,21 23 0,-28-38 0,-1 1 0,-1-1 0,1 0 0,0 0 0,0-1 0,1 1 0,-1-1 0,5 1 0,-5-2 0,-1-1 0,0 2 0,-1-2 0,1 0 0,0 0 0,0 0 0,-1 0 0,1 0 0,-1 0 0,1-2 0,0 2 0,0 0 0,-1-1 0,1 1 0,0 0 0,-1-1 0,1 0 0,-1 0 0,1 1 0,-1-1 0,2 0 0,-1-2 0,5-5-11,2 0 0,-3 0 0,0 1 0,11-18 0,8-17 7</inkml:trace>
  <inkml:trace contextRef="#ctx0" brushRef="#br0" timeOffset="14120.22">7110 6740 7794,'-2'2'17,"1"2"0,0 0 0,0 0 1,1 1-1,-1-1 0,1-1 1,0 1-1,0 0 0,0 0 0,1 1 1,-1 0-1,1-2 0,0 1 1,0-1-1,0 1 0,1 2 0,-1-3 1,2 0-1,-2 0 0,3 4 0,-3-4 30,0-2-1,0 3 0,0-2 1,1 0-1,0-1 0,-1 0 1,2 1-1,-1-1 0,0 1 1,0-1-1,-1 0 0,1 0 1,-1 1-1,1-2 0,-1 1 1,2 0-1,0 0 0,-1-1 1,0 1-1,1-1 0,-2 1 1,1-1-1,2 0 0,-2 0 1,0 0-1,1-1 0,-1 1 1,0 0-1,1-1 0,0 1 1,-2-1-1,1 0 0,0 0 1,5-2-1,-4 0-6,2 1 0,-3-1 1,1 1-1,0-1 0,0-2 0,1 2 0,-3-1 0,2 1 1,-1-1-1,-1 1 0,1-3 0,0 3 0,0-1 0,-1 0 0,2 0 1,-1-6-1,1-10 9,0 1 0,1-27 1,-3 32-19,5-31-1,-1-5-6,-1-62-1,-4 96-18,-1 2 0,-1-1 0,0 0 1,-1 0-1,-1 0 0,0 1 0,-1 0 0,-10-22 1,12 30 0,-1-2 0,1 4 1,-3-2-1,2 1 1,0-1-1,-2 1 1,0 1-1,1 0 1,-10-7-1,11 7 13,-2 2 0,3 0 0,-2 0 0,1 0 1,-1 0-1,1 1 0,0-1 0,-2 1 0,1 0 0,1 1 0,0-1 0,-2 1 1,-10 1-1,15-1-16,1 0-1,-2 1 1,1-1 0,0 1 0,0-1 0,0 1 0,-1 0 0,1-1 0,0 1-1,0 0 1,0 0 0,0 0 0,0 0 0,1 0 0,-2 0 0,1 0 0,0 0-1,1 0 1,-1 0 0,0-1 0,1 1 0,-1 2 0,1-2 0,0 1 0,-1 1-1,0 4-2,0 0-1,0 1 0,0 9 1,1-4 2,-2 27-1,2 0-1,2 1 0,2-2 0,12 59 0,0-28-4,40 110-1,-42-140 5,15 33 7,-29-72-5,0 0 0,1 0-1,-1-1 1,0 1 0,1 0 0,-1-1-1,0 1 1,0 0 0,0-1 0,1 1-1,-1 0 1,1-1 0,0 2 0,-1-2-1,1 1 1,-1-1 0,1 0 0,0 1-1,-1-1 1,3 2 0,-3-2 2,0 0 0,1-2 0,-1 2 0,2 0 0,-2 0 0,1-1 0,-1 1 0,0 0 0,1-1 0,-1 1 1,0 0-1,0-2 0,0 2 0,0 0 0,1-1 0,-1 1 0,0-1 0,0 1 0,0-1 0,1 1 0,-1-1 0,0 1 0,0-1 0,2-6 37,-1 2 0,0-4 0,0-4-1,0-10 9,1 0 0,1 1 0,11-40 0,-13 56-39,1 0-1,1 2 0,0-4 0,0 3 0,0-1 0,1 2 0,0-2 0,-1 0 1,1 1-1,1 1 0,0 0 0,0-1 0,-1 0 0,0 2 0,2-1 0,-1 1 0,11-5 1,-10 6-10,1 0 0,-1-1 0,1 1 0,-1 1 0,0 0 0,2 1 0,-4-1 1,2 1-1,2 1 0,-1-1 0,-2 1 0,3 0 0,6 4 0,10 3 2,-2-1-1,29 16 0,-28-12 0,7 3-1,-4-1 8,-2-2 0,47 13 0,-58-21-4,1 0 0,1-1 0,0-1 0,-2 0 0,2-1 0,-1 0 0,0-1 0,-1-1 0,15-3 0,-27 4 9,0 1 0,0-1 0,0 1 0,0-1 1,0 1-1,-1-1 0,1 1 0,0-1 0,0 0 0,-1 1 0,1-1 0,0 1 0,-1-1 0,1 1 0,-1-1 0,0 0 0,0 0 0,1-1 1,-1 1-1,0 0 0,1-1 0,-1 1 0,0 0 0,0 0 0,0 0 0,1 0 0,-1 0 0,0 0 0,-1 0 0,1 0 0,0 0 0,0 0 0,0 1 1,0-1-1,-1 0 0,0-1 0,0-7 52,-2 2 0,0 0 0,-7-11-1,9 15-75,-5-9 19,1 0-1,-3 1 1,-8-12-1,14 20-5,0 0 0,0 0-1,-1 1 1,0 0 0,1 0-1,-1 0 1,1 1 0,-1-1-1,0-1 1,0 2 0,-1 0-1,2-1 1,-2 1 0,1 0-1,0 1 1,-1-2 0,-3 1-1,5 1-1,1 0 0,-1 0 0,1 0 0,-2 0-1,2 0 1,-1 1 0,1-1 0,-1 0 0,1 2-1,0-2 1,-1 1 0,1 0 0,0-1 0,0 1-1,0 0 1,0 0 0,-1 0 0,1 0-1,0 1 1,0-1 0,0 0 0,0-1 0,0 1-1,0 0 1,0 1 0,0-1 0,1 0 0,-1 1-1,0 1 1,0 1-3,1-1 0,-1 1 0,1-2-1,0 0 1,0 1 0,0 0 0,0-1-1,1 1 1,-1 1 0,1 0 0,-1-2-1,1 0 1,0 1 0,2 3 0,7 13-7,0 0 1,2-2 0,15 21 0,-19-29 6,0 1 1,0-2 0,1 2-1,-1-4 1,0 1-1,2 0 1,11 7 0,-20-13 1,2 0-1,1 1 1,-1-1 0,0 0 0,0-1 0,0 1 0,1 0 0,-2-1 0,1 0 0,0 1-1,0-1 1,0-1 0,1 1 0,-1 0 0,-1-1 0,1 1 0,0-1 0,-1 0-1,2 0 1,-1 0 0,3-3 0,-2 2 1,0 0-1,0-1 1,-1-2-1,1 1 1,-2 1-1,2-1 1,-1 1 0,0 0-1,-1-1 1,1-2-1,-1 2 1,1 0-1,0-8 1,0 4 6,-1 1 0,-1-1 0,1 0 0,-1 0 0,0 2 0,-1-4 1,0 2-1,-2-11 0,2 16-7,0 1 0,0 0 0,0 1 0,1-2 0,-1 0 0,0 1 0,1-1 0,-1 0 0,1 1 1,2-3-1,-3 5 0,1-1 0,-1 1 0,0-1 0,1 1 0,-1-1 0,1 1 0,-1 0 0,1 0 0,-1 0 0,1-1 0,-1 1 1,0 0-1,0-1 0,1 1 0,0 0 0,-1 0 0,0-1 0,0 1 0,1 0 0,0 0 0,-1 0 0,1 0 0,0 0 0,-1 0 1,1 0-1,-1 0 0,1 0 0,0 0 0,-1 0 0,2 0 0,-1 1 0,-1-1 0,1 0 0,-1 0 0,1 1 0,-1-1 0,1 0 0,0 1 1,-1-1-1,1 0 0,7 6-1,2 1 1,-2 2 0,0-2 0,-1 1 0,0 2 0,6 9-1,-2-6 3,19 24-1,-15-26 0,-1 2 1,-1-3 0,2 1-1,1-1 1,18 10 0,-27-17-1,-1-1 0,0 1 0,1-1 1,0 0-1,-1 0 0,1-1 0,0 0 1,1 0-1,-4-1 0,3 1 0,1-2 1,-3 1-1,3-1 0,-1 0 0,-1 0 0,15-4 1,-18 3 0,1-1 1,0 2 0,-1-2-1,2 1 1,-1-3 0,-2 2-1,1 0 1,0-1 0,0 1-1,0 0 1,0 0 0,0-3 0,-2 2-1,1 0 1,0 0 0,1 1-1,-2-4 1,0 3 0,0 0-1,1-4 1,2-14 10,-1 0 1,-1 1-1,-1-26 0,-1 32-8,-1-20 10,0 2 0,-8-38 0,-16-64 36,14 78-22,1-8-6,4 16-22,4 39-10,-2 12 5,-2 15-7,6-16 7,-15 46-21,1 0 0,6 1 0,-2 0 0,4 1 0,1 61 0,8-2-124,3-1 0,39 181 0,-29-223 147,3 0 1,1 0 0,3 0 0,4-2-1,48 85 1,-67-135 10,-1 1-1,2-1 1,20 23-1,-24-32-7,-1 0 0,0-2 0,0 2 0,1 0-1,-1-1 1,0 0 0,1 0 0,1-1 0,-3 0 0,1 0 0,3-1 0,-2 1 0,-1-1-1,0 1 1,8-1 0,-11-1-2,1 0 0,-1 0-1,2 0 1,-2 0 0,0 0 0,0-1-1,1 1 1,-1 0 0,0-1 0,1 1-1,-1-1 1,0 1 0,1-1-1,-1-1 1,0 2 0,0-1 0,1 1-1,0-1 1,-1 0 0,1-2 0,-1 1 0,0-1 0,0 1 0,1-1 0,-1 0 0,0 1 0,-1-1 1,1 1-1,0-1 0,-1 1 0,1-5 0,-1-5 5,0 1 0,0-1 0,-1 2 0,-4-16 0,-2-10 8,-4 2 0,0-1-1,-2 3 1,1 0 0,-4-2 0,-32-48 0,-59-95 6,103 171-21,0 1-1,0-1 1,-1-1-1,1 2 1,-1 1-1,1-1 1,-1 0-1,-1 0 1,1 1-1,-1 0 1,2 1-1,-3-1 1,2 1-1,-1-1 1,-1 2-1,2-1 1,-3 1-1,-10-2 1,-18-2-29,24 3 24,12 2 9,0 1-1,0 0 1,0 0 0,0 0-1,0 0 1,0 0 0,0 0 0,0 0-1,0 0 1,0 0 0,0 0 0,0 0-1,0 0 1,0 0 0,0 0 0,0 0-1,0 0 1,0 0 0,0-2-1,0 2 1,0 0 0,0 0 0,0 0-1,0 0 1,0 0 0,0 0 0,56 4 10,-38-2-7,-1 0 0,-1-1 0,36-6 0,-39 1-1,-1 1-1,3-2 0,-2 1 0,-1-2 1,0-1-1,19-8 0,-2-6 3,38-32 1,-60 45 1,1 2 1,-3 0-1,1-3 1,0 2-1,-1-1 1,-1 2-1,2-4 1,-1 2-1,-1-2 1,2-8 0,-3 11-5,-1 2 1,-1 0-1,1 0 1,-1-1-1,-1 0 1,1 0-1,-1 1 1,0-1-1,0 0 1,0 1-1,-1-1 1,0 2-1,0-2 1,0-1-1,-1 2 1,0 1 0,-1-2-1,-2-7 1,3 10-3,-1 1-1,1-1 1,-1-1 0,-1 0 0,1 2 0,1-1 0,-1 1 0,-1 0 0,1 0 0,-1 0 0,1 2-1,0-2 1,-1 0 0,0 0 0,0 1 0,0 1 0,0-1 0,0 0 0,0 1 0,-6 0 0,6 0-1,2 0 1,0 0-1,0 0 1,-1 1-1,0-1 1,1 1 0,-2 0-1,1-1 1,2 1-1,-1 0 1,0 2-1,-1-2 1,0-1 0,0 2-1,1-1 1,0 1-1,0 0 1,0 0 0,0 0-1,1 0 1,-1 1-1,0-1 1,0 1-1,1 0 1,-1-2 0,1 2-1,0-1 1,0 1-1,-2 5 1,2 0-1,1-1 1,-1 1-1,1 1 0,0-3 1,1 2-1,0 1 0,0-3 0,1 1 1,0 3-1,0-4 0,7 14 1,-1 2-3,3-4 1,19 37-1,-21-44 2,0 2 0,0-3 0,2 3-1,-2-4 1,2 2 0,0-2 0,24 16 0,-29-21 1,3 1 0,-2 0 0,1-2 0,2 1 0,-1-2 0,0 1 0,0-1 0,0 0 0,1-1 0,-1 0 0,0-1 0,-1 0 0,14-1 0,-17 0 0,-1 0 0,1 0 0,1 0 0,-2-1 0,1 1 0,-1-1 0,2 0 0,-3-1 0,1 1 0,1-2 0,-1 1 0,0 0 0,6-5 0,-5 2 0,-1-1 1,0 2-1,0 0 0,0-2 1,-2 0-1,1 1 0,0 1 1,-1-3-1,3-7 1,-2 3 21,-2 2 0,0 0 0,1-1 0,-2 1 0,1-2 0,-2 2 0,1-2 0,-1 2 0,-1-2 0,1 2 0,-1 0 0,0-1 0,-6-10 0,7 19-11,0 0 0,0 0 0,0 0-1,0 1 1,0 0 0,1-1 0,-1 1 0,0-2 0,-1 2 0,2-2 0,-2 2 0,0-1 0,-2 0 0,9 22-12,-2-7 4,-1-1 0,0 16 0,-1-24-4,-1 2 0,0-2 1,-1-1-1,1 1 0,0 0 0,0 0 1,-1 2-1,0-2 0,-1-2 0,2 2 0,-4 4 1,4-8 0,-1 1 1,1-1-1,0 0 0,0 1 1,0-1-1,-1 3 1,1-3-1,0 1 1,0-1-1,-1 0 0,1 1 1,0-1-1,-1 0 1,1 1-1,0-1 1,-1 0-1,1 1 0,-1-1 1,1 0-1,-1 0 1,1 0-1,0 1 0,-1-1 1,1 0-1,-1 0 1,1 0-1,-1 0 1,1 0-1,-1 0 0,1 0 1,-1 0-1,1 0 1,-1 0-1,1 0 1,-1 0-1,1 0 0,-2 0 1,2 0-1,-1-1 1,1 1-1,0 0 1,-1 0-1,1-1 0,-1 1 1,1 0-1,0 0 1,0-1-1,0 1 1,-1 0-1,1-1 0,0 1 1,0-1-1,-1 1 1,1 0-1,0-3 1,0 3-1,-1-1 0,1 1 1,0-1-1,-2-3-5,0 1-1,0-1 0,1 1 1,-1-1-1,-1-7 1,-14-113-34,17 119 38,-1 1 0,1-1 1,0-1-1,1 1 0,-1 1 0,1 0 1,0-2-1,1 1 0,-1 0 0,3-5 0,-3 8-3,0 0 0,0-1-1,0 1 1,0 1-1,0-1 1,1 0-1,-1 1 1,2-1 0,-1 1-1,0 0 1,0 0-1,0 0 1,0-1 0,-1 1-1,1 0 1,1 1-1,-1-1 1,0 0-1,0 1 1,0 0 0,1-1-1,-1 1 1,4 0-1,10 0 3,-3 2 0,1 0 0,23 5 0,10 1 1,-14-3-39,1-2 0,0-2 0,-1-2 0,42-6 0,-59 4 38,1 0 1,-1-1-1,1 1 1,-1-3 0,0-1-1,0 0 1,-2 0-1,2-2 1,-2-1-1,18-15 1,-26 21-5,-1 0 0,-1 0 0,2-2 0,-3 1 0,1 0-1,-1 0 1,1-1 0,0 2 0,-1-1 0,2-11 0,-4 12 44,0 0-1,-1 0 1,1 0-1,0-1 1,-1 0 0,0 1-1,0 0 1,0 0-1,0-1 1,0 1 0,-1-1-1,0 1 1,1 0-1,-1 0 1,-1 0-1,-1-7 1,7 35 42,-2-9-80,13 44 2,-8-38-44,-1 0-1,-1 1 1,-1 2-1,2 30 0,-7-47 23,1-1-1,-1 3 0,0-3 1,0 1-1,-1 0 0,0 0 1,0 0-1,0-1 0,-1 2 1,0-3-1,-5 10 0,4-7 16,-2-1-1,-1 2 1,1-2 0,0 0-1,-2-1 1,1 2-1,-12 5 1,5-3 10,0-3 0,0 0 1,1-1-1,-3 2 0,3-4 1,-2 1-1,0-1 0,-1-1 0,-24 4 1,24-6-4,-1-1-1,0-1 1,-33-7 0,43 7 24,1 0-1,0-1 1,0 0-1,0 0 1,0-1-1,0 0 1,0 1-1,1-1 1,-2-3-1,3 2 0,-1 0 1,-10-10-1,15 14-19,0-1 0,0 1 0,-1-1 0,1 0 0,-1 1 0,1-1 0,-1 0 0,1 1 0,-1-1 0,1 0 0,0 0 0,-2 1 0,2-1 0,0 0 0,0 0 0,0 1 0,0-1 0,0 0 0,0 0 0,0 0 0,0 1 0,0-1 0,0 1 0,0-1-1,0 0 1,2-1 0,-1 1-2,-1-1 0,1 0-1,0 1 1,0 0-1,-1 0 1,2 0-1,-1 0 1,0 0 0,0 0-1,0 0 1,1 1-1,-1-1 1,3 0 0,4-2-4,0 1 0,1 0 0,14-3 0,93-6-111,16-1-474,-111 8 236,1 0 0,1-2 0,-2 1 1,20-12-1,-19 7 309,-5-3-23</inkml:trace>
  <inkml:trace contextRef="#ctx0" brushRef="#br0" timeOffset="14641.6">7878 6050 9858,'2'7'-80,"-2"-4"-616,4 0 184</inkml:trace>
  <inkml:trace contextRef="#ctx0" brushRef="#br0" timeOffset="18160.64">7458 8966 9874,'-5'16'148,"2"2"0,0-1-1,1-1 1,1 1 0,0 0 0,1 1 0,1-2-1,0 2 1,0-1 0,9 31 0,3 6 356,45 99 0,-31-83-868,0 0-1,-7 2 1,20 97-1,-36-145 74,4 24-242,-7-43 404,0-1 0,0-1 0,1 1 0,0-1 0,0 2 0,0-1 0,-1 0 0,5 4 0,4-2-1430,-6-3 670</inkml:trace>
  <inkml:trace contextRef="#ctx0" brushRef="#br0" timeOffset="19284.38">8495 9668 9506,'2'10'-53,"-1"0"0,1-1 0,0 1 0,1-2 0,0 1 0,0 1 0,1-3 0,0 2 1,6 9-1,3 10 29,-7-17 40,0-2 0,12 19-1,-15-23 11,0-2 0,1 0-1,-1 0 1,0 0-1,0-1 1,1 0 0,1 2-1,-1-1 1,-1-1-1,8 3 1,-2-2 13,2 0-1,-1-2 1,0 1 0,2 0 0,-3-1-1,2-1 1,-2 0 0,3 0-1,16-4 1,-22 3-64,0 1 1,2-2-1,-4 0 1,3 0-1,-1 0 1,-1-1-1,2 0 1,-2-1-1,1 0 1,-1 1-1,0-1 1,0 0-1,0 0 0,1-3 1,-3 3-1,1 0 1,5-8-1,-4 3-46,5-7-80,-2 1 0,11-27 0,-17 37 135,0 0-1,1-2 1,-2 1-1,0 1 1,-1 0 0,1-2-1,-1 1 1,0 1-1,0-1 1,0 0 0,-1 0-1,0-6 1,-3-3 183,0 1 0,-1 0 0,0-1 0,-1 1 1,0 0-1,0 0 0,-2 2 0,-10-17 0,18 29-159,0 0-1,0 0 1,0 0-1,0 0 1,0 0-1,0 0 1,0 0-1,0-1 1,0 1-1,0 0 0,-1 0 1,1 0-1,0 0 1,0 0-1,0 0 1,0 0-1,0 0 1,0 0-1,0 0 1,0 0-1,0 0 1,0 0-1,0 0 1,0 0-1,0 0 1,0 0-1,-1-1 1,1 1-1,0 0 1,0 0-1,0 0 1,0 0-1,0 0 1,0 0-1,0 0 1,0 0-1,0 0 1,0 0-1,-1 0 1,1 0-1,0 1 1,0-1-1,0 0 1,0 0-1,0 0 1,0 0-1,0 0 1,0 0-1,0 0 0,0 0 1,0 0-1,0 0 1,0 0-1,0 0 1,0 7 155,1 17-152,0-21 11,2 22-93,2-1-1,1 1 1,0-2 0,19 43-1,54 85-1242,-69-130 651,-1 0 1,0 0-1,-2 1 0,0 0 0,-1 0 0,5 34 0,-6-20 172,-2 1-1,-1-1 0,-5 50 0,2-70 757,0 0-1,-2 1 1,0-1-1,-2 1 0,1 0 1,-7 15-1,10-27-159,-2-1 0,1 2 0,0-2 0,0 0 0,-1 0 0,1 0 0,-2 1 0,1-2 0,-1 1 0,1-1 0,0 0 0,-1 0 0,0 0 0,0-1 0,-1 2 0,0-2 0,1 0 0,0 0 0,-1 0 0,-1-1 0,3 0 0,-1 0 0,-2 0 0,-4 0 0,6 0-63,-2-1-1,1-1 0,0 1 1,0-1-1,0 0 1,0 0-1,1 0 1,-2-1-1,3 1 1,-2-1-1,0 0 0,1-1 1,0 0-1,0 0 1,-1 0-1,1 0 1,0 0-1,1-1 1,-1 1-1,1-2 0,0 1 1,-1 0-1,2 0 1,-1 0-1,-3-7 1,1 2-48,0-1 1,0-1 0,1 1 0,1-1-1,1 0 1,-1 0 0,1 0 0,-1-1-1,2 2 1,0-1 0,1 0 0,0 0-1,0-1 1,1 1 0,2 0-1,-1 0 1,0-2 0,4-12 0,1 7 16,0 0 0,0-1 1,3 3-1,0-1 0,-1 0 1,3 1-1,-2 1 0,2-1 1,0 3-1,1-1 0,0 1 1,2 0-1,18-13 0,-23 19 5,114-85 52,-107 77-67,-1 1 1,0-2-1,1-2 1,21-32-1,-24 24-4,-13 25 64,-1 0 0,1-1 0,-1 1 1,1 0-1,-1 0 0,1 0 0,-1-1 1,0 0-1,0 1 0,0-1 0,0 1 1,0 0-1,0 0 0,0-1 0,0 0 1,0 1-1,-1 0 0,1 0 0,-1-2 1,1 3-25,-1-1 1,1 1 0,0 0 0,0 0 0,0-1 0,0 1-1,0 0 1,-1 0 0,1 0 0,0 0 0,0-1-1,0 1 1,-1 0 0,1 0 0,0 0 0,0 0-1,0 0 1,-1 0 0,1-1 0,0 1 0,0 0 0,-1 0-1,1 0 1,0 0 0,0 0 0,-1 0 0,1 0-1,0 0 1,0 0 0,-1 0 0,1 0 0,0 0 0,0 0-1,-2 0 1,2 0 0,-1 1 0,-4 7 291,0 16-392,3-14 62,2 0-1,-1 0 0,1 0 1,0-1-1,1 1 0,0 0 0,1 0 1,0 0-1,0-2 0,1 3 1,-1-2-1,3-1 0,-1 2 0,-1-1 1,2-1-1,0 1 0,0-1 1,0-1-1,2 2 0,-2-2 0,1-2 1,2 4-1,-1-3 0,14 10 1,-11-10-24,0 0 1,0-2-1,0 0 1,-1 2 0,13 1-1,-18-5 32,0-1 0,0 0-1,1-1 1,-2 1 0,1-1 0,0 0-1,0 0 1,1 0 0,-2 0 0,1-1-1,0 1 1,1-1 0,-2 0-1,1-1 1,-1 1 0,9-4 0,-10 4 12,-1 0 0,1-1 0,-1-1 0,0 1 0,0 0 0,1 1-1,-1 0 1,0-1 0,0 0 0,0 0 0,0 1 0,0-1 0,0 0 0,-1 0 0,1-3 0,0 3 0,-1 0 0,0 0 0,0 1 0,1-1 0,-2-4 0,1-7 14,-1 4-1,-1-2 1,-3-15 0,1 12-43,3 3 13,-2 4-1,0-2 1,-1-1-1,1 3 0,-3-1 1,3-2-1,-2 4 1,-1-3-1,1 1 0,1 2 1,-16-14-1,-5-1 19,1 0-1,-30-15 1,31 20-5,17 10-8,0 2 33,0-1-1,1 2 1,0-1-1,-2 1 1,-10-4 0,16 7-38,-1-1 0,0 1-1,1 0 1,-1 0 0,0 0 0,1 0 0,-1 0 0,0 0 0,0 0 0,0 0 0,1 1 0,0-1 0,0 1 0,-1-1 0,1 1 0,-1-1 0,2 1 0,-2 0 0,0-1 0,1 2 0,-1-1 0,1 0 0,0 0-1,0 0 1,0 0 0,0 1 0,0-1 0,0 0 0,0 2 0,-2 3 1,-1-2-1,2 1 1,0-1 0,0 1-1,0 1 1,0-3-1,1 2 1,0 0 0,0 1-1,0-1 1,1 0-1,0 0 1,0 0 0,0 1-1,0-1 1,1 0-1,0 1 1,0-1 0,0 0-1,1 0 1,-1 0-1,1 0 1,0 0 0,1 0-1,0-1 1,0-1-1,-1 3 1,1-1 0,0-1-1,1-1 1,0 1-1,-1-2 1,0 3 0,1-2-1,1 1 1,-1-2-1,1 1 1,-1-1 0,1 0-1,0 0 1,-2-1-1,9 4 1,5-2-4,-2 0 1,2-2-1,-1 0 0,2-1 1,-2 0-1,0-2 0,-2-1 1,4 1-1,-2-3 0,0 2 1,-1-2-1,2 0 1,-3-3-1,18-8 0,-18 7-393,-1 1 0,2-2 0,-2-1 0,1 2 0,-3-4 0,0 3 0,0-3 0,20-26 0,-4-11-733</inkml:trace>
  <inkml:trace contextRef="#ctx0" brushRef="#br0" timeOffset="21121.97">8131 12306 10738,'27'-45'10,"1"3"-1,38-43 0,-59 77-62,0 0 0,2 0-1,-3 0 1,2 1 0,2 0-1,-3 2 1,22-12-1,-25 15 47,1 0 0,-1 1 0,1 0-1,-1-1 1,2 1 0,-2 1-1,0-2 1,1 2 0,6 0-1,-9 0 5,1 2-1,1-2 0,-2 1 0,1 0 0,0 0 0,0 0 1,-1 0-1,2 1 0,-1-2 0,-1 3 0,1-2 0,-1 1 0,1 0 1,0 0-1,1 3 0,6 7 12,0-1 0,-3 1 0,2 3 0,8 13 0,20 60-109,-25-53-88,-3 0 1,2 0 0,4 47 0,-8-20-64,1 72 0,-8-111 268,0-2 0,-1 2 0,-3 0-1,1 0 1,-2-2 0,-10 34 0,12-48 25,0 2-1,0-3 1,-2 2 0,2-1 0,-1 0 0,0 0-1,-1-1 1,0 1 0,1-1 0,-2-1 0,2 1-1,-2-1 1,1 0 0,-3 0 0,2-1 0,-2 0-1,2 0 1,-1-1 0,-1 1 0,2-1 0,-12 3-1,7-5 61,1 0-1,1-1 0,-1 0 0,2 0 1,-2-1-1,2 0 0,-3-1 0,2 0 1,-1 0-1,0-1 0,2-1 0,-2 0 1,3 0-1,-2 0 0,0-1 0,4 0 1,-12-7-1,13 9-62,1-1 1,0 1 0,0 0-1,0-2 1,0 1-1,0 1 1,0-1-1,2 0 1,-1 0-1,0-2 1,0 2 0,1 0-1,0-1 1,0 1-1,0-2 1,0 2-1,0-1 1,1 0 0,0 1-1,1-7 1,-1 6-43,0 1 0,1-1 0,0 0 0,0 1 1,0-1-1,0 0 0,1 2 0,-1-1 0,1-1 0,-1 2 1,2-1-1,-1 0 0,2 1 0,-2-1 0,1 1 0,0-1 0,0 1 1,0 0-1,1-1 0,0 2 0,5-4 0,-1 1-11,4 1-1,-3-1 0,3 2 0,-2 1 0,2 0 0,0 0 1,0 0-1,-1 2 0,19 0 0,-9 1-1,0 1 0,0 2 0,0-1-1,27 12 1,-31-8-325,24 14 1,-25-12-139,1-2 0,27 11 0,-40-17 304,0 0 0,0 0 0,1 0 0,-1 0 0,0-1 0,0 0 1,1 0-1,0 0 0,-1 0 0,1-1 0,-1 0 0,0 0 0,1 0 0,-1 0 0,5-3 0,9-7-610</inkml:trace>
  <inkml:trace contextRef="#ctx0" brushRef="#br0" timeOffset="22122.85">8861 12580 7578,'0'2'245,"0"1"1,0-1-1,-1 0 1,1-1 0,-1 1-1,1 0 1,0 0 0,-1 0-1,0-1 1,0 1-1,0-1 1,-3 4 0,3-4-249,0 1-1,0 0 1,1-1 0,-1 0 0,1 0 0,-1 1 0,1-1 0,-1 1 0,1-1 0,-1 0 0,1 0 0,-1 1 0,1 0 0,0 0 0,0-1 0,0 1 0,0-1 0,0 2 0,0-2 0,0 1 0,1 1 0,3 11-9,1-1 0,1 2-1,0-3 1,1 3 0,0-3 0,1 1 0,0-1 0,14 14 0,-19-22 34,2 1-1,-1-1 1,1-1 0,-2 2-1,3-2 1,-1 0 0,0 1-1,1-1 1,-2 0 0,1-1-1,2-1 1,-2 2 0,-1-1-1,2-1 1,0 0 0,-1 0-1,1 0 1,1-1-1,-1 0 1,-2 0 0,3-1-1,11-1 1,-14 0-21,1 1 1,0-2-1,-1 2 1,0-1-1,-1-1 0,2 0 1,-1 0-1,0 0 1,-1 0-1,-1 0 1,3 0-1,-2-1 0,0 1 1,0-2-1,0 1 1,2-5-1,4-8 20,1-1 0,8-33 0,-3 9 1,-12 34-11,0 1 0,-1 1-1,0-2 1,-1 0 0,0 1-1,1 0 1,-1-3 0,0-10-1,-3 13 91,-1 9 26,2 14-99,10 39-276,26 87-1,-23-99 142,-2 0-1,0 2 0,6 73 0,-16-104 101,0 0-1,0 2 1,-2-4-1,1 2 1,-2 0-1,0 0 1,-7 20-1,7-29 7,1-1 0,0 0 0,1 0-1,-1 0 1,0 0 0,-1 0 0,0 0-1,0-1 1,1 0 0,-2 1 0,2-1-1,-1-1 1,-2 2 0,2-1 0,0-2 0,-1 2-1,1-1 1,-2 0 0,1 0 0,1-1-1,-1 0 1,-2 1 0,3-1 0,-1-1-1,-1 1 1,-7-1 0,6 0 0,-2 0 0,2-1 1,-1-1-1,0 1 0,1-1 0,-1 0 1,1 0-1,0-1 0,0 1 0,1-2 1,-1 0-1,0 0 0,2 1 0,-2-2 1,0 2-1,1-3 0,-9-9 1,11 11-2,-1-2 1,1 1 0,-1 0-1,2 0 1,-1 1 0,1-3 0,0 2-1,0-1 1,0 1 0,-1-2 0,2 2-1,0-1 1,0 0 0,1-1-1,0 2 1,0-1 0,0 0 0,1-1-1,-1 2 1,1-1 0,3-7 0,0 3-4,0 0 1,1-1 0,0 1 0,1 0-1,8-12 1,38-42 5,-27 35-2,-18 21 2,104-123-44,-82 101 14,2 2 1,36-30-1,-47 42 18,1-2 0,-2-1-1,27-30 1,-15 18 423,-31 31-229,-1 3-70,0-1 1,-2 1-1,1 1 1,1 0 0,-2 4-1,2 4-129,1 2 0,0 0-1,1-2 1,0 2 0,1-3-1,0 4 1,2-3 0,-2 2-1,2-3 1,1 3 0,0-4-1,8 17 1,-5-14 32,0-3 0,0 2 0,1-3 0,1 1 0,0 1 0,0-3 0,2 1 0,-3-2 0,3 1 0,0-1 0,-1 0 0,1-1 0,1-1 0,-1 0 0,1 0 0,0-2 0,25 4 0,-34-6-15,1-1-1,-1 0 0,-1 0 1,1 0-1,1-1 1,-1 0-1,0-1 1,0 1-1,0 1 0,0-1 1,0-1-1,0 0 1,-1 0-1,7-5 0,-7 5 5,-1 0-1,0 0 0,1-1 1,-1 2-1,0-2 0,0 1 1,-1 0-1,0-2 0,1 1 1,-1 1-1,1-1 0,-1-1 1,-1 2-1,2-1 0,-2 0 1,1-1-1,-1 1 0,1 1 1,-1-1-1,0-1 0,0-2 1,-1-4-1,-2 1 0,2-2 0,-1 1 1,-1 2-1,1-2 0,-2 0 0,0 2 1,-1-1-1,1 0 0,-1 1 1,-1-2-1,-11-10 0,-3-5-69,-1 3 0,-44-35-1,46 42 32,-41-25-1,50 34 9,-1-1 0,0 2 0,0 2 0,-1-1 0,2 0 0,-15-3-1,22 6 21,0 1-1,0 0 0,1 0 0,-2-1 0,1 2 0,0-1 0,0 0 0,0 1 0,-1-1 0,2 3 1,-1-2-1,0 0 0,0 0 0,0 0 0,-5 3 0,7-2 6,-2 0 0,2 0 0,-1 0 0,1 0 0,-2 0 0,1 3 0,1-3 0,-1 1 0,1-1 0,0 1 0,-1 0 0,1-2 0,1 2 0,-1 0-1,1 2 1,-1 1 0,1 2-3,-1 3 0,1-2-1,-1-1 1,2 3-1,-1-3 1,1 2 0,0-1-1,-1-1 1,3 3 0,-1-2-1,7 12 1,-7-17-8,-1 0 0,1 0 0,0 0 1,-1 1-1,2-2 0,0 1 0,1-2 1,-1 1-1,0 1 0,0-1 0,-1 0 0,3 0 1,-1-1-1,-1 0 0,1 0 0,1-1 1,-2 1-1,1 0 0,0 0 0,0-1 1,2 0-1,-3 0 0,1 0 0,-1-1 0,11 0 1,-8 0 0,0-1 1,1 0-1,0 0 1,0-2 0,-1 1-1,1 0 1,-1 1-1,1-2 1,-2 0 0,0 0-1,11-8 1,-3 1 1162,0-3 1,-1 2-1,17-21 1,14-18 986</inkml:trace>
  <inkml:trace contextRef="#ctx0" brushRef="#br0" timeOffset="22866.36">10931 11847 8794,'-34'20'1183,"27"-16"-972,0-2 0,1 2 0,-1-1 0,1 1-1,0 1 1,-6 6 0,-2 5-166,3-1 0,-2 2 0,2 1 0,0-1 0,2 2 0,1 0 0,-2-1 0,-5 25 0,0 5 91,2 2 0,-7 57 1,15-68-94,3-1 0,0 1 0,2-1 0,3 45 0,0-55 52,3 3 1,0 0-1,0-3 0,3 0 0,22 51 0,-27-72-84,-1 2-1,2-1 0,1 0 0,-2 0 1,0-1-1,2 0 0,1 0 0,0 0 1,-1-1-1,1-1 0,2 2 1,-3-3-1,15 9 0,-13-10-78,0 1 1,0-1-1,0-1 1,1 0-1,-1 0 1,0-1-1,1 0 1,1-1-1,-3 0 1,2 0-1,-2-1 1,1 0-1,1 0 0,13-5 1,-6 0-111,-2 1 0,0-1 0,1-1 0,12-10 0,19-15-26</inkml:trace>
  <inkml:trace contextRef="#ctx0" brushRef="#br0" timeOffset="78086.17">2451 10548 9362,'-3'19'82,"2"1"0,0-3 1,1 2-1,1 0 0,1 0 0,1 0 1,0-1-1,7 21 0,28 167 1110,-21-93-507,-14-97-635,70 466-196,-67-372-3961,-6-107 3188</inkml:trace>
  <inkml:trace contextRef="#ctx0" brushRef="#br0" timeOffset="79022.2">2868 11292 5497,'3'2'17,"0"1"1,-1-1-1,1 1 0,0 0 0,-1-1 1,-1 0-1,1 1 0,0-1 0,-1 0 1,1 2-1,0-1 0,-1 1 0,0-1 1,2 5-1,1 9-23,5 25 0,-9-42 7,4 34-3,-3-24 76,0 1 0,1-2 0,0 2 0,7 19 0,-3-17 80,0 2-1,1-2 0,0 2 1,2-2-1,-2 0 1,4 0-1,-2-1 0,17 15 1,-25-26-129,0 0 1,1 1-1,-1-1 1,1 0-1,-1 0 1,1 0-1,-1-1 1,2 1-1,-2 1 1,1-1-1,-1-1 1,1 1-1,-1-1 1,1 0-1,0 1 1,0-1 0,-1 0-1,1 0 1,0 0-1,0 0 1,0 0-1,-1-1 1,1 1-1,-1 0 1,1-1-1,-1 1 1,0-1-1,2-1 1,-2 1-1,1 1 1,-2-1-1,2 0 1,-1 0-1,1-1 1,-1 1 0,0 0-1,0 0 1,1-1-1,-1 1 1,-1 0-1,1-1 1,2-1-1,5-11 31,1 1 1,-3-2-1,0 0 0,6-16 1,14-62-52,-23 75 23,1-1 1,-2-2-1,0-19 0,-1 69 216,1-1 0,8 36 0,18 57-338,-20-84 147,-8-34-53,19 75-3,15 127 0,-32-179 4,-1-2 0,-1 1 1,-1-1-1,0 1 1,-2-1-1,-2 1 1,0-1-1,-1-2 1,-15 40-1,14-47 2,-1 8 9,-2-2 1,1 0-1,-2-1 0,-17 21 0,27-38-8,-2-1 1,2 0-1,0 0 1,0-1-1,-1 1 0,1-1 1,-1 0-1,0 0 1,0 1-1,1-1 0,-2 0 1,1-1-1,0 0 1,1 1-1,-1 0 0,1-1 1,-2 1-1,1-1 0,-1 0 1,1 0-1,0 0 1,0 0-1,0 0 0,-1 0 1,0-1-1,-1 0 3,0 0-1,1 0 1,0 0 0,0-1-1,-1 0 1,2 0 0,-1 0-1,1 0 1,-1-1-1,1-1 1,0 2 0,-1-1-1,1 1 1,-2-4-1,-1-6-4,-1 3 0,0-2 0,2 0 0,0-1 0,-1 1 0,1-1 0,1 0 0,0 0 0,1 0-1,1 0 1,1 0 0,-2-1 0,2 1 0,2 0 0,-2 0 0,5-21 0,5-8 20,2-1 1,2 0 0,25-54 0,-3 7-3,-22 55-16,2 2-1,0-2 0,1 2 0,1 2 0,35-42 0,-20 30-6,-2 5 8,36-56 0,-66 92 12,-1 0-1,0 1 1,1-1 0,-1 1 0,0-1-1,1 1 1,-1-1 0,1 1 0,-1-1 0,1 1-1,-1-1 1,1 1 0,-1-1 0,1 1-1,0 0 1,-1 0 0,1-1 0,-1 1-1,1 0 1,1 0 0,-1-1 0,0 1-7,-1 1 0,0-1 0,1 0 0,-1 0 0,1 0 1,-1 1-1,1-1 0,-1 0 0,1 1 0,-1-1 0,1 0 0,-1 1 1,0-1-1,1 0 0,-1 1 0,0-1 0,0 1 0,0-1 0,1 2 1,2 3 18,0 1 1,0 2 0,2 9 0,-2-5-10,8 12 16,23 35-1,-11-19 0,-17-30-25,0 2 0,-1-2 0,4 0 0,-2 0 0,0-1-1,3 0 1,10 8 0,-17-14-8,1 0 1,0-1-1,-1 0 0,0 0 1,-1 0-1,3-1 0,-1 0 0,0 0 1,-2 0-1,2 0 0,6 0 1,-7-1-1,0 0 0,-1 0 0,2 0 1,-1-1-1,0 0 0,0 1 0,0-1 0,1 0 1,-3 0-1,1-1 0,1 1 0,-1 0 0,1-1 1,-1 0-1,2 0 0,1-4 0,-3 2 5,2 0 0,-1 0 0,1 0-1,-1-2 1,0 2 0,-1-1 0,0 0 0,-1 0-1,1-1 1,1 1 0,-2 0 0,0 0-1,0 0 1,0-2 0,-1 2 0,1-1-1,-1 1 1,-2-11 0,0-2-23,-2 2-1,2-2 1,-3 0-1,-10-25 1,12 32 10,-1 1 0,-1-3 0,-1 5 0,1-3 0,-1 2 0,0 0 0,-2-2 0,1 4 0,-17-17 0,19 20 27,0 0-1,0-1 0,0 1 0,-2 2 1,1-1-1,1 1 0,-2-1 1,1 1-1,-1 0 0,2 1 0,-1 0 1,-1-1-1,1 1 0,1 0 0,-1 1 1,-1 0-1,2 1 0,-14 2 0,13-1-18,2-1-1,-1 1 1,-1 0-1,3 0 1,-2 1-1,1-1 1,-2 0-1,3 2 1,0-1-1,-1 1 1,0 0-1,0-1 1,1 1-1,1-1 1,-1 2-1,1 0 1,-2 0-1,2-1 1,-3 6-1,2-2 2,0-1-1,-1 0 0,3 2 1,-1-2-1,0 1 0,1 2 0,0-3 1,0 1-1,1 1 0,0-2 1,2 16-1,-1-20-2,0 0-1,0 1 1,0-1 0,0 0 0,0 1-1,0-1 1,2 0 0,-1-1 0,0 2-1,0-2 1,0 1 0,1-1 0,-1 2-1,1-2 1,-1 0 0,1 0 0,0 0 0,-2-1-1,2 1 1,0-1 0,2 1 0,-2-1-1,-1 0 1,0 0 0,1 0 0,7 1-1,-4-1-4,2 0-1,0-1 1,-1 2 0,0-2-1,2-2 1,-3 2-1,1-1 1,0-1-1,-1 1 1,0-1-1,11-5 1,-5 4 105,0-3 1,-1-2 0,0 0 0,-1 2-1,-1-3 1,2 0 0,14-16-1,4-15 362</inkml:trace>
  <inkml:trace contextRef="#ctx0" brushRef="#br0" timeOffset="80782.5">2478 12797 9066,'0'2'11,"0"-1"-1,0 0 1,0 1-1,0-1 1,0 2 0,1-2-1,-1 0 1,0 1 0,1-1-1,0 0 1,-1 0 0,1 0-1,-1 1 1,1-1 0,0 0-1,1 0 1,-1 0-1,0 0 1,0 0 0,-1 0-1,1 0 1,0 1 0,2-1-16,0 1 1,0 0-1,0-1 1,0 0 0,0 0-1,-2-1 1,2 1-1,0-1 1,7 1 0,2-1-10,-1-1 1,1 0-1,0-1 1,14-5-1,-17 4 72,-2 0-1,1 0 0,0 0 1,1-1-1,-2-2 0,0 2 1,1-1-1,-3 0 0,12-10 1,-8 6 25,0-1 1,-1 1 0,-1-1-1,1-2 1,9-20 0,-8 8 1,1 0-1,-2 0 1,-1 0 0,-1-1-1,0 1 1,2-34 0,-6 21-114,0 4 1,-3-4 0,0 3 0,-10-58-1,9 84-6,0-1-1,-1 2 0,0-1 0,-1 0 1,2 0-1,-2 2 0,-6-10 0,8 14 30,0-1-1,0 0 1,0 0-1,-1-1 1,1 2-1,-1-1 1,0 1-1,0-1 1,0 2-1,1-1 1,-1 0-1,-2 0 1,3 1-1,-1-1 1,-1 0 0,1 1-1,-6-1 1,9 2 5,-1 0 1,0 0 0,0 0-1,0 1 1,0-1 0,0 0 0,1 0-1,-1 0 1,0 1 0,0-1-1,0 0 1,1 1 0,-1-1-1,-1 2 1,2-2 0,-1 1 0,0-1-1,1 1 1,0 0 0,-1-1-1,1 1 1,-1 0 0,1-1 0,-1 1-1,1 0 1,0 0 0,-1-1-1,1 1 1,0-1 0,-1 1 0,1 2-1,-2 2 5,1 2-1,0-2 1,0 10-1,1-13-2,-2 33 7,7 74 0,15 35 1,-17-122-11,3 1 0,-2-2 0,3 2 0,0 0 0,0-1 0,3 0 0,-1-1 0,3-1 0,-2-1 0,4 1 0,-1-1 0,3-2 0,-2 0 0,24 22 0,-23-25-12,-6-5 25,1 0-1,0-1 1,1 0-1,19 12 1,-27-19-11,-1 0-1,1 0 1,0 0-1,0 0 1,0 0-1,-2-1 1,1 1-1,1-1 1,1 0 0,-1 0-1,-1 0 1,1 0-1,0 0 1,-1-1-1,0 1 1,2-1 0,-1 0-1,-1 1 1,1-1-1,0 0 1,-1-1-1,0 1 1,1 0-1,-1-2 1,0 2 0,1-1-1,-1 0 1,3-2-1,-1 0-19,-1-1-1,0 0 0,0 0 1,1 0-1,-2-1 1,1 2-1,0-2 0,-2 1 1,1-1-1,1-8 1,2-5 64,0-38 0,-4 43 2,0-3-1,1 2 1,1 1-1,5-17 1,-7 26-42,1 2 0,0-2 1,0 2-1,0-1 1,0 1-1,2-1 1,-2 0-1,0 0 0,7-5 1,-7 8-5,-1 1 1,0-1-1,1 0 1,-1 0-1,0 0 0,0 1 1,0-1-1,0 1 1,-1-1-1,2 1 1,-1-1-1,0 1 0,2 0 1,-2 0-1,1 0 1,-1 0-1,0 0 1,1 0-1,-1 0 1,1 0-1,-1 0 0,0 1 1,0-1-1,0 1 1,2-1-1,-2 1 1,0-1-1,0 1 0,1 0 1,-1-1-1,0 1 1,2 2-1,-2-3 2,0 1-1,0 0 0,1-1 1,-1 1-1,1-1 0,-2 1 1,2-1-1,-1 0 0,0 1 1,1-1-1,-1 0 0,1 0 0,-1 0 1,0 0-1,3 0 0,22-6 19,-13 3 5,-11 3-18,0-1 1,0 1-1,1 0 1,-1 0-1,-1 0 1,2 0-1,-1 0 1,1 0-1,-1 0 1,0 1-1,0-1 1,0 1-1,1-1 1,-1 1-1,-1 0 1,1 0-1,4 2 1,-5-1-6,1 0 1,-1-1 0,2 2-1,-2-1 1,0 1 0,0-1-1,0 0 1,0 0-1,0 0 1,-1 1 0,1-2-1,-1 1 1,0 1 0,0-1-1,1 1 1,-1 0 0,0 2-1,-1 52 51,1-39-44,0-2 0,0 1 0,0-1 0,4 21 0,-3-31-7,4 12 27,6 27-1,-10-41-9,1 0 1,1 2-1,-1-2 1,0 0-1,1 0 0,-1-1 1,1 1-1,1 1 1,-2-2-1,1 1 0,5 2 1,-8-5-14,1-1 0,0 1 0,0 0 0,1-1 0,-1 1 0,0-1 0,0 1 0,0-1 0,-1 0 0,1 1 0,0-1 0,0 0-1,0 0 1,0 1 0,0-1 0,0 0 0,0 0 0,0 0 0,0 0 0,2-1 0,-2 1-2,-1-1-1,1 1 0,-1-1 0,1 1 0,0-1 1,-1 1-1,1-1 0,-1 1 0,1-1 0,0 0 1,-1 1-1,0-1 0,1 0 0,-1 0 0,0 1 1,0-1-1,0 0 0,0 0 0,1-1 1,0-3 3,0-2 0,-1 2 1,1 0-1,-1-1 0,0 0 1,-2-7-1,-13-70 26,9 56-8,-6-50 0,12 77-24,-1-1 1,1 1-1,0-1 0,0 1 1,0 0-1,0-1 0,0 1 1,0 0-1,0-1 1,0 1-1,0 0 0,1-2 1,-1 2-1,0-1 1,0 1-1,0 0 0,0-1 1,0 1-1,1 0 0,-1 0 1,0-1-1,0 1 1,0 0-1,1-1 0,-1 1 1,0 0-1,1 0 1,-1 0-1,0 0 0,0 0 1,1 0-1,-1 0 0,0 0 1,2-1-1,-1 1 1,1 0-1,-1 0 1,-1 0 0,1 1-1,0-1 1,0 0 0,1 0-1,-1 0 1,0 0-1,0 1 1,1 0 0,32 22 4,-29-20-3,16 14-2,86 57 7,-98-71-9,-2 2-1,1-2 0,1 0 1,0 0-1,-2 0 0,3-1 1,-2-1-1,0 0 0,17 1 1,-19-2-2,0-1 1,0 1-1,-1-1 1,1 0-1,-1-1 1,0 1-1,2-2 1,-3 1 0,1-1-1,1 1 1,-1-1-1,0-1 1,-1 2-1,2-1 1,5-8-1,0-1 3,1-1-1,-4 0 0,1-1 0,-1 0 0,0-2 0,-1 1 0,-1 0 0,1-2 1,-1 2-1,0-1 0,-2-2 0,3-31 0,-3 2 6,-1-1-1,-2 0 1,-9-59-1,8 106-4,0-1 0,0 1-1,0-1 1,0 1 0,0 0-1,-1 0 1,1-1 0,0 1 0,-1 0-1,1-1 1,-2 0 0,2 2-2,0 0 1,0 0 0,0 0 0,-1 0-1,1 0 1,0 0 0,0 0-1,0 0 1,-1 0 0,1 0-1,0 0 1,0 0 0,0 0 0,-1 0-1,1 0 1,0 0 0,0 0-1,0 0 1,0 0 0,0 0-1,0 0 1,0 0 0,0 0-1,0 0 1,-1 0 0,1 1 0,0-1-1,0 0 1,0 0 0,0 0-1,-1 0 1,1 0 0,0 0-1,0 0 1,0 0 0,0 0 0,0 0-1,0 1 1,-2 2-13,-1 1 0,1 0 1,1-1-1,-1 0 0,1 0 0,-1 4 0,-1 9-5,0-2 1,1 0-1,2 1 0,0 26 0,2-9-5,9 39 0,-7-58 21,1 3 1,-2-2-1,3 1 1,1-1 0,-2-1-1,1 2 1,3-3-1,-1 2 1,1-2 0,0 0-1,1-2 1,18 20-1,-17-19-21,2-1 0,-1 0 0,2-2 0,-1 0 0,-1-2 0,3 2 0,-2-2 0,1-1 0,1 0 0,0 0 0,0-1 0,16 1 0,-28-5 19,1 1 1,1-1 0,-2 0 0,-1-1 0,2 1 0,0 0-1,0-1 1,0-1 0,-2 1 0,1 1 0,0-1 0,2-1-1,-2 1 1,0-1 0,4-4 0,-2 3 3,-1 0 0,-1-2 0,1 3 0,0-2 0,-2-1 0,1 1 0,-1 1 0,1-2 0,-1 1 0,4-7 0,-1-4 4,-3 0 0,1 0-1,0-1 1,0 0 0,-2 1-1,0-26 1,-1 3 7,-4 2 0,1-2 0,-2 1 0,-1-1 0,-3 3 1,-14-37-1,20 62-10,-1 3-13,2 1 1,0-1 0,0 0-1,1-1 1,-1 2-1,0-11 1,10 78-177,-5-25 189,3 2 1,14 51 0,-15-72-1,1 2 1,1-2 0,-1-3-1,2 4 1,0-4-1,1 1 1,15 20-1,-24-34 0,14 15 51,1 2 0,-1-3 0,25 21 0,-35-34-40,-1 2 0,2-1 0,-1-1 0,-1 1 1,2 0-1,-1-1 0,1 0 0,-1-1 0,0 1 0,2-1 0,-1-1 1,0 1-1,-2-1 0,3 1 0,-1-1 0,0 0 0,1-1 0,-2 1 0,0-1 1,10-1-1,-13 1-4,1 0 0,0 0 0,0 0 0,0 0 0,0-1 1,0 0-1,-1 0 0,1 1 0,-1-1 0,0 1 0,0-1 0,0-1 1,0 2-1,0-1 0,-1 1 0,1-1 0,0 0 0,-1 0 1,2 0-1,-1-4 0,1-5 14,0-2 0,0-19 0,-1 18 18,0 2-4,0-5 6,1 2-1,5-25 1,-7 38-39,1-2 0,0 1-1,0 0 1,0 0 0,0-1 0,1 1-1,-1 1 1,1-1 0,0 1 0,-1-1-1,2 1 1,-1 0 0,1-2 0,-2 1-1,1 1 1,1 0 0,-1 0 0,5-1-1,-4 2-2,0 0 0,0 1-1,0-1 1,1 1 0,0-1-1,-1 1 1,0 0 0,0 0-1,1 1 1,-1-1 0,1 1-1,-1 0 1,0 0 0,1 0-1,-2 0 1,6 2 0,4 4-13,0 1-1,17 11 1,-23-15 8,-1 0 0,1 0 0,-1 0 0,-1 2 0,1 0 0,-1-1 0,0-1 0,1 3 1,-2 0-1,6 11 0,-7-13-10,-1-1 0,0 1 0,0-1 0,0 0 0,0 2 0,-1-1 0,1 0 0,-1-2 0,0 3 0,-1-2 0,1 2 0,-1-2 0,0 0 0,0 0 0,0 1 0,-1 1 0,-3 5 0,2-6-13,1-1 0,-1 1 1,0-1-1,0-1 0,-1 0 1,1 1-1,-1-1 0,1 1 1,-2-1-1,2 0 0,-1 0 1,-1-1-1,2-1 0,-3 1 1,2 1-1,-10 1 0,-3 0 46,1 0 0,0-1 0,-26 1 0,35-4 70,0 0 0,1 0 1,-2-1-1,-8-1 0,15 1-69,-1 1-1,1 0 1,-1-1-1,1 1 1,-1-1-1,1 0 1,0 0-1,-1 1 1,0-1-1,1-1 1,-1-1-1,1 3-17,1-1 1,-1 0-1,1 1 0,0-1 1,0 0-1,-1 1 0,1-1 0,0-1 1,0 2-1,0-1 0,0 0 0,0 0 1,0 1-1,0 0 0,0-1 0,0 0 1,0 1-1,0-1 0,0 0 1,0 1-1,0-1 0,0 0 0,0 1 1,1-1-1,0-1 0,0 0-8,0 0 0,-1 1 0,1 0 0,0-1 0,1 1 0,-1 0 0,1-1 0,-1 1 0,0 0 0,1 0-1,-1 0 1,1 1 0,0-1 0,-1 1 0,1-1 0,-1 0 0,2 1 0,-2 0 0,2-1 0,35-2-429,-33 3 352,56-1-1243,-31 0 836</inkml:trace>
  <inkml:trace contextRef="#ctx0" brushRef="#br0" timeOffset="82937.85">3029 15222 8722,'0'1'67,"-1"-1"-1,1 0 1,-1 0 0,1 0-1,-1 0 1,1 1 0,-1-1-1,1 0 1,0 0 0,-1 0-1,1 0 1,-1 0 0,1 0-1,-1 0 1,1-1 0,-1 1-1,1 0 1,-1 0-1,1 0 1,0 0 0,-1 0-1,1-1 1,-1 1 0,1 0-1,0 0 1,-1-1 0,1 1-1,0 0 1,-1-1 0,1 1-1,-1-1 1,1 0-24,0-2 0,0 2 0,-2 0 1,2 0-1,-1-1 0,1 2 0,0-2 0,0 1 0,0 0 0,0-4 0,1-2-88,-1 0 0,2 2 0,-1-2 0,3-6 0,1-1 20,2 2 1,-1-2 0,1 2-1,1-2 1,0 3 0,10-13-1,64-64-203,-78 85 213,0 0 0,-1 0 0,1 0 0,0 1 0,0-1-1,0-1 1,0 2 0,0 0 0,1 0 0,-1 1 0,1 0 0,-2 0 0,2 0 0,8 0 0,-10 1-16,2 0 0,-1 0-1,0 1 1,0 0 0,1 0 0,-2-1 0,1 1 0,0 0 0,1 1 0,-2 0 0,1 0 0,-2 2 0,1-2 0,1 0 0,-2 1 0,1-1 0,4 5-1,10 13-139,0 4-1,-1-2 0,-1 0 0,-1 2 1,-1-1-1,-1 2 0,-1 0 0,-1 0 0,-2 1 1,-1 0-1,1-1 0,-3 1 0,-2 2 0,2-1 1,-3 0-1,-1 1 0,-2-1 0,0 1 1,-1-1-1,-10 43 0,8-54 284,-2 1-1,2-2 1,-1 0 0,-3 1-1,2-2 1,-1 1 0,-2-1 0,-2 0-1,3 0 1,-3-2 0,1 1-1,-1-2 1,-1 0 0,0 1-1,-1-2 1,1 0 0,-1-2-1,1 1 1,-3-1 0,0-1 0,1 0-1,-2-1 1,-19 5 0,29-9 95,-1-1 1,1 0-1,-1-1 1,0 0-1,1 0 1,0 0-1,-13-4 1,16 3-169,-1 0 1,1 0-1,1 0 0,-2 0 1,0 0-1,1-1 0,0 1 0,1-1 1,-1-1-1,-1 1 0,2 1 1,0-1-1,-1-2 0,1 2 0,0-1 1,-4-4-1,6 4-34,-1 2 0,1 0-1,0-1 1,0 2 0,-1-2 0,1 1-1,0-1 1,0 0 0,0 1 0,0-1 0,0 1-1,0-1 1,0 1 0,0-1 0,1 1-1,-1-1 1,0 0 0,0 1 0,1-1-1,-1 2 1,1-1 0,1-1 0,-2 0 0,1 1-1,0 0 1,0 0 0,-1 0 0,3-2-1,3-3-10,1 0-1,0-1 0,11-6 0,-13 9-3,17-12-236,0 1 0,1 2-1,0 0 1,30-10-1,175-76-1761,-82 32 683,-82 46 1212,3-3 956,-66 23-811,2 0-1,-1-2 1,0 2 0,-1-1-1,1 1 1,0-1 0,-1 0 0,1 1-1,-1-1 1,1 0 0,-2 0-1,2-1 1,-1 2 0,0-1 0,0-2-1,0 2 1,1-3 0,-1 1 15,0 0 0,-1 1 0,1-2 1,0 1-1,-1 1 0,0-1 1,0 0-1,0 0 0,-1 1 1,0-6-1,1 9-43,0 0 0,0-1 0,0 1 1,0 0-1,0 0 0,0 0 0,0 0 1,0 0-1,0 0 0,0 0 0,0 0 0,0-1 1,-1 1-1,1 0 0,0 0 0,0 0 0,0 0 1,0 0-1,0 0 0,0 0 0,0 0 0,0 0 1,0 0-1,0 0 0,0 0 0,0-1 0,-1 1 1,1 0-1,0 0 0,0 0 0,0 0 0,0 0 1,0 0-1,0 0 0,0 0 0,0 0 1,-1 0-1,1 0 0,0 0 0,0 0 0,0 0 1,0 0-1,0 0 0,0 0 0,0 0 0,0 0 1,0 0-1,-1 0 0,1 1 0,0-1 0,0 0 1,0 0-1,0 0 0,0 0 0,0 0 0,0 0 1,0 0-1,0 0 0,0 0 0,0 0 0,-1 0 1,1 0-1,0 1 0,0-1 0,0 0 1,0 0-1,0 0 0,0 0 0,-3 7 122,1 0-100,2 0 0,-1 0 0,1 1 0,0-1-1,0 0 1,1 0 0,2 13 0,17 50-36,-20-66 16,5 12-10,1-1 1,0 0 0,0 0-1,2-1 1,0 0 0,15 19-1,-16-24-13,-2-2-1,3 0 0,-1 0 0,-1 0 0,3-1 0,-2-1 0,3 1 1,-2 0-1,1-2 0,0 0 0,15 6 0,-12-6 98,0-1-1,1 0 0,0-1 1,2 0-1,-3-1 0,1-1 1,1 0-1,15-2 0,-26 1-81,3 0-1,-1 0 1,2 0-1,-4-1 0,2 0 1,1-1-1,-1 2 1,0-1-1,0-2 1,0 1-1,-1 0 0,1-1 1,0 1-1,-2-2 1,1 1-1,0 0 1,-1 0-1,2 0 0,-3-1 1,0 1-1,1-2 1,1-6-1,1 1 1,-1 0 0,-1-1 0,-2 1 0,1-1 0,0 1 0,0-1 1,-2-16-1,-10-83 23,0 30-11,11 54-15,-1 27 6,0-1-1,0 1 1,0 0-1,0-1 1,0 1-1,0 0 1,2-1-1,-2 1 1,0 0-1,0-1 1,0 1-1,0 0 1,1-1-1,-1 1 1,0 0-1,0-1 1,1 1-1,-1 0 1,0 0-1,0-1 1,1 1-1,-1 0 1,0 0-1,1 0 1,-1-1-1,0 1 1,1 0-1,-1 0 1,0 0-1,1 0 1,-1 0-1,0 0 1,1 0-1,-1 0 1,1 0-1,-1 0 1,0 0-1,1 0 1,-1 0-1,0 0 1,1 0-1,-1 0 1,0 0-1,0 0 1,0 0-1,0 1 1,1-1-1,-1 0 1,0 0-1,1 0 1,-1 1-1,0-1 0,1 0 1,-1 0-1,0 1 1,0-1-1,0 0 1,1 0-1,-1 1 1,0-1-1,5 7 12,0-2-1,-1 1 0,0 0 1,0 2-1,0-3 0,-1 3 1,0-2-1,4 11 0,-4-5-11,16 37-16,-4-1 1,12 64-1,-16-66-475,2 0 0,1-1 0,27 55 0,-34-85 180,-1-1 0,-1 0 1,-2 2-1,1-1 0,4 26 1,-8-32 336,1-1 0,-1-1-1,0 1 1,-1 1 0,1-3 0,-1 3 0,0-1 0,-1-1 0,0-1 0,-1 4-1,0-3 1,0-2 0,-4 14 0,4-17 44,1 1-1,0-1 1,0 1 0,-1 0 0,1 1-1,-1-2 1,-1 0 0,2 0 0,-1 0-1,0-1 1,0 1 0,-5 1 0,6-2-50,0 0 1,0-1 0,0 1 0,0-1 0,0 1 0,-1-1-1,1 0 1,0 0 0,0 0 0,-1 0 0,2 0 0,-1-1 0,0 1-1,-1-1 1,1 1 0,0-1 0,0 0 0,0 0 0,0 0-1,-2-2 1,-8-4-15,1-2 0,0 1 0,0-1 0,-13-19 0,20 23 11,1 1-1,1 1 1,-1 0 0,1-1 0,0-2 0,-1 1 0,2 1 0,0 0 0,0 0 0,0-1-1,0-1 1,0 1 0,1 2 0,-1-2 0,1 0 0,0 0 0,2-7 0,0 0 17,0 2 0,1-1 0,1-1 0,7-13 1,25-44-63,-12 27-34,-23 41 60,14-31-82,1 2 0,1 1 0,28-35 1,23-25 51,-32 41 28,-21 30 15,10-11 43,-23 28-49,-1-1 1,0 0-1,0 0 1,0 0-1,0 1 1,0-2-1,-1 1 1,1 0 0,-1 0-1,2 0 1,-2 0-1,0 0 1,1-1-1,-1-1 1,-1 3 27,1 1 1,-2-1 0,2 0 0,-1 1 0,1-2 0,-1 1-1,1 1 1,-1-1 0,1 0 0,-1 1 0,0-1-1,1 1 1,-1 0 0,0-1 0,1 1 0,-1-1-1,0 1 1,0 0 0,0-1 0,1 1 0,-1 0 0,0 0-1,0 0 1,0 0 0,-1 0 0,2 0 0,-1 0-1,1 0 1,-2 0 0,-3 0 127,1 0 0,-1 1 1,1-1-1,-7 3 0,9-3-127,0 1 1,0 0-1,0 0 0,0 1 1,1-1-1,-1 0 0,0 0 0,0 0 1,-1 1-1,2-1 0,-1 1 1,1 0-1,-1-1 0,1 1 1,-1 0-1,1 0 0,0 0 0,0 0 1,0 1-1,1-1 0,-1-1 1,-2 6-1,3-4-24,-1 1 0,1-1-1,0 2 1,0-3 0,1 3 0,-1-2 0,0 1 0,1-1-1,1 1 1,-1 0 0,-1-1 0,2 1 0,-1-1-1,3 4 1,3 6-43,1-2 0,-1 2 1,2-2-1,-1 1 0,2-2 0,-1 1 0,2-2 0,0 0 0,-1 1 0,1-2 0,2 0 1,-2 0-1,2-2 0,0 0 0,0-1 0,-1 1 0,1-1 0,0-2 0,1 0 0,1 0 0,-2-1 1,0-1-1,29-1 0,-38 0 60,1-1 0,0 1 0,0-1 0,-1 0 1,1-1-1,0 1 0,0-1 0,0 0 0,8-5 0,-10 4-7,0 2 0,-1-2 1,0 0-1,1 1 0,-1-1 0,0 1 0,0-1 0,0 0 0,0 0 0,0 0 0,-1 0 0,1 0 0,0-1 0,-1 1 0,0 0 0,-1-7 0,2-1 0,-1 0-1,0 0 1,-1 0 0,0-1-1,-1 2 1,0-2 0,0 1 0,0 0-1,-7-19 1,3 17-34,-1-1 0,0 0 0,0 2 1,-2-1-1,1 2 0,-1-2 0,-11-10 0,9 10 5,-2 2-1,-1-1 1,1 1-1,0 0 1,-2 2-1,0-1 1,-1 2-1,1 1 1,0 1-1,-1-1 1,0 0-1,0 3 1,-26-6-1,38 9 24,0 1 1,0 0-1,0-1 0,0 1 0,1 0 1,0 1-1,-2-1 0,2 0 0,-1 1 1,0 0-1,0-1 0,0 2 0,0-1 1,1 1-1,0-1 0,-4 2 0,3-2 7,1 1 0,-1 2-1,1-2 1,0 0 0,1 1-1,0-1 1,-1 2-1,0-1 1,1-1 0,0 0-1,0 1 1,0 0 0,0 0-1,0 0 1,0 5-1,-1 3-18,1 1 0,0-1 0,1 2-1,0-2 1,3 22 0,-3-27-5,1-3 1,0 3-1,0-2 1,0 0-1,1 2 0,0-3 1,0 2-1,0-1 1,-1 0-1,1 0 1,1 1-1,1-3 0,-1 3 1,0-2-1,0 0 1,0 1-1,6 3 0,-6-5 2,1 0 0,1-1-1,-2 1 1,0-1 0,1 0-1,0 0 1,1 0 0,-1-1-1,-2 1 1,2-1 0,1 0-1,-1 0 1,0 0 0,0-1-1,-1 0 1,9-1 0,-3-1-12,1 0 0,-1-2 0,-1 1 0,1 0 0,14-12 0,3-3-164,-2-2 0,34-36-1,-20 15 42</inkml:trace>
  <inkml:trace contextRef="#ctx0" brushRef="#br0" timeOffset="84964.03">2588 16565 10234,'0'0'7,"2"3"23,-1 1 1,1-2 0,0 1 0,0-1 0,-1 0 0,1 0 0,4 5-1,-5-7-20,0 0 0,0 0 0,-1 1 0,2-1 0,-1 1-1,0-1 1,0 0 0,0 0 0,1 0 0,-1 0 0,0 0-1,0 0 1,1 0 0,-1 0 0,0 0 0,1-1-1,-1 1 1,0 0 0,0-1 0,0 1 0,2-1 0,28-15 29,-1-2 1,-2 0 0,45-37 0,-59 43-33,-2 2-35,1-1-1,-5 2 0,5-3 0,-3 1 1,18-29-1,-22 33-23,-1-3 0,-1 0 1,1 1-1,-1-2 0,-1 2 0,0-2 1,0 0-1,-2 2 0,2-3 1,-1-10-1,0-18-286,-4-49 0,1 68 224,-3 2 0,2 1-1,-2-1 1,-11-30 0,14 43 106,-1 0 0,-1 1 0,0 1 1,0-2-1,-1 2 0,1-2 0,0 2 0,-1 1 1,-1-1-1,1-1 0,-1 2 0,1-2 0,-1 2 0,-5-2 1,7 4-3,0-1 0,1 0 0,0 1 0,1 0 0,-2 0 0,0 1 0,0-1 1,-1 1-1,1-1 0,1 1 0,1 0 0,-2 0 0,0 0 0,-1 1 1,1-1-1,0 1 0,0-1 0,1 1 0,0 0 0,-2 0 0,1 1 0,1 0 1,-1-1-1,1 0 0,-1 1 0,0-1 0,2 1 0,-1-1 0,-3 5 0,2-2-13,-1 1-1,0 0 0,2-2 0,0 2 0,-1 1 0,1 0 0,0-1 0,0-1 0,1 2 0,-1 0 0,0 4 0,-1 13 28,0 29 1,3-51-1,-1 48 100,3 0 1,2 0-1,1 0 1,3-1-1,2-1 1,2 1-1,1-2 0,3 0 1,2 0-1,0-3 1,29 47-1,-42-80-17,1 1-1,1-2 0,-1 2 0,3-2 1,16 17-1,-22-24-65,1 0 0,-2 1 0,1-1 0,0-1 0,0 2 0,2-1 0,-2-1 0,1 0 0,-2 0 0,1 0 0,2 0 0,-1 0 0,0-1 0,0 0 0,-2 1 0,3-2 0,-1 1 0,0 0 0,0-1 0,0 1 0,-1-1 0,5-2 0,-1 1-46,-2-2 1,1 1 0,0 0 0,-1-1-1,0 1 1,0-1 0,-1 0 0,9-10-1,3-5-313,12-20-1,-24 35 258,1-3 21,-1 1 0,-1 0 0,0-2 0,-1 2 0,2-1 0,-2 0 0,1 0 0,-2 0-1,1-1 1,0-6 0,-1-10 165,-1-42 0,-1-4 1219,2 68-1315,-1 1 1,0 0-1,0-1 0,1 1 1,-1 0-1,1 0 1,-1 0-1,1 0 1,-1 0-1,1 0 1,1 1-1,-2-1 1,0-1-1,1 1 1,0 0-1,0 1 1,0-1-1,-1 0 1,1 1-1,0-1 1,0 1-1,0-1 1,0 1-1,0 0 1,0 0-1,1 0 1,-1 0-1,0-1 1,1 1-1,0 0 1,5-1-18,1 1 1,-1 0 0,11 1 0,-12-1 26,50 7-14,-46-4-7,3-1 0,-1 0 0,1-1 0,-1-1 0,1 0 0,11-1 1,-22 0 68,1 0 1,-1 0 0,0 1 0,0-1 0,0-2-1,0 2 1,0 0 0,4-3 0,-6 4-50,1-1 1,0 0-1,0 0 1,0 0-1,0 1 1,0-1-1,-1 0 1,2 1-1,-1-1 1,0-1-1,1 2 0,-1-1 1,1 1-1,0 0 1,-1-1-1,0 1 1,1 0-1,-1 0 1,0 0-1,0 0 1,0 0-1,0 0 1,0 1-1,1-1 1,-1 0-1,1 1 0,0-1 1,-1 2-1,2-1 1,1 2-35,-2-1 0,3 0 0,-2 0 1,0 1-1,1 1 0,-1-1 0,-1 2 0,1-2 0,0 0 1,-1 0-1,0 2 0,0-1 0,0-1 0,0 2 0,2 5 0,0 6-43,-1 0-1,2 33 1,-4-36 60,1 2 1,1 0 0,3 19-1,-5-28 7,11 21 37,-11-26-42,-1 0 1,0 0 0,0 0 0,1 0-1,0 0 1,-1 0 0,1-1-1,0 1 1,0 0 0,0 0 0,0-1-1,0 1 1,0-1 0,-1 1 0,0-1-1,3 1 1,-2-1 0,0 1 0,0-1-1,2 0 1,-1 1-1,1-1 0,0 0 0,-1 0 0,2-1 0,-3 1 0,2 0 0,-1-1 0,1 0 0,-1 1 0,2-1 0,-2 0 0,1 0 0,-1-1 0,2-1 0,-1 0-3,0 0 1,0 1-1,-1-1 1,0 0-1,0 0 0,-1 0 1,1 0-1,0 0 1,-1-1-1,4-5 0,1-9 2,0-2 0,-2 3 0,5-32 0,-8 40-1,-1-2 0,1 1 0,-1 1 0,-1 0 0,0-1 0,0 0 0,-1 0 0,-5-17-1,-2 10 8,6 10-2,8 16-4,23 42-2,55 71 0,-78-114 0,-1-1-1,4-1 0,-2 0 0,-1 1 1,3-1-1,0-1 0,-1 0 0,1 1 1,1-3-1,-1 2 0,9 3 0,-11-7 2,-1 1 0,0-1 0,-1 0 0,2 0 0,0-1 0,-1 0-1,1 0 1,-2 0 0,1 0 0,1-1 0,-1 0 0,-1 0 0,0 0 0,2-1 0,-1 1-1,-1-1 1,2-1 0,-1 1 0,-1-2 0,8-4 0,-4 2 5,1-1 0,-3-2 0,2 1 0,-3-1 0,1 1 0,1-1 0,-2-1 0,7-15 0,-1 1-2,-1-2 0,8-34 0,-14 39-21,-1 1-1,0-1 1,-1 0-1,-1-1 1,-1 1-1,-1 0 0,-1 1 1,-7-38-1,-7-4 55,-33-92 0,43 127-16,4 20-14,0-3-1,-2 1 1,-4-8-1,8 17-6,0 0 0,0 0 0,0-2 0,0 2 0,0 0 0,0 0 0,0 0 0,0 0 0,0 0 0,0 0 0,0 0 1,0-1-1,0 1 0,0 0 0,0 0 0,0 0 0,-1 0 0,1 0 0,0 0 0,0 0 0,0 0 0,0 0 0,0 0 0,0-1 0,0 1 0,0 0 0,-1 0 0,1 0 0,0 0 0,0 0 0,0 0 0,0 0 0,0 0 0,0 0 0,0 0 0,0 0 0,0 0 0,0 0 0,0 0 0,0 0 0,0 0 0,0 0 0,0 0 1,-1 0-1,1 0 0,-2 8-1,1 10-7,4 44-28,15 91-1,-15-131 34,2 1-1,2-2 0,-1 0 1,1-1-1,2-1 1,2 0-1,-2 2 0,25 30 1,-3-10-5,1-3 1,60 57-1,-76-80 13,1 0-1,0-2 1,0 1-1,26 12 1,-40-24-4,3 2 0,-2-2 0,2-1 0,-2 2 0,2-2 0,-1 0 1,1 0-1,-2 0 0,3 0 0,-2-1 0,1 0 0,0 0 0,-1 0 0,1-1 0,0 0 0,-1 0 1,-1 0-1,2-1 0,0-1 0,-3 2 0,12-7 0,-9 4 0,1 0-1,-1-1 1,0 1-1,0-2 1,-1 1 0,1-1-1,0 1 1,-2-2-1,0 0 1,1 1 0,6-14-1,-8 10 1,2-1 1,-2 0-1,0 0 0,0 0 0,-1 0 0,-1 2 1,1-23-1,-3 7 8,-1-1 1,-1-1 0,-2 1-1,-1 0 1,1 0 0,-15-35-1,-32-90 161,51 148-167,-9-21 17,9 23-20,1-1-1,0 2 0,-1-1 1,1 0-1,-1 0 1,1 1-1,-1-2 0,1 1 1,0 1-1,0-1 0,-1 0 1,1 1-1,0-1 1,-1 1-1,0-1 0,1 1 1,-1-1-1,0 1 0,0 0 1,-2-1-1,3 1-1,-1 0-1,1 0 1,0 1-1,0-1 1,-1 0-1,1 0 1,0 1-1,0-1 1,-1 0-1,1 0 0,0 1 1,0-1-1,0 0 1,-1 1-1,1-1 1,0 0-1,0 1 1,0-1-1,0 0 1,0 1-1,0-1 1,0 0-1,0 1 1,0-1-1,0 0 1,0 2-1,-1 12-22,1-12 17,3 114-85,1-48 66,-3-35 24,1 2 1,7 46 0,-5-71 7,-2 3 0,2-3 0,-1 1 1,1 0-1,0 0 0,2 0 0,-1-1 1,2-1-1,-1-1 0,14 19 0,-4-12 29,-1-2 0,2 0 0,-1-1-1,2 0 1,-1-2 0,1-1 0,0 0-1,0 0 1,1-2 0,0-1 0,1 0-1,27 3 1,-39-8-31,-1-1 0,1 1-1,-2-1 1,1-1 0,0 1-1,-1-1 1,1 0 0,0-1-1,-1 1 1,14-6 0,-15 3-3,-1 3 1,1-3 0,-1 2 0,0-1 0,-1 0 0,0-1 0,1 1 0,-1-1 0,2 1 0,-2-2 0,-1 1 0,-1 0 0,2-2 0,-1 3 0,1-2 0,2-6 0,-3 3 1,0 0 1,0 0-1,-2 0 1,1-1 0,0 1-1,0-13 1,-5-47 178,2 52-101,0-1-1,1 3 0,1-2 0,2-28 1,-2 42-76,1 0 1,-1 1-1,0 0 1,1-1-1,0 0 1,-1 0-1,1 1 1,-1-2-1,0 1 1,1 1-1,0-2 1,0 2-1,2-1 0,1-2 1,-3 4-3,0 0-1,0-1 1,0 1 0,0-1 0,0 1-1,0 0 1,0-1 0,0 1-1,0 0 1,0 0 0,1 0-1,-1 0 1,0 0 0,0 0 0,0 0-1,0 0 1,0 0 0,0 0-1,1 1 1,-1-1 0,0 0 0,0 1-1,0-1 1,0 1 0,0-1-1,2 1 1,2 3-4,1 2-1,0 0 1,-1-1 0,-1-1 0,1 1-1,1 2 1,-2-1 0,5 6-1,0 5-47,0-3 0,6 26 0,-10-27 40,-2-3-1,-1 4 0,0-4 0,0 2 0,-1 0 0,0 0 1,-1 1-1,0-1 0,-1 1 0,0-1 0,-1 0 1,-2 18-1,1-19 15,-2-1 0,2 0 0,-2 1 0,2-1 0,-1-1 1,-3 1-1,1-1 0,-1 1 0,1-2 0,-1 0 0,-1 1 0,1-1 1,-17 12-1,14-13 6,0-1 0,0 0 0,0 0 1,-2-2-1,3 1 0,-3-2 0,-15 5 1,23-7 7,0 0 0,0 0 1,0-1-1,-1 0 1,1 1-1,1-2 0,-1 1 1,0 0-1,1-1 1,-1 0-1,1 0 0,-1 0 1,0 0-1,0 0 0,1-1 1,-1-1-1,2 1 1,-3 0-1,2 0 0,0 0 1,0-1-1,0 1 1,-1-1-1,2 0 0,-4-5 1,5 6-18,0 1 0,0-1 0,0 0 0,0 1 0,0-1 0,0 0 0,1 1 0,-2-1 0,2 0 0,-1 0 0,1 1 0,0-2 0,0 1 0,0 0 1,0 0-1,0 0 0,0 1 0,0-1 0,1 0 0,-1 0 0,0 0 0,2 1 0,-1-1 0,-1-1 0,1 1 0,0 1 0,0-1 0,0 1 0,0-1 0,0 1 0,0-1 0,1 1 0,-1 0 0,2-2 0,3-2-25,0 0-1,0 1 0,0 1 1,0-1-1,0 1 0,0 1 1,0-2-1,8 0 0,33-8-1016,99-12-1,-100 18 862</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11-20T15:23:56.318"/>
    </inkml:context>
    <inkml:brush xml:id="br0">
      <inkml:brushProperty name="width" value="0.035" units="cm"/>
      <inkml:brushProperty name="height" value="0.035" units="cm"/>
    </inkml:brush>
  </inkml:definitions>
  <inkml:trace contextRef="#ctx0" brushRef="#br0">1 2614 7570,'2'5'36,"1"0"0,0 0 1,0-1-1,0 2 0,1-1 1,-1-2-1,1 1 0,1 0 1,-1 0-1,0 1 1,1-2-1,7 5 0,-4-4 24,-1-1 0,0 0 0,1 1 0,0-2 0,0 0 0,0-1 0,1 0 0,7 0 0,-1-1 45,-1-1 1,0 1 0,0-1-1,0-2 1,-1 0 0,0-1-1,1 0 1,0-1-1,24-13 1,-27 11-80,-1 0 0,1-2 0,-2 0 0,2 2-1,-1-5 1,-2 3 0,2-1 0,-3-1 0,0 1 0,0-3 0,-1 3 0,1-3 0,-2 1-1,1-1 1,3-16 0,-5 18-32,0-5 0,-2 5 0,2-4 0,-3 2 0,-1 1 0,1-1 0,-1-1 0,-1 1 0,1-1 0,-3 1 0,1 1 0,-1-2 0,0 2 0,-1-1 0,-7-17-1,14 38 6,-1 1 0,1-1 0,-1 0-1,0 2 1,1 11 0,0 3 2,23 146 63,14 87 171,-8-26-164,-28-188-64,-3 2-1,-2-2 1,-6 54 0,6-84-5,-3 2 0,1-3 0,-1 2 0,0-1 0,-2 0 0,2 0 0,-2-1 0,-2 0 0,2 0 0,-1-1 0,-1 1 0,0-1 0,0-1 0,-2 1 0,1-3 0,-3 1 0,3 0 0,-3-1 0,2 0 0,-1 1 0,0-4 0,-1 1 0,-1-1 0,1 0 0,0 0 0,-25 4 0,24-6-39,0-2 0,-1 1 0,-1-2 0,3 0 0,-1 0 0,0-1 0,-1-1 0,-25-7 1,31 7-179,0 0 0,1-4 0,-2 3 0,1-1 1,0-1-1,0 0 0,0 0 0,1-1 0,2 0 0,-3 0 1,2 1-1,0-4 0,0 3 0,-5-11 0,0-3-557</inkml:trace>
  <inkml:trace contextRef="#ctx0" brushRef="#br0" timeOffset="2444.88">631 3078 8194,'-8'23'66,"1"1"1,1-1-1,1 1 1,0 0-1,1 28 1,4-37-107,-1 6 64,1 0 0,0 1 0,2-1 1,7 34-1,-8-50-5,0 0 0,1 0 0,0 0 0,0 0 0,0 1 0,0-3 0,1 2 0,0-1 0,0 0 0,0 0 0,0 1 0,2-2 0,-2 1 0,0-1 0,0 0 0,1 0 0,0 0 0,1 2 0,-1-3 0,0-1 0,1 1 0,0 0 0,0 0 0,6 1 0,-7-2-12,0 0 1,1-1 0,-2 1 0,1-1-1,0 0 1,0 0 0,1 0-1,-2-1 1,1 1 0,0-1 0,0 0-1,0 0 1,0 0 0,-2-1-1,2 1 1,1-1 0,3-2 0,-4-2-8,3 2 1,-2-1 0,0 0-1,1 0 1,-2-1-1,0 0 1,0 1 0,1-1-1,2-9 1,1 2-253,0-4 0,-2 2-1,1-2 1,-1 1 0,4-30 0,-8 39 138,-2 0 1,1 0 0,-1 1 0,0-2 0,-1 1-1,1 1 1,-1-1 0,-1 0 0,1 0-1,-2 1 1,2-1 0,-1 0 0,0 1-1,-1 0 1,0 0 0,-2-1 0,-2-4 0,0 1 300,-2 0 1,2 1 0,-3 0 0,2 0 0,-3 1 0,0 1 0,2-1 0,-2 2 0,-13-8 0,24 13-167,-1 1 0,0-1 0,0 1 0,0 0 0,0 0 0,1 0 0,0-1 0,-2 1 0,1 0 0,0 0 0,0 0 0,0 0 0,0 0 0,0 1 0,0-1 0,1 0 0,-1 0 0,0 0 0,0 1 1,0-1-1,0 1 0,1-1 0,-2 2 0,1-1-7,0 1 1,-1-1-1,1 0 0,0 1 1,0-1-1,0 1 1,0-1-1,0 1 0,0 0 1,1-1-1,-2 3 1,1 3 14,0-2 0,0 1 0,0-1 0,0 3 0,1-2 0,1 8 0,-1-9-24,1-1-1,-1 0 1,1 0 0,0 0-1,1-1 1,-1 1 0,1 1-1,-1-1 1,1-1 0,0 0-1,2 1 1,-3-2-1,1 2 1,1 0 0,0-1-1,0 0 1,1-1 0,-2 1-1,1-1 1,4 3 0,0-1 1,0-1 0,2 1 1,-2-1-1,0-1 0,2 0 1,0-1-1,-1 1 0,15-1 1,10 0-8,46-4 0,-67 2 0,-1-1 0,1 0 1,-1 0-1,-1-1 1,1-2-1,-1 0 1,20-8-1,-22 8 28,-1-2-1,0 2 0,0-1 1,8-10-1,-3 4 226,-12 11-243,1 0 0,-1 1-1,0-1 1,1 0 0,-1 1-1,1-1 1,0 1 0,-1-1 0,1 1-1,0 0 1,0-1 0,-1 1-1,2 0 1,-1 0 0,0-3 0,0 3-1,0 0 1,0 0 0,-1 0-1,1 0 1,0 0 0,0 0-1,0 0 1,1 3 0,-1-3-4,0 1 1,0 0-1,0-1 0,1 1 1,-1 0-1,0 0 1,0 0-1,1 0 0,-1 0 1,0 1-1,0-1 1,1 2-1,2 3 0,0 2-1,-2-1 1,1-1-1,3 13 1,9 43 6,7 25 31,-16-74-20,-1-1 0,1 1 1,0-1-1,14 20 0,-6-14 33,-3-1-1,3-1 1,1 0-1,25 21 1,-30-31-35,-2 2 1,1-3-1,0 1 0,1 0 1,-1-3-1,1 2 1,2-1-1,-3-1 1,2 0-1,16 3 0,-13-5-9,-2 0-1,2-1 0,-2 0 0,-1-1 0,2 0 0,15-5 1,-24 5-4,0 0 1,0 0 0,0-1 0,0 0 0,0 0 0,0 0-1,0-1 1,-1 1 0,2 0 0,-2 0 0,-1-2-1,1 1 1,0 0 0,0-1 0,0 1 0,0-1-1,-1 1 1,0-2 0,0 2 0,-1-1 0,1 0-1,1-4 1,2-8 29,-2 1-1,0 0 0,-1-1 1,0-28-1,-3 17-20,-1 0 1,-5-27-1,4 36-9,-3 1-1,2 1 1,-1 0 0,-2-1 0,-9-17-1,2 8 20,-2 1 0,-21-26-1,37 51-22,0-1-1,0 1 1,0 0-1,0-1 1,0 1-1,-1 0 1,1 0-1,0-1 1,0 1-1,0 0 1,-1 0-1,1-1 1,0 1-1,0 0 1,-1 0-1,1 0 1,0 0-1,0-1 1,-1 1 0,1 0-1,0 0 1,-1 0-1,1 0 1,0 0-1,-1 0 1,1 0-1,0 0 1,-1 0-1,1 0 1,0 0-1,0 0 1,-1 0-1,1 0 1,0 0-1,-1 0 1,1 0-1,0 0 1,-1 0-1,1 0 1,0 0-1,0 1 1,0-1-1,0 0 1,0 0-1,-1 0 1,1 1-1,0-1 1,0 0-1,0 0 1,0 0-1,0 1 1,0-1-1,0 0 1,0 1-1,0-1 1,-1 0-1,1 1 1,-6 20 110,8-5-81,-1-1 1,1 0-1,0 0 1,0 1-1,12 29 1,-9-23-27,3-4-2,-1-1-1,0 2 1,3-4-1,-1 2 1,18 22-1,-6-7 7,-15-22-7,-1-2 0,-1 0-1,6 17 1,-9-23-5,0 1 0,0 1 0,-1-2 0,1 1 0,0-1 0,-1 1 0,0 0 0,0-1 0,0 1 0,0 0 0,0 0 0,0 0 0,-1 0 0,1-1 0,-1 1 0,0-1 0,-1 5 0,2-7 1,0 0 0,0 0 0,0 0 1,0 0-1,0 0 0,0 0 0,0 0 1,0 0-1,0 0 0,0 0 0,-1 0 1,1 0-1,0 0 0,0 0 0,0 0 1,0 0-1,0 0 0,0 1 0,0-1 1,0 0-1,0 0 0,0 0 0,0 0 1,0 0-1,0 0 0,0 0 0,0 0 1,0 0-1,0 0 0,0 0 0,0 0 0,0 0 1,0 0-1,-1 0 0,1 0 0,0 0 1,0 0-1,0 0 0,0 0 0,0 0 1,0 0-1,0 0 0,0 0 0,0 0 1,0 0-1,0 0 0,0 0 0,0 0 1,0 0-1,0-1 0,0 1 0,0 0 1,0 0-1,0 0 0,-2 0 0,2 0 1,0 0-1,0 0 0,0 0 0,0 0 1,0 0-1,0 0 0,0-6-13,-1-5 18,1-8-3,1 0 0,2 0 0,0 1 0,1-1-1,1 1 1,1 1 0,-1-1 0,1 0 0,3 2-1,-2 0 1,2-1 0,0 1 0,3 0 0,15-18-1,-22 29 1,-1 1-1,2-1 1,0 1-1,-2-2 1,1 4-1,1-2 1,0 1 0,-1 0-1,2 1 1,0-1-1,-1 1 1,1 0-1,-1 0 1,1 0-1,0 1 1,11 0-1,-7 1-11,-1 0-1,2 1 1,-2 2 0,1 0-1,1-1 1,-3 1-1,3 1 1,-3-1-1,15 8 1,2 5-26,0 1-1,-4-1 1,1 3 0,38 37-1,-53-48 59,2 0 0,12 9 0,-18-14-29,0-1 0,-1 1 0,1-1 0,0 0 1,0 0-1,2-1 0,-3 1 0,2-1 0,5 0 0,-9 0 5,0-1 0,0-1 0,0 1 0,-1 0 0,1 0 0,0 0 0,0 0 0,0-1 0,0 1 0,0-1 0,1 1-1,-1 0 1,0 0 0,0-2 0,0 2 0,0-1 0,-1 1 0,1-1 0,1-1 0,0 0 4,-1-2 1,1 2-1,-1 0 1,-1 0-1,1-1 0,0 1 1,3-5-1,-3-3 9,1 1-1,-1 0 1,0-16-1,-3-12-17,-1 2-1,-3-1 1,-10-40 0,10 42-15,5 27 13,0 1-1,0 0 0,1-1 1,0 2-1,1-11 0,1 13-24,1 7 20,4 6 3,5 32 10,11 67 1,-16-76 17,28 145 184,-35-177-197,0 0 0,1 1 0,-1 0 0,0-1 0,0 1 0,0 0 1,0-1-1,0 1 0,0 0 0,-1 2 0,1-3-1,0-1 0,0 0 0,0 0-1,0 0 1,0 1 0,0-1 0,0 0 0,0 0 0,0 0 0,0 0 0,0 1 0,-1-1-1,1 0 1,0 0 0,0 0 0,0 0 0,-1 0 0,1 0 0,0 2 0,0-2 0,0 0-1,-1 0 1,1 0 0,0 0 0,0 0 0,0 0 0,-1 0 0,1 0 0,0 0-1,-10-8 94,9 6-88,0 0-1,0 0 1,-1 0-1,1 1 1,1-1-1,-1 0 1,0-1-1,1 2 1,-1-2-1,0 1 0,1 0 1,-1-6-1,1 7-3,0-1 0,0 1-1,0 0 1,0-1-1,0 1 1,0-1 0,1 2-1,-1-3 1,0 2-1,1 0 1,-1-1 0,1 1-1,-1-2 1,1 2-1,0 0 1,-1 0 0,1-1-1,-1 1 1,1 0 0,0 0-1,0 0 1,2-2-1,-2 4-1,1-1 0,0 0 0,0 0 0,0 1 0,0-1 0,-1 1 0,0 0 0,1-1 0,0 1 0,-1 0 0,2 0 0,-2 0 0,3 2 0,3 2 1,51 27-10,-35-21 2,-1 3 1,38 11-1,-51-23-37,-1 0 1,1 0-1,1 0 0,-3-1 0,17 1 0,-20-3 37,-1 1-1,1-1 0,-1 1 0,2-1 0,-2 0 0,1 0 0,0-1 0,-1 1 0,1-1 1,-1 1-1,0-3 0,0 2 0,1 0 0,0 0 0,2-6 0,0 3 4,0-1 0,0 0 0,-3-1-1,2 1 1,-1 0 0,0-2 0,0 1 0,-2 1-1,2-2 1,-1 0 0,0 1 0,-1-1 0,0 0-1,-1 0 1,0 1 0,0 0 0,0-2 0,-1 0-1,0 2 1,-1-2 0,0 1 0,0 1 0,-1-2-1,-2-6 1,-22-55 6,19 53 4,-1-1-1,1 0 0,2-1 0,0 1 1,1-1-1,-3-28 0,7 46-7,0-2 0,0 2 0,0 0 0,0 0 0,0-1 0,0 1 0,1-1 0,-1 1 0,1-2 1,-1 2-1,1-1 0,-1 1 0,1 0 0,0 0 0,1-2 0,-2 3 0,1-1 0,-1 1 0,0 0 1,0 0-1,1 0 0,-1 0 0,0-1 0,1 1 0,-1 0 1,0 0-1,1 0 0,-1 0 0,0 0 0,1 0 0,-1 0 1,0 0-1,2 0 0,-2 0 0,0 0 0,1 0 1,-1 0-1,0 0 0,1 0 0,-1 0 0,0 0 0,1 1 0,0 0 0,0-1-1,0 1 1,0 0-1,0 0 1,0-1 0,0 1-1,0 0 1,0 0-1,1 1 1,10 18-3,0-1-1,-2 2 1,1 1 0,-3-1 0,1 1-1,-3 0 1,1 1 0,-2 0 0,4 34-1,-2-26-4,7 31 0,4 18 109,-3-126 178,6-36-266,19-67 0,-39 141-15,2 1 0,1-2-1,0 2 1,-1 0 0,1 0 0,0 0-1,2 1 1,9-11 0,-14 14 1,0 2 1,1-1-1,0 0 1,0 1 0,1 0-1,-1-1 1,0 1-1,1 0 1,0 0 0,-1 0-1,0 1 1,0-1-1,0 0 1,1 1 0,0 0-1,-1-2 1,1 2-1,-1 0 1,0 0-1,0 2 1,1-2 0,0 0-1,0 1 1,-1 0-1,1-1 1,-1 1 0,0 0-1,0 0 1,1 0-1,3 3 1,3 4-13,2 2 1,0-1-1,-2 0 1,11 14-1,-7-7-2,18 15 0,5-3-18,1-1-1,2-2 1,1-1-1,48 22 1,-71-39 47,1-1 0,-2 0 0,0 0 0,0-1 0,4-2 0,-2 0-1,-1-1 1,1-1 0,18-1 0,-33 0-13,-1 0 0,1 0 0,0-1 0,-1 1 0,2-1 0,-1 1 0,-2-1 0,2 0 0,0 0 0,-1-1 0,0 1 0,1 0 0,-1-1 0,0 0 0,0 1 0,0-1 1,-1-1-1,1 1 0,4-3 0,-5 2-4,1 0 1,-1 0-1,1-1 1,-1 2-1,0-1 1,-1-2 0,1 2-1,0-1 1,-1 0-1,0 1 1,0-1-1,0 1 1,0-1-1,-1 0 1,0-3 0,-4-14-5,-2 2 0,1-1 0,-1 0 0,-19-33 1,-4-9 22,-8-32 86,38 93-100,0 1-1,-1-1 1,1 1-1,0 0 1,0-1 0,0 1-1,0 0 1,0-1 0,-1 1-1,1 0 1,0-1-1,0 1 1,-1 0 0,1 0-1,0-2 1,-1 2-1,1 0 1,0 0 0,0-1-1,-1 1 1,1 0 0,-1 0-1,1 0 1,0 0-1,0 0 1,0-1 0,0 1-1,-1 0 1,1 0 0,-1 0-1,0 1 0,1-1-1,-1 0 1,0 1-1,1-1 1,-1 2 0,1-2-1,-2 1 1,2 0-1,-1-1 1,1 1 0,-1-1-1,1 1 1,0 0-1,-1 1 1,-10 35-29,9-27 30,-3 3-5,-2 12-3,-1-1 0,4 1 0,-4 40 0,7-59 9,1 0 0,0 0 0,0 2 0,1-2 0,-1 0 0,1 0 0,1 1 0,-1-1 0,1 0 0,0-1 0,1 2 0,-2-1 0,3-1 0,-1-1 0,0 3 0,1-1 0,0-1 0,0-1 0,9 10 0,-8-10 3,-1-1 0,0-1 0,1 0-1,0 1 1,0-1 0,-1 0 0,2-1 0,0 1-1,-1-1 1,-2 0 0,4 0 0,-2-1-1,0 0 1,0 0 0,0 0 0,1 0 0,0-1-1,-1 0 1,0 0 0,0 0 0,7-4-1,-6 4-4,-1-1-1,0-1 0,-1 2 1,2-1-1,-1-1 0,-1-1 1,0 1-1,1-2 1,-1 2-1,0-1 0,-1 0 1,2 0-1,-1-1 0,-2 1 1,1-1-1,0 1 0,-1-1 1,1-1-1,-1 1 0,0 0 1,1-7-1,-2 3 26,0 1 0,-1 0 0,0-1 0,0 1 0,0 0 0,-3-13 0,-13-48 469,3 27-143,34 96-149,-8-16-173,47 108-39,17 60-508,-59-150 454,20 101 0,-26-94 72,1 69 1,-13-127-8,1 1 0,-1 1-1,-1-2 1,1 0 0,-1 0 0,0 1 0,0 0-1,0 0 1,-2-2 0,1 2 0,0 1-1,-1-2 1,1 0 0,-1-1 0,-1 1 0,1 1-1,0-2 1,-1 1 0,0-1 0,-1-1-1,1 1 1,1 1 0,-7 2 0,6-4 9,0-1 1,1 0-1,-2 0 1,1 0-1,-1 1 1,1 0-1,1-2 0,-2 0 1,1 0-1,-1 0 1,0 0-1,1 0 1,0-1-1,0 0 1,-2 0-1,1 0 1,2-1-1,-2 1 1,0-1-1,1 0 1,0-1-1,0 1 0,-1-2 1,0 0-1,-5-1 1,2 0 14,1-1 1,0 1-1,0-2 0,1 0 1,-1 1-1,2-1 1,0-1-1,0 0 0,-1 2 1,2-2-1,-1-1 1,1 1-1,0 0 0,0-2 1,2 2-1,-2 0 1,1-2-1,1 1 0,0 0 1,0-1-1,1 1 1,0-11-1,-1-17-313,3-4-1,1 4 1,2-4-1,1 4 1,2-2 0,1 2-1,23-64 1,-10 44-311</inkml:trace>
  <inkml:trace contextRef="#ctx0" brushRef="#br0" timeOffset="2962.65">805 2532 12371,'-35'41'200,"20"-14"-312,16-2-280,15-9-113,4-5-119,6-1 192,-1-6 184</inkml:trace>
  <inkml:trace contextRef="#ctx0" brushRef="#br0" timeOffset="3800.88">2236 2483 12779,'-26'19'256,"3"4"-368,9 0-192,7-2-160,1-13-145,5-5-135,2-3-384,3-2 624</inkml:trace>
  <inkml:trace contextRef="#ctx0" brushRef="#br0" timeOffset="5798.41">544 4614 8418,'1'0'42,"-1"0"0,1 0 0,-1 0 0,1 0 0,-1 0 0,1 0 1,-1 0-1,2 0 0,-1 0 0,-1 0 0,1 0 0,-1 0 0,1 0 0,-1 0 0,1 1 1,-1-1-1,1 0 0,-1 0 0,1 1 0,-1-1-25,0 1 0,0-1 0,0 0 1,0 0-1,1 0 0,-1 0 0,0 0 0,0 0 0,1 0 1,-1 1-1,0-1 0,0 0 0,1 0 0,-1 0 0,0 0 0,0 0 1,1 0-1,-1 0 0,0 0 0,0 0 0,1 0 0,-1-1 1,0 1-1,0 0 0,0 0 0,1 0 0,-1 0 0,0 0 0,0 0 1,1 0-1,-1-1 0,0 1 0,0 0 0,0 0 0,0 0 1,1 0-1,-1-1 0,0 1 0,0 0 0,0 0 0,0 0 0,0-1 1,1 1-1,-1 0 0,0 0 0,0-1 0,17-28 259,-1 0 0,0 1 1,13-36-1,-24 48-242,15-36 53,29-104-1,-6-62-179,-37 185 9,-1-1-1,0-48 1,-5 66 75,0 0 0,-3-2 1,2 4-1,-2-4 0,0 1 1,-2 3-1,-5-21 0,9 32 9,-1 0 0,1 0 0,-1 1 0,1 0 0,-1-1 0,0-1 0,-3-1-1,4 3 1,1 2 0,-1-1-1,1 1 1,-1-1-1,0 1 1,1-1-1,-1 1 1,1 0-1,-1-1 1,1 1-1,-1 0 1,0 0 0,0 0-1,1 0 1,-1-1-1,1 1 1,-2 0-1,1 0 1,1 0-1,-1 1 1,0-1-1,0 0 1,1 0 0,-1 0-1,0 1 1,0-1-1,1 0 1,-1 0-1,0 1 1,1-1-1,-1 1 1,0-1-1,1 1 1,-1-1-1,0 3 1,-4 1-7,1 1 1,1-1-1,-1 0 0,1 1 1,-2 1-1,4 0 0,-2-1 1,-3 9-1,-14 48-33,19-58 39,-10 42-3,1-1 1,2 0 0,3 0 0,0 1 0,3 1-1,4 52 1,2-61 4,0 0 0,2 0 1,3 0-1,-1 0 0,3-2 0,1 0 0,30 60 0,-32-78 19,0 2 0,2-2 0,-1 1-1,29 25 1,-37-38-10,2-1-1,0 0 1,2-1 0,-3 0-1,2 0 1,0 2-1,0-3 1,-1-1 0,2 1-1,0 0 1,-3-1-1,4 0 1,-1 0 0,1-1-1,-3 0 1,2 0-1,0 0 1,8-1 0,-11-1-9,0 0 0,-1 0 0,2 0 0,-2 0-1,1-1 1,0 0 0,-1 1 0,1-1 0,-1-1 0,0 1 0,0 1 0,0-2 0,0-1 0,1 1 0,1-4 0,2-2-35,0-1-1,-2 1 1,1 0 0,5-14 0,-7 11-34,1 1 1,-1 0-1,-1-2 0,0 1 1,1-13-1,1-62-182,-5 63 302,2 0 0,0 0 0,10-38 0,-11 55-23,0 2 1,1-1-1,1 0 1,-1 1 0,1-1-1,0 1 1,6-7-1,-7 10-20,0 0 1,0-1-1,0 1 0,0 0 0,1 0 0,-1 0 0,1 0 0,-1 1 0,0-2 0,1 2 0,1 0 0,-1 0 0,0 1 0,-1-1 0,6-1 0,22 1 16,-19 0-21,0 0-1,0-2 0,1 1 0,16-5 0,3-1 3,-26 8-10,0 0 0,0-1 0,-1-1 0,2 1 0,-2-1 0,1 0 0,-1-1 0,9-3 0,-13 5-7,0 1 1,1 0 0,-1 0-1,0-2 1,1 2-1,-1 0 1,0 0 0,0 0-1,1-1 1,-1 1 0,0 0-1,1 0 1,-1 0 0,0 0-1,1 0 1,-1 0-1,0 0 1,2 0 0,-2 0-1,0 0 1,1 0 0,-1 0-1,1 0 1,0 8-119,-6 18 64,3-17 52,-2 12 36,1 2 0,1 0 1,1 0-1,1 0 1,1 1-1,5 27 0,-4-37-11,3 1-1,-3-1 0,3 1 1,0-1-1,1 0 0,-1-1 0,2 1 1,0-3-1,0 3 0,16 20 1,-19-31-9,-1 0 0,1 0 1,-1 0-1,1 1 0,0-2 1,-1 1-1,1 0 1,-1-2-1,1 1 0,1 0 1,-2-1-1,10 3 0,-11-3 7,1-1 0,-1 0 0,-1 0-1,1 0 1,0 0 0,2 0-1,-2-1 1,0 1 0,0-1 0,0 1-1,1-1 1,-1 0 0,-1 0 0,2 0-1,-1 0 1,0 0 0,0 0-1,-1 0 1,1 0 0,0 0 0,-1-2-1,1 2 1,1-1 0,-2-1-1,0 2 1,0-1 0,1-3 0,4-5 4,-1-1 0,0 0 0,-2 1 0,0-2 1,0 3-1,-1-3 0,0 1 0,2-15 0,-3-7-32,-3-52-1,4-6-5,-3 85 24,2-1 0,-1 2 0,1-2 0,0 1 0,2-7 0,-3 13 0,0 0 0,0 0 0,0 0 1,0 0-1,0 0 0,0 0 0,0 0 0,0 0 0,0 0 0,0 0 0,0 0 0,0 0 0,0-1 0,0 1 0,0 0 0,0 0 0,0 0 0,0 0 0,0 0 0,0 0 0,1 0 0,-1 0 0,0 0 0,0 0 0,0 0 0,0 0 0,0 0 0,0 0 0,0 0 0,1 0 0,-1 0 0,0 0 0,0 0 0,0 0 0,0 0 1,0 0-1,0 0 0,0 0 0,0 0 0,1 0 0,-1 0 0,0 1 0,0-1 0,0 0 0,0 0 0,0 0 0,0 0 0,0 0 0,0 0 0,0 0 0,0 0 0,0 0 0,1 0 0,-1 0 0,0 0 0,0 0 0,0 0 0,0 0 0,0 0 0,0 0 0,0 0 0,0 0 0,0 1 0,6 9 9,-4-6-4,23 41 17,3-1 0,50 67 0,-68-101-21,-1 0 0,2 0 0,-1-1 0,1-1 0,1 1 0,1-1 1,-2-1-1,1 0 0,0-1 0,17 4 0,-20-7 0,1 0-1,-1-1 1,2 1 0,-2-2-1,1 0 1,-2-1 0,3 0-1,-1 0 1,-1-1 0,1 0-1,-2-2 1,2 1-1,0 0 1,-1-1 0,11-4-1,-11 3 0,0-1 0,-1 0 0,0 0 0,0-1 0,0 0 0,-2 0 0,0-1 0,1 0 0,-1 0 0,0-1 0,0 1 0,0-1 0,-1 0 0,0-1 0,-1 0-1,0 1 1,0-2 0,0 1 0,-2 0 0,0-1 0,0 1 0,1-13 0,-1 0 3,-1 0 0,-1 1 0,-1-2 0,-1 2 0,-9-40 1,-2 11 55,-26-69 0,26 84-16,-14-34 9,25 62-52,0-1-1,0 0 1,1 2 0,0-3-1,0 1 1,1 0 0,0-9-1,0 17-1,0-1-1,0 1 1,0-1-1,0 1 0,0-1 1,0 1-1,0-1 0,0 1 1,0-1-1,1 1 1,-1 0-1,0-1 0,0 1 1,0-1-1,0 1 0,1-1 1,-1 1-1,0 0 0,1-1 1,-1 1-1,0 0 1,0 0-1,1 0 0,0-1 1,-1 1-2,0 1 1,1-1 0,-1 0-1,1 0 1,-1 0 0,1 0 0,-1 0-1,0 0 1,1 1 0,-1-1-1,0 1 1,0-1 0,1 0-1,-1 1 1,0-1 0,0 1 0,1-1-1,-1 1 1,10 26-57,13 95-86,-19-84 130,2-3 1,13 43-1,-8-40 12,4-2 0,25 48 1,-32-69 5,3 0 0,-1 1 0,0-3 0,2 2 0,-2-3 0,4 2 0,16 14 0,-8-13 40,-1 1 0,37 18-1,-49-29-29,-1-3 0,0 2-1,0-1 1,1 0-1,-1-1 1,0-1-1,0 1 1,1-1 0,0-1-1,0 1 1,14-3-1,-19 1-7,0 0 0,0 0 0,-1 0 0,0 0-1,1-1 1,-1 1 0,1-2 0,-1 1 0,-1 0-1,2 0 1,0 0 0,-1-1 0,-1 1 0,1-1-1,0 0 1,-1 0 0,-1-1 0,3 1 0,-2 0-1,0-1 1,-1 1 0,1 0 0,-1-1 0,1 0-1,-1 0 1,0 0 0,1-7 0,1-8 18,-2 2 0,0-2 0,-2 0 1,-4-30-1,-24-152 93,0 4 115,28 187-229,1 4 1,0 0-1,0 2 1,-1-2 0,-3-9 0,4 15-3,0 0 1,0 0 0,0 0 0,0 0 0,0-1 0,0 1 0,0 0-1,0 0 1,0 0 0,0 0 0,0 0 0,-1 0 0,1 0-1,0 0 1,0 0 0,0-1 0,0 1 0,0 0 0,0 0 0,0 0-1,0 0 1,0 0 0,0 0 0,0 0 0,0 0 0,-2 0 0,2 0-1,0 0 1,0 0 0,0 0 0,0 0 0,0 0 0,0 0 0,0 0-1,0 0 1,0 0 0,-1 0 0,1 0 0,0 0 0,0 0-1,0 0 1,0 0 0,0 0 0,0 0 0,0 0 0,-1 0 0,-2 5-15,-2 12-13,0 12 3,0 1-1,-3 56 0,8-68 31,1-1-1,1 2 1,0-1-1,1-2 1,1 3-1,7 21 1,-3-22-5,-2 1 1,2-2-1,1 0 1,1 0-1,1-1 0,0 0 1,2-1-1,16 20 1,-18-24-2,1-1 1,1 1-1,0-1 1,0 0-1,2-2 1,-2-1-1,1 0 1,2 1-1,-2-3 1,20 6 0,-26-9 1,1-1 1,-1 2 0,2-2 0,-2-1 0,2 1 0,8-2 0,-15 0 3,1 1 0,0 0-1,-1-2 1,0 1 0,-1 0 0,1 0-1,0 0 1,-1-1 0,1 1 0,0-1-1,-1 1 1,0-1 0,0 0 0,1 0-1,0 0 1,-1 0 0,1-1 0,-1 1-1,0-3 1,1 1 0,3-9 17,0-1 1,-1 0 0,-1-1-1,0 1 1,-1 0-1,2-20 1,-2 10 56,9-29 0,-6 36-48,0 1 0,1-2 0,1 3 0,1-1 0,0 0 0,17-23 0,-23 36-35,0 1-1,0-1 0,0 1 0,0-2 1,-1 2-1,2 0 0,-1 0 0,0 1 1,1 0-1,-1 0 0,0 0 1,0 0-1,2 0 0,-2 0 0,1 0 1,0 1-1,-2 0 0,3 0 0,-1 0 1,0 0-1,-1 1 0,2-1 1,2 2-1,3 0-32,-3 1-1,1-2 1,-1 2 0,0 3 0,2-3 0,-2 2-1,1-1 1,-1 0 0,7 8 0,-8-6 24,1-1 1,-1 0-1,-2 2 0,2 1 1,-2-1-1,1-2 1,-2 4-1,1 0 1,1-3-1,-1 2 0,-1 1 1,-1-2-1,0 2 1,0 0-1,0-2 0,0 2 1,-2 0-1,0-2 1,0 2-1,0-1 0,0 0 1,0 1-1,-1 0 1,-2-1-1,1 1 0,1-1 1,-2 0-1,0 0 1,0 0-1,-1-1 0,-1 1 1,2-1-1,-2 0 1,1 0-1,-2 0 0,1 0 1,-8 7-1,3-5 12,-3 0-1,1 0 0,-1-1 1,2-1-1,-25 11 1,16-10 0,-1-1 1,1 0 0,-25 4-1,37-10 51,-1 0-1,0 0 0,2-1 0,-2 0 0,2-1 0,-3 1 0,2-2 1,0 1-1,-10-4 0,14 4-31,-1-1 1,1 0-1,-2 0 1,3-1-1,-1 0 1,0 0-1,1 1 1,-1-1-1,0-1 1,2 1-1,-2-1 1,0 0-1,1 0 1,0 0-1,0 0 0,-2-7 1,3 9-20,1-1 0,0 1 0,0 0 1,0 0-1,1-1 0,-1 1 0,1 0 0,-1 0 1,1 0-1,0 0 0,0-1 0,0 1 0,0-1 0,1 1 1,-1 0-1,0 0 0,1-1 0,0 1 0,-1 0 0,1 0 1,0 0-1,0 0 0,1 0 0,-1 1 0,0-3 0,0 3 1,0-1-1,1 1 0,-1-1 0,1 1 0,-1-1 0,1 1 1,2-2-1,3-1-11,-2 1 0,1-1 0,-1 1 0,1 0 0,1 1 0,0-1 0,0 2 0,-1-1 0,12 0 0,18 0-513,62 5 0,7 0-510,-70-5 798</inkml:trace>
  <inkml:trace contextRef="#ctx0" brushRef="#br0" timeOffset="11088.59">1056 7713 7210,'-1'-2'19,"-1"0"0,1 2 0,0-2 0,0 1 0,0-2 0,1 2 0,-1-1 0,1 1 0,-1-1 1,1 1-1,0-1 0,-1 0 0,1 1 0,0-1 0,0 0 0,0 1 0,0-2 0,1 2 0,-1 0 1,1-4-1,1-5 50,1 0 0,6-14 1,-2 8 77,81-322 1046,-75 271-1131,0 4-20,41-123 0,-47 169-43,6-19 11,22-39-1,-31 67-9,2 0-1,-1-2 1,1 2-1,0 1 1,1-1-1,1 0 1,-2 1-1,1 1 1,12-10-1,-16 15-4,0-1-1,-1 1 1,0 0-1,1 0 1,-1 0-1,-1 1 1,2-2-1,0 1 1,-1 1-1,1-1 1,0 1-1,-1 0 1,1 0-1,0 0 1,-1 0-1,1 0 1,-1 1-1,1-1 1,-1 1 0,0-1-1,2 2 1,0-1-1,-1 1 5,1 1-1,-1-1 1,1 1-1,-1 0 1,0 1-1,-1-1 1,1 1-1,1-2 1,-1 2-1,-1-1 1,0 1-1,3 8 1,6 13 28,-2 0 1,-1 1-1,-1 1 1,7 49 0,4 18 126,55 126 397,-21-74-401,-45-127-146,61 234 15,-63-213-345,-7-39-209,-4-4 178,0-7-587,-3-3-891,-2-2 724</inkml:trace>
  <inkml:trace contextRef="#ctx0" brushRef="#br0" timeOffset="11459.39">1186 7531 5977,'-5'0'800,"0"-1"1321,4-1-2009,5-2-112,3-1-16,6-6 16,6 4 0,6-5-8,2-3-128,5 7-168,1-5-256,-3 1-649,5-3 721</inkml:trace>
  <inkml:trace contextRef="#ctx0" brushRef="#br0" timeOffset="14228.42">1906 7658 10018,'2'6'73,"6"9"330,-8-15-400,1 1-1,-1-1 1,1 0-1,-1 1 1,1-1-1,-1 0 1,1 0-1,0 1 1,-1-1-1,1 0 1,-1 0-1,1 0 1,1 0 0,-2 0-1,1 0 1,0 0-1,-1 0 1,0 0-1,1 0 1,-1 0-1,1 0 1,-1 0-1,0-1 1,1 1-1,0-1 1,4-1-19,-1-1 0,1 1 1,-1-1-1,0 0 0,0 0 1,-1 0-1,1-1 0,-1 1 1,0-2-1,0 1 0,6-9 0,1-3-41,14-32-1,-24 47 56,18-37-7,-6 0 0,0-2 0,1 1 1,10-81-1,-18 92-4,-3-1-1,-2 1 1,0-1 0,-1 1 0,-3 0 0,0 0 0,-1 0 0,-11-33-1,3 24-16,-1-11-15,-26-62 0,39 107 34,-1 1 0,0-1 0,1 0-1,-1 1 1,-1-1 0,1 1 0,1-1-1,-1 1 1,-5-4 0,7 5 4,-1 1 0,1 0 0,0 0 0,-1-1 1,1 1-1,-1 0 0,1 0 0,0 0 0,-1 0 0,1 0 0,-2 0 1,2 0-1,-1 0 0,1 0 0,-1 0 0,1 0 0,-1 0 1,1 0-1,0 0 0,-1 0 0,1 0 0,-1 0 0,1 0 0,-1 1 1,1-1-1,-1 1-7,1 0 1,-1 0 0,0 1-1,0-1 1,1 0 0,-1 0-1,0 0 1,1 2 0,-1-3-1,1 1 1,-1 0 0,1 0-1,0 1 1,-1 0 0,-1 19-25,0 0 1,1-2 0,3 41-1,-1-32 28,4 68-23,4 2 0,5-4 0,35 134 0,-32-170 147,41 90 0,-54-140-96,0-2 1,0 1-1,-1 0 1,2 0-1,0-1 1,0 0-1,-1 0 1,1-1-1,2 1 1,7 6-1,-11-10-20,0 0-1,1 0 1,0 0-1,-1-1 1,0 1-1,1 0 1,0-1-1,0 0 1,1 0-1,-2-1 1,1 1 0,0-1-1,0 0 1,0 0-1,0 0 1,-1-1-1,2 1 1,-1-1-1,0 0 1,0 0-1,4-3 1,-4 2-28,-1 0 0,1 0 0,0 0-1,-2 0 1,1-1 0,0 1 0,-1-1 0,1 0 0,0-1-1,0 1 1,-1 0 0,0 0 0,-1 0 0,1 0 0,0-1-1,-1 1 1,0-2 0,0 2 0,0-1 0,0 0 0,0 0-1,-1 0 1,1-4 0,0-10-312,0 2 0,-2 0 0,-3-33 0,2 26 281,-3 1 0,2 2 0,-4 1 0,0-2 0,1 1 1,-4 0-1,-15-29 0,21 45 75,1-1 43,0 0 1,1-1 0,-1 0-1,0 0 1,-2-11 0,4 15-51,1 1 0,0 0 0,0 0 1,0 0-1,0 0 0,0 1 0,0-3 0,0 2 1,0 0-1,1 0 0,-1 0 0,0 0 1,1 0-1,-1 0 0,0 0 0,1 0 0,-1 0 1,1 0-1,0 0 0,-1 0 0,1 0 1,0 0-1,0 0 0,0 1 0,-1-1 0,1 0 1,0 0-1,0 1 0,0-1 0,0 1 1,-1-1-1,1 1 0,0-1 0,1 1 0,-1 0 1,0 0-1,1 0 0,1 0 0,44-8 142,-39 8-147,-2 0 1,0-1 0,2 0 0,-2 0 0,2-1 0,-1-1 0,0 0 0,0 1 0,-1-1-1,9-5 1,-1-3 2,0 1 0,-1-3 0,0 2 0,-2-4 0,1 3 1,13-26-1,-10 13 42,-1 0 1,-2-1-1,15-37 1,-7 13 8,-4 0 0,22-104 0,-37 147-52,0-2 0,-1 1 0,0 0 0,-1 0 0,1 0 0,-4-15-1,3 21 2,1-1-1,-1 1 0,0 0 1,0 0-1,0 0 0,0 0 1,-1 0-1,1 0 0,-1-1 1,0 1-1,-2-3 0,3 5 3,0-1 0,0 0-1,-1 0 1,1 1 0,-1-1-1,1 0 1,0 1 0,-2-1-1,2 1 1,-1 0 0,1 0 0,0-1-1,0 1 1,-1 0 0,0 0-1,1 1 1,-1-1 0,1 0-1,-1 0 1,0 1 0,-2 0 26,1 1 0,-1-1 0,-1 1 0,1 0 0,0 0 0,0 0 0,1 1 0,-1 0 0,0-1 0,1 1 0,-7 6 0,6-4 16,0 1-1,0 1 0,0-1 0,0 0 1,2 1-1,-1-1 0,-2 7 1,1 4 13,0-1 1,1 1 0,1 1-1,1-2 1,0 29 0,3-4-68,0 0 1,4 0-1,9 38 0,44 123-140,-44-144 118,15 39 9,3-3 0,60 126-1,-92-219 18,-1 1 0,2-1-1,-1 0 1,-1 1-1,1-1 1,0 1 0,0-1-1,0 0 1,0 0 0,-1 0-1,1-1 1,0 1-1,1 0 1,-1 0 0,0-1-1,2 2 1,-2-2 5,0 0-1,0 0 1,0 0-1,0 0 1,0 0-1,0 0 1,0 0 0,0 0-1,0 0 1,0 0-1,-1-1 1,0 1 0,1 0-1,0-1 1,0 1-1,0 0 1,0-1-1,2 0 1,-1-1 5,0 0 0,1 0 0,-1 0 0,0-2 0,0 2 0,-1-1 0,1 1 0,0-1 0,0 1 0,-1-1 0,1 0 0,0-6 0,2-5-11,-1-2 0,1 1 0,-3 0 0,-1 1 0,1-2 0,-1 0 0,-1 1 0,-4-22-1,-2 5 2,0 1 0,-2 2-1,-15-35 1,13 31 2,10 30-4,1 2 1,-1 0-1,1 0 1,0-1-1,0 1 0,0-1 1,0 1-1,0-1 1,0 1-1,0-1 0,0 0 1,0 0-1,0 0 1,1 1-1,-1-1 0,1 1 1,0 0-1,0-2 1,0 2-1,0 0 0,0 1 1,0-1-1,0 0 0,0 1 1,0-1-1,0 1 0,0 0 1,0-1-1,0 1 0,0 0 1,0-1-1,1 1 0,-1 0 1,-1 0-1,1 0 0,0 0 1,0 0-1,0 0 0,1 1 1,0-1-1,-1 0 0,0 1 1,0-1-1,0 0 0,0 1 1,1 0-1,4 2 2,-1 0 1,0-1-1,9 9 0,14 14 11,-24-19-7,1-2-1,0 0 1,0 3-1,1-3 0,0 0 1,-1 0-1,2-1 0,-1-1 1,2 1-1,-3 2 1,11 0-1,-5-3-3,0-1 0,1 0 0,-1-1 0,0 0 0,1-1 0,-1 0 0,0-1 0,1 0 1,-2-1-1,3-2 0,-2 2 0,0 0 0,-1-2 0,1 0 0,-1-2 0,11-7 0,1-4 7,0 1 1,-1-1-1,-2-1 1,17-23-1,-34 40-6,-2 0 1,2 1-1,-1-1 0,0 0 1,2-1-1,-2 1 1,-1 0-1,2-6 0,-2 8-1,0-1-1,1 1 0,-1-1 1,0 0-1,0 1 0,0-1 1,0 1-1,0-1 0,-1 0 1,1 1-1,0 0 1,0 0-1,0-1 0,0 1 1,-1-1-1,1 0 0,0 1 1,-1-1-1,1 1 0,0-1 1,0 1-1,0 0 1,0-1-1,-1 1 0,1-2 1,-1 2-1,1 0 0,-2-1 1,2 1-1,-1 0 0,1-1 1,-1 1-1,0 0 0,1 0 1,-1 0-1,1-1 1,0 1-1,-1 0 0,1 0 1,-2 0-1,-4-1 3,-1 1-1,0-1 1,-1 2-1,2-1 1,-1 1-1,0 0 1,1 0-1,-2 2 1,1-2-1,0 2 1,1-1-1,-1 0 1,1 1-1,-10 7 1,6-3 1,2-3 1,1 2-1,0 2 1,-1-2-1,0 1 0,2 1 1,-1-1-1,0 1 1,-9 16-1,9-9-2,1-2 0,1 4 0,0-3 0,1 2 0,0 0 0,2-2 0,-1 20 0,1-5 0,1 0 0,6 56 0,-4-76 14,-1 0 1,2-1-1,0 1 0,0-1 0,1 0 1,0 1-1,7 14 0,-8-20-9,-1-1 0,2 1 0,-1-1 0,0 1 0,0 0 0,1-1 0,-1 0 0,1 0 0,-2 0 0,3-1 0,-2 1 0,1 0 0,0-1 0,0 0 0,0 0 0,1 0 0,-2 0 0,1 0 0,0-1 0,0 1 0,0-1 0,1 0 0,-1 1 0,3-2 0,-1 1-2,-1-1 0,1 0 0,0 0 0,1-1 0,-1 1 0,-1-1 0,0 0 0,2 0 0,-1-1 0,-1 0 0,7-5 0,-4 3 1,0-1 1,-2 0 0,1-1-1,-1 1 1,1-1-1,7-14 1,-8 11-1,1-1 0,-1 0 1,-2 0-1,1 0 0,-1 0 0,-1-2 0,2 2 1,-2-2-1,-2 1 0,1-18 0,-2 7 13,-3-1 0,-3-23 0,3 32-5,4 12-9,-1-1 0,1-1 0,-1 3 0,1-1 0,0-1 0,0 1 0,2-7 0,-2 8-3,0 2 0,0-1 0,0 0 0,1 1 0,-1 0 0,0 0 0,0-1 0,1 1 0,-1-1 0,1 1 0,-1-1 0,0 1-1,1-1 1,-1 1 0,1-1 0,-1 1 0,1 0 0,-1-1 0,1 0 0,0 1 0,0 0-1,0 0 1,0 0-1,1 0 1,-1 0 0,0 0-1,-1 0 1,1 0-1,0 0 1,0 0 0,0 0-1,0 1 1,0-1-1,0 0 1,-1 1 0,3 0-1,1 1 4,1 0-1,-2 0 1,0 2 0,0 0-1,0-1 1,1 0 0,-1 0-1,2 4 1,23 37 34,-20-33-29,13 23-3,2-2 0,0-1-1,34 33 1,-53-62-2,1 3 0,-1-1 1,0-2-1,2 2 0,0-1 0,-1-1 0,-2 1 0,4-1 0,-2 0 0,0-1 1,1 2-1,-1-2 0,1 0 0,1-1 0,-2 1 0,1-1 0,0 0 1,-1 0-1,11-3 0,-13 2-1,0-1 0,-1 1 0,2-1-1,-1 1 1,0-1 0,-1 0 0,1 0 0,-1 0 0,2-1 0,-3 1 0,1 0 0,4-6 0,3-2 25,9-22 1,-13 20-10,11-18 17,-1 0 0,0 1 0,15-58-1,-27 73 1,0 2-1,0-1 0,-1 0 1,-1 0-1,0-1 0,-1 2 1,0-1-1,-1 0 1,0-2-1,-1 3 0,-1-3 1,-5-14-1,-15-22 486,18 44-470,1-4 0,-1 2 0,1 1 0,1-3 1,0 2-1,-1 1 0,3-4 0,-3-15 0,7 15-67,-3 10 17,0 2-1,0 0 0,0 0 1,0 0-1,1-1 0,-1 1 0,0 0 1,0 0-1,1 0 0,-1-1 1,0 1-1,0 0 0,0 0 0,0 0 1,0 0-1,0 0 0,1 0 1,-1-1-1,0 1 0,1 0 0,-1 0 1,0 0-1,0 0 0,2 0 1,-2 0-1,2 1-2,-1-1 1,0 1-1,0-1 0,0 1 1,0 1-1,0-2 0,0 1 1,0 0-1,0 0 0,0 0 1,0-1-1,0 1 0,0 0 1,1 0-1,-2 0 0,2 1 1,2 8-21,1 0 0,-1-1 0,1 3 1,-1-3-1,1 14 0,10 57-43,-7-31 55,0-15 6,-2 0 0,23 51 0,-21-65 2,1-1 0,1-3 0,0 3 0,1-2 0,26 31 0,-30-40 2,8 9-19,-1-2 1,24 20 0,-34-33 12,1 3 1,-1-2-1,1 0 0,0-2 1,2 3-1,-3-2 1,1 0-1,1 0 0,-1-1 1,0 1-1,1-1 0,0 0 1,10 0-1,-13-2 4,-1 1-1,1 0 1,1-1 0,-3 1-1,1-1 1,1 0 0,-1 0-1,1 0 1,-1 0 0,2-1-1,-2 1 1,0 0 0,0-2-1,4-1 1,-3 0-5,0 0 1,0 1-1,-1 0 0,1-1 0,-2-1 1,1 2-1,0-2 0,3-5 0,0-6-39,-1-2-1,-1 0 0,3-29 0,-5 39 30,3-77-192,-7-107 0,0 82 216,2 90-23,1 2 1,1 0-1,0-1 0,2 1 0,0 0 1,7-21-1,-10 38 3,1 0 0,-1 0 1,0 0-1,0 0 0,0-1 1,1 1-1,0 0 0,-1 0 0,1 0 1,0 0-1,0 0 0,-1 0 0,1 1 1,0-1-1,0 0 0,0 0 1,0 1-1,0-1 0,0 1 0,3-1 1,-4 1 5,0-1 0,1 1 0,-1 0 0,1 0 1,-1 1-1,0-1 0,1 0 0,-1 0 1,0 0-1,1 0 0,-1 0 0,1 0 0,-1 0 1,0 1-1,1-1 0,-1 0 0,0 0 0,0 0 1,0 1-1,0-1 0,1 0 0,-1 1 0,6 14-48,-4 9 76,0 0 0,-2 0 0,-1 0 1,-7 47-1,1 14 43,6-65-25,1-1-1,0 1 1,6 29 0,-5-37-25,2-1 0,0 1 0,1-1 0,0 1 0,1-2 0,-2 0 0,11 12 0,-9-11-9,2-1-2,0 0 0,14 18 0,-19-26-4,1 0-1,-1 0 1,0 0 0,0 0-1,0 0 1,0-1-1,1 1 1,0-1-1,-1 0 1,1 0-1,0 0 1,-1 0 0,0-1-1,1 1 1,1 1-1,3-1 1,-6-2 3,0 1 0,0 0-1,0-2 1,0 2 0,-1 0 0,1-1 0,0 1 0,1-1-1,-1 0 1,0 1 0,-1-1 0,1 0 0,0 1 0,0 0-1,-1-1 1,1 0 0,0 0 0,-1 1 0,1-1 0,-1 0 0,1-1-1,10-26 41,-9 22-33,9-24 6,-3 6-5,2-1 0,1 1-1,20-33 1,-25 47-1,-4 6-10,0 0 0,1 1 1,-1-1-1,5-3 1,-7 6 1,1 1 0,-1-2 0,1 2 0,0-1 0,-1 1 0,1 0 0,0-1 1,-1 1-1,2 0 0,-1-1 0,-1 1 0,1 0 0,0 0 0,-1 0 1,1 0-1,0 0 0,-1 0 0,1-1 0,-1 2 0,1-1 0,-1 0 1,1 0-1,0 0 0,0 0 0,-1 0 0,1 0 0,0 1 0,-1-1 0,1 0 1,0 1-1,0 0 0,9 6 29,-1 0 1,0 1-1,0 1 1,10 11-1,29 40-10,-36-44-20,8 10 20,0 3-173,2-1-1,1-2 1,48 44-1,-69-67 155,1-1 0,1 0 0,-1-1 0,1 2 0,0 0-1,-1-1 1,1-1 0,0 1 0,0 0 0,0-1 0,1 0-1,-2-1 1,1 1 0,0-1 0,6 0 0,-9-1 1,0 1-1,-1 0 1,1-1 0,0 1 0,0-1 0,0-1-1,0 2 1,-1-1 0,1 0 0,0 1 0,0-1-1,-1 0 1,1 0 0,0 0 0,-1-1 0,1 0 0,-1 1-1,1 1 1,-1-1 0,1 0 0,-1 0 0,0 0-1,1 0 1,-1 0 0,0 0 0,0 0 0,0 0-1,0 0 1,0 0 0,0 0 0,0 0 0,0-2-1,-1-6 6,0 2-1,0 0 0,-2-10 1,-7-19 6,-3-1 0,-1 4 1,-25-50-1,35 75-10,0 1 1,-1 0-1,0-1 0,1 2 1,-3-1-1,2 1 0,-2-1 1,1 2-1,0 0 0,-1-1 0,0 0 1,0 2-1,-2 0 0,3 1 1,-2-1-1,0 0 0,1 0 1,-2 2-1,2 0 0,-1 0 0,-17-1 1,16 2-15,1 0-1,0 1 1,0 0 0,-2 1 0,1 0 0,1 0-1,-1 1 1,1 0 0,-1 0 0,0 2 0,3-1-1,-2 2 1,-8 3 0,13-8 12,2 1 1,0 0-1,0-1 0,0 1 1,0 0-1,0 0 0,0 0 1,0 0-1,1 1 0,-1-1 1,0 0-1,0 0 0,1 0 1,-1 0-1,0 1 0,1-1 1,0 1-1,0 1 0,0-3-1,0 1 0,0 0 0,0 0 0,0 0 0,0 0 1,0 0-1,0 0 0,0 0 0,1 0 0,-1 0 0,1-1 0,-1 2 0,1-1 0,-1 0 0,1 0 0,0 0 0,-1-1 0,2 2 0,4 3-5,1-1 0,-2 0 0,1-1 0,0 2 0,7 1 0,-9-3 7,13 5-6,1 0 0,1-1 0,-2-1 0,1 0 0,1-1-1,-1-1 1,39 3 0,-42-6 2,0-2 1,0 0-1,-1 0 1,27-8-1,-34 7 23,0-1 1,0 0-1,1 0 0,-2-1 1,1 1-1,-1-1 0,0-1 0,-1 1 1,2-1-1,-1 1 0,5-9 1,-6 7 11,-1 2-20,2 0 0,-3-3 0,0 1 0,1 1 0,-1 0 0,1-1 0,-1-1 0,3-10 0,-3 32 41,-2 0-39,0-4-1,0 3 1,2-3-1,-1 3 0,1-3 1,5 17-1,1-11 12,-2 2-1,3-1 0,12 18 0,-15-25-12,-1-4 0,1 1 0,0 0 0,0-1 0,0 0 0,1-2 0,15 12 0,-4-7 7,-1 1-1,31 10 1,-45-20-19,0 1 0,0 0 0,-1-1 0,0-1 0,2 1 0,-1-1 0,-1 1 0,1-1 1,0 0-1,6-1 0,-8 1 0,-1-1 1,1 0-1,0 0 0,1 1 1,-1-1-1,0-1 1,0 0-1,0 1 1,0 0-1,-1-2 0,1 2 1,-1 0-1,0-1 1,2 1-1,-2 0 1,0-1-1,1 0 0,-1 0 1,1-3-1,5-8 5,0 1-1,-1-2 1,-1 1 0,1-1-1,-3 0 1,1 0-1,-1-1 1,1-18 0,-4 33-5,2-21 13,-4-31-1,2 45 8,-1 0 0,-1 0 0,1 2 0,-1-2 0,0-1 0,0 2 0,0 1 0,-8-13 0,8 15-3,-8-10 58,10 13-75,0 0 1,0 0-1,0 0 1,-1 0 0,1 0-1,0-1 1,-2 1 0,2 0-1,0 0 1,-1 0 0,1 0-1,-1 0 1,1 0 0,0 0-1,-1 0 1,1 0-1,0 0 1,-1 1 0,1-1-1,0 0 1,-1 0 0,1 0-1,0 0 1,-1 0 0,1 2-1,0-2 1,-1 0 0,1 0-1,0 1 1,-1-1-1,1 0 1,0 0 0,0 1-1,0-1 1,-1 0 0,1 1-1,0-1 1,-2 4 2,0-2-1,0 1 1,1 1 0,-2 0 0,3 0-1,-1 0 1,0 0 0,1-1-1,-1 0 1,1 1 0,-1 6 0,1 0 0,1 1 1,-1-1-1,3 11 1,0-10-5,0 0 1,0-1-1,1 1 1,0-1-1,1 0 1,11 19-1,-12-23-2,-1-1 0,1-1-1,1 2 1,-1 0 0,1-2-1,-1 1 1,2-1 0,-1-1-1,0 2 1,0-1 0,2-1-1,8 3 1,-7-3-21,0-1-1,-1 0 1,2 0 0,-2 0-1,0-1 1,18 2 0,-23-3 15,0 0 1,0 0-1,0-1 1,-1 1 0,1 0-1,1-2 1,-2 2-1,1-1 1,-1-1-1,1 1 1,-1 1-1,1-1 1,-1 0 0,0 0-1,1 0 1,-1 0-1,0 0 1,2 0-1,-2-1 1,0 1 0,0 0-1,0-1 1,0 1-1,-1-1 1,1 0-1,0 1 1,-1-1 0,1-2-1,-1 3 1,1-1-1,-1 1 1,1-1-1,-1 0 1,0 1 0,0-1-1,0 0 1,0-3-1,-1-11 71,-1 0 1,0 1-1,-7-22 0,6 25-2,1 0 1,0 1-1,0-1 0,1 0 0,0 0 1,2-23-1,2 26-73,1 10 22,5 13 35,-5 10-56,1-1 1,-2 1-1,-1-2 1,0 2-1,-2 0 0,-3 35 1,-3-43-39,3-14 23,2-10 16,0-13 36,1 0 0,1 0 0,0 0 0,2 1 0,8-34 0,-2 22 15,3 1 1,25-57 0,-32 81-223,0 1 1,0-3 0,0 2-1,1 2 1,0-1-1,11-12 1,-6 10-466,0-3 214</inkml:trace>
  <inkml:trace contextRef="#ctx0" brushRef="#br0" timeOffset="14738.31">5160 7200 11098,'2'3'35,"-2"0"-1,1 0 0,0 1 0,0-1 0,0 1 0,0-1 0,0-1 0,0 1 1,0 0-1,1 0 0,0-1 0,0 2 0,0-2 0,2 4 0,8 10-51,3 12-22,-1 0-1,-1 2 0,-2-1 1,11 45-1,-10-28 27,27 96 109,-32-110-20,-14-68-24,0 1 0,3-2 1,0 0-1,3 1 0,1-2 0,1 2 0,9-51 0,-8 78-35,1 1 0,-2-1 0,2 1 0,0 0 0,0-1 0,1 2 0,1-2 0,-2 1 0,8-7 0,-4 5 23,1 2 1,1-2-1,-1 1 1,3 2-1,19-16 1,-10 11-182,-1 2 0,2 2 0,43-17 0,-33 14-853,29-14 1,-45 16 642</inkml:trace>
  <inkml:trace contextRef="#ctx0" brushRef="#br0" timeOffset="15078.49">4759 6588 13355,'-4'9'-368,"5"-8"-600,6 0-2377,0 0 2145</inkml:trace>
  <inkml:trace contextRef="#ctx0" brushRef="#br0" timeOffset="15818.46">3717 7377 10282,'6'0'126,"-1"1"0,-1-1 0,3 0-1,-2-1 1,1 1 0,4-1 0,11-2-101,317-40 882,-312 39-892,44-15-1,-58 15-66,0 1 0,-2-3 0,2 0 0,-1-1 0,-2 2 0,12-11 0,-19 13-146,1 1 1,-1-1-1,1 2 0,-1-2 1,0 0-1,0-1 1,-1 1-1,0-1 0,1 0 1,-1 1-1,2 1 0,-2-1 1,0-1-1,-1 0 1,1-1-1,0 2 0,-1-1 1,0 2-1,0-2 0,0 0 1,-1-7-1,-1 1-789</inkml:trace>
</inkml:ink>
</file>

<file path=xl/persons/person.xml><?xml version="1.0" encoding="utf-8"?>
<personList xmlns="http://schemas.microsoft.com/office/spreadsheetml/2018/threadedcomments" xmlns:x="http://schemas.openxmlformats.org/spreadsheetml/2006/main">
  <person displayName="Hookey, Millie" id="{437B9B81-023C-42B8-AD23-21845DF5303F}" userId="S::millie.hookey@wur.nl::5e62a57f-ca1c-49dd-95dd-dda22cb8654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4" dT="2023-11-20T15:16:31.11" personId="{437B9B81-023C-42B8-AD23-21845DF5303F}" id="{BFA079D8-EFDE-428F-8A47-53C9AA95EBB7}">
    <text>Replaced by 1 yo heifers as the 2yo move onto suckler cow production</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8" Type="http://schemas.openxmlformats.org/officeDocument/2006/relationships/hyperlink" Target="https://www.sciencedirect.com/science/article/pii/S0959652622041245?casa_token=aHYTlWo8aEcAAAAA:kE57TrgaVEwFnx34SXo4NTehpC4-46WMaGOZonysNT7y-9W4J6nNGQGUo7h1Nc11gMOJlgY3b7-q" TargetMode="External"/><Relationship Id="rId13" Type="http://schemas.openxmlformats.org/officeDocument/2006/relationships/hyperlink" Target="https://www.dairynz.co.nz/animal/heifers/feeding-nutrition/" TargetMode="External"/><Relationship Id="rId18" Type="http://schemas.openxmlformats.org/officeDocument/2006/relationships/vmlDrawing" Target="../drawings/vmlDrawing7.vml"/><Relationship Id="rId3" Type="http://schemas.openxmlformats.org/officeDocument/2006/relationships/hyperlink" Target="https://www1.agric.gov.ab.ca/$department/deptdocs.nsf/all/agdex4521/$file/400_60-2.pdf?OpenElement" TargetMode="External"/><Relationship Id="rId7" Type="http://schemas.openxmlformats.org/officeDocument/2006/relationships/hyperlink" Target="https://www.theseus.fi/bitstream/handle/10024/55918/Inkeroinen_Heikki.pdf?sequence=1&amp;isAllowed=y" TargetMode="External"/><Relationship Id="rId12" Type="http://schemas.openxmlformats.org/officeDocument/2006/relationships/hyperlink" Target="https://portal.mtt.fi/portal/pls/portal/tt_mtt.tt_mtt_kankir_pack.laheta" TargetMode="External"/><Relationship Id="rId17" Type="http://schemas.openxmlformats.org/officeDocument/2006/relationships/drawing" Target="../drawings/drawing3.xml"/><Relationship Id="rId2" Type="http://schemas.openxmlformats.org/officeDocument/2006/relationships/hyperlink" Target="https://pir.sa.gov.au/__data/assets/pdf_file/0007/272869/Calculating_dry_matter_intakes.pdf" TargetMode="External"/><Relationship Id="rId16" Type="http://schemas.openxmlformats.org/officeDocument/2006/relationships/printerSettings" Target="../printerSettings/printerSettings7.bin"/><Relationship Id="rId1" Type="http://schemas.openxmlformats.org/officeDocument/2006/relationships/hyperlink" Target="https://www.nordgen.org/en/native-breed/itasuomenkarja-isk/" TargetMode="External"/><Relationship Id="rId6" Type="http://schemas.openxmlformats.org/officeDocument/2006/relationships/hyperlink" Target="https://www.theseus.fi/bitstream/handle/10024/55918/Inkeroinen_Heikki.pdf?sequence=1&amp;isAllowed=y" TargetMode="External"/><Relationship Id="rId11" Type="http://schemas.openxmlformats.org/officeDocument/2006/relationships/hyperlink" Target="https://www.ncbi.nlm.nih.gov/pmc/articles/PMC10000121/" TargetMode="External"/><Relationship Id="rId5" Type="http://schemas.openxmlformats.org/officeDocument/2006/relationships/hyperlink" Target="https://www.theseus.fi/bitstream/handle/10024/55918/Inkeroinen_Heikki.pdf?sequence=1&amp;isAllowed=y" TargetMode="External"/><Relationship Id="rId15" Type="http://schemas.openxmlformats.org/officeDocument/2006/relationships/hyperlink" Target="https://www.ncbi.nlm.nih.gov/pmc/articles/PMC10000121/" TargetMode="External"/><Relationship Id="rId10" Type="http://schemas.openxmlformats.org/officeDocument/2006/relationships/hyperlink" Target="https://portal.mtt.fi/portal/pls/portal/tt_mtt.tt_mtt_kankir_pack.laheta" TargetMode="External"/><Relationship Id="rId19" Type="http://schemas.openxmlformats.org/officeDocument/2006/relationships/comments" Target="../comments7.xml"/><Relationship Id="rId4" Type="http://schemas.openxmlformats.org/officeDocument/2006/relationships/hyperlink" Target="https://www.woolwise.com/wp-content/uploads/2017/07/ANUT-300-500-08-T-02.pdf" TargetMode="External"/><Relationship Id="rId9" Type="http://schemas.openxmlformats.org/officeDocument/2006/relationships/hyperlink" Target="https://www.proagria.fi/uploads/Maidon_tuotosseuranta_tulokset_2022.pdf" TargetMode="External"/><Relationship Id="rId14" Type="http://schemas.openxmlformats.org/officeDocument/2006/relationships/hyperlink" Target="https://www.sciencedirect.com/science/article/pii/S0022030277840745"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sciencedirect.com/science/article/pii/S0959652622041245?casa_token=aHYTlWo8aEcAAAAA:kE57TrgaVEwFnx34SXo4NTehpC4-46WMaGOZonysNT7y-9W4J6nNGQGUo7h1Nc11gMOJlgY3b7-q" TargetMode="External"/><Relationship Id="rId13" Type="http://schemas.openxmlformats.org/officeDocument/2006/relationships/printerSettings" Target="../printerSettings/printerSettings8.bin"/><Relationship Id="rId3" Type="http://schemas.openxmlformats.org/officeDocument/2006/relationships/hyperlink" Target="https://www1.agric.gov.ab.ca/$department/deptdocs.nsf/all/agdex4521/$file/400_60-2.pdf?OpenElement" TargetMode="External"/><Relationship Id="rId7" Type="http://schemas.openxmlformats.org/officeDocument/2006/relationships/hyperlink" Target="https://www.theseus.fi/bitstream/handle/10024/55918/Inkeroinen_Heikki.pdf?sequence=1&amp;isAllowed=y" TargetMode="External"/><Relationship Id="rId12" Type="http://schemas.openxmlformats.org/officeDocument/2006/relationships/hyperlink" Target="https://www.suomi.fi/services/outdoor-cattle-grazing-regional-state-administrative-agency/453241de-7473-46eb-965f-c5d71646a2f8" TargetMode="External"/><Relationship Id="rId2" Type="http://schemas.openxmlformats.org/officeDocument/2006/relationships/hyperlink" Target="https://pir.sa.gov.au/__data/assets/pdf_file/0007/272869/Calculating_dry_matter_intakes.pdf" TargetMode="External"/><Relationship Id="rId1" Type="http://schemas.openxmlformats.org/officeDocument/2006/relationships/hyperlink" Target="https://www.nordgen.org/en/native-breed/itasuomenkarja-isk/" TargetMode="External"/><Relationship Id="rId6" Type="http://schemas.openxmlformats.org/officeDocument/2006/relationships/hyperlink" Target="https://www.theseus.fi/bitstream/handle/10024/55918/Inkeroinen_Heikki.pdf?sequence=1&amp;isAllowed=y" TargetMode="External"/><Relationship Id="rId11" Type="http://schemas.openxmlformats.org/officeDocument/2006/relationships/hyperlink" Target="https://www.dairynz.co.nz/animal/heifers/feeding-nutrition/" TargetMode="External"/><Relationship Id="rId5" Type="http://schemas.openxmlformats.org/officeDocument/2006/relationships/hyperlink" Target="https://www.theseus.fi/bitstream/handle/10024/55918/Inkeroinen_Heikki.pdf?sequence=1&amp;isAllowed=y" TargetMode="External"/><Relationship Id="rId15" Type="http://schemas.openxmlformats.org/officeDocument/2006/relationships/comments" Target="../comments8.xml"/><Relationship Id="rId10" Type="http://schemas.openxmlformats.org/officeDocument/2006/relationships/hyperlink" Target="https://portal.mtt.fi/portal/pls/portal/tt_mtt.tt_mtt_kankir_pack.laheta" TargetMode="External"/><Relationship Id="rId4" Type="http://schemas.openxmlformats.org/officeDocument/2006/relationships/hyperlink" Target="https://www.woolwise.com/wp-content/uploads/2017/07/ANUT-300-500-08-T-02.pdf" TargetMode="External"/><Relationship Id="rId9" Type="http://schemas.openxmlformats.org/officeDocument/2006/relationships/hyperlink" Target="https://www.proagria.fi/uploads/Maidon_tuotosseuranta_tulokset_2022.pdf" TargetMode="External"/><Relationship Id="rId14" Type="http://schemas.openxmlformats.org/officeDocument/2006/relationships/vmlDrawing" Target="../drawings/vmlDrawing8.vml"/></Relationships>
</file>

<file path=xl/worksheets/_rels/sheet13.xml.rels><?xml version="1.0" encoding="UTF-8" standalone="yes"?>
<Relationships xmlns="http://schemas.openxmlformats.org/package/2006/relationships"><Relationship Id="rId8" Type="http://schemas.openxmlformats.org/officeDocument/2006/relationships/hyperlink" Target="https://www.sciencedirect.com/science/article/pii/S0959652622041245?casa_token=aHYTlWo8aEcAAAAA:kE57TrgaVEwFnx34SXo4NTehpC4-46WMaGOZonysNT7y-9W4J6nNGQGUo7h1Nc11gMOJlgY3b7-q" TargetMode="External"/><Relationship Id="rId13" Type="http://schemas.openxmlformats.org/officeDocument/2006/relationships/comments" Target="../comments9.xml"/><Relationship Id="rId3" Type="http://schemas.openxmlformats.org/officeDocument/2006/relationships/hyperlink" Target="https://www1.agric.gov.ab.ca/$department/deptdocs.nsf/all/agdex4521/$file/400_60-2.pdf?OpenElement" TargetMode="External"/><Relationship Id="rId7" Type="http://schemas.openxmlformats.org/officeDocument/2006/relationships/hyperlink" Target="https://www.theseus.fi/bitstream/handle/10024/55918/Inkeroinen_Heikki.pdf?sequence=1&amp;isAllowed=y" TargetMode="External"/><Relationship Id="rId12" Type="http://schemas.openxmlformats.org/officeDocument/2006/relationships/vmlDrawing" Target="../drawings/vmlDrawing9.vml"/><Relationship Id="rId2" Type="http://schemas.openxmlformats.org/officeDocument/2006/relationships/hyperlink" Target="https://pir.sa.gov.au/__data/assets/pdf_file/0007/272869/Calculating_dry_matter_intakes.pdf" TargetMode="External"/><Relationship Id="rId1" Type="http://schemas.openxmlformats.org/officeDocument/2006/relationships/hyperlink" Target="https://www.nordgen.org/en/native-breed/itasuomenkarja-isk/" TargetMode="External"/><Relationship Id="rId6" Type="http://schemas.openxmlformats.org/officeDocument/2006/relationships/hyperlink" Target="https://www.theseus.fi/bitstream/handle/10024/55918/Inkeroinen_Heikki.pdf?sequence=1&amp;isAllowed=y" TargetMode="External"/><Relationship Id="rId11" Type="http://schemas.openxmlformats.org/officeDocument/2006/relationships/drawing" Target="../drawings/drawing4.xml"/><Relationship Id="rId5" Type="http://schemas.openxmlformats.org/officeDocument/2006/relationships/hyperlink" Target="https://www.theseus.fi/bitstream/handle/10024/55918/Inkeroinen_Heikki.pdf?sequence=1&amp;isAllowed=y" TargetMode="External"/><Relationship Id="rId10" Type="http://schemas.openxmlformats.org/officeDocument/2006/relationships/hyperlink" Target="https://portal.mtt.fi/portal/pls/portal/tt_mtt.tt_mtt_kankir_pack.laheta" TargetMode="External"/><Relationship Id="rId4" Type="http://schemas.openxmlformats.org/officeDocument/2006/relationships/hyperlink" Target="https://www.woolwise.com/wp-content/uploads/2017/07/ANUT-300-500-08-T-02.pdf" TargetMode="External"/><Relationship Id="rId9" Type="http://schemas.openxmlformats.org/officeDocument/2006/relationships/hyperlink" Target="https://www.proagria.fi/uploads/Maidon_tuotosseuranta_tulokset_2022.pdf"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ww.sciencedirect.com/science/article/pii/S0959652622041245?casa_token=aHYTlWo8aEcAAAAA:kE57TrgaVEwFnx34SXo4NTehpC4-46WMaGOZonysNT7y-9W4J6nNGQGUo7h1Nc11gMOJlgY3b7-q" TargetMode="External"/><Relationship Id="rId3" Type="http://schemas.openxmlformats.org/officeDocument/2006/relationships/hyperlink" Target="https://www1.agric.gov.ab.ca/$department/deptdocs.nsf/all/agdex4521/$file/400_60-2.pdf?OpenElement" TargetMode="External"/><Relationship Id="rId7" Type="http://schemas.openxmlformats.org/officeDocument/2006/relationships/hyperlink" Target="https://www.theseus.fi/bitstream/handle/10024/55918/Inkeroinen_Heikki.pdf?sequence=1&amp;isAllowed=y" TargetMode="External"/><Relationship Id="rId12" Type="http://schemas.openxmlformats.org/officeDocument/2006/relationships/comments" Target="../comments10.xml"/><Relationship Id="rId2" Type="http://schemas.openxmlformats.org/officeDocument/2006/relationships/hyperlink" Target="https://pir.sa.gov.au/__data/assets/pdf_file/0007/272869/Calculating_dry_matter_intakes.pdf" TargetMode="External"/><Relationship Id="rId1" Type="http://schemas.openxmlformats.org/officeDocument/2006/relationships/hyperlink" Target="https://www.nordgen.org/en/native-breed/itasuomenkarja-isk/" TargetMode="External"/><Relationship Id="rId6" Type="http://schemas.openxmlformats.org/officeDocument/2006/relationships/hyperlink" Target="https://www.theseus.fi/bitstream/handle/10024/55918/Inkeroinen_Heikki.pdf?sequence=1&amp;isAllowed=y" TargetMode="External"/><Relationship Id="rId11" Type="http://schemas.openxmlformats.org/officeDocument/2006/relationships/vmlDrawing" Target="../drawings/vmlDrawing10.vml"/><Relationship Id="rId5" Type="http://schemas.openxmlformats.org/officeDocument/2006/relationships/hyperlink" Target="https://www.theseus.fi/bitstream/handle/10024/55918/Inkeroinen_Heikki.pdf?sequence=1&amp;isAllowed=y" TargetMode="External"/><Relationship Id="rId10" Type="http://schemas.openxmlformats.org/officeDocument/2006/relationships/hyperlink" Target="https://portal.mtt.fi/portal/pls/portal/tt_mtt.tt_mtt_kankir_pack.laheta" TargetMode="External"/><Relationship Id="rId4" Type="http://schemas.openxmlformats.org/officeDocument/2006/relationships/hyperlink" Target="https://www.woolwise.com/wp-content/uploads/2017/07/ANUT-300-500-08-T-02.pdf" TargetMode="External"/><Relationship Id="rId9" Type="http://schemas.openxmlformats.org/officeDocument/2006/relationships/hyperlink" Target="https://www.proagria.fi/uploads/Maidon_tuotosseuranta_tulokset_2022.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ater.unl.edu/manure/manure-value"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sciencedirect.com/science/article/pii/S0959652622041245?casa_token=aHYTlWo8aEcAAAAA:kE57TrgaVEwFnx34SXo4NTehpC4-46WMaGOZonysNT7y-9W4J6nNGQGUo7h1Nc11gMOJlgY3b7-q" TargetMode="External"/><Relationship Id="rId13" Type="http://schemas.openxmlformats.org/officeDocument/2006/relationships/hyperlink" Target="https://www.sciencedirect.com/science/article/pii/S0959652619303622?via=ihub" TargetMode="External"/><Relationship Id="rId18" Type="http://schemas.openxmlformats.org/officeDocument/2006/relationships/comments" Target="../comments6.xml"/><Relationship Id="rId3" Type="http://schemas.openxmlformats.org/officeDocument/2006/relationships/hyperlink" Target="https://www.feedinglivestock.vic.gov.au/beef-resources/useful-tables-beef/" TargetMode="External"/><Relationship Id="rId7" Type="http://schemas.openxmlformats.org/officeDocument/2006/relationships/hyperlink" Target="https://www.msdvetmanual.com/management-and-nutrition/nutrition-beef-cattle/feeding-and-nutritional-management-of-beef-cattle" TargetMode="External"/><Relationship Id="rId12" Type="http://schemas.openxmlformats.org/officeDocument/2006/relationships/hyperlink" Target="https://www.proagria.fi/uploads/Maidon_tuotosseuranta_tulokset_2022.pdf" TargetMode="External"/><Relationship Id="rId17" Type="http://schemas.openxmlformats.org/officeDocument/2006/relationships/vmlDrawing" Target="../drawings/vmlDrawing6.vml"/><Relationship Id="rId2" Type="http://schemas.openxmlformats.org/officeDocument/2006/relationships/hyperlink" Target="https://www.sciencedirect.com/science/article/pii/S0308521X21002031" TargetMode="External"/><Relationship Id="rId16" Type="http://schemas.openxmlformats.org/officeDocument/2006/relationships/printerSettings" Target="../printerSettings/printerSettings5.bin"/><Relationship Id="rId1" Type="http://schemas.openxmlformats.org/officeDocument/2006/relationships/hyperlink" Target="https://www.sciencedirect.com/science/article/pii/S0308521X21002031" TargetMode="External"/><Relationship Id="rId6" Type="http://schemas.openxmlformats.org/officeDocument/2006/relationships/hyperlink" Target="https://www.sciencedirect.com/science/article/pii/S0022030207718969" TargetMode="External"/><Relationship Id="rId11" Type="http://schemas.openxmlformats.org/officeDocument/2006/relationships/hyperlink" Target="https://www.sciencedirect.com/science/article/pii/S0959652622041245?casa_token=aHYTlWo8aEcAAAAA:kE57TrgaVEwFnx34SXo4NTehpC4-46WMaGOZonysNT7y-9W4J6nNGQGUo7h1Nc11gMOJlgY3b7-q" TargetMode="External"/><Relationship Id="rId5" Type="http://schemas.openxmlformats.org/officeDocument/2006/relationships/hyperlink" Target="https://www.sciencedirect.com/science/article/pii/S0022030207718969" TargetMode="External"/><Relationship Id="rId15" Type="http://schemas.openxmlformats.org/officeDocument/2006/relationships/hyperlink" Target="https://portal.mtt.fi/portal/pls/portal/tt_mtt.tt_mtt_kankir_pack.laheta" TargetMode="External"/><Relationship Id="rId10" Type="http://schemas.openxmlformats.org/officeDocument/2006/relationships/hyperlink" Target="https://www.sciencedirect.com/science/article/pii/S0959652622041245?casa_token=aHYTlWo8aEcAAAAA:kE57TrgaVEwFnx34SXo4NTehpC4-46WMaGOZonysNT7y-9W4J6nNGQGUo7h1Nc11gMOJlgY3b7-q" TargetMode="External"/><Relationship Id="rId19" Type="http://schemas.microsoft.com/office/2017/10/relationships/threadedComment" Target="../threadedComments/threadedComment1.xml"/><Relationship Id="rId4" Type="http://schemas.openxmlformats.org/officeDocument/2006/relationships/hyperlink" Target="https://www.feedinglivestock.vic.gov.au/beef-resources/useful-tables-beef/" TargetMode="External"/><Relationship Id="rId9" Type="http://schemas.openxmlformats.org/officeDocument/2006/relationships/hyperlink" Target="https://www.sciencedirect.com/science/article/pii/S0959652622041245?casa_token=aHYTlWo8aEcAAAAA:kE57TrgaVEwFnx34SXo4NTehpC4-46WMaGOZonysNT7y-9W4J6nNGQGUo7h1Nc11gMOJlgY3b7-q" TargetMode="External"/><Relationship Id="rId14" Type="http://schemas.openxmlformats.org/officeDocument/2006/relationships/hyperlink" Target="https://www.sciencedirect.com/science/article/pii/S0959652619303622?via=ihub"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29AAE-A05D-4F08-B21D-5706DED97305}">
  <dimension ref="A1:A10"/>
  <sheetViews>
    <sheetView workbookViewId="0">
      <selection activeCell="A18" sqref="A18"/>
    </sheetView>
  </sheetViews>
  <sheetFormatPr defaultRowHeight="14.25" x14ac:dyDescent="0.45"/>
  <cols>
    <col min="1" max="1" width="157.86328125" bestFit="1" customWidth="1"/>
  </cols>
  <sheetData>
    <row r="1" spans="1:1" x14ac:dyDescent="0.45">
      <c r="A1" t="s">
        <v>1</v>
      </c>
    </row>
    <row r="2" spans="1:1" x14ac:dyDescent="0.45">
      <c r="A2" t="s">
        <v>2</v>
      </c>
    </row>
    <row r="3" spans="1:1" x14ac:dyDescent="0.45">
      <c r="A3" t="s">
        <v>3</v>
      </c>
    </row>
    <row r="4" spans="1:1" x14ac:dyDescent="0.45">
      <c r="A4" t="s">
        <v>4</v>
      </c>
    </row>
    <row r="6" spans="1:1" x14ac:dyDescent="0.45">
      <c r="A6" t="s">
        <v>5</v>
      </c>
    </row>
    <row r="7" spans="1:1" x14ac:dyDescent="0.45">
      <c r="A7" t="s">
        <v>6</v>
      </c>
    </row>
    <row r="8" spans="1:1" x14ac:dyDescent="0.45">
      <c r="A8" t="s">
        <v>7</v>
      </c>
    </row>
    <row r="9" spans="1:1" x14ac:dyDescent="0.45">
      <c r="A9" t="s">
        <v>9</v>
      </c>
    </row>
    <row r="10" spans="1:1" x14ac:dyDescent="0.45">
      <c r="A10" t="s">
        <v>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9419F-5F80-43B9-842B-6E1B4DF6E10A}">
  <dimension ref="A1"/>
  <sheetViews>
    <sheetView zoomScale="61" workbookViewId="0">
      <selection activeCell="U47" sqref="U47"/>
    </sheetView>
  </sheetViews>
  <sheetFormatPr defaultRowHeight="14.25" x14ac:dyDescent="0.4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D841F-EF78-4EBE-87BE-A36D38CF518D}">
  <dimension ref="A1:L234"/>
  <sheetViews>
    <sheetView topLeftCell="B166" zoomScale="90" zoomScaleNormal="90" workbookViewId="0">
      <selection activeCell="K181" sqref="K181"/>
    </sheetView>
  </sheetViews>
  <sheetFormatPr defaultRowHeight="14.25" x14ac:dyDescent="0.45"/>
  <cols>
    <col min="1" max="1" width="13" bestFit="1" customWidth="1"/>
    <col min="2" max="2" width="21" customWidth="1"/>
    <col min="3" max="3" width="49.1328125" customWidth="1"/>
    <col min="4" max="4" width="15.1328125" customWidth="1"/>
    <col min="5" max="5" width="25" customWidth="1"/>
    <col min="6" max="6" width="41.53125" style="12" customWidth="1"/>
    <col min="7" max="7" width="30.86328125" customWidth="1"/>
    <col min="8" max="8" width="33" customWidth="1"/>
    <col min="9" max="9" width="16.1328125" customWidth="1"/>
    <col min="10" max="10" width="19.59765625" customWidth="1"/>
    <col min="11" max="11" width="16.265625" customWidth="1"/>
    <col min="12" max="12" width="16.1328125" customWidth="1"/>
    <col min="13" max="13" width="27.265625" customWidth="1"/>
    <col min="14" max="14" width="14.59765625" customWidth="1"/>
    <col min="15" max="15" width="24.86328125" customWidth="1"/>
    <col min="16" max="16" width="22.59765625" customWidth="1"/>
    <col min="17" max="17" width="20.1328125" customWidth="1"/>
    <col min="18" max="18" width="24.3984375" customWidth="1"/>
    <col min="19" max="19" width="14.3984375" customWidth="1"/>
  </cols>
  <sheetData>
    <row r="1" spans="1:6" x14ac:dyDescent="0.45">
      <c r="A1" t="s">
        <v>0</v>
      </c>
    </row>
    <row r="3" spans="1:6" ht="28.5" x14ac:dyDescent="0.45">
      <c r="B3" s="94" t="s">
        <v>698</v>
      </c>
      <c r="C3" s="94" t="s">
        <v>948</v>
      </c>
    </row>
    <row r="4" spans="1:6" ht="14.65" thickBot="1" x14ac:dyDescent="0.5"/>
    <row r="5" spans="1:6" x14ac:dyDescent="0.45">
      <c r="B5" s="48"/>
      <c r="C5" s="44" t="s">
        <v>925</v>
      </c>
      <c r="D5" s="44"/>
      <c r="E5" s="44"/>
      <c r="F5" s="50"/>
    </row>
    <row r="6" spans="1:6" x14ac:dyDescent="0.45">
      <c r="B6" s="36"/>
      <c r="C6" t="s">
        <v>396</v>
      </c>
      <c r="D6" t="s">
        <v>107</v>
      </c>
      <c r="E6" t="s">
        <v>397</v>
      </c>
      <c r="F6" s="52" t="s">
        <v>180</v>
      </c>
    </row>
    <row r="7" spans="1:6" x14ac:dyDescent="0.45">
      <c r="B7" s="36"/>
      <c r="C7" s="12" t="s">
        <v>573</v>
      </c>
      <c r="D7" t="s">
        <v>960</v>
      </c>
      <c r="E7">
        <f>2800+(E127/1000)</f>
        <v>2800.3870000000002</v>
      </c>
      <c r="F7" s="52" t="s">
        <v>611</v>
      </c>
    </row>
    <row r="8" spans="1:6" x14ac:dyDescent="0.45">
      <c r="B8" s="36" t="s">
        <v>399</v>
      </c>
      <c r="C8" s="12" t="s">
        <v>573</v>
      </c>
      <c r="D8" t="s">
        <v>890</v>
      </c>
      <c r="E8">
        <f>E7*3600</f>
        <v>10081393.200000001</v>
      </c>
      <c r="F8" s="52" t="s">
        <v>611</v>
      </c>
    </row>
    <row r="9" spans="1:6" ht="28.5" x14ac:dyDescent="0.45">
      <c r="B9" s="62" t="s">
        <v>400</v>
      </c>
      <c r="C9" s="12" t="s">
        <v>574</v>
      </c>
      <c r="D9" t="s">
        <v>401</v>
      </c>
      <c r="E9">
        <v>40</v>
      </c>
      <c r="F9" s="52" t="s">
        <v>612</v>
      </c>
    </row>
    <row r="10" spans="1:6" x14ac:dyDescent="0.45">
      <c r="B10" s="161" t="s">
        <v>575</v>
      </c>
      <c r="C10" t="s">
        <v>403</v>
      </c>
      <c r="D10" t="s">
        <v>402</v>
      </c>
      <c r="E10" s="6">
        <v>5.7</v>
      </c>
      <c r="F10" s="52" t="s">
        <v>613</v>
      </c>
    </row>
    <row r="11" spans="1:6" x14ac:dyDescent="0.45">
      <c r="B11" s="161"/>
      <c r="C11" t="s">
        <v>583</v>
      </c>
      <c r="D11" t="s">
        <v>584</v>
      </c>
      <c r="E11">
        <v>21</v>
      </c>
      <c r="F11" s="52" t="s">
        <v>613</v>
      </c>
    </row>
    <row r="12" spans="1:6" x14ac:dyDescent="0.45">
      <c r="B12" s="161"/>
      <c r="C12" t="s">
        <v>586</v>
      </c>
      <c r="D12" t="s">
        <v>585</v>
      </c>
      <c r="E12" s="53">
        <f>E14*E11</f>
        <v>3640.875</v>
      </c>
      <c r="F12" s="52" t="s">
        <v>613</v>
      </c>
    </row>
    <row r="13" spans="1:6" x14ac:dyDescent="0.45">
      <c r="B13" s="161"/>
      <c r="C13" t="s">
        <v>587</v>
      </c>
      <c r="D13" t="s">
        <v>588</v>
      </c>
      <c r="E13">
        <f>(E10/12)*100</f>
        <v>47.5</v>
      </c>
      <c r="F13" s="52" t="s">
        <v>613</v>
      </c>
    </row>
    <row r="14" spans="1:6" x14ac:dyDescent="0.45">
      <c r="B14" s="161"/>
      <c r="C14" t="s">
        <v>589</v>
      </c>
      <c r="D14" t="s">
        <v>590</v>
      </c>
      <c r="E14" s="53">
        <f>(E13/100)*365</f>
        <v>173.375</v>
      </c>
      <c r="F14" s="52" t="s">
        <v>613</v>
      </c>
    </row>
    <row r="15" spans="1:6" x14ac:dyDescent="0.45">
      <c r="B15" s="161"/>
      <c r="C15" t="s">
        <v>597</v>
      </c>
      <c r="D15" t="s">
        <v>600</v>
      </c>
      <c r="E15" s="6">
        <f>E55*365</f>
        <v>4877.9284226394657</v>
      </c>
      <c r="F15" s="52" t="s">
        <v>613</v>
      </c>
    </row>
    <row r="16" spans="1:6" x14ac:dyDescent="0.45">
      <c r="B16" s="161"/>
      <c r="C16" t="s">
        <v>598</v>
      </c>
      <c r="D16" t="s">
        <v>599</v>
      </c>
      <c r="E16">
        <f>E63</f>
        <v>18.967924917696863</v>
      </c>
      <c r="F16" s="52" t="s">
        <v>613</v>
      </c>
    </row>
    <row r="17" spans="2:8" x14ac:dyDescent="0.45">
      <c r="B17" s="161"/>
      <c r="C17" t="s">
        <v>601</v>
      </c>
      <c r="D17" t="s">
        <v>602</v>
      </c>
      <c r="E17">
        <v>4304</v>
      </c>
      <c r="F17" s="52" t="s">
        <v>613</v>
      </c>
    </row>
    <row r="18" spans="2:8" x14ac:dyDescent="0.45">
      <c r="B18" s="161"/>
      <c r="C18" t="s">
        <v>603</v>
      </c>
      <c r="D18" t="s">
        <v>599</v>
      </c>
      <c r="E18">
        <v>35.5</v>
      </c>
      <c r="F18" s="52" t="s">
        <v>613</v>
      </c>
    </row>
    <row r="19" spans="2:8" x14ac:dyDescent="0.45">
      <c r="B19" s="161"/>
      <c r="C19" t="s">
        <v>579</v>
      </c>
      <c r="D19" t="s">
        <v>591</v>
      </c>
      <c r="E19">
        <f>((5449/365)/24)*E12</f>
        <v>2264.7406249999999</v>
      </c>
      <c r="F19" s="52" t="s">
        <v>613</v>
      </c>
    </row>
    <row r="20" spans="2:8" x14ac:dyDescent="0.45">
      <c r="B20" s="161"/>
      <c r="C20" t="s">
        <v>1014</v>
      </c>
      <c r="D20" t="s">
        <v>1015</v>
      </c>
      <c r="E20">
        <f>E19*(817/5449)</f>
        <v>339.56562499999995</v>
      </c>
      <c r="F20" s="52"/>
    </row>
    <row r="21" spans="2:8" x14ac:dyDescent="0.45">
      <c r="B21" s="161"/>
      <c r="C21" t="s">
        <v>580</v>
      </c>
      <c r="D21" t="s">
        <v>596</v>
      </c>
      <c r="E21">
        <f>((E16/(365*24))*E12)</f>
        <v>7.8835437939177586</v>
      </c>
      <c r="F21" s="52" t="s">
        <v>613</v>
      </c>
    </row>
    <row r="22" spans="2:8" x14ac:dyDescent="0.45">
      <c r="B22" s="161"/>
      <c r="C22" t="s">
        <v>592</v>
      </c>
      <c r="D22" t="s">
        <v>593</v>
      </c>
      <c r="E22">
        <f>((E17/365)/24)*E12</f>
        <v>1788.85</v>
      </c>
      <c r="F22" s="52" t="s">
        <v>613</v>
      </c>
    </row>
    <row r="23" spans="2:8" x14ac:dyDescent="0.45">
      <c r="B23" s="161"/>
      <c r="C23" t="s">
        <v>594</v>
      </c>
      <c r="D23" t="s">
        <v>195</v>
      </c>
      <c r="E23">
        <f>(E18/(365*24))*E12</f>
        <v>14.754687500000001</v>
      </c>
      <c r="F23" s="52" t="s">
        <v>613</v>
      </c>
    </row>
    <row r="24" spans="2:8" x14ac:dyDescent="0.45">
      <c r="B24" s="161"/>
      <c r="C24" t="s">
        <v>595</v>
      </c>
      <c r="D24" t="s">
        <v>195</v>
      </c>
      <c r="E24">
        <f>((E18+E16)/(365*24))*E12</f>
        <v>22.638231293917759</v>
      </c>
      <c r="F24" s="52" t="s">
        <v>613</v>
      </c>
    </row>
    <row r="25" spans="2:8" x14ac:dyDescent="0.45">
      <c r="B25" s="161"/>
      <c r="C25" t="s">
        <v>897</v>
      </c>
      <c r="D25" t="s">
        <v>899</v>
      </c>
      <c r="E25">
        <f>(6.21/5449)*E15</f>
        <v>5.5591733353993549</v>
      </c>
      <c r="F25" s="52" t="s">
        <v>613</v>
      </c>
    </row>
    <row r="26" spans="2:8" x14ac:dyDescent="0.45">
      <c r="B26" s="161"/>
      <c r="C26" t="s">
        <v>898</v>
      </c>
      <c r="D26" t="s">
        <v>900</v>
      </c>
      <c r="E26">
        <f>(14.1/5449)*E15</f>
        <v>12.622277621438148</v>
      </c>
      <c r="F26" s="52" t="s">
        <v>613</v>
      </c>
    </row>
    <row r="27" spans="2:8" x14ac:dyDescent="0.45">
      <c r="B27" s="168" t="s">
        <v>576</v>
      </c>
      <c r="C27" t="s">
        <v>577</v>
      </c>
      <c r="D27" t="s">
        <v>585</v>
      </c>
      <c r="E27" s="53">
        <f>(365*24)-E12</f>
        <v>5119.125</v>
      </c>
      <c r="F27" s="52" t="s">
        <v>613</v>
      </c>
    </row>
    <row r="28" spans="2:8" x14ac:dyDescent="0.45">
      <c r="B28" s="168"/>
      <c r="C28" t="s">
        <v>582</v>
      </c>
      <c r="D28" t="s">
        <v>588</v>
      </c>
      <c r="E28">
        <f>100-E13</f>
        <v>52.5</v>
      </c>
      <c r="F28" s="52" t="s">
        <v>613</v>
      </c>
    </row>
    <row r="29" spans="2:8" ht="28.5" x14ac:dyDescent="0.45">
      <c r="B29" s="168"/>
      <c r="C29" t="s">
        <v>608</v>
      </c>
      <c r="D29" t="s">
        <v>609</v>
      </c>
      <c r="E29">
        <v>1.2</v>
      </c>
      <c r="F29" s="52" t="s">
        <v>787</v>
      </c>
      <c r="H29">
        <f>120/((E43/E36)*100)</f>
        <v>60</v>
      </c>
    </row>
    <row r="30" spans="2:8" x14ac:dyDescent="0.45">
      <c r="B30" s="168" t="s">
        <v>578</v>
      </c>
      <c r="C30" t="s">
        <v>581</v>
      </c>
      <c r="D30" t="s">
        <v>604</v>
      </c>
      <c r="E30">
        <f>(E15/(365*24))*E27</f>
        <v>2850.5394219799377</v>
      </c>
      <c r="F30" s="52" t="s">
        <v>613</v>
      </c>
      <c r="H30">
        <f>120/33.8</f>
        <v>3.550295857988166</v>
      </c>
    </row>
    <row r="31" spans="2:8" x14ac:dyDescent="0.45">
      <c r="B31" s="168"/>
      <c r="C31" t="s">
        <v>1016</v>
      </c>
      <c r="D31" t="s">
        <v>1015</v>
      </c>
      <c r="E31">
        <f>E30*(817/5449)</f>
        <v>427.39781753672401</v>
      </c>
      <c r="F31" s="52"/>
    </row>
    <row r="32" spans="2:8" x14ac:dyDescent="0.45">
      <c r="B32" s="168"/>
      <c r="C32" t="s">
        <v>605</v>
      </c>
      <c r="D32" t="s">
        <v>250</v>
      </c>
      <c r="E32">
        <f>((E16/(365*24))*E27)</f>
        <v>11.084381123779105</v>
      </c>
      <c r="F32" s="52" t="s">
        <v>613</v>
      </c>
    </row>
    <row r="33" spans="2:6" x14ac:dyDescent="0.45">
      <c r="B33" s="168"/>
      <c r="C33" t="s">
        <v>606</v>
      </c>
      <c r="D33" t="s">
        <v>250</v>
      </c>
      <c r="E33">
        <f>((E18/(365*24))*E27)</f>
        <v>20.745312500000001</v>
      </c>
      <c r="F33" s="52" t="s">
        <v>613</v>
      </c>
    </row>
    <row r="34" spans="2:6" ht="14.25" customHeight="1" x14ac:dyDescent="0.45">
      <c r="B34" s="168"/>
      <c r="C34" t="s">
        <v>607</v>
      </c>
      <c r="D34" t="s">
        <v>250</v>
      </c>
      <c r="E34">
        <f>SUM(E32:E33)</f>
        <v>31.829693623779107</v>
      </c>
      <c r="F34" s="52" t="s">
        <v>613</v>
      </c>
    </row>
    <row r="35" spans="2:6" ht="33.75" customHeight="1" x14ac:dyDescent="0.45">
      <c r="B35" s="147" t="s">
        <v>615</v>
      </c>
      <c r="C35" t="s">
        <v>616</v>
      </c>
      <c r="D35" t="s">
        <v>62</v>
      </c>
      <c r="E35">
        <v>554</v>
      </c>
      <c r="F35" s="96" t="s">
        <v>924</v>
      </c>
    </row>
    <row r="36" spans="2:6" x14ac:dyDescent="0.45">
      <c r="B36" s="147"/>
      <c r="C36" t="s">
        <v>642</v>
      </c>
      <c r="D36" t="s">
        <v>62</v>
      </c>
      <c r="E36" s="6">
        <f>E35*(1-0.763*EXP(-0.00285*(365)))^2</f>
        <v>295.53524557968109</v>
      </c>
      <c r="F36" s="52" t="s">
        <v>620</v>
      </c>
    </row>
    <row r="37" spans="2:6" x14ac:dyDescent="0.45">
      <c r="B37" s="147"/>
      <c r="C37" t="s">
        <v>641</v>
      </c>
      <c r="D37" t="s">
        <v>62</v>
      </c>
      <c r="E37">
        <f>E35*(1-0.763*EXP(-0.00285*730))^2</f>
        <v>453.46503763649633</v>
      </c>
      <c r="F37" s="52"/>
    </row>
    <row r="38" spans="2:6" x14ac:dyDescent="0.45">
      <c r="B38" s="147"/>
      <c r="C38" t="s">
        <v>1003</v>
      </c>
      <c r="D38" t="s">
        <v>621</v>
      </c>
      <c r="E38" s="6">
        <f>(26.4+0.01*E39-41*E42-0.00006*(E39^2)+35.2*(E42^2)+0.12*E39*E42)*E40</f>
        <v>27.10796231909455</v>
      </c>
      <c r="F38" s="52" t="s">
        <v>1002</v>
      </c>
    </row>
    <row r="39" spans="2:6" x14ac:dyDescent="0.45">
      <c r="B39" s="147"/>
      <c r="C39" t="s">
        <v>624</v>
      </c>
      <c r="D39" t="s">
        <v>62</v>
      </c>
      <c r="E39">
        <f>(((E35/(2*-0.00277))*(2-0.756*EXP(-0.00277*730))^2+E35*730)-((E35/(2*-0.00277))*(2-0.756*EXP(-0.00277*365))^2+E35*365))/(730-365)</f>
        <v>380.22168513998304</v>
      </c>
      <c r="F39" s="52" t="s">
        <v>626</v>
      </c>
    </row>
    <row r="40" spans="2:6" ht="12.4" customHeight="1" x14ac:dyDescent="0.45">
      <c r="B40" s="147"/>
      <c r="C40" t="s">
        <v>622</v>
      </c>
      <c r="D40" t="s">
        <v>47</v>
      </c>
      <c r="E40">
        <v>0.9</v>
      </c>
      <c r="F40" s="52" t="s">
        <v>623</v>
      </c>
    </row>
    <row r="41" spans="2:6" ht="28.5" x14ac:dyDescent="0.45">
      <c r="B41" s="147"/>
      <c r="C41" t="s">
        <v>628</v>
      </c>
      <c r="D41" t="s">
        <v>62</v>
      </c>
      <c r="E41">
        <v>26</v>
      </c>
      <c r="F41" s="84" t="s">
        <v>617</v>
      </c>
    </row>
    <row r="42" spans="2:6" x14ac:dyDescent="0.45">
      <c r="B42" s="147"/>
      <c r="C42" t="s">
        <v>627</v>
      </c>
      <c r="D42" t="s">
        <v>631</v>
      </c>
      <c r="E42" s="6">
        <f>(E37-E36)/(730-365)</f>
        <v>0.43268436179949382</v>
      </c>
      <c r="F42" s="52" t="s">
        <v>632</v>
      </c>
    </row>
    <row r="43" spans="2:6" ht="28.5" x14ac:dyDescent="0.45">
      <c r="B43" s="147"/>
      <c r="C43" t="s">
        <v>633</v>
      </c>
      <c r="D43" t="s">
        <v>631</v>
      </c>
      <c r="E43" s="6">
        <f>(E36)*0.02</f>
        <v>5.9107049115936219</v>
      </c>
      <c r="F43" s="84" t="s">
        <v>634</v>
      </c>
    </row>
    <row r="44" spans="2:6" x14ac:dyDescent="0.45">
      <c r="B44" s="147"/>
      <c r="C44" t="s">
        <v>635</v>
      </c>
      <c r="D44" t="s">
        <v>636</v>
      </c>
      <c r="E44" s="6">
        <f>E43*365</f>
        <v>2157.407292731672</v>
      </c>
      <c r="F44" s="52"/>
    </row>
    <row r="45" spans="2:6" x14ac:dyDescent="0.45">
      <c r="B45" s="147"/>
      <c r="C45" t="s">
        <v>638</v>
      </c>
      <c r="D45" t="s">
        <v>639</v>
      </c>
      <c r="E45">
        <f>SUM(E38:E38)*365</f>
        <v>9894.4062464695107</v>
      </c>
      <c r="F45" s="52"/>
    </row>
    <row r="46" spans="2:6" x14ac:dyDescent="0.45">
      <c r="B46" s="147"/>
      <c r="C46" t="s">
        <v>614</v>
      </c>
      <c r="D46" t="s">
        <v>123</v>
      </c>
      <c r="E46" s="6">
        <f>E45/E44</f>
        <v>4.5862486327008671</v>
      </c>
      <c r="F46" s="52"/>
    </row>
    <row r="47" spans="2:6" ht="28.5" x14ac:dyDescent="0.45">
      <c r="B47" s="147"/>
      <c r="C47" t="s">
        <v>1005</v>
      </c>
      <c r="D47" t="s">
        <v>48</v>
      </c>
      <c r="E47">
        <f>((E43*0.15)*1000)/E43</f>
        <v>150</v>
      </c>
      <c r="F47" s="84" t="s">
        <v>998</v>
      </c>
    </row>
    <row r="48" spans="2:6" ht="14.25" customHeight="1" x14ac:dyDescent="0.45">
      <c r="B48" s="147"/>
      <c r="C48" t="s">
        <v>66</v>
      </c>
      <c r="D48" t="s">
        <v>168</v>
      </c>
      <c r="E48">
        <v>62.6</v>
      </c>
      <c r="F48" s="52" t="s">
        <v>643</v>
      </c>
    </row>
    <row r="49" spans="2:7" ht="14.25" customHeight="1" x14ac:dyDescent="0.45">
      <c r="B49" s="147" t="s">
        <v>670</v>
      </c>
      <c r="C49" t="s">
        <v>645</v>
      </c>
      <c r="D49" t="s">
        <v>631</v>
      </c>
      <c r="E49">
        <f>(E50*E43)/16</f>
        <v>3.6658432907807499</v>
      </c>
      <c r="F49" s="52" t="s">
        <v>646</v>
      </c>
    </row>
    <row r="50" spans="2:7" x14ac:dyDescent="0.45">
      <c r="B50" s="147"/>
      <c r="C50" t="s">
        <v>647</v>
      </c>
      <c r="D50" t="s">
        <v>123</v>
      </c>
      <c r="E50">
        <f>(AVERAGE(Baseline_crop_data!R39,Baseline_crop_data!U39,Baseline_crop_data!V39))</f>
        <v>9.9232652500457963</v>
      </c>
      <c r="F50" s="52"/>
    </row>
    <row r="51" spans="2:7" ht="14.25" customHeight="1" x14ac:dyDescent="0.45">
      <c r="B51" s="147"/>
      <c r="C51" t="s">
        <v>648</v>
      </c>
      <c r="D51" t="s">
        <v>649</v>
      </c>
      <c r="E51">
        <f>E49/(E43*E52*0.001)</f>
        <v>0.67419564735855741</v>
      </c>
      <c r="F51" s="52" t="s">
        <v>652</v>
      </c>
    </row>
    <row r="52" spans="2:7" ht="15.75" customHeight="1" x14ac:dyDescent="0.45">
      <c r="B52" s="147"/>
      <c r="C52" t="s">
        <v>650</v>
      </c>
      <c r="D52" t="s">
        <v>48</v>
      </c>
      <c r="E52">
        <f>(100-AVERAGE(Baseline_crop_data!R29,Baseline_crop_data!U29,Baseline_crop_data!V29))*10</f>
        <v>919.91706051169331</v>
      </c>
      <c r="F52" s="52"/>
    </row>
    <row r="53" spans="2:7" x14ac:dyDescent="0.45">
      <c r="B53" s="147"/>
      <c r="C53" t="s">
        <v>651</v>
      </c>
      <c r="D53" t="s">
        <v>649</v>
      </c>
      <c r="E53">
        <f>(0.977*E51*1000+1.4)/1000</f>
        <v>0.66008914746931058</v>
      </c>
      <c r="F53" s="52" t="s">
        <v>653</v>
      </c>
    </row>
    <row r="54" spans="2:7" x14ac:dyDescent="0.45">
      <c r="B54" s="147"/>
      <c r="C54" t="s">
        <v>655</v>
      </c>
      <c r="D54" t="s">
        <v>631</v>
      </c>
      <c r="E54">
        <f>E43*(1-E53)</f>
        <v>2.0091127455571214</v>
      </c>
      <c r="F54" s="52" t="s">
        <v>654</v>
      </c>
    </row>
    <row r="55" spans="2:7" x14ac:dyDescent="0.45">
      <c r="B55" s="147"/>
      <c r="C55" t="s">
        <v>656</v>
      </c>
      <c r="D55" t="s">
        <v>631</v>
      </c>
      <c r="E55" s="6">
        <f>E54/(2.24/14.9)</f>
        <v>13.364187459286208</v>
      </c>
      <c r="F55" s="52" t="s">
        <v>657</v>
      </c>
    </row>
    <row r="56" spans="2:7" x14ac:dyDescent="0.45">
      <c r="B56" s="147"/>
      <c r="C56" t="s">
        <v>658</v>
      </c>
      <c r="D56" t="s">
        <v>659</v>
      </c>
      <c r="E56">
        <f>(2.7+0.053*((E48/365)*1000))</f>
        <v>11.789863013698628</v>
      </c>
      <c r="F56" s="52" t="s">
        <v>660</v>
      </c>
    </row>
    <row r="57" spans="2:7" x14ac:dyDescent="0.45">
      <c r="B57" s="147"/>
      <c r="C57" s="12" t="s">
        <v>661</v>
      </c>
      <c r="D57" t="s">
        <v>67</v>
      </c>
      <c r="E57">
        <f>AVERAGE(600,600,600,640,705,657)/10</f>
        <v>63.36666666666666</v>
      </c>
      <c r="F57" s="52" t="s">
        <v>669</v>
      </c>
    </row>
    <row r="58" spans="2:7" x14ac:dyDescent="0.45">
      <c r="B58" s="147"/>
      <c r="C58" t="s">
        <v>666</v>
      </c>
      <c r="D58" t="s">
        <v>631</v>
      </c>
      <c r="E58">
        <f>E57*(E43/100)</f>
        <v>3.7454166789798249</v>
      </c>
      <c r="F58" s="52"/>
    </row>
    <row r="59" spans="2:7" x14ac:dyDescent="0.45">
      <c r="B59" s="147"/>
      <c r="C59" t="s">
        <v>662</v>
      </c>
      <c r="D59" t="s">
        <v>48</v>
      </c>
      <c r="E59">
        <f>E47/6.25</f>
        <v>24</v>
      </c>
      <c r="F59" s="52"/>
    </row>
    <row r="60" spans="2:7" ht="14.25" customHeight="1" x14ac:dyDescent="0.45">
      <c r="B60" s="147"/>
      <c r="C60" t="s">
        <v>664</v>
      </c>
      <c r="D60" t="s">
        <v>663</v>
      </c>
      <c r="E60">
        <f>E59*E43</f>
        <v>141.85691787824692</v>
      </c>
      <c r="F60" s="52"/>
    </row>
    <row r="61" spans="2:7" ht="13.5" customHeight="1" x14ac:dyDescent="0.45">
      <c r="B61" s="147"/>
      <c r="C61" t="s">
        <v>667</v>
      </c>
      <c r="D61" t="s">
        <v>663</v>
      </c>
      <c r="E61">
        <f>E60*E57/100</f>
        <v>89.89000029551579</v>
      </c>
      <c r="F61" s="52"/>
    </row>
    <row r="62" spans="2:7" x14ac:dyDescent="0.45">
      <c r="B62" s="147"/>
      <c r="C62" t="s">
        <v>665</v>
      </c>
      <c r="D62" t="s">
        <v>663</v>
      </c>
      <c r="E62">
        <f>E60-E61</f>
        <v>51.966917582731128</v>
      </c>
      <c r="F62" s="52"/>
    </row>
    <row r="63" spans="2:7" x14ac:dyDescent="0.45">
      <c r="B63" s="147"/>
      <c r="C63" t="s">
        <v>668</v>
      </c>
      <c r="D63" t="s">
        <v>637</v>
      </c>
      <c r="E63" s="6">
        <f>(E62*365)/1000</f>
        <v>18.967924917696863</v>
      </c>
      <c r="F63" s="52"/>
    </row>
    <row r="64" spans="2:7" ht="42.75" x14ac:dyDescent="0.45">
      <c r="B64" s="147"/>
      <c r="C64" t="s">
        <v>671</v>
      </c>
      <c r="D64" t="s">
        <v>673</v>
      </c>
      <c r="E64">
        <f>E45/0.82</f>
        <v>12066.34908106038</v>
      </c>
      <c r="F64" s="84" t="s">
        <v>672</v>
      </c>
      <c r="G64">
        <f>48335.5+53644</f>
        <v>101979.5</v>
      </c>
    </row>
    <row r="65" spans="1:7" ht="42.75" x14ac:dyDescent="0.45">
      <c r="B65" s="147"/>
      <c r="C65" t="s">
        <v>179</v>
      </c>
      <c r="D65" t="s">
        <v>673</v>
      </c>
      <c r="E65">
        <f>E64/(E57/100)</f>
        <v>19042.107965902756</v>
      </c>
      <c r="F65" s="84" t="s">
        <v>675</v>
      </c>
      <c r="G65">
        <f>(E47*E44)/1000</f>
        <v>323.61109390975082</v>
      </c>
    </row>
    <row r="66" spans="1:7" ht="42.75" x14ac:dyDescent="0.45">
      <c r="B66" s="147"/>
      <c r="C66" t="s">
        <v>674</v>
      </c>
      <c r="D66" t="s">
        <v>123</v>
      </c>
      <c r="E66" s="6">
        <f>E65/E44</f>
        <v>8.8263852773909779</v>
      </c>
      <c r="F66" s="52" t="s">
        <v>675</v>
      </c>
      <c r="G66">
        <f>G65/E96</f>
        <v>4.5401106740363604</v>
      </c>
    </row>
    <row r="67" spans="1:7" x14ac:dyDescent="0.45">
      <c r="B67" s="147" t="s">
        <v>679</v>
      </c>
      <c r="C67" t="s">
        <v>680</v>
      </c>
      <c r="D67" t="s">
        <v>997</v>
      </c>
      <c r="E67">
        <f>(E68*365)/1000</f>
        <v>0.438</v>
      </c>
      <c r="F67" s="52"/>
    </row>
    <row r="68" spans="1:7" ht="28.5" x14ac:dyDescent="0.45">
      <c r="B68" s="147"/>
      <c r="C68" t="s">
        <v>683</v>
      </c>
      <c r="D68" t="s">
        <v>682</v>
      </c>
      <c r="E68">
        <f>1.2</f>
        <v>1.2</v>
      </c>
      <c r="F68" s="52" t="s">
        <v>787</v>
      </c>
    </row>
    <row r="69" spans="1:7" x14ac:dyDescent="0.45">
      <c r="B69" s="147"/>
      <c r="F69" s="52"/>
    </row>
    <row r="70" spans="1:7" x14ac:dyDescent="0.45">
      <c r="B70" s="161" t="s">
        <v>738</v>
      </c>
      <c r="C70" t="s">
        <v>739</v>
      </c>
      <c r="D70" t="s">
        <v>67</v>
      </c>
      <c r="E70">
        <f>'Financial data Palopuro Baselin'!D36</f>
        <v>0.68181818181818177</v>
      </c>
      <c r="F70" s="52"/>
    </row>
    <row r="71" spans="1:7" x14ac:dyDescent="0.45">
      <c r="B71" s="161"/>
      <c r="C71" t="s">
        <v>740</v>
      </c>
      <c r="D71" t="s">
        <v>67</v>
      </c>
      <c r="E71">
        <f>'Financial data Palopuro Baselin'!D37</f>
        <v>0.31818181818181818</v>
      </c>
      <c r="F71" s="52"/>
    </row>
    <row r="72" spans="1:7" x14ac:dyDescent="0.45">
      <c r="B72" s="161"/>
      <c r="C72" t="s">
        <v>741</v>
      </c>
      <c r="D72" t="s">
        <v>781</v>
      </c>
      <c r="E72">
        <f>E74*E125</f>
        <v>820.49154695041273</v>
      </c>
      <c r="F72" s="52"/>
    </row>
    <row r="73" spans="1:7" x14ac:dyDescent="0.45">
      <c r="B73" s="161"/>
      <c r="C73" t="s">
        <v>741</v>
      </c>
      <c r="D73" t="s">
        <v>782</v>
      </c>
      <c r="E73">
        <f>E72/60</f>
        <v>13.674859115840212</v>
      </c>
      <c r="F73" s="52"/>
    </row>
    <row r="74" spans="1:7" ht="71.25" x14ac:dyDescent="0.45">
      <c r="B74" s="161"/>
      <c r="C74" t="s">
        <v>744</v>
      </c>
      <c r="D74" t="s">
        <v>776</v>
      </c>
      <c r="E74">
        <v>5.17</v>
      </c>
      <c r="F74" s="84" t="s">
        <v>747</v>
      </c>
    </row>
    <row r="75" spans="1:7" ht="71.25" x14ac:dyDescent="0.45">
      <c r="B75" s="161"/>
      <c r="C75" t="s">
        <v>745</v>
      </c>
      <c r="D75" t="s">
        <v>782</v>
      </c>
      <c r="E75">
        <f>E73*E71</f>
        <v>4.3510915368582488</v>
      </c>
      <c r="F75" s="52" t="s">
        <v>747</v>
      </c>
    </row>
    <row r="76" spans="1:7" ht="14.65" thickBot="1" x14ac:dyDescent="0.5">
      <c r="B76" s="162"/>
      <c r="C76" s="41" t="s">
        <v>746</v>
      </c>
      <c r="D76" s="41" t="s">
        <v>782</v>
      </c>
      <c r="E76" s="41">
        <f>E73*E70</f>
        <v>9.3237675789819612</v>
      </c>
      <c r="F76" s="85"/>
    </row>
    <row r="77" spans="1:7" x14ac:dyDescent="0.45">
      <c r="A77" s="48"/>
      <c r="B77" t="s">
        <v>923</v>
      </c>
      <c r="E77" s="35"/>
    </row>
    <row r="78" spans="1:7" x14ac:dyDescent="0.45">
      <c r="A78" s="147" t="s">
        <v>927</v>
      </c>
      <c r="B78" s="140" t="s">
        <v>748</v>
      </c>
      <c r="C78" t="s">
        <v>751</v>
      </c>
      <c r="D78" t="s">
        <v>799</v>
      </c>
      <c r="E78" s="35">
        <f>E14</f>
        <v>173.375</v>
      </c>
      <c r="F78"/>
    </row>
    <row r="79" spans="1:7" x14ac:dyDescent="0.45">
      <c r="A79" s="147"/>
      <c r="B79" s="140"/>
      <c r="C79" t="s">
        <v>752</v>
      </c>
      <c r="D79" t="s">
        <v>775</v>
      </c>
      <c r="E79" s="35">
        <f>E137</f>
        <v>506.74698795180728</v>
      </c>
      <c r="F79"/>
    </row>
    <row r="80" spans="1:7" x14ac:dyDescent="0.45">
      <c r="A80" s="147"/>
      <c r="B80" s="140"/>
      <c r="C80" t="s">
        <v>957</v>
      </c>
      <c r="D80" t="s">
        <v>942</v>
      </c>
      <c r="E80" s="35">
        <f>E119/(E87*(E88/100))</f>
        <v>2.0037500765371816</v>
      </c>
      <c r="F80"/>
    </row>
    <row r="81" spans="1:6" x14ac:dyDescent="0.45">
      <c r="A81" s="147"/>
      <c r="B81" s="140"/>
      <c r="C81" t="s">
        <v>958</v>
      </c>
      <c r="D81" t="s">
        <v>942</v>
      </c>
      <c r="E81" s="35">
        <f>E80+E98</f>
        <v>5.8498167432038475</v>
      </c>
      <c r="F81"/>
    </row>
    <row r="82" spans="1:6" x14ac:dyDescent="0.45">
      <c r="A82" s="147"/>
      <c r="B82" s="140"/>
      <c r="C82" t="s">
        <v>54</v>
      </c>
      <c r="D82" t="s">
        <v>782</v>
      </c>
      <c r="E82" s="35">
        <f>E76</f>
        <v>9.3237675789819612</v>
      </c>
      <c r="F82"/>
    </row>
    <row r="83" spans="1:6" x14ac:dyDescent="0.45">
      <c r="A83" s="147"/>
      <c r="B83" s="140"/>
      <c r="C83" t="s">
        <v>753</v>
      </c>
      <c r="D83" t="s">
        <v>782</v>
      </c>
      <c r="E83" s="35">
        <f>E75</f>
        <v>4.3510915368582488</v>
      </c>
      <c r="F83"/>
    </row>
    <row r="84" spans="1:6" x14ac:dyDescent="0.45">
      <c r="A84" s="147"/>
      <c r="B84" s="140"/>
      <c r="C84" t="s">
        <v>754</v>
      </c>
      <c r="D84" t="s">
        <v>178</v>
      </c>
      <c r="E84" s="35">
        <f>Basline_manure_data!D62</f>
        <v>22.277484121376514</v>
      </c>
      <c r="F84" s="12" t="s">
        <v>969</v>
      </c>
    </row>
    <row r="85" spans="1:6" x14ac:dyDescent="0.45">
      <c r="A85" s="147"/>
      <c r="B85" s="140"/>
      <c r="C85" t="s">
        <v>755</v>
      </c>
      <c r="D85" t="s">
        <v>178</v>
      </c>
      <c r="E85" s="35">
        <f>Basline_manure_data!D78</f>
        <v>0.6</v>
      </c>
      <c r="F85" s="12" t="s">
        <v>968</v>
      </c>
    </row>
    <row r="86" spans="1:6" x14ac:dyDescent="0.45">
      <c r="A86" s="147"/>
      <c r="B86" s="140" t="s">
        <v>749</v>
      </c>
      <c r="C86" t="s">
        <v>889</v>
      </c>
      <c r="D86" t="s">
        <v>950</v>
      </c>
      <c r="E86" s="35">
        <f>E36*0.7</f>
        <v>206.87467190577675</v>
      </c>
    </row>
    <row r="87" spans="1:6" x14ac:dyDescent="0.45">
      <c r="A87" s="147"/>
      <c r="B87" s="140"/>
      <c r="C87" t="s">
        <v>756</v>
      </c>
      <c r="D87" t="s">
        <v>62</v>
      </c>
      <c r="E87" s="35">
        <f>E36</f>
        <v>295.53524557968109</v>
      </c>
    </row>
    <row r="88" spans="1:6" x14ac:dyDescent="0.45">
      <c r="A88" s="147"/>
      <c r="B88" s="140"/>
      <c r="C88" t="s">
        <v>757</v>
      </c>
      <c r="D88" t="s">
        <v>67</v>
      </c>
      <c r="E88" s="35">
        <f>E126</f>
        <v>53.7</v>
      </c>
    </row>
    <row r="89" spans="1:6" x14ac:dyDescent="0.45">
      <c r="A89" s="147"/>
      <c r="B89" s="140"/>
      <c r="C89" t="s">
        <v>758</v>
      </c>
      <c r="D89" t="s">
        <v>766</v>
      </c>
      <c r="E89" s="35">
        <f>E116</f>
        <v>384.60666666666663</v>
      </c>
    </row>
    <row r="90" spans="1:6" x14ac:dyDescent="0.45">
      <c r="A90" s="147"/>
      <c r="B90" s="140" t="s">
        <v>750</v>
      </c>
      <c r="C90" t="s">
        <v>759</v>
      </c>
      <c r="D90" t="s">
        <v>591</v>
      </c>
      <c r="E90" s="35">
        <f>E68*365</f>
        <v>438</v>
      </c>
    </row>
    <row r="91" spans="1:6" x14ac:dyDescent="0.45">
      <c r="A91" s="147"/>
      <c r="B91" s="140"/>
      <c r="C91" t="s">
        <v>760</v>
      </c>
      <c r="D91" t="s">
        <v>798</v>
      </c>
      <c r="E91" s="35">
        <v>7000</v>
      </c>
    </row>
    <row r="92" spans="1:6" x14ac:dyDescent="0.45">
      <c r="A92" s="147"/>
      <c r="B92" s="140"/>
      <c r="C92" t="s">
        <v>761</v>
      </c>
      <c r="D92" t="s">
        <v>955</v>
      </c>
      <c r="E92" s="35">
        <v>2.0042</v>
      </c>
      <c r="F92" s="12">
        <f>E87*E92</f>
        <v>592.31173919079686</v>
      </c>
    </row>
    <row r="93" spans="1:6" x14ac:dyDescent="0.45">
      <c r="A93" s="147"/>
      <c r="B93" s="140"/>
      <c r="C93" t="s">
        <v>762</v>
      </c>
      <c r="D93" t="s">
        <v>956</v>
      </c>
      <c r="E93" s="35">
        <v>0.7</v>
      </c>
    </row>
    <row r="94" spans="1:6" x14ac:dyDescent="0.45">
      <c r="A94" s="147"/>
      <c r="B94" s="140"/>
      <c r="C94" t="s">
        <v>763</v>
      </c>
      <c r="D94" t="s">
        <v>1001</v>
      </c>
      <c r="E94" s="35">
        <v>0</v>
      </c>
    </row>
    <row r="95" spans="1:6" ht="57" x14ac:dyDescent="0.45">
      <c r="A95" s="147"/>
      <c r="B95" s="140"/>
      <c r="C95" t="s">
        <v>764</v>
      </c>
      <c r="D95" t="s">
        <v>1000</v>
      </c>
      <c r="E95" s="35">
        <v>0</v>
      </c>
      <c r="F95" s="104" t="s">
        <v>1004</v>
      </c>
    </row>
    <row r="96" spans="1:6" ht="14.65" thickBot="1" x14ac:dyDescent="0.5">
      <c r="A96" s="148"/>
      <c r="B96" s="151"/>
      <c r="C96" s="41" t="s">
        <v>796</v>
      </c>
      <c r="D96" s="41" t="s">
        <v>62</v>
      </c>
      <c r="E96" s="43">
        <f>E36^0.75</f>
        <v>71.278239043905543</v>
      </c>
    </row>
    <row r="97" spans="1:6" ht="14.65" thickBot="1" x14ac:dyDescent="0.5">
      <c r="B97" s="26"/>
    </row>
    <row r="98" spans="1:6" x14ac:dyDescent="0.45">
      <c r="A98" s="170" t="s">
        <v>928</v>
      </c>
      <c r="B98" s="166" t="s">
        <v>929</v>
      </c>
      <c r="C98" s="44" t="s">
        <v>31</v>
      </c>
      <c r="D98" s="44" t="s">
        <v>942</v>
      </c>
      <c r="E98" s="44">
        <f>E89/100</f>
        <v>3.8460666666666663</v>
      </c>
      <c r="F98" s="50"/>
    </row>
    <row r="99" spans="1:6" x14ac:dyDescent="0.45">
      <c r="A99" s="147"/>
      <c r="B99" s="140"/>
      <c r="C99" t="s">
        <v>929</v>
      </c>
      <c r="D99" t="s">
        <v>631</v>
      </c>
      <c r="E99">
        <f>E42</f>
        <v>0.43268436179949382</v>
      </c>
      <c r="F99" s="52"/>
    </row>
    <row r="100" spans="1:6" x14ac:dyDescent="0.45">
      <c r="A100" s="147"/>
      <c r="B100" s="140"/>
      <c r="C100" t="s">
        <v>930</v>
      </c>
      <c r="D100" t="s">
        <v>943</v>
      </c>
      <c r="E100">
        <f>E88/100</f>
        <v>0.53700000000000003</v>
      </c>
      <c r="F100" s="52"/>
    </row>
    <row r="101" spans="1:6" ht="28.5" x14ac:dyDescent="0.45">
      <c r="A101" s="147"/>
      <c r="B101" s="140"/>
      <c r="C101" t="s">
        <v>32</v>
      </c>
      <c r="D101" t="s">
        <v>45</v>
      </c>
      <c r="E101">
        <v>30.9</v>
      </c>
      <c r="F101" s="84" t="s">
        <v>944</v>
      </c>
    </row>
    <row r="102" spans="1:6" ht="28.5" x14ac:dyDescent="0.45">
      <c r="A102" s="147"/>
      <c r="B102" s="140"/>
      <c r="C102" t="s">
        <v>33</v>
      </c>
      <c r="D102" t="s">
        <v>46</v>
      </c>
      <c r="E102">
        <v>1.1000000000000001</v>
      </c>
      <c r="F102" s="84" t="s">
        <v>944</v>
      </c>
    </row>
    <row r="103" spans="1:6" ht="28.5" x14ac:dyDescent="0.45">
      <c r="A103" s="147"/>
      <c r="B103" s="140"/>
      <c r="C103" t="s">
        <v>64</v>
      </c>
      <c r="D103" t="s">
        <v>46</v>
      </c>
      <c r="E103">
        <f>E109/6.25</f>
        <v>3.3680000000000003</v>
      </c>
      <c r="F103" s="52" t="s">
        <v>944</v>
      </c>
    </row>
    <row r="104" spans="1:6" x14ac:dyDescent="0.45">
      <c r="A104" s="147"/>
      <c r="B104" s="140"/>
      <c r="C104" t="s">
        <v>65</v>
      </c>
      <c r="D104" t="s">
        <v>46</v>
      </c>
      <c r="E104" t="s">
        <v>47</v>
      </c>
      <c r="F104" s="52"/>
    </row>
    <row r="105" spans="1:6" x14ac:dyDescent="0.45">
      <c r="A105" s="147"/>
      <c r="B105" s="140"/>
      <c r="C105" t="s">
        <v>66</v>
      </c>
      <c r="D105" t="s">
        <v>46</v>
      </c>
      <c r="E105" t="s">
        <v>47</v>
      </c>
      <c r="F105" s="52"/>
    </row>
    <row r="106" spans="1:6" ht="28.5" x14ac:dyDescent="0.45">
      <c r="A106" s="147"/>
      <c r="B106" s="140" t="s">
        <v>931</v>
      </c>
      <c r="C106" t="s">
        <v>932</v>
      </c>
      <c r="D106" t="s">
        <v>941</v>
      </c>
      <c r="E106">
        <v>162</v>
      </c>
      <c r="F106" s="52" t="s">
        <v>944</v>
      </c>
    </row>
    <row r="107" spans="1:6" ht="28.5" x14ac:dyDescent="0.45">
      <c r="A107" s="147"/>
      <c r="B107" s="140"/>
      <c r="C107" t="s">
        <v>933</v>
      </c>
      <c r="D107" t="s">
        <v>45</v>
      </c>
      <c r="E107">
        <v>0</v>
      </c>
      <c r="F107" s="52" t="s">
        <v>945</v>
      </c>
    </row>
    <row r="108" spans="1:6" ht="28.5" x14ac:dyDescent="0.45">
      <c r="A108" s="147"/>
      <c r="B108" s="140"/>
      <c r="C108" t="s">
        <v>934</v>
      </c>
      <c r="D108" t="s">
        <v>45</v>
      </c>
      <c r="E108">
        <v>0</v>
      </c>
      <c r="F108" s="52" t="s">
        <v>945</v>
      </c>
    </row>
    <row r="109" spans="1:6" ht="28.5" x14ac:dyDescent="0.45">
      <c r="A109" s="147"/>
      <c r="B109" s="140"/>
      <c r="C109" t="s">
        <v>38</v>
      </c>
      <c r="D109" t="s">
        <v>45</v>
      </c>
      <c r="E109">
        <v>21.05</v>
      </c>
      <c r="F109" s="52" t="s">
        <v>944</v>
      </c>
    </row>
    <row r="110" spans="1:6" ht="28.5" x14ac:dyDescent="0.45">
      <c r="A110" s="147"/>
      <c r="B110" s="140"/>
      <c r="C110" t="s">
        <v>935</v>
      </c>
      <c r="D110" t="s">
        <v>45</v>
      </c>
      <c r="E110">
        <v>9.4</v>
      </c>
      <c r="F110" s="52" t="s">
        <v>945</v>
      </c>
    </row>
    <row r="111" spans="1:6" x14ac:dyDescent="0.45">
      <c r="A111" s="147"/>
      <c r="B111" s="140" t="s">
        <v>750</v>
      </c>
      <c r="C111" t="s">
        <v>936</v>
      </c>
      <c r="D111" t="s">
        <v>940</v>
      </c>
      <c r="E111" t="s">
        <v>47</v>
      </c>
      <c r="F111" s="52"/>
    </row>
    <row r="112" spans="1:6" x14ac:dyDescent="0.45">
      <c r="A112" s="147"/>
      <c r="B112" s="140"/>
      <c r="C112" t="s">
        <v>937</v>
      </c>
      <c r="D112" t="s">
        <v>48</v>
      </c>
      <c r="E112" t="s">
        <v>47</v>
      </c>
      <c r="F112" s="52"/>
    </row>
    <row r="113" spans="1:6" x14ac:dyDescent="0.45">
      <c r="A113" s="147"/>
      <c r="B113" s="140"/>
      <c r="C113" t="s">
        <v>938</v>
      </c>
      <c r="D113" t="s">
        <v>995</v>
      </c>
      <c r="E113">
        <f>(E38)/E42</f>
        <v>62.650663422073009</v>
      </c>
      <c r="F113" s="52"/>
    </row>
    <row r="114" spans="1:6" ht="14.65" thickBot="1" x14ac:dyDescent="0.5">
      <c r="A114" s="148"/>
      <c r="B114" s="151"/>
      <c r="C114" s="41" t="s">
        <v>939</v>
      </c>
      <c r="D114" s="41" t="s">
        <v>996</v>
      </c>
      <c r="E114" s="41">
        <f>(E47*E43)/E42</f>
        <v>2049.0819983688175</v>
      </c>
      <c r="F114" s="85"/>
    </row>
    <row r="115" spans="1:6" ht="14.65" thickBot="1" x14ac:dyDescent="0.5">
      <c r="B115" s="26"/>
    </row>
    <row r="116" spans="1:6" ht="28.5" x14ac:dyDescent="0.45">
      <c r="B116" s="169" t="s">
        <v>742</v>
      </c>
      <c r="C116" s="49" t="s">
        <v>743</v>
      </c>
      <c r="D116" s="44" t="s">
        <v>766</v>
      </c>
      <c r="E116" s="44">
        <f>AVERAGE(354.76,360.24,438.82)</f>
        <v>384.60666666666663</v>
      </c>
      <c r="F116" s="50" t="s">
        <v>767</v>
      </c>
    </row>
    <row r="117" spans="1:6" x14ac:dyDescent="0.45">
      <c r="B117" s="161"/>
      <c r="C117" s="12" t="s">
        <v>765</v>
      </c>
      <c r="D117" t="s">
        <v>768</v>
      </c>
      <c r="E117">
        <v>530</v>
      </c>
      <c r="F117" s="52"/>
    </row>
    <row r="118" spans="1:6" x14ac:dyDescent="0.45">
      <c r="B118" s="161"/>
      <c r="C118" s="12" t="s">
        <v>769</v>
      </c>
      <c r="D118" t="s">
        <v>12</v>
      </c>
      <c r="E118">
        <v>0.6</v>
      </c>
      <c r="F118" s="52"/>
    </row>
    <row r="119" spans="1:6" x14ac:dyDescent="0.45">
      <c r="B119" s="161"/>
      <c r="C119" s="12" t="s">
        <v>770</v>
      </c>
      <c r="D119" t="s">
        <v>771</v>
      </c>
      <c r="E119">
        <f>E117*E118</f>
        <v>318</v>
      </c>
      <c r="F119" s="52"/>
    </row>
    <row r="120" spans="1:6" ht="27.75" customHeight="1" x14ac:dyDescent="0.45">
      <c r="B120" s="161" t="s">
        <v>774</v>
      </c>
      <c r="C120" s="12" t="s">
        <v>783</v>
      </c>
      <c r="D120" t="s">
        <v>771</v>
      </c>
      <c r="E120">
        <v>744</v>
      </c>
      <c r="F120" s="52" t="s">
        <v>773</v>
      </c>
    </row>
    <row r="121" spans="1:6" ht="32.25" customHeight="1" x14ac:dyDescent="0.45">
      <c r="B121" s="161"/>
      <c r="C121" s="12" t="s">
        <v>795</v>
      </c>
      <c r="D121" t="s">
        <v>791</v>
      </c>
      <c r="E121">
        <v>8844</v>
      </c>
      <c r="F121" s="84" t="s">
        <v>784</v>
      </c>
    </row>
    <row r="122" spans="1:6" ht="19.5" customHeight="1" x14ac:dyDescent="0.45">
      <c r="B122" s="161"/>
      <c r="C122" s="12" t="s">
        <v>792</v>
      </c>
      <c r="D122" t="s">
        <v>793</v>
      </c>
      <c r="E122">
        <v>526</v>
      </c>
      <c r="F122" s="84" t="s">
        <v>784</v>
      </c>
    </row>
    <row r="123" spans="1:6" ht="18" customHeight="1" x14ac:dyDescent="0.45">
      <c r="B123" s="161"/>
      <c r="C123" s="12" t="s">
        <v>794</v>
      </c>
      <c r="D123" t="s">
        <v>794</v>
      </c>
      <c r="E123">
        <v>17</v>
      </c>
      <c r="F123" s="84" t="s">
        <v>784</v>
      </c>
    </row>
    <row r="124" spans="1:6" x14ac:dyDescent="0.45">
      <c r="B124" s="161"/>
      <c r="C124" s="12"/>
      <c r="F124" s="52"/>
    </row>
    <row r="125" spans="1:6" x14ac:dyDescent="0.45">
      <c r="B125" s="161" t="s">
        <v>952</v>
      </c>
      <c r="C125" s="12" t="s">
        <v>777</v>
      </c>
      <c r="D125" t="s">
        <v>62</v>
      </c>
      <c r="E125">
        <f>E36*(E126*0.01)</f>
        <v>158.70242687628874</v>
      </c>
      <c r="F125" s="52" t="s">
        <v>780</v>
      </c>
    </row>
    <row r="126" spans="1:6" x14ac:dyDescent="0.45">
      <c r="B126" s="161"/>
      <c r="C126" s="12" t="s">
        <v>778</v>
      </c>
      <c r="D126" t="s">
        <v>67</v>
      </c>
      <c r="E126">
        <v>53.7</v>
      </c>
      <c r="F126" s="52" t="s">
        <v>779</v>
      </c>
    </row>
    <row r="127" spans="1:6" ht="28.5" x14ac:dyDescent="0.45">
      <c r="B127" s="161"/>
      <c r="C127" s="12" t="s">
        <v>785</v>
      </c>
      <c r="D127" t="s">
        <v>786</v>
      </c>
      <c r="E127">
        <v>387</v>
      </c>
      <c r="F127" s="52" t="s">
        <v>787</v>
      </c>
    </row>
    <row r="128" spans="1:6" x14ac:dyDescent="0.45">
      <c r="B128" s="161"/>
      <c r="C128" s="12" t="s">
        <v>788</v>
      </c>
      <c r="D128" t="s">
        <v>789</v>
      </c>
      <c r="E128">
        <v>7000</v>
      </c>
      <c r="F128" s="52" t="s">
        <v>790</v>
      </c>
    </row>
    <row r="129" spans="2:7" ht="43.15" thickBot="1" x14ac:dyDescent="0.5">
      <c r="B129" s="162"/>
      <c r="C129" s="83" t="s">
        <v>800</v>
      </c>
      <c r="D129" s="41" t="s">
        <v>801</v>
      </c>
      <c r="E129" s="41">
        <v>0.6</v>
      </c>
      <c r="F129" s="85" t="s">
        <v>802</v>
      </c>
    </row>
    <row r="130" spans="2:7" ht="14.65" thickBot="1" x14ac:dyDescent="0.5"/>
    <row r="131" spans="2:7" x14ac:dyDescent="0.45">
      <c r="B131" s="48"/>
      <c r="C131" s="49"/>
      <c r="D131" s="44" t="s">
        <v>959</v>
      </c>
      <c r="E131" s="49" t="s">
        <v>775</v>
      </c>
      <c r="F131" s="50"/>
    </row>
    <row r="132" spans="2:7" ht="28.5" x14ac:dyDescent="0.45">
      <c r="B132" s="147"/>
      <c r="C132" s="12" t="s">
        <v>803</v>
      </c>
      <c r="D132">
        <v>5560</v>
      </c>
      <c r="E132">
        <f>D132/$D$136</f>
        <v>111.64658634538154</v>
      </c>
      <c r="F132" s="84" t="s">
        <v>809</v>
      </c>
    </row>
    <row r="133" spans="2:7" ht="28.5" x14ac:dyDescent="0.45">
      <c r="B133" s="147"/>
      <c r="C133" s="12" t="s">
        <v>806</v>
      </c>
      <c r="D133">
        <v>11100</v>
      </c>
      <c r="E133">
        <f>D133/$D$136</f>
        <v>222.89156626506025</v>
      </c>
      <c r="F133" s="84" t="s">
        <v>809</v>
      </c>
    </row>
    <row r="134" spans="2:7" ht="28.5" x14ac:dyDescent="0.45">
      <c r="B134" s="147"/>
      <c r="C134" s="12" t="s">
        <v>807</v>
      </c>
      <c r="D134">
        <v>15200</v>
      </c>
      <c r="E134">
        <f>D134/$D$136</f>
        <v>305.22088353413659</v>
      </c>
      <c r="F134" s="84" t="s">
        <v>809</v>
      </c>
    </row>
    <row r="135" spans="2:7" ht="28.5" x14ac:dyDescent="0.45">
      <c r="B135" s="147"/>
      <c r="C135" s="12" t="s">
        <v>808</v>
      </c>
      <c r="D135">
        <v>10200</v>
      </c>
      <c r="E135">
        <f>D135/$D$136</f>
        <v>204.81927710843374</v>
      </c>
      <c r="F135" s="84" t="s">
        <v>809</v>
      </c>
    </row>
    <row r="136" spans="2:7" x14ac:dyDescent="0.45">
      <c r="B136" s="86"/>
      <c r="C136" s="12" t="s">
        <v>949</v>
      </c>
      <c r="D136">
        <v>49.8</v>
      </c>
      <c r="E136" s="6">
        <f>SUM(E132:E135)</f>
        <v>844.5783132530122</v>
      </c>
      <c r="F136" s="52"/>
    </row>
    <row r="137" spans="2:7" ht="14.65" thickBot="1" x14ac:dyDescent="0.5">
      <c r="B137" s="47"/>
      <c r="C137" s="83"/>
      <c r="D137" s="41"/>
      <c r="E137" s="95">
        <f>E136*E129</f>
        <v>506.74698795180728</v>
      </c>
      <c r="F137" s="85"/>
    </row>
    <row r="138" spans="2:7" ht="28.5" customHeight="1" thickBot="1" x14ac:dyDescent="0.5"/>
    <row r="139" spans="2:7" ht="15" customHeight="1" x14ac:dyDescent="0.45">
      <c r="B139" s="48"/>
      <c r="C139" s="44" t="s">
        <v>676</v>
      </c>
      <c r="D139" s="44"/>
      <c r="E139" s="44"/>
      <c r="F139" s="49"/>
      <c r="G139" s="45"/>
    </row>
    <row r="140" spans="2:7" x14ac:dyDescent="0.45">
      <c r="B140" s="36" t="s">
        <v>677</v>
      </c>
      <c r="C140" t="s">
        <v>678</v>
      </c>
      <c r="D140" t="s">
        <v>685</v>
      </c>
      <c r="E140" t="s">
        <v>686</v>
      </c>
      <c r="F140" s="12" t="s">
        <v>687</v>
      </c>
      <c r="G140" s="35" t="s">
        <v>180</v>
      </c>
    </row>
    <row r="141" spans="2:7" ht="28.5" x14ac:dyDescent="0.45">
      <c r="B141" s="46" t="s">
        <v>684</v>
      </c>
      <c r="C141" t="s">
        <v>689</v>
      </c>
      <c r="D141" t="s">
        <v>688</v>
      </c>
      <c r="E141">
        <v>5</v>
      </c>
      <c r="F141" s="12">
        <f>((4.8*Baseline_crop_data!R11)+(0.5*Baseline_crop_data!V11))</f>
        <v>597.72299999999996</v>
      </c>
      <c r="G141" s="52" t="s">
        <v>692</v>
      </c>
    </row>
    <row r="142" spans="2:7" ht="57" x14ac:dyDescent="0.45">
      <c r="B142" s="46"/>
      <c r="C142" t="s">
        <v>690</v>
      </c>
      <c r="D142" t="s">
        <v>691</v>
      </c>
      <c r="E142">
        <v>50</v>
      </c>
      <c r="F142" s="12">
        <f>F141*6</f>
        <v>3586.3379999999997</v>
      </c>
      <c r="G142" s="52" t="s">
        <v>697</v>
      </c>
    </row>
    <row r="143" spans="2:7" x14ac:dyDescent="0.45">
      <c r="B143" s="161" t="s">
        <v>693</v>
      </c>
      <c r="C143" t="s">
        <v>694</v>
      </c>
      <c r="D143" t="s">
        <v>197</v>
      </c>
      <c r="E143">
        <v>0</v>
      </c>
      <c r="F143" s="12" t="s">
        <v>696</v>
      </c>
      <c r="G143" s="35"/>
    </row>
    <row r="144" spans="2:7" x14ac:dyDescent="0.45">
      <c r="B144" s="161"/>
      <c r="C144" t="s">
        <v>695</v>
      </c>
      <c r="D144" t="s">
        <v>197</v>
      </c>
      <c r="E144">
        <v>0</v>
      </c>
      <c r="F144" s="12" t="s">
        <v>696</v>
      </c>
      <c r="G144" s="35"/>
    </row>
    <row r="145" spans="2:10" ht="14.65" thickBot="1" x14ac:dyDescent="0.5">
      <c r="B145" s="162"/>
      <c r="C145" s="41" t="s">
        <v>711</v>
      </c>
      <c r="D145" s="41" t="s">
        <v>42</v>
      </c>
      <c r="E145" s="41">
        <v>0</v>
      </c>
      <c r="F145" s="83" t="s">
        <v>696</v>
      </c>
      <c r="G145" s="43"/>
    </row>
    <row r="146" spans="2:10" x14ac:dyDescent="0.45">
      <c r="B146" t="s">
        <v>92</v>
      </c>
      <c r="C146" t="s">
        <v>965</v>
      </c>
      <c r="D146" t="s">
        <v>108</v>
      </c>
      <c r="E146">
        <f>(SUM(Baseline_crop_data!E11:Y11))*0.95</f>
        <v>341.43</v>
      </c>
      <c r="F146">
        <f>(SUM(Baseline_crop_data!E11:Y11))*1.05</f>
        <v>377.37000000000006</v>
      </c>
    </row>
    <row r="149" spans="2:10" ht="14.65" thickBot="1" x14ac:dyDescent="0.5"/>
    <row r="150" spans="2:10" x14ac:dyDescent="0.45">
      <c r="B150" s="48" t="s">
        <v>817</v>
      </c>
      <c r="C150" s="44"/>
      <c r="D150" s="44"/>
      <c r="E150" s="44"/>
      <c r="F150" s="44"/>
      <c r="G150" s="49" t="s">
        <v>826</v>
      </c>
      <c r="H150" s="44"/>
      <c r="I150" s="44" t="s">
        <v>1175</v>
      </c>
      <c r="J150" s="45"/>
    </row>
    <row r="151" spans="2:10" x14ac:dyDescent="0.45">
      <c r="B151" s="36" t="s">
        <v>818</v>
      </c>
      <c r="C151" t="s">
        <v>835</v>
      </c>
      <c r="D151" t="s">
        <v>836</v>
      </c>
      <c r="E151" t="s">
        <v>837</v>
      </c>
      <c r="F151" t="s">
        <v>1241</v>
      </c>
      <c r="G151" s="12" t="s">
        <v>100</v>
      </c>
      <c r="H151" t="s">
        <v>1174</v>
      </c>
      <c r="I151" t="s">
        <v>1176</v>
      </c>
      <c r="J151" s="35" t="s">
        <v>827</v>
      </c>
    </row>
    <row r="152" spans="2:10" x14ac:dyDescent="0.45">
      <c r="B152" s="46" t="s">
        <v>819</v>
      </c>
      <c r="C152" t="s">
        <v>101</v>
      </c>
      <c r="D152">
        <v>57.14</v>
      </c>
      <c r="E152">
        <f t="shared" ref="E152:E165" si="0">(D152/$D$168)*100</f>
        <v>15.898720089037283</v>
      </c>
      <c r="F152">
        <f>(D152/$D$166)*100</f>
        <v>27.013993948562781</v>
      </c>
      <c r="G152" s="12">
        <v>0</v>
      </c>
      <c r="H152">
        <f>$D$168*0.2</f>
        <v>71.88000000000001</v>
      </c>
      <c r="I152">
        <f>D152*0.8</f>
        <v>45.712000000000003</v>
      </c>
      <c r="J152" s="35">
        <f>D152*1.2</f>
        <v>68.567999999999998</v>
      </c>
    </row>
    <row r="153" spans="2:10" x14ac:dyDescent="0.45">
      <c r="B153" s="46"/>
      <c r="C153" t="s">
        <v>103</v>
      </c>
      <c r="D153">
        <v>15.13</v>
      </c>
      <c r="E153">
        <f t="shared" si="0"/>
        <v>4.2097941012799112</v>
      </c>
      <c r="F153">
        <f>(D153/$D$166)*100</f>
        <v>7.1529878971255663</v>
      </c>
      <c r="G153" s="12">
        <v>0</v>
      </c>
      <c r="H153">
        <f>$D$168*0.2</f>
        <v>71.88000000000001</v>
      </c>
      <c r="I153">
        <f>D153*0.8</f>
        <v>12.104000000000001</v>
      </c>
      <c r="J153" s="35">
        <f>D153*1.2</f>
        <v>18.155999999999999</v>
      </c>
    </row>
    <row r="154" spans="2:10" x14ac:dyDescent="0.45">
      <c r="B154" s="46"/>
      <c r="C154" t="s">
        <v>102</v>
      </c>
      <c r="D154">
        <v>15.79</v>
      </c>
      <c r="E154">
        <f t="shared" si="0"/>
        <v>4.393433500278241</v>
      </c>
      <c r="F154">
        <f>(D154/$D$166)*100</f>
        <v>7.4650151285930386</v>
      </c>
      <c r="G154" s="12">
        <v>0</v>
      </c>
      <c r="H154">
        <f>$D$168*0.2</f>
        <v>71.88000000000001</v>
      </c>
      <c r="I154">
        <f>D154*0.8</f>
        <v>12.632</v>
      </c>
      <c r="J154" s="35">
        <f>D154*1.2</f>
        <v>18.947999999999997</v>
      </c>
    </row>
    <row r="155" spans="2:10" x14ac:dyDescent="0.45">
      <c r="B155" s="46"/>
      <c r="C155" t="s">
        <v>106</v>
      </c>
      <c r="D155">
        <v>49.43</v>
      </c>
      <c r="E155">
        <f t="shared" si="0"/>
        <v>13.75347801892042</v>
      </c>
      <c r="F155">
        <f>(D155/$D$166)*100</f>
        <v>23.368948562783658</v>
      </c>
      <c r="G155" s="12">
        <v>0</v>
      </c>
      <c r="H155">
        <f>$D$168*0.2</f>
        <v>71.88000000000001</v>
      </c>
      <c r="I155">
        <f>D155*0.8</f>
        <v>39.544000000000004</v>
      </c>
      <c r="J155" s="35">
        <f>D155*1.2</f>
        <v>59.315999999999995</v>
      </c>
    </row>
    <row r="156" spans="2:10" x14ac:dyDescent="0.45">
      <c r="B156" s="46"/>
      <c r="C156" t="s">
        <v>828</v>
      </c>
      <c r="D156">
        <f>SUM(D152:D155)</f>
        <v>137.49</v>
      </c>
      <c r="E156">
        <f t="shared" si="0"/>
        <v>38.255425709515862</v>
      </c>
      <c r="F156"/>
      <c r="G156" s="12">
        <v>0</v>
      </c>
      <c r="H156">
        <f>SUM(H152:H155)</f>
        <v>287.52000000000004</v>
      </c>
      <c r="I156">
        <f>D156*0.8</f>
        <v>109.99200000000002</v>
      </c>
      <c r="J156" s="35">
        <f>D156*1.2</f>
        <v>164.988</v>
      </c>
    </row>
    <row r="157" spans="2:10" x14ac:dyDescent="0.45">
      <c r="B157" s="87" t="s">
        <v>820</v>
      </c>
      <c r="C157" t="s">
        <v>104</v>
      </c>
      <c r="D157">
        <v>0</v>
      </c>
      <c r="E157">
        <f t="shared" si="0"/>
        <v>0</v>
      </c>
      <c r="F157">
        <f>(D157/$D$166)*100</f>
        <v>0</v>
      </c>
      <c r="G157" s="12">
        <v>0</v>
      </c>
      <c r="H157">
        <f>$D$168*0.2</f>
        <v>71.88000000000001</v>
      </c>
      <c r="I157">
        <f>I158</f>
        <v>26.336000000000002</v>
      </c>
      <c r="J157" s="35">
        <f>J158</f>
        <v>39.503999999999998</v>
      </c>
    </row>
    <row r="158" spans="2:10" x14ac:dyDescent="0.45">
      <c r="B158" s="87"/>
      <c r="C158" t="s">
        <v>105</v>
      </c>
      <c r="D158">
        <v>32.92</v>
      </c>
      <c r="E158">
        <f t="shared" si="0"/>
        <v>9.1597106288258203</v>
      </c>
      <c r="F158">
        <f>(D158/$D$166)*100</f>
        <v>15.563540090771555</v>
      </c>
      <c r="G158" s="12">
        <v>0</v>
      </c>
      <c r="H158">
        <f>$D$168*0.2</f>
        <v>71.88000000000001</v>
      </c>
      <c r="I158">
        <f t="shared" ref="I158:I167" si="1">D158*0.8</f>
        <v>26.336000000000002</v>
      </c>
      <c r="J158" s="35">
        <f t="shared" ref="J158:J167" si="2">D158*1.2</f>
        <v>39.503999999999998</v>
      </c>
    </row>
    <row r="159" spans="2:10" x14ac:dyDescent="0.45">
      <c r="B159" s="87"/>
      <c r="C159" t="s">
        <v>829</v>
      </c>
      <c r="D159">
        <f>SUM(D157:D158)</f>
        <v>32.92</v>
      </c>
      <c r="E159">
        <f t="shared" si="0"/>
        <v>9.1597106288258203</v>
      </c>
      <c r="F159"/>
      <c r="G159" s="12">
        <v>0</v>
      </c>
      <c r="H159">
        <f>SUM(H157:H158)</f>
        <v>143.76000000000002</v>
      </c>
      <c r="I159">
        <f t="shared" si="1"/>
        <v>26.336000000000002</v>
      </c>
      <c r="J159" s="35">
        <f t="shared" si="2"/>
        <v>39.503999999999998</v>
      </c>
    </row>
    <row r="160" spans="2:10" x14ac:dyDescent="0.45">
      <c r="B160" s="46" t="s">
        <v>821</v>
      </c>
      <c r="C160" t="s">
        <v>322</v>
      </c>
      <c r="D160">
        <v>41.11</v>
      </c>
      <c r="E160">
        <f t="shared" si="0"/>
        <v>11.438508625486921</v>
      </c>
      <c r="F160">
        <f>(D160/$D$166)*100</f>
        <v>19.435514372163386</v>
      </c>
      <c r="G160" s="12">
        <v>0</v>
      </c>
      <c r="H160">
        <f>$D$168*0.2</f>
        <v>71.88000000000001</v>
      </c>
      <c r="I160">
        <f t="shared" si="1"/>
        <v>32.887999999999998</v>
      </c>
      <c r="J160" s="35">
        <f t="shared" si="2"/>
        <v>49.332000000000001</v>
      </c>
    </row>
    <row r="161" spans="2:12" x14ac:dyDescent="0.45">
      <c r="B161" s="46"/>
      <c r="C161" t="s">
        <v>830</v>
      </c>
      <c r="D161">
        <f>D160</f>
        <v>41.11</v>
      </c>
      <c r="E161">
        <f t="shared" si="0"/>
        <v>11.438508625486921</v>
      </c>
      <c r="F161"/>
      <c r="G161" s="12">
        <v>0</v>
      </c>
      <c r="H161">
        <f>H160</f>
        <v>71.88000000000001</v>
      </c>
      <c r="I161">
        <f t="shared" si="1"/>
        <v>32.887999999999998</v>
      </c>
      <c r="J161" s="35">
        <f t="shared" si="2"/>
        <v>49.332000000000001</v>
      </c>
    </row>
    <row r="162" spans="2:12" x14ac:dyDescent="0.45">
      <c r="B162" s="46" t="s">
        <v>822</v>
      </c>
      <c r="C162" t="s">
        <v>831</v>
      </c>
      <c r="D162">
        <v>121.81</v>
      </c>
      <c r="E162">
        <f t="shared" si="0"/>
        <v>33.892598775737341</v>
      </c>
      <c r="F162">
        <f>(D162/$D$167)*100</f>
        <v>82.370841222612938</v>
      </c>
      <c r="G162" s="12">
        <v>0</v>
      </c>
      <c r="H162">
        <f>$D$168*0.4</f>
        <v>143.76000000000002</v>
      </c>
      <c r="I162">
        <f t="shared" si="1"/>
        <v>97.448000000000008</v>
      </c>
      <c r="J162" s="35">
        <f t="shared" si="2"/>
        <v>146.172</v>
      </c>
    </row>
    <row r="163" spans="2:12" x14ac:dyDescent="0.45">
      <c r="B163" s="46"/>
      <c r="C163" t="s">
        <v>832</v>
      </c>
      <c r="D163">
        <f>D162</f>
        <v>121.81</v>
      </c>
      <c r="E163">
        <f t="shared" si="0"/>
        <v>33.892598775737341</v>
      </c>
      <c r="F163"/>
      <c r="G163" s="12">
        <v>0</v>
      </c>
      <c r="H163">
        <f>$D$168*0.4</f>
        <v>143.76000000000002</v>
      </c>
      <c r="I163">
        <f t="shared" si="1"/>
        <v>97.448000000000008</v>
      </c>
      <c r="J163" s="35">
        <f t="shared" si="2"/>
        <v>146.172</v>
      </c>
    </row>
    <row r="164" spans="2:12" x14ac:dyDescent="0.45">
      <c r="B164" s="161" t="s">
        <v>118</v>
      </c>
      <c r="C164" t="s">
        <v>118</v>
      </c>
      <c r="D164">
        <v>26.07</v>
      </c>
      <c r="E164">
        <f t="shared" si="0"/>
        <v>7.2537562604340566</v>
      </c>
      <c r="F164">
        <f>(D164/$D$167)*100</f>
        <v>17.629158777387072</v>
      </c>
      <c r="G164" s="12">
        <v>24</v>
      </c>
      <c r="H164">
        <v>27</v>
      </c>
      <c r="I164">
        <f t="shared" si="1"/>
        <v>20.856000000000002</v>
      </c>
      <c r="J164" s="35">
        <f t="shared" si="2"/>
        <v>31.283999999999999</v>
      </c>
    </row>
    <row r="165" spans="2:12" x14ac:dyDescent="0.45">
      <c r="B165" s="161"/>
      <c r="C165" t="s">
        <v>833</v>
      </c>
      <c r="D165">
        <f>D164</f>
        <v>26.07</v>
      </c>
      <c r="E165">
        <f t="shared" si="0"/>
        <v>7.2537562604340566</v>
      </c>
      <c r="F165"/>
      <c r="G165" s="12">
        <v>0</v>
      </c>
      <c r="H165">
        <f>H164</f>
        <v>27</v>
      </c>
      <c r="I165">
        <f t="shared" si="1"/>
        <v>20.856000000000002</v>
      </c>
      <c r="J165" s="35">
        <f t="shared" si="2"/>
        <v>31.283999999999999</v>
      </c>
    </row>
    <row r="166" spans="2:12" x14ac:dyDescent="0.45">
      <c r="B166" s="161" t="s">
        <v>834</v>
      </c>
      <c r="C166" t="s">
        <v>823</v>
      </c>
      <c r="D166">
        <f>SUM(D156,D159,D161)</f>
        <v>211.52000000000004</v>
      </c>
      <c r="E166">
        <f>SUM(E156,E159,E161)</f>
        <v>58.8536449638286</v>
      </c>
      <c r="F166"/>
      <c r="G166" s="12">
        <v>0</v>
      </c>
      <c r="H166">
        <f>SUM(H156,H159,H161)</f>
        <v>503.16000000000008</v>
      </c>
      <c r="I166">
        <f t="shared" si="1"/>
        <v>169.21600000000004</v>
      </c>
      <c r="J166" s="35">
        <f t="shared" si="2"/>
        <v>253.82400000000004</v>
      </c>
    </row>
    <row r="167" spans="2:12" x14ac:dyDescent="0.45">
      <c r="B167" s="161"/>
      <c r="C167" t="s">
        <v>824</v>
      </c>
      <c r="D167">
        <f>SUM(D163,D165)</f>
        <v>147.88</v>
      </c>
      <c r="E167">
        <f>SUM(E163,E165)</f>
        <v>41.1463550361714</v>
      </c>
      <c r="F167"/>
      <c r="G167" s="12">
        <f t="shared" ref="G167" si="3">SUM(G163,G165)</f>
        <v>0</v>
      </c>
      <c r="H167">
        <f>SUM(H163,H165)</f>
        <v>170.76000000000002</v>
      </c>
      <c r="I167">
        <f t="shared" si="1"/>
        <v>118.304</v>
      </c>
      <c r="J167" s="35">
        <f t="shared" si="2"/>
        <v>177.45599999999999</v>
      </c>
    </row>
    <row r="168" spans="2:12" ht="31.5" customHeight="1" thickBot="1" x14ac:dyDescent="0.5">
      <c r="B168" s="162"/>
      <c r="C168" s="41" t="s">
        <v>825</v>
      </c>
      <c r="D168" s="41">
        <f t="shared" ref="D168:J168" si="4">SUM(D166:D167)</f>
        <v>359.40000000000003</v>
      </c>
      <c r="E168" s="41">
        <f t="shared" si="4"/>
        <v>100</v>
      </c>
      <c r="F168" s="41"/>
      <c r="G168" s="83">
        <f t="shared" si="4"/>
        <v>0</v>
      </c>
      <c r="H168" s="41">
        <f t="shared" si="4"/>
        <v>673.92000000000007</v>
      </c>
      <c r="I168" s="41">
        <f t="shared" si="4"/>
        <v>287.52000000000004</v>
      </c>
      <c r="J168" s="43">
        <f t="shared" si="4"/>
        <v>431.28000000000003</v>
      </c>
    </row>
    <row r="169" spans="2:12" ht="60.75" customHeight="1" x14ac:dyDescent="0.45"/>
    <row r="170" spans="2:12" ht="14.65" thickBot="1" x14ac:dyDescent="0.5"/>
    <row r="171" spans="2:12" x14ac:dyDescent="0.45">
      <c r="B171" s="48" t="s">
        <v>838</v>
      </c>
      <c r="C171" s="44"/>
      <c r="D171" s="44"/>
      <c r="E171" s="44"/>
      <c r="F171" s="44"/>
      <c r="G171" s="49" t="s">
        <v>826</v>
      </c>
      <c r="H171" s="44"/>
      <c r="I171" s="44" t="s">
        <v>1175</v>
      </c>
      <c r="J171" s="45"/>
      <c r="K171" t="s">
        <v>1398</v>
      </c>
      <c r="L171" t="s">
        <v>1397</v>
      </c>
    </row>
    <row r="172" spans="2:12" ht="28.5" x14ac:dyDescent="0.45">
      <c r="B172" s="62" t="s">
        <v>818</v>
      </c>
      <c r="C172" s="12" t="s">
        <v>835</v>
      </c>
      <c r="D172" s="12" t="s">
        <v>836</v>
      </c>
      <c r="E172" s="12" t="s">
        <v>837</v>
      </c>
      <c r="F172" s="12" t="s">
        <v>1241</v>
      </c>
      <c r="G172" s="12" t="s">
        <v>100</v>
      </c>
      <c r="H172" s="12" t="s">
        <v>1174</v>
      </c>
      <c r="I172" s="12" t="s">
        <v>1176</v>
      </c>
      <c r="J172" s="52" t="s">
        <v>827</v>
      </c>
    </row>
    <row r="173" spans="2:12" x14ac:dyDescent="0.45">
      <c r="B173" s="46" t="s">
        <v>819</v>
      </c>
      <c r="C173" t="s">
        <v>101</v>
      </c>
      <c r="D173">
        <v>57.14</v>
      </c>
      <c r="E173">
        <f t="shared" ref="E173:E186" si="5">(D173/$D$168)*100</f>
        <v>15.898720089037283</v>
      </c>
      <c r="F173">
        <f>(D173/$D$166)*100</f>
        <v>27.013993948562781</v>
      </c>
      <c r="G173" s="12">
        <v>0</v>
      </c>
      <c r="H173">
        <f>$D$168*0.25</f>
        <v>89.850000000000009</v>
      </c>
      <c r="I173">
        <f>D173*0.8</f>
        <v>45.712000000000003</v>
      </c>
      <c r="J173" s="35">
        <f>D173*1.2</f>
        <v>68.567999999999998</v>
      </c>
      <c r="K173">
        <f>$H$187*(F173/100)</f>
        <v>48.544147125567321</v>
      </c>
    </row>
    <row r="174" spans="2:12" x14ac:dyDescent="0.45">
      <c r="B174" s="46"/>
      <c r="C174" t="s">
        <v>103</v>
      </c>
      <c r="D174">
        <v>15.13</v>
      </c>
      <c r="E174">
        <f t="shared" si="5"/>
        <v>4.2097941012799112</v>
      </c>
      <c r="F174">
        <f>(D174/$D$166)*100</f>
        <v>7.1529878971255663</v>
      </c>
      <c r="G174" s="12">
        <v>0</v>
      </c>
      <c r="H174">
        <f t="shared" ref="H174:H176" si="6">$D$168*0.25</f>
        <v>89.850000000000009</v>
      </c>
      <c r="I174">
        <f>D174*0.8</f>
        <v>12.104000000000001</v>
      </c>
      <c r="J174" s="35">
        <f>D174*1.2</f>
        <v>18.155999999999999</v>
      </c>
      <c r="K174">
        <f t="shared" ref="K174:K182" si="7">$H$187*(F174/100)</f>
        <v>12.853919251134645</v>
      </c>
    </row>
    <row r="175" spans="2:12" x14ac:dyDescent="0.45">
      <c r="B175" s="46"/>
      <c r="C175" t="s">
        <v>102</v>
      </c>
      <c r="D175">
        <v>15.79</v>
      </c>
      <c r="E175">
        <f t="shared" si="5"/>
        <v>4.393433500278241</v>
      </c>
      <c r="F175">
        <f>(D175/$D$166)*100</f>
        <v>7.4650151285930386</v>
      </c>
      <c r="G175" s="12">
        <v>0</v>
      </c>
      <c r="H175">
        <f t="shared" si="6"/>
        <v>89.850000000000009</v>
      </c>
      <c r="I175">
        <f>D175*0.8</f>
        <v>12.632</v>
      </c>
      <c r="J175" s="35">
        <f>D175*1.2</f>
        <v>18.947999999999997</v>
      </c>
      <c r="K175">
        <f t="shared" si="7"/>
        <v>13.414632186081692</v>
      </c>
    </row>
    <row r="176" spans="2:12" x14ac:dyDescent="0.45">
      <c r="B176" s="46"/>
      <c r="C176" t="s">
        <v>106</v>
      </c>
      <c r="D176">
        <v>49.43</v>
      </c>
      <c r="E176">
        <f t="shared" si="5"/>
        <v>13.75347801892042</v>
      </c>
      <c r="F176">
        <f>(D176/$D$166)*100</f>
        <v>23.368948562783658</v>
      </c>
      <c r="G176" s="12">
        <v>0</v>
      </c>
      <c r="H176">
        <f t="shared" si="6"/>
        <v>89.850000000000009</v>
      </c>
      <c r="I176">
        <f>D176*0.8</f>
        <v>39.544000000000004</v>
      </c>
      <c r="J176" s="35">
        <f>D176*1.2</f>
        <v>59.315999999999995</v>
      </c>
      <c r="K176">
        <f t="shared" si="7"/>
        <v>41.994000567322232</v>
      </c>
    </row>
    <row r="177" spans="2:11" x14ac:dyDescent="0.45">
      <c r="B177" s="46"/>
      <c r="C177" t="s">
        <v>828</v>
      </c>
      <c r="D177">
        <f>SUM(D173:D176)</f>
        <v>137.49</v>
      </c>
      <c r="E177">
        <f t="shared" si="5"/>
        <v>38.255425709515862</v>
      </c>
      <c r="F177"/>
      <c r="G177" s="12">
        <v>0</v>
      </c>
      <c r="H177">
        <f>SUM(H173:H176)</f>
        <v>359.40000000000003</v>
      </c>
      <c r="I177">
        <f>D177*0.8</f>
        <v>109.99200000000002</v>
      </c>
      <c r="J177" s="35">
        <f>D177*1.2</f>
        <v>164.988</v>
      </c>
      <c r="K177">
        <f t="shared" si="7"/>
        <v>0</v>
      </c>
    </row>
    <row r="178" spans="2:11" x14ac:dyDescent="0.45">
      <c r="B178" s="87" t="s">
        <v>820</v>
      </c>
      <c r="C178" t="s">
        <v>104</v>
      </c>
      <c r="D178">
        <v>0</v>
      </c>
      <c r="E178">
        <f t="shared" si="5"/>
        <v>0</v>
      </c>
      <c r="F178">
        <f>(D178/$D$166)*100</f>
        <v>0</v>
      </c>
      <c r="G178" s="12">
        <v>0</v>
      </c>
      <c r="H178">
        <f>$D$168*0.25</f>
        <v>89.850000000000009</v>
      </c>
      <c r="I178">
        <f>I179</f>
        <v>26.336000000000002</v>
      </c>
      <c r="J178" s="35">
        <f>J179</f>
        <v>39.503999999999998</v>
      </c>
      <c r="K178">
        <f t="shared" si="7"/>
        <v>0</v>
      </c>
    </row>
    <row r="179" spans="2:11" x14ac:dyDescent="0.45">
      <c r="B179" s="87"/>
      <c r="C179" t="s">
        <v>105</v>
      </c>
      <c r="D179">
        <v>32.92</v>
      </c>
      <c r="E179">
        <f t="shared" si="5"/>
        <v>9.1597106288258203</v>
      </c>
      <c r="F179">
        <f>(D179/$D$166)*100</f>
        <v>15.563540090771555</v>
      </c>
      <c r="G179" s="12">
        <v>0</v>
      </c>
      <c r="H179">
        <f>$D$168*0.25</f>
        <v>89.850000000000009</v>
      </c>
      <c r="I179">
        <f t="shared" ref="I179:I188" si="8">D179*0.8</f>
        <v>26.336000000000002</v>
      </c>
      <c r="J179" s="35">
        <f t="shared" ref="J179:J188" si="9">D179*1.2</f>
        <v>39.503999999999998</v>
      </c>
      <c r="K179">
        <f t="shared" si="7"/>
        <v>27.967681543116488</v>
      </c>
    </row>
    <row r="180" spans="2:11" ht="16.149999999999999" customHeight="1" x14ac:dyDescent="0.45">
      <c r="B180" s="87"/>
      <c r="C180" t="s">
        <v>829</v>
      </c>
      <c r="D180">
        <f>SUM(D178:D179)</f>
        <v>32.92</v>
      </c>
      <c r="E180">
        <f t="shared" si="5"/>
        <v>9.1597106288258203</v>
      </c>
      <c r="F180"/>
      <c r="G180" s="12">
        <v>0</v>
      </c>
      <c r="H180">
        <f>SUM(H178:H179)</f>
        <v>179.70000000000002</v>
      </c>
      <c r="I180">
        <f t="shared" si="8"/>
        <v>26.336000000000002</v>
      </c>
      <c r="J180" s="35">
        <f t="shared" si="9"/>
        <v>39.503999999999998</v>
      </c>
      <c r="K180">
        <f t="shared" si="7"/>
        <v>0</v>
      </c>
    </row>
    <row r="181" spans="2:11" x14ac:dyDescent="0.45">
      <c r="B181" s="46" t="s">
        <v>821</v>
      </c>
      <c r="C181" t="s">
        <v>322</v>
      </c>
      <c r="D181">
        <v>41.11</v>
      </c>
      <c r="E181">
        <f t="shared" si="5"/>
        <v>11.438508625486921</v>
      </c>
      <c r="F181">
        <f>(D181/$D$166)*100</f>
        <v>19.435514372163386</v>
      </c>
      <c r="G181" s="12">
        <v>0</v>
      </c>
      <c r="H181">
        <f>$D$168*0.25</f>
        <v>89.850000000000009</v>
      </c>
      <c r="I181">
        <f t="shared" si="8"/>
        <v>32.887999999999998</v>
      </c>
      <c r="J181" s="35">
        <f t="shared" si="9"/>
        <v>49.332000000000001</v>
      </c>
      <c r="K181">
        <f t="shared" si="7"/>
        <v>34.925619326777607</v>
      </c>
    </row>
    <row r="182" spans="2:11" x14ac:dyDescent="0.45">
      <c r="B182" s="46"/>
      <c r="C182" t="s">
        <v>830</v>
      </c>
      <c r="D182">
        <f>D181</f>
        <v>41.11</v>
      </c>
      <c r="E182">
        <f t="shared" si="5"/>
        <v>11.438508625486921</v>
      </c>
      <c r="F182"/>
      <c r="G182" s="12">
        <v>0</v>
      </c>
      <c r="H182">
        <f>$D$168*0.25</f>
        <v>89.850000000000009</v>
      </c>
      <c r="I182">
        <f t="shared" si="8"/>
        <v>32.887999999999998</v>
      </c>
      <c r="J182" s="35">
        <f t="shared" si="9"/>
        <v>49.332000000000001</v>
      </c>
      <c r="K182">
        <f t="shared" si="7"/>
        <v>0</v>
      </c>
    </row>
    <row r="183" spans="2:11" x14ac:dyDescent="0.45">
      <c r="B183" s="46" t="s">
        <v>822</v>
      </c>
      <c r="C183" t="s">
        <v>831</v>
      </c>
      <c r="D183">
        <v>121.81</v>
      </c>
      <c r="E183">
        <f t="shared" si="5"/>
        <v>33.892598775737341</v>
      </c>
      <c r="F183">
        <f>(D183/$D$167)*100</f>
        <v>82.370841222612938</v>
      </c>
      <c r="G183" s="12">
        <v>0</v>
      </c>
      <c r="H183">
        <f>$D$168*0.5-H185</f>
        <v>152.70000000000002</v>
      </c>
      <c r="I183">
        <f t="shared" si="8"/>
        <v>97.448000000000008</v>
      </c>
      <c r="J183" s="35">
        <f t="shared" si="9"/>
        <v>146.172</v>
      </c>
      <c r="K183">
        <f>H188-K185</f>
        <v>153.63000000000002</v>
      </c>
    </row>
    <row r="184" spans="2:11" x14ac:dyDescent="0.45">
      <c r="B184" s="46"/>
      <c r="C184" t="s">
        <v>832</v>
      </c>
      <c r="D184">
        <f>D183</f>
        <v>121.81</v>
      </c>
      <c r="E184">
        <f t="shared" si="5"/>
        <v>33.892598775737341</v>
      </c>
      <c r="F184"/>
      <c r="G184" s="12">
        <v>0</v>
      </c>
      <c r="H184">
        <f>$D$168*0.5-H186</f>
        <v>152.70000000000002</v>
      </c>
      <c r="I184">
        <f t="shared" si="8"/>
        <v>97.448000000000008</v>
      </c>
      <c r="J184" s="35">
        <f t="shared" si="9"/>
        <v>146.172</v>
      </c>
      <c r="K184">
        <f>H188-K186</f>
        <v>153.63000000000002</v>
      </c>
    </row>
    <row r="185" spans="2:11" x14ac:dyDescent="0.45">
      <c r="B185" s="161" t="s">
        <v>118</v>
      </c>
      <c r="C185" t="s">
        <v>118</v>
      </c>
      <c r="D185">
        <v>26.07</v>
      </c>
      <c r="E185">
        <f t="shared" si="5"/>
        <v>7.2537562604340566</v>
      </c>
      <c r="F185">
        <f>(D185/$D$167)*100</f>
        <v>17.629158777387072</v>
      </c>
      <c r="G185" s="12">
        <v>24</v>
      </c>
      <c r="H185">
        <v>27</v>
      </c>
      <c r="I185">
        <f t="shared" si="8"/>
        <v>20.856000000000002</v>
      </c>
      <c r="J185" s="35">
        <f t="shared" si="9"/>
        <v>31.283999999999999</v>
      </c>
      <c r="K185">
        <v>26.07</v>
      </c>
    </row>
    <row r="186" spans="2:11" x14ac:dyDescent="0.45">
      <c r="B186" s="161"/>
      <c r="C186" t="s">
        <v>833</v>
      </c>
      <c r="D186">
        <f>D185</f>
        <v>26.07</v>
      </c>
      <c r="E186">
        <f t="shared" si="5"/>
        <v>7.2537562604340566</v>
      </c>
      <c r="F186"/>
      <c r="G186" s="12">
        <v>0</v>
      </c>
      <c r="H186">
        <f>H185</f>
        <v>27</v>
      </c>
      <c r="I186">
        <f t="shared" si="8"/>
        <v>20.856000000000002</v>
      </c>
      <c r="J186" s="35">
        <f t="shared" si="9"/>
        <v>31.283999999999999</v>
      </c>
      <c r="K186">
        <v>26.07</v>
      </c>
    </row>
    <row r="187" spans="2:11" x14ac:dyDescent="0.45">
      <c r="B187" s="161" t="s">
        <v>834</v>
      </c>
      <c r="C187" t="s">
        <v>823</v>
      </c>
      <c r="D187">
        <f>SUM(D177,D180,D182)</f>
        <v>211.52000000000004</v>
      </c>
      <c r="E187">
        <f>SUM(E177,E180,E182)</f>
        <v>58.8536449638286</v>
      </c>
      <c r="F187"/>
      <c r="G187" s="12">
        <v>0</v>
      </c>
      <c r="H187">
        <f>H180</f>
        <v>179.70000000000002</v>
      </c>
      <c r="I187">
        <f t="shared" si="8"/>
        <v>169.21600000000004</v>
      </c>
      <c r="J187" s="35">
        <f>D187*1.2</f>
        <v>253.82400000000004</v>
      </c>
      <c r="K187">
        <f>SUM(K173:K176,K179,K181)</f>
        <v>179.7</v>
      </c>
    </row>
    <row r="188" spans="2:11" x14ac:dyDescent="0.45">
      <c r="B188" s="161"/>
      <c r="C188" t="s">
        <v>824</v>
      </c>
      <c r="D188">
        <f>SUM(D184,D186)</f>
        <v>147.88</v>
      </c>
      <c r="E188">
        <f>SUM(E184,E186)</f>
        <v>41.1463550361714</v>
      </c>
      <c r="F188"/>
      <c r="G188" s="12">
        <f t="shared" ref="G188" si="10">SUM(G184,G186)</f>
        <v>0</v>
      </c>
      <c r="H188">
        <f>SUM(H184,H186)</f>
        <v>179.70000000000002</v>
      </c>
      <c r="I188">
        <f t="shared" si="8"/>
        <v>118.304</v>
      </c>
      <c r="J188" s="35">
        <f t="shared" si="9"/>
        <v>177.45599999999999</v>
      </c>
      <c r="K188">
        <f>K184+K186</f>
        <v>179.70000000000002</v>
      </c>
    </row>
    <row r="189" spans="2:11" ht="14.65" thickBot="1" x14ac:dyDescent="0.5">
      <c r="B189" s="162"/>
      <c r="C189" s="41" t="s">
        <v>825</v>
      </c>
      <c r="D189" s="41">
        <f t="shared" ref="D189:E189" si="11">SUM(D187:D188)</f>
        <v>359.40000000000003</v>
      </c>
      <c r="E189" s="41">
        <f t="shared" si="11"/>
        <v>100</v>
      </c>
      <c r="F189" s="41"/>
      <c r="G189" s="83">
        <f t="shared" ref="G189:J189" si="12">SUM(G187:G188)</f>
        <v>0</v>
      </c>
      <c r="H189" s="41">
        <f t="shared" si="12"/>
        <v>359.40000000000003</v>
      </c>
      <c r="I189" s="41">
        <f t="shared" si="12"/>
        <v>287.52000000000004</v>
      </c>
      <c r="J189" s="43">
        <f t="shared" si="12"/>
        <v>431.28000000000003</v>
      </c>
      <c r="K189">
        <f>SUM(K187:K188)</f>
        <v>359.4</v>
      </c>
    </row>
    <row r="202" spans="2:5" ht="14.65" thickBot="1" x14ac:dyDescent="0.5"/>
    <row r="203" spans="2:5" x14ac:dyDescent="0.45">
      <c r="B203" s="48" t="s">
        <v>838</v>
      </c>
      <c r="C203" s="44"/>
      <c r="D203" s="44"/>
      <c r="E203" s="45"/>
    </row>
    <row r="204" spans="2:5" x14ac:dyDescent="0.45">
      <c r="B204" s="36"/>
      <c r="D204" t="s">
        <v>836</v>
      </c>
      <c r="E204" s="35" t="s">
        <v>837</v>
      </c>
    </row>
    <row r="205" spans="2:5" x14ac:dyDescent="0.45">
      <c r="B205" s="161" t="s">
        <v>839</v>
      </c>
      <c r="C205" t="s">
        <v>840</v>
      </c>
      <c r="D205">
        <f>D207*0.5</f>
        <v>179.70000000000002</v>
      </c>
      <c r="E205" s="35">
        <f>(D205/$D$207)*100</f>
        <v>50</v>
      </c>
    </row>
    <row r="206" spans="2:5" x14ac:dyDescent="0.45">
      <c r="B206" s="161"/>
      <c r="C206" t="s">
        <v>159</v>
      </c>
      <c r="D206">
        <f>D207*0.5</f>
        <v>179.70000000000002</v>
      </c>
      <c r="E206" s="35">
        <f>(D206/$D$207)*100</f>
        <v>50</v>
      </c>
    </row>
    <row r="207" spans="2:5" ht="14.65" thickBot="1" x14ac:dyDescent="0.5">
      <c r="B207" s="40"/>
      <c r="C207" s="41" t="s">
        <v>429</v>
      </c>
      <c r="D207" s="41">
        <f>D168</f>
        <v>359.40000000000003</v>
      </c>
      <c r="E207" s="43"/>
    </row>
    <row r="208" spans="2:5" x14ac:dyDescent="0.45">
      <c r="C208" t="s">
        <v>1312</v>
      </c>
      <c r="D208">
        <f>D205/2</f>
        <v>89.850000000000009</v>
      </c>
    </row>
    <row r="209" spans="2:6" x14ac:dyDescent="0.45">
      <c r="C209" t="s">
        <v>1384</v>
      </c>
      <c r="D209">
        <f>D206-27</f>
        <v>152.70000000000002</v>
      </c>
    </row>
    <row r="211" spans="2:6" ht="14.65" thickBot="1" x14ac:dyDescent="0.5"/>
    <row r="212" spans="2:6" x14ac:dyDescent="0.45">
      <c r="B212" s="48" t="s">
        <v>970</v>
      </c>
      <c r="C212" s="44"/>
      <c r="D212" s="44"/>
      <c r="E212" s="45"/>
    </row>
    <row r="213" spans="2:6" ht="28.5" x14ac:dyDescent="0.45">
      <c r="B213" s="36" t="s">
        <v>971</v>
      </c>
      <c r="C213" t="s">
        <v>848</v>
      </c>
      <c r="D213" t="s">
        <v>972</v>
      </c>
      <c r="E213" s="52" t="s">
        <v>973</v>
      </c>
    </row>
    <row r="214" spans="2:6" x14ac:dyDescent="0.45">
      <c r="B214" s="36" t="s">
        <v>104</v>
      </c>
      <c r="C214" t="s">
        <v>974</v>
      </c>
      <c r="D214">
        <v>1104</v>
      </c>
      <c r="E214" s="35">
        <v>79355.520000000004</v>
      </c>
    </row>
    <row r="215" spans="2:6" x14ac:dyDescent="0.45">
      <c r="B215" s="36"/>
      <c r="C215" t="s">
        <v>975</v>
      </c>
      <c r="D215">
        <v>1435.2000000000003</v>
      </c>
      <c r="E215" s="35">
        <v>103162.17600000001</v>
      </c>
    </row>
    <row r="216" spans="2:6" x14ac:dyDescent="0.45">
      <c r="B216" s="36" t="s">
        <v>106</v>
      </c>
      <c r="C216" t="s">
        <v>106</v>
      </c>
      <c r="D216">
        <v>860.00000000000011</v>
      </c>
      <c r="E216" s="35">
        <v>61816.800000000017</v>
      </c>
    </row>
    <row r="217" spans="2:6" x14ac:dyDescent="0.45">
      <c r="B217" s="36"/>
      <c r="C217" t="s">
        <v>116</v>
      </c>
      <c r="D217">
        <v>1404.6666666666667</v>
      </c>
      <c r="E217" s="35">
        <v>100967.44000000002</v>
      </c>
    </row>
    <row r="218" spans="2:6" x14ac:dyDescent="0.45">
      <c r="B218" s="36" t="s">
        <v>322</v>
      </c>
      <c r="C218" t="s">
        <v>322</v>
      </c>
      <c r="D218">
        <v>1557</v>
      </c>
      <c r="E218" s="35">
        <v>111917.16000000002</v>
      </c>
    </row>
    <row r="219" spans="2:6" x14ac:dyDescent="0.45">
      <c r="B219" s="36"/>
      <c r="C219" t="s">
        <v>324</v>
      </c>
      <c r="D219">
        <v>1089.8999999999999</v>
      </c>
      <c r="E219" s="35">
        <v>78342.012000000002</v>
      </c>
    </row>
    <row r="220" spans="2:6" x14ac:dyDescent="0.45">
      <c r="B220" s="36" t="s">
        <v>976</v>
      </c>
      <c r="C220" t="s">
        <v>421</v>
      </c>
      <c r="D220">
        <v>1684.4914285714292</v>
      </c>
      <c r="E220" s="35">
        <v>242162.48777142868</v>
      </c>
    </row>
    <row r="221" spans="2:6" x14ac:dyDescent="0.45">
      <c r="B221" s="36"/>
      <c r="C221" t="s">
        <v>240</v>
      </c>
      <c r="D221">
        <v>6300</v>
      </c>
      <c r="E221" s="35">
        <v>905688</v>
      </c>
    </row>
    <row r="222" spans="2:6" x14ac:dyDescent="0.45">
      <c r="B222" s="36" t="s">
        <v>977</v>
      </c>
      <c r="C222" t="s">
        <v>98</v>
      </c>
      <c r="D222">
        <v>300000</v>
      </c>
      <c r="E222" s="35">
        <v>300000</v>
      </c>
    </row>
    <row r="223" spans="2:6" x14ac:dyDescent="0.45">
      <c r="B223" s="36"/>
      <c r="C223" t="s">
        <v>99</v>
      </c>
      <c r="D223">
        <v>24800</v>
      </c>
      <c r="E223" s="35">
        <v>24800</v>
      </c>
    </row>
    <row r="224" spans="2:6" x14ac:dyDescent="0.45">
      <c r="B224" s="36" t="s">
        <v>101</v>
      </c>
      <c r="C224" t="s">
        <v>978</v>
      </c>
      <c r="D224">
        <v>1204</v>
      </c>
      <c r="E224" s="35">
        <v>86543.520000000019</v>
      </c>
      <c r="F224" s="12" t="s">
        <v>1403</v>
      </c>
    </row>
    <row r="225" spans="2:6" x14ac:dyDescent="0.45">
      <c r="B225" s="36"/>
      <c r="C225" t="s">
        <v>979</v>
      </c>
      <c r="D225">
        <v>1376.0000000000002</v>
      </c>
      <c r="E225" s="35">
        <v>98906.880000000005</v>
      </c>
      <c r="F225" s="12">
        <f>D225*H173</f>
        <v>123633.60000000003</v>
      </c>
    </row>
    <row r="226" spans="2:6" x14ac:dyDescent="0.45">
      <c r="B226" s="36"/>
      <c r="C226" t="s">
        <v>980</v>
      </c>
      <c r="D226">
        <v>344.00000000000006</v>
      </c>
      <c r="E226" s="35">
        <v>24726.720000000008</v>
      </c>
    </row>
    <row r="227" spans="2:6" x14ac:dyDescent="0.45">
      <c r="B227" s="36" t="s">
        <v>105</v>
      </c>
      <c r="C227" t="s">
        <v>981</v>
      </c>
      <c r="D227">
        <v>187.68</v>
      </c>
      <c r="E227" s="35">
        <v>13490.438400000003</v>
      </c>
    </row>
    <row r="228" spans="2:6" x14ac:dyDescent="0.45">
      <c r="B228" s="36"/>
      <c r="C228" t="s">
        <v>982</v>
      </c>
      <c r="D228">
        <v>121.992</v>
      </c>
      <c r="E228" s="35">
        <v>8768.7849600000009</v>
      </c>
    </row>
    <row r="229" spans="2:6" x14ac:dyDescent="0.45">
      <c r="B229" s="36" t="s">
        <v>983</v>
      </c>
      <c r="C229" t="s">
        <v>421</v>
      </c>
      <c r="D229">
        <v>1800</v>
      </c>
      <c r="E229" s="35">
        <v>48600</v>
      </c>
    </row>
    <row r="230" spans="2:6" x14ac:dyDescent="0.45">
      <c r="B230" s="36" t="s">
        <v>103</v>
      </c>
      <c r="C230" t="s">
        <v>984</v>
      </c>
      <c r="D230">
        <v>1719.9999999999998</v>
      </c>
      <c r="E230" s="35">
        <v>123633.60000000001</v>
      </c>
    </row>
    <row r="231" spans="2:6" x14ac:dyDescent="0.45">
      <c r="B231" s="36"/>
      <c r="C231" t="s">
        <v>877</v>
      </c>
      <c r="D231">
        <v>1471.5555555555552</v>
      </c>
      <c r="E231" s="35">
        <v>105775.41333333332</v>
      </c>
    </row>
    <row r="232" spans="2:6" x14ac:dyDescent="0.45">
      <c r="B232" s="36" t="s">
        <v>985</v>
      </c>
      <c r="C232" t="s">
        <v>984</v>
      </c>
      <c r="D232">
        <v>2150</v>
      </c>
      <c r="E232" s="35">
        <v>154542.00000000003</v>
      </c>
    </row>
    <row r="233" spans="2:6" x14ac:dyDescent="0.45">
      <c r="B233" s="36"/>
      <c r="C233" t="s">
        <v>985</v>
      </c>
      <c r="D233">
        <v>2257.5</v>
      </c>
      <c r="E233" s="35">
        <v>162269.10000000003</v>
      </c>
    </row>
    <row r="234" spans="2:6" ht="14.65" thickBot="1" x14ac:dyDescent="0.5">
      <c r="B234" s="40" t="s">
        <v>993</v>
      </c>
      <c r="C234" s="41" t="s">
        <v>994</v>
      </c>
      <c r="D234" s="41">
        <v>0.65803098360598655</v>
      </c>
      <c r="E234" s="43">
        <v>143561.89256908119</v>
      </c>
    </row>
  </sheetData>
  <mergeCells count="25">
    <mergeCell ref="B187:B189"/>
    <mergeCell ref="A78:A96"/>
    <mergeCell ref="A98:A114"/>
    <mergeCell ref="B111:B114"/>
    <mergeCell ref="B106:B110"/>
    <mergeCell ref="B98:B105"/>
    <mergeCell ref="B78:B85"/>
    <mergeCell ref="B86:B89"/>
    <mergeCell ref="B90:B96"/>
    <mergeCell ref="B10:B26"/>
    <mergeCell ref="B205:B206"/>
    <mergeCell ref="B49:B66"/>
    <mergeCell ref="B35:B48"/>
    <mergeCell ref="B30:B34"/>
    <mergeCell ref="B27:B29"/>
    <mergeCell ref="B166:B168"/>
    <mergeCell ref="B164:B165"/>
    <mergeCell ref="B70:B76"/>
    <mergeCell ref="B143:B145"/>
    <mergeCell ref="B132:B135"/>
    <mergeCell ref="B116:B119"/>
    <mergeCell ref="B120:B124"/>
    <mergeCell ref="B125:B129"/>
    <mergeCell ref="B67:B69"/>
    <mergeCell ref="B185:B186"/>
  </mergeCells>
  <hyperlinks>
    <hyperlink ref="F41" r:id="rId1" xr:uid="{7AF4A3E4-4399-425F-AC42-60D56AAF7AED}"/>
    <hyperlink ref="F43" r:id="rId2" xr:uid="{7712A876-8975-4D09-BF6B-F227264C90DD}"/>
    <hyperlink ref="F64" r:id="rId3" xr:uid="{82582944-F301-4DA1-9F53-C794E6E17992}"/>
    <hyperlink ref="F65" r:id="rId4" xr:uid="{CC4B5F94-2142-43AA-B8C4-CB76A38EA3B1}"/>
    <hyperlink ref="F121" r:id="rId5" xr:uid="{F03A95BA-4889-40A3-AB46-306C405A0AD6}"/>
    <hyperlink ref="F122" r:id="rId6" xr:uid="{A20D7147-6844-490B-B091-D01F88BB6116}"/>
    <hyperlink ref="F123" r:id="rId7" xr:uid="{A3A46EE4-1F6D-4B6D-B5D0-7A2471E3487D}"/>
    <hyperlink ref="F74" r:id="rId8" xr:uid="{3BD6F6FA-F258-47A8-A990-0EE5C92C07B3}"/>
    <hyperlink ref="F35" r:id="rId9" xr:uid="{D2000425-B2AD-4AE2-94C4-FF0561DC6F55}"/>
    <hyperlink ref="F132:F135" r:id="rId10" display="https://portal.mtt.fi/portal/pls/portal/tt_mtt.tt_mtt_kankir_pack.laheta" xr:uid="{4B10B4FD-AF24-431E-A36A-DB2A3AD68D66}"/>
    <hyperlink ref="F102" r:id="rId11" xr:uid="{C66CF994-3B1E-45C4-BF1D-0EC4B2B08C66}"/>
    <hyperlink ref="F134" r:id="rId12" xr:uid="{FD4AFDB5-AED5-4C9C-83D7-40AEA2FCF5FF}"/>
    <hyperlink ref="F47" r:id="rId13" xr:uid="{2F29D0E3-B2D9-4F0D-83DA-AC98620A07BA}"/>
    <hyperlink ref="F95" r:id="rId14" location=":~:text=The%20sum%20of%20factorial%20nitrogen,net%20protein%20requirement%20for%20maintenance." xr:uid="{A17FA2A9-4B0D-4136-BD7E-DC4005A844E9}"/>
    <hyperlink ref="F101" r:id="rId15" xr:uid="{E6230D95-DCE7-4C2B-B995-F0E9592B40ED}"/>
  </hyperlinks>
  <pageMargins left="0.7" right="0.7" top="0.75" bottom="0.75" header="0.3" footer="0.3"/>
  <pageSetup orientation="portrait" r:id="rId16"/>
  <drawing r:id="rId17"/>
  <legacyDrawing r:id="rId18"/>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FC135-AC49-4C3C-B487-22543185AFFB}">
  <dimension ref="B1:Z210"/>
  <sheetViews>
    <sheetView topLeftCell="A46" zoomScale="83" zoomScaleNormal="70" workbookViewId="0">
      <selection activeCell="F163" sqref="F163"/>
    </sheetView>
  </sheetViews>
  <sheetFormatPr defaultRowHeight="14.25" x14ac:dyDescent="0.45"/>
  <cols>
    <col min="2" max="2" width="16.86328125" customWidth="1"/>
    <col min="3" max="3" width="27" customWidth="1"/>
    <col min="4" max="4" width="23.06640625" customWidth="1"/>
    <col min="5" max="5" width="15" customWidth="1"/>
    <col min="6" max="6" width="22.9296875" customWidth="1"/>
    <col min="7" max="7" width="30" customWidth="1"/>
    <col min="8" max="8" width="28.53125" customWidth="1"/>
    <col min="9" max="9" width="14.1328125" customWidth="1"/>
    <col min="10" max="10" width="14.6640625" customWidth="1"/>
    <col min="11" max="11" width="13.3984375" customWidth="1"/>
    <col min="12" max="12" width="26.796875" customWidth="1"/>
    <col min="13" max="13" width="18.6640625" customWidth="1"/>
    <col min="14" max="14" width="12.9296875" customWidth="1"/>
    <col min="18" max="18" width="21.86328125" customWidth="1"/>
    <col min="19" max="19" width="27.59765625" customWidth="1"/>
    <col min="20" max="20" width="28.86328125" customWidth="1"/>
    <col min="21" max="21" width="21.73046875" customWidth="1"/>
    <col min="22" max="22" width="16" customWidth="1"/>
    <col min="23" max="23" width="15.3984375" customWidth="1"/>
  </cols>
  <sheetData>
    <row r="1" spans="3:23" ht="14.65" thickBot="1" x14ac:dyDescent="0.5"/>
    <row r="2" spans="3:23" ht="14.65" thickTop="1" x14ac:dyDescent="0.45">
      <c r="R2" s="17" t="s">
        <v>734</v>
      </c>
      <c r="S2" s="18"/>
      <c r="T2" s="18"/>
      <c r="U2" s="18"/>
      <c r="V2" s="18"/>
      <c r="W2" s="14"/>
    </row>
    <row r="3" spans="3:23" x14ac:dyDescent="0.45">
      <c r="R3" s="19"/>
      <c r="W3" s="15"/>
    </row>
    <row r="4" spans="3:23" x14ac:dyDescent="0.45">
      <c r="R4" s="27" t="s">
        <v>10</v>
      </c>
      <c r="S4" s="6" t="s">
        <v>21</v>
      </c>
      <c r="T4" s="6" t="s">
        <v>11</v>
      </c>
      <c r="U4" s="6" t="s">
        <v>107</v>
      </c>
      <c r="V4" s="6" t="s">
        <v>735</v>
      </c>
      <c r="W4" s="15"/>
    </row>
    <row r="5" spans="3:23" x14ac:dyDescent="0.45">
      <c r="C5" t="s">
        <v>698</v>
      </c>
      <c r="D5" t="s">
        <v>700</v>
      </c>
      <c r="R5" s="171" t="s">
        <v>13</v>
      </c>
      <c r="S5" s="140" t="s">
        <v>22</v>
      </c>
      <c r="T5" t="s">
        <v>14</v>
      </c>
      <c r="U5" s="2" t="s">
        <v>39</v>
      </c>
      <c r="V5" s="141">
        <v>0</v>
      </c>
      <c r="W5" s="173"/>
    </row>
    <row r="6" spans="3:23" ht="14.65" thickBot="1" x14ac:dyDescent="0.5">
      <c r="R6" s="171"/>
      <c r="S6" s="140"/>
      <c r="T6" t="s">
        <v>555</v>
      </c>
      <c r="U6" s="2" t="s">
        <v>47</v>
      </c>
      <c r="V6" s="141" t="s">
        <v>47</v>
      </c>
      <c r="W6" s="173"/>
    </row>
    <row r="7" spans="3:23" x14ac:dyDescent="0.45">
      <c r="C7" s="48"/>
      <c r="D7" s="44" t="s">
        <v>398</v>
      </c>
      <c r="E7" s="44"/>
      <c r="F7" s="44"/>
      <c r="G7" s="45"/>
      <c r="R7" s="171"/>
      <c r="S7" s="140" t="s">
        <v>23</v>
      </c>
      <c r="T7" t="s">
        <v>15</v>
      </c>
      <c r="U7" s="2" t="s">
        <v>40</v>
      </c>
      <c r="V7" s="141">
        <v>0</v>
      </c>
      <c r="W7" s="173"/>
    </row>
    <row r="8" spans="3:23" x14ac:dyDescent="0.45">
      <c r="C8" s="36"/>
      <c r="D8" t="s">
        <v>396</v>
      </c>
      <c r="E8" t="s">
        <v>107</v>
      </c>
      <c r="F8" t="s">
        <v>397</v>
      </c>
      <c r="G8" s="35" t="s">
        <v>180</v>
      </c>
      <c r="R8" s="171"/>
      <c r="S8" s="140"/>
      <c r="T8" t="s">
        <v>16</v>
      </c>
      <c r="U8" s="2" t="s">
        <v>40</v>
      </c>
      <c r="V8" s="141">
        <v>0</v>
      </c>
      <c r="W8" s="173"/>
    </row>
    <row r="9" spans="3:23" ht="28.5" x14ac:dyDescent="0.45">
      <c r="C9" s="161" t="s">
        <v>399</v>
      </c>
      <c r="D9" s="12" t="s">
        <v>573</v>
      </c>
      <c r="E9" t="s">
        <v>610</v>
      </c>
      <c r="F9">
        <f>2800+(F128/1000)</f>
        <v>2800.3870000000002</v>
      </c>
      <c r="G9" s="35" t="s">
        <v>611</v>
      </c>
      <c r="R9" s="171"/>
      <c r="S9" s="140"/>
      <c r="T9" t="s">
        <v>17</v>
      </c>
      <c r="U9" s="2" t="s">
        <v>40</v>
      </c>
      <c r="V9" s="141">
        <v>0</v>
      </c>
      <c r="W9" s="173"/>
    </row>
    <row r="10" spans="3:23" ht="42.75" x14ac:dyDescent="0.45">
      <c r="C10" s="161"/>
      <c r="D10" s="12" t="s">
        <v>895</v>
      </c>
      <c r="E10" t="s">
        <v>610</v>
      </c>
      <c r="F10" s="97">
        <f>F9+U83+U86</f>
        <v>3038.3326521739132</v>
      </c>
      <c r="G10" s="35"/>
      <c r="R10" s="171"/>
      <c r="S10" s="140"/>
      <c r="T10" t="s">
        <v>18</v>
      </c>
      <c r="U10" s="2" t="s">
        <v>41</v>
      </c>
      <c r="V10" s="174"/>
      <c r="W10" s="175"/>
    </row>
    <row r="11" spans="3:23" ht="42.75" x14ac:dyDescent="0.45">
      <c r="C11" s="161"/>
      <c r="D11" s="12" t="s">
        <v>966</v>
      </c>
      <c r="E11" t="s">
        <v>896</v>
      </c>
      <c r="F11" s="6">
        <f>F10*3600</f>
        <v>10937997.547826087</v>
      </c>
      <c r="G11" s="35"/>
      <c r="R11" s="171"/>
      <c r="S11" s="140"/>
      <c r="T11" t="s">
        <v>19</v>
      </c>
      <c r="U11" s="2" t="s">
        <v>41</v>
      </c>
      <c r="V11" s="174"/>
      <c r="W11" s="175"/>
    </row>
    <row r="12" spans="3:23" x14ac:dyDescent="0.45">
      <c r="C12" s="161" t="s">
        <v>735</v>
      </c>
      <c r="D12" s="12" t="s">
        <v>736</v>
      </c>
      <c r="E12" t="s">
        <v>991</v>
      </c>
      <c r="F12">
        <v>217391</v>
      </c>
      <c r="G12" s="35" t="s">
        <v>992</v>
      </c>
      <c r="R12" s="171"/>
      <c r="S12" s="140"/>
      <c r="T12" t="s">
        <v>109</v>
      </c>
      <c r="U12" s="2" t="s">
        <v>108</v>
      </c>
      <c r="V12" s="141">
        <v>0</v>
      </c>
      <c r="W12" s="173"/>
    </row>
    <row r="13" spans="3:23" ht="13.9" customHeight="1" x14ac:dyDescent="0.45">
      <c r="C13" s="161"/>
      <c r="D13" s="12" t="s">
        <v>988</v>
      </c>
      <c r="E13" t="s">
        <v>991</v>
      </c>
      <c r="F13">
        <v>15625</v>
      </c>
      <c r="G13" s="35" t="s">
        <v>992</v>
      </c>
      <c r="R13" s="171"/>
      <c r="T13" t="s">
        <v>110</v>
      </c>
      <c r="U13" s="2" t="s">
        <v>39</v>
      </c>
      <c r="V13" s="141">
        <f>F12+F13</f>
        <v>233016</v>
      </c>
      <c r="W13" s="173"/>
    </row>
    <row r="14" spans="3:23" ht="28.5" x14ac:dyDescent="0.45">
      <c r="C14" s="62" t="s">
        <v>400</v>
      </c>
      <c r="D14" s="12" t="s">
        <v>990</v>
      </c>
      <c r="E14" t="s">
        <v>401</v>
      </c>
      <c r="F14">
        <v>40</v>
      </c>
      <c r="G14" s="35" t="s">
        <v>612</v>
      </c>
      <c r="R14" s="171"/>
      <c r="T14" t="s">
        <v>568</v>
      </c>
      <c r="U14" s="2" t="s">
        <v>42</v>
      </c>
      <c r="V14" s="141" t="s">
        <v>47</v>
      </c>
      <c r="W14" s="173"/>
    </row>
    <row r="15" spans="3:23" x14ac:dyDescent="0.45">
      <c r="C15" s="161" t="s">
        <v>575</v>
      </c>
      <c r="D15" t="s">
        <v>403</v>
      </c>
      <c r="E15" t="s">
        <v>402</v>
      </c>
      <c r="F15" s="6">
        <v>5.7</v>
      </c>
      <c r="G15" s="52" t="s">
        <v>613</v>
      </c>
      <c r="R15" s="171"/>
      <c r="T15" t="s">
        <v>556</v>
      </c>
      <c r="U15" s="2" t="s">
        <v>47</v>
      </c>
      <c r="V15" s="141" t="s">
        <v>47</v>
      </c>
      <c r="W15" s="173"/>
    </row>
    <row r="16" spans="3:23" x14ac:dyDescent="0.45">
      <c r="C16" s="161"/>
      <c r="D16" t="s">
        <v>583</v>
      </c>
      <c r="E16" t="s">
        <v>584</v>
      </c>
      <c r="F16">
        <v>21</v>
      </c>
      <c r="G16" s="52" t="s">
        <v>613</v>
      </c>
      <c r="R16" s="171"/>
      <c r="V16" t="s">
        <v>736</v>
      </c>
      <c r="W16" s="15" t="s">
        <v>737</v>
      </c>
    </row>
    <row r="17" spans="3:25" x14ac:dyDescent="0.45">
      <c r="C17" s="161"/>
      <c r="D17" t="s">
        <v>586</v>
      </c>
      <c r="E17" t="s">
        <v>585</v>
      </c>
      <c r="F17" s="53">
        <f>F19*F16</f>
        <v>3640.875</v>
      </c>
      <c r="G17" s="52" t="s">
        <v>613</v>
      </c>
      <c r="R17" s="172" t="s">
        <v>20</v>
      </c>
      <c r="S17" s="140" t="s">
        <v>24</v>
      </c>
      <c r="T17" s="6" t="s">
        <v>25</v>
      </c>
      <c r="U17" s="7" t="s">
        <v>42</v>
      </c>
      <c r="V17">
        <v>0</v>
      </c>
      <c r="W17" s="15">
        <v>0</v>
      </c>
    </row>
    <row r="18" spans="3:25" x14ac:dyDescent="0.45">
      <c r="C18" s="161"/>
      <c r="D18" t="s">
        <v>587</v>
      </c>
      <c r="E18" t="s">
        <v>588</v>
      </c>
      <c r="F18">
        <f>(F15/12)*100</f>
        <v>47.5</v>
      </c>
      <c r="G18" s="52" t="s">
        <v>613</v>
      </c>
      <c r="R18" s="172"/>
      <c r="S18" s="140"/>
      <c r="T18" t="s">
        <v>435</v>
      </c>
      <c r="U18" s="2" t="s">
        <v>42</v>
      </c>
      <c r="V18">
        <f>F12*(V25/100)</f>
        <v>47826.02</v>
      </c>
      <c r="W18" s="15">
        <f>F13*(W25/100)</f>
        <v>2656.25</v>
      </c>
    </row>
    <row r="19" spans="3:25" x14ac:dyDescent="0.45">
      <c r="C19" s="161"/>
      <c r="D19" t="s">
        <v>589</v>
      </c>
      <c r="E19" t="s">
        <v>590</v>
      </c>
      <c r="F19" s="53">
        <f>(F18/100)*365</f>
        <v>173.375</v>
      </c>
      <c r="G19" s="52" t="s">
        <v>613</v>
      </c>
      <c r="R19" s="172"/>
      <c r="S19" s="140"/>
      <c r="T19" t="s">
        <v>571</v>
      </c>
      <c r="U19" s="2" t="s">
        <v>572</v>
      </c>
      <c r="V19">
        <f>F12</f>
        <v>217391</v>
      </c>
      <c r="W19" s="15">
        <f>F13</f>
        <v>15625</v>
      </c>
    </row>
    <row r="20" spans="3:25" x14ac:dyDescent="0.45">
      <c r="C20" s="161"/>
      <c r="D20" t="s">
        <v>597</v>
      </c>
      <c r="E20" t="s">
        <v>600</v>
      </c>
      <c r="F20" s="6">
        <f>F58*365</f>
        <v>4560.6831846727064</v>
      </c>
      <c r="G20" s="52" t="s">
        <v>613</v>
      </c>
      <c r="R20" s="172"/>
      <c r="S20" s="140"/>
      <c r="T20" t="s">
        <v>26</v>
      </c>
      <c r="U20" s="2" t="s">
        <v>42</v>
      </c>
      <c r="V20" t="s">
        <v>710</v>
      </c>
      <c r="W20" s="15" t="s">
        <v>710</v>
      </c>
    </row>
    <row r="21" spans="3:25" x14ac:dyDescent="0.45">
      <c r="C21" s="161"/>
      <c r="D21" t="s">
        <v>598</v>
      </c>
      <c r="E21" t="s">
        <v>599</v>
      </c>
      <c r="F21">
        <f>F66</f>
        <v>18.146209758807469</v>
      </c>
      <c r="G21" s="52" t="s">
        <v>613</v>
      </c>
      <c r="R21" s="172"/>
      <c r="S21" s="140"/>
      <c r="T21" t="s">
        <v>27</v>
      </c>
      <c r="U21" s="2" t="s">
        <v>42</v>
      </c>
      <c r="V21">
        <v>0</v>
      </c>
      <c r="W21" s="15">
        <v>0</v>
      </c>
    </row>
    <row r="22" spans="3:25" x14ac:dyDescent="0.45">
      <c r="C22" s="161"/>
      <c r="D22" t="s">
        <v>601</v>
      </c>
      <c r="E22" t="s">
        <v>602</v>
      </c>
      <c r="F22">
        <v>4304</v>
      </c>
      <c r="G22" s="52" t="s">
        <v>613</v>
      </c>
      <c r="R22" s="172"/>
      <c r="S22" s="140"/>
      <c r="T22" t="s">
        <v>28</v>
      </c>
      <c r="U22" s="2" t="s">
        <v>42</v>
      </c>
      <c r="V22" t="s">
        <v>710</v>
      </c>
      <c r="W22" s="15" t="s">
        <v>710</v>
      </c>
    </row>
    <row r="23" spans="3:25" x14ac:dyDescent="0.45">
      <c r="C23" s="161"/>
      <c r="D23" t="s">
        <v>603</v>
      </c>
      <c r="E23" t="s">
        <v>599</v>
      </c>
      <c r="F23">
        <v>35.5</v>
      </c>
      <c r="G23" s="52" t="s">
        <v>613</v>
      </c>
      <c r="R23" s="172"/>
      <c r="S23" s="140" t="s">
        <v>30</v>
      </c>
      <c r="T23" t="s">
        <v>29</v>
      </c>
      <c r="U23" s="2" t="s">
        <v>43</v>
      </c>
      <c r="V23" t="s">
        <v>236</v>
      </c>
      <c r="W23" s="15" t="s">
        <v>236</v>
      </c>
    </row>
    <row r="24" spans="3:25" x14ac:dyDescent="0.45">
      <c r="C24" s="161"/>
      <c r="D24" t="s">
        <v>579</v>
      </c>
      <c r="E24" t="s">
        <v>591</v>
      </c>
      <c r="F24">
        <f>((5449/365)/24)*F17</f>
        <v>2264.7406249999999</v>
      </c>
      <c r="G24" s="52" t="s">
        <v>613</v>
      </c>
      <c r="R24" s="172"/>
      <c r="S24" s="140"/>
      <c r="T24" t="s">
        <v>31</v>
      </c>
      <c r="U24" s="2" t="s">
        <v>44</v>
      </c>
      <c r="V24">
        <v>0</v>
      </c>
      <c r="W24" s="15">
        <v>0</v>
      </c>
    </row>
    <row r="25" spans="3:25" x14ac:dyDescent="0.45">
      <c r="C25" s="161"/>
      <c r="D25" t="s">
        <v>580</v>
      </c>
      <c r="E25" t="s">
        <v>596</v>
      </c>
      <c r="F25">
        <f>((F21/(365*24))*F17)</f>
        <v>7.5420184310043545</v>
      </c>
      <c r="G25" s="52" t="s">
        <v>613</v>
      </c>
      <c r="R25" s="172"/>
      <c r="S25" s="140"/>
      <c r="T25" t="s">
        <v>32</v>
      </c>
      <c r="U25" s="2" t="s">
        <v>45</v>
      </c>
      <c r="V25">
        <v>22</v>
      </c>
      <c r="W25" s="15">
        <v>17</v>
      </c>
    </row>
    <row r="26" spans="3:25" x14ac:dyDescent="0.45">
      <c r="C26" s="161"/>
      <c r="D26" t="s">
        <v>592</v>
      </c>
      <c r="E26" t="s">
        <v>593</v>
      </c>
      <c r="F26">
        <f>((F22/365)/24)*F17</f>
        <v>1788.85</v>
      </c>
      <c r="G26" s="52" t="s">
        <v>613</v>
      </c>
      <c r="R26" s="172"/>
      <c r="S26" s="140"/>
      <c r="T26" t="s">
        <v>33</v>
      </c>
      <c r="U26" s="2" t="s">
        <v>46</v>
      </c>
      <c r="V26">
        <v>4</v>
      </c>
      <c r="W26" s="15">
        <v>7</v>
      </c>
    </row>
    <row r="27" spans="3:25" x14ac:dyDescent="0.45">
      <c r="C27" s="161"/>
      <c r="D27" t="s">
        <v>594</v>
      </c>
      <c r="E27" t="s">
        <v>195</v>
      </c>
      <c r="F27">
        <f>(F23/(365*24))*F17</f>
        <v>14.754687500000001</v>
      </c>
      <c r="G27" s="52" t="s">
        <v>613</v>
      </c>
      <c r="R27" s="172"/>
      <c r="S27" s="140"/>
      <c r="T27" t="s">
        <v>34</v>
      </c>
      <c r="U27" s="2" t="s">
        <v>46</v>
      </c>
      <c r="V27">
        <f>(V35/6.25)/10</f>
        <v>3.6799999999999997</v>
      </c>
      <c r="W27" s="15">
        <f>(W35/6.25)/10</f>
        <v>7.8239999999999998</v>
      </c>
    </row>
    <row r="28" spans="3:25" x14ac:dyDescent="0.45">
      <c r="C28" s="161"/>
      <c r="D28" t="s">
        <v>595</v>
      </c>
      <c r="E28" t="s">
        <v>195</v>
      </c>
      <c r="F28">
        <f>((F23+F21)/(365*24))*F17</f>
        <v>22.296705931004354</v>
      </c>
      <c r="G28" s="52" t="s">
        <v>613</v>
      </c>
      <c r="R28" s="172"/>
      <c r="S28" s="140"/>
      <c r="T28" t="s">
        <v>35</v>
      </c>
      <c r="U28" s="2" t="s">
        <v>46</v>
      </c>
      <c r="V28">
        <v>5.8</v>
      </c>
      <c r="W28" s="15">
        <v>1.31</v>
      </c>
      <c r="X28">
        <f>V27/(100/(V25/100))</f>
        <v>8.095999999999999E-3</v>
      </c>
      <c r="Y28">
        <f>W27/(100/(W25/100))</f>
        <v>1.33008E-2</v>
      </c>
    </row>
    <row r="29" spans="3:25" x14ac:dyDescent="0.45">
      <c r="C29" s="161"/>
      <c r="D29" t="s">
        <v>897</v>
      </c>
      <c r="E29" t="s">
        <v>899</v>
      </c>
      <c r="F29">
        <f>(6.21/5449)*F20</f>
        <v>5.1976220548389627</v>
      </c>
      <c r="G29" s="52" t="s">
        <v>613</v>
      </c>
      <c r="R29" s="29"/>
      <c r="S29" s="8"/>
      <c r="T29" s="9" t="s">
        <v>129</v>
      </c>
      <c r="U29" s="10" t="s">
        <v>47</v>
      </c>
      <c r="V29" t="s">
        <v>47</v>
      </c>
      <c r="W29" s="15" t="s">
        <v>47</v>
      </c>
    </row>
    <row r="30" spans="3:25" x14ac:dyDescent="0.45">
      <c r="C30" s="161"/>
      <c r="D30" t="s">
        <v>898</v>
      </c>
      <c r="E30" t="s">
        <v>900</v>
      </c>
      <c r="F30">
        <f>(14.1/5449)*F20</f>
        <v>11.801364085866243</v>
      </c>
      <c r="G30" s="52" t="s">
        <v>613</v>
      </c>
      <c r="R30" s="29"/>
      <c r="S30" s="8"/>
      <c r="T30" s="9" t="s">
        <v>50</v>
      </c>
      <c r="U30" s="10" t="s">
        <v>47</v>
      </c>
      <c r="V30" t="s">
        <v>47</v>
      </c>
      <c r="W30" s="15" t="s">
        <v>47</v>
      </c>
    </row>
    <row r="31" spans="3:25" x14ac:dyDescent="0.45">
      <c r="C31" s="168" t="s">
        <v>576</v>
      </c>
      <c r="D31" t="s">
        <v>577</v>
      </c>
      <c r="E31" t="s">
        <v>585</v>
      </c>
      <c r="F31" s="53">
        <f>(365*24)-F17</f>
        <v>5119.125</v>
      </c>
      <c r="G31" s="52" t="s">
        <v>613</v>
      </c>
      <c r="R31" s="29"/>
      <c r="S31" s="8"/>
      <c r="T31" s="9" t="s">
        <v>570</v>
      </c>
      <c r="U31" s="10" t="s">
        <v>569</v>
      </c>
      <c r="V31" t="s">
        <v>47</v>
      </c>
      <c r="W31" s="15" t="s">
        <v>47</v>
      </c>
    </row>
    <row r="32" spans="3:25" x14ac:dyDescent="0.45">
      <c r="C32" s="168"/>
      <c r="D32" t="s">
        <v>582</v>
      </c>
      <c r="E32" t="s">
        <v>588</v>
      </c>
      <c r="F32">
        <f>100-F18</f>
        <v>52.5</v>
      </c>
      <c r="G32" s="52" t="s">
        <v>613</v>
      </c>
      <c r="R32" s="28"/>
      <c r="S32" s="3" t="s">
        <v>36</v>
      </c>
      <c r="T32" t="s">
        <v>126</v>
      </c>
      <c r="U32" s="2" t="s">
        <v>127</v>
      </c>
      <c r="V32">
        <f>((120/(V36/10)/100)*$F$39)</f>
        <v>5.952258413727189</v>
      </c>
      <c r="W32">
        <f>((120/(W36/10)/100)*$F$39)</f>
        <v>38.554401088914744</v>
      </c>
    </row>
    <row r="33" spans="3:23" x14ac:dyDescent="0.45">
      <c r="C33" s="168"/>
      <c r="D33" t="s">
        <v>608</v>
      </c>
      <c r="E33" t="s">
        <v>609</v>
      </c>
      <c r="F33">
        <v>1.25</v>
      </c>
      <c r="G33" s="52" t="s">
        <v>613</v>
      </c>
      <c r="R33" s="19"/>
      <c r="T33" t="s">
        <v>37</v>
      </c>
      <c r="U33" s="1" t="s">
        <v>47</v>
      </c>
      <c r="V33">
        <v>0.37</v>
      </c>
      <c r="W33" s="15">
        <v>0.23</v>
      </c>
    </row>
    <row r="34" spans="3:23" ht="15.75" customHeight="1" x14ac:dyDescent="0.45">
      <c r="C34" s="168" t="s">
        <v>578</v>
      </c>
      <c r="D34" t="s">
        <v>581</v>
      </c>
      <c r="E34" t="s">
        <v>604</v>
      </c>
      <c r="F34">
        <f>(F20/(365*24))*F31</f>
        <v>2665.149236043113</v>
      </c>
      <c r="G34" s="52" t="s">
        <v>613</v>
      </c>
      <c r="R34" s="28"/>
      <c r="S34" s="3"/>
      <c r="T34" t="s">
        <v>122</v>
      </c>
      <c r="U34" s="2" t="s">
        <v>123</v>
      </c>
      <c r="V34">
        <v>10.7</v>
      </c>
      <c r="W34" s="15">
        <v>13.4</v>
      </c>
    </row>
    <row r="35" spans="3:23" x14ac:dyDescent="0.45">
      <c r="C35" s="168"/>
      <c r="D35" t="s">
        <v>605</v>
      </c>
      <c r="E35" t="s">
        <v>250</v>
      </c>
      <c r="F35">
        <f>((F21/(365*24))*F31)</f>
        <v>10.604191327803115</v>
      </c>
      <c r="G35" s="52" t="s">
        <v>613</v>
      </c>
      <c r="R35" s="28"/>
      <c r="S35" s="3"/>
      <c r="T35" t="s">
        <v>120</v>
      </c>
      <c r="U35" s="2" t="s">
        <v>48</v>
      </c>
      <c r="V35">
        <v>230</v>
      </c>
      <c r="W35" s="15">
        <v>489</v>
      </c>
    </row>
    <row r="36" spans="3:23" ht="17.25" customHeight="1" thickBot="1" x14ac:dyDescent="0.5">
      <c r="C36" s="168"/>
      <c r="D36" t="s">
        <v>606</v>
      </c>
      <c r="E36" t="s">
        <v>250</v>
      </c>
      <c r="F36">
        <f>((F23/(365*24))*F31)</f>
        <v>20.745312500000001</v>
      </c>
      <c r="G36" s="52" t="s">
        <v>613</v>
      </c>
      <c r="R36" s="21"/>
      <c r="S36" s="20"/>
      <c r="T36" s="20" t="s">
        <v>121</v>
      </c>
      <c r="U36" s="30" t="s">
        <v>48</v>
      </c>
      <c r="V36" s="20">
        <v>570</v>
      </c>
      <c r="W36" s="16">
        <v>88</v>
      </c>
    </row>
    <row r="37" spans="3:23" ht="15" thickTop="1" thickBot="1" x14ac:dyDescent="0.5">
      <c r="C37" s="168"/>
      <c r="D37" t="s">
        <v>607</v>
      </c>
      <c r="E37" t="s">
        <v>250</v>
      </c>
      <c r="F37">
        <f>SUM(F35:F36)</f>
        <v>31.349503827803115</v>
      </c>
      <c r="G37" s="52" t="s">
        <v>613</v>
      </c>
    </row>
    <row r="38" spans="3:23" ht="42.75" x14ac:dyDescent="0.45">
      <c r="C38" s="147" t="s">
        <v>615</v>
      </c>
      <c r="D38" t="s">
        <v>616</v>
      </c>
      <c r="E38" t="s">
        <v>62</v>
      </c>
      <c r="F38">
        <v>530</v>
      </c>
      <c r="G38" s="96" t="s">
        <v>924</v>
      </c>
      <c r="R38" s="31"/>
      <c r="S38" s="32" t="s">
        <v>701</v>
      </c>
      <c r="T38" s="32"/>
      <c r="U38" s="32"/>
      <c r="V38" s="32"/>
      <c r="W38" s="33"/>
    </row>
    <row r="39" spans="3:23" x14ac:dyDescent="0.45">
      <c r="C39" s="147"/>
      <c r="D39" t="s">
        <v>642</v>
      </c>
      <c r="E39" t="s">
        <v>62</v>
      </c>
      <c r="F39">
        <f>F38*(1-0.763*EXP(-0.00285*(365)))^2</f>
        <v>282.7322746520415</v>
      </c>
      <c r="G39" s="52" t="s">
        <v>620</v>
      </c>
      <c r="R39" s="34" t="s">
        <v>13</v>
      </c>
      <c r="S39" s="26" t="s">
        <v>22</v>
      </c>
      <c r="T39" t="s">
        <v>14</v>
      </c>
      <c r="U39" s="2" t="s">
        <v>39</v>
      </c>
      <c r="V39" s="141">
        <v>0</v>
      </c>
      <c r="W39" s="165"/>
    </row>
    <row r="40" spans="3:23" x14ac:dyDescent="0.45">
      <c r="C40" s="147"/>
      <c r="D40" t="s">
        <v>641</v>
      </c>
      <c r="E40" t="s">
        <v>62</v>
      </c>
      <c r="F40">
        <f>F38*(1-0.763*EXP(-0.00277*730)^2)</f>
        <v>522.91358366822658</v>
      </c>
      <c r="G40" s="52"/>
      <c r="R40" s="34"/>
      <c r="S40" s="26"/>
      <c r="T40" t="s">
        <v>555</v>
      </c>
      <c r="U40" s="2" t="s">
        <v>47</v>
      </c>
      <c r="V40" s="141">
        <v>0.19</v>
      </c>
      <c r="W40" s="165"/>
    </row>
    <row r="41" spans="3:23" x14ac:dyDescent="0.45">
      <c r="C41" s="147"/>
      <c r="D41" t="s">
        <v>644</v>
      </c>
      <c r="E41" t="s">
        <v>621</v>
      </c>
      <c r="F41" s="6">
        <f>(26.4+0.01*F42-41*F45-0.00006*F42^2+35.2*F45^2+0.12*F42*F45)*F43</f>
        <v>35.175785298953556</v>
      </c>
      <c r="G41" s="52" t="s">
        <v>625</v>
      </c>
      <c r="R41" s="34"/>
      <c r="S41" s="26" t="s">
        <v>23</v>
      </c>
      <c r="T41" t="s">
        <v>15</v>
      </c>
      <c r="U41" s="2" t="s">
        <v>40</v>
      </c>
      <c r="V41" s="141">
        <f>'Financial data Palopuro Baselin'!N22</f>
        <v>282.14928390243904</v>
      </c>
      <c r="W41" s="165"/>
    </row>
    <row r="42" spans="3:23" x14ac:dyDescent="0.45">
      <c r="C42" s="147"/>
      <c r="D42" t="s">
        <v>624</v>
      </c>
      <c r="E42" t="s">
        <v>62</v>
      </c>
      <c r="F42">
        <f>(((F38/(2*-0.00277))*(2-0.756*EXP(-0.00277*730))^2+F38*730)-((F38/(2*-0.00277))*(2-0.756*EXP(-0.00277*365))^2+F38*365))/(730-365)</f>
        <v>363.74998758879252</v>
      </c>
      <c r="G42" s="52" t="s">
        <v>626</v>
      </c>
      <c r="R42" s="34"/>
      <c r="S42" s="26"/>
      <c r="T42" t="s">
        <v>16</v>
      </c>
      <c r="U42" s="2" t="s">
        <v>40</v>
      </c>
      <c r="V42" s="141">
        <v>0</v>
      </c>
      <c r="W42" s="165"/>
    </row>
    <row r="43" spans="3:23" x14ac:dyDescent="0.45">
      <c r="C43" s="147"/>
      <c r="D43" t="s">
        <v>622</v>
      </c>
      <c r="E43" t="s">
        <v>47</v>
      </c>
      <c r="F43">
        <v>0.9</v>
      </c>
      <c r="G43" s="52" t="s">
        <v>623</v>
      </c>
      <c r="R43" s="34"/>
      <c r="S43" s="26"/>
      <c r="T43" t="s">
        <v>17</v>
      </c>
      <c r="U43" s="2" t="s">
        <v>40</v>
      </c>
      <c r="V43" s="141">
        <f>Baseline_crop_data!J68</f>
        <v>552.4159507045822</v>
      </c>
      <c r="W43" s="165"/>
    </row>
    <row r="44" spans="3:23" ht="28.5" x14ac:dyDescent="0.45">
      <c r="C44" s="147"/>
      <c r="D44" t="s">
        <v>628</v>
      </c>
      <c r="E44" t="s">
        <v>62</v>
      </c>
      <c r="F44">
        <v>26</v>
      </c>
      <c r="G44" s="84" t="s">
        <v>617</v>
      </c>
      <c r="R44" s="34"/>
      <c r="S44" s="26"/>
      <c r="T44" t="s">
        <v>18</v>
      </c>
      <c r="U44" s="2" t="s">
        <v>41</v>
      </c>
      <c r="V44" s="141">
        <f>'Financial data Palopuro Baselin'!N18</f>
        <v>2.815964523281596</v>
      </c>
      <c r="W44" s="165"/>
    </row>
    <row r="45" spans="3:23" ht="28.5" x14ac:dyDescent="0.45">
      <c r="C45" s="147"/>
      <c r="D45" t="s">
        <v>627</v>
      </c>
      <c r="E45" t="s">
        <v>631</v>
      </c>
      <c r="F45" s="6">
        <f>(F40-F39)/(730-365)</f>
        <v>0.65803098360598655</v>
      </c>
      <c r="G45" s="52" t="s">
        <v>632</v>
      </c>
      <c r="R45" s="34"/>
      <c r="S45" s="26"/>
      <c r="T45" t="s">
        <v>19</v>
      </c>
      <c r="U45" s="2" t="s">
        <v>41</v>
      </c>
      <c r="V45" s="141">
        <f>'Financial data Palopuro Baselin'!N19</f>
        <v>1.3141167775314115</v>
      </c>
      <c r="W45" s="165"/>
    </row>
    <row r="46" spans="3:23" ht="42.75" x14ac:dyDescent="0.45">
      <c r="C46" s="147"/>
      <c r="D46" t="s">
        <v>633</v>
      </c>
      <c r="E46" t="s">
        <v>631</v>
      </c>
      <c r="F46" s="6">
        <f>(F39)*0.02</f>
        <v>5.6546454930408299</v>
      </c>
      <c r="G46" s="84" t="s">
        <v>634</v>
      </c>
      <c r="R46" s="34"/>
      <c r="S46" s="26"/>
      <c r="T46" t="s">
        <v>109</v>
      </c>
      <c r="U46" s="2" t="s">
        <v>108</v>
      </c>
      <c r="V46" s="141">
        <v>1</v>
      </c>
      <c r="W46" s="165"/>
    </row>
    <row r="47" spans="3:23" x14ac:dyDescent="0.45">
      <c r="C47" s="147"/>
      <c r="D47" t="s">
        <v>635</v>
      </c>
      <c r="E47" t="s">
        <v>636</v>
      </c>
      <c r="F47" s="6">
        <f>F46*365</f>
        <v>2063.945604959903</v>
      </c>
      <c r="G47" s="52"/>
      <c r="R47" s="34"/>
      <c r="S47" s="26"/>
      <c r="T47" t="s">
        <v>110</v>
      </c>
      <c r="U47" s="2" t="s">
        <v>39</v>
      </c>
      <c r="V47" s="141" t="s">
        <v>709</v>
      </c>
      <c r="W47" s="165"/>
    </row>
    <row r="48" spans="3:23" x14ac:dyDescent="0.45">
      <c r="C48" s="147"/>
      <c r="D48" t="s">
        <v>638</v>
      </c>
      <c r="E48" t="s">
        <v>639</v>
      </c>
      <c r="F48">
        <f>F41*365</f>
        <v>12839.161634118049</v>
      </c>
      <c r="G48" s="52"/>
      <c r="R48" s="34"/>
      <c r="S48" s="26"/>
      <c r="T48" t="s">
        <v>568</v>
      </c>
      <c r="U48" s="2" t="s">
        <v>42</v>
      </c>
      <c r="V48" s="141" t="s">
        <v>709</v>
      </c>
      <c r="W48" s="165"/>
    </row>
    <row r="49" spans="3:23" x14ac:dyDescent="0.45">
      <c r="C49" s="147"/>
      <c r="D49" t="s">
        <v>614</v>
      </c>
      <c r="E49" t="s">
        <v>123</v>
      </c>
      <c r="F49" s="6">
        <f>F48/F47</f>
        <v>6.2206879887066986</v>
      </c>
      <c r="G49" s="52"/>
      <c r="R49" s="34"/>
      <c r="S49" s="26"/>
      <c r="T49" t="s">
        <v>556</v>
      </c>
      <c r="U49" s="2" t="s">
        <v>47</v>
      </c>
      <c r="V49" s="141">
        <v>0.55000000000000004</v>
      </c>
      <c r="W49" s="165"/>
    </row>
    <row r="50" spans="3:23" ht="15" customHeight="1" x14ac:dyDescent="0.45">
      <c r="C50" s="147"/>
      <c r="D50" t="s">
        <v>640</v>
      </c>
      <c r="E50" t="s">
        <v>48</v>
      </c>
      <c r="F50">
        <v>150</v>
      </c>
      <c r="G50" s="84" t="s">
        <v>998</v>
      </c>
      <c r="R50" s="36"/>
      <c r="V50" t="s">
        <v>702</v>
      </c>
      <c r="W50" s="35" t="s">
        <v>703</v>
      </c>
    </row>
    <row r="51" spans="3:23" x14ac:dyDescent="0.45">
      <c r="C51" s="147"/>
      <c r="D51" t="s">
        <v>66</v>
      </c>
      <c r="E51" t="s">
        <v>168</v>
      </c>
      <c r="F51">
        <v>62.6</v>
      </c>
      <c r="G51" s="52" t="s">
        <v>643</v>
      </c>
      <c r="R51" s="37" t="s">
        <v>20</v>
      </c>
      <c r="S51" s="5" t="s">
        <v>24</v>
      </c>
      <c r="T51" s="6" t="s">
        <v>25</v>
      </c>
      <c r="U51" s="7" t="s">
        <v>42</v>
      </c>
      <c r="V51">
        <v>0</v>
      </c>
      <c r="W51" s="35" t="s">
        <v>710</v>
      </c>
    </row>
    <row r="52" spans="3:23" ht="42.75" x14ac:dyDescent="0.45">
      <c r="C52" s="147" t="s">
        <v>670</v>
      </c>
      <c r="D52" t="s">
        <v>645</v>
      </c>
      <c r="E52" t="s">
        <v>631</v>
      </c>
      <c r="F52">
        <f>(F53*F46)/16</f>
        <v>3.5070341951512591</v>
      </c>
      <c r="G52" s="52" t="s">
        <v>646</v>
      </c>
      <c r="R52" s="38"/>
      <c r="S52" s="3"/>
      <c r="T52" t="s">
        <v>435</v>
      </c>
      <c r="U52" s="2" t="s">
        <v>42</v>
      </c>
      <c r="V52">
        <f>V54*V46</f>
        <v>1958.6499999999999</v>
      </c>
      <c r="W52" s="35">
        <f>(((1-V49)*V52)/V49)*0.7</f>
        <v>1121.7722727272724</v>
      </c>
    </row>
    <row r="53" spans="3:23" ht="14.25" customHeight="1" x14ac:dyDescent="0.45">
      <c r="C53" s="147"/>
      <c r="D53" t="s">
        <v>647</v>
      </c>
      <c r="E53" t="s">
        <v>123</v>
      </c>
      <c r="F53">
        <f>(AVERAGE(Baseline_crop_data!R39,Baseline_crop_data!U39,Baseline_crop_data!V39))</f>
        <v>9.9232652500457963</v>
      </c>
      <c r="G53" s="52"/>
      <c r="R53" s="38"/>
      <c r="S53" s="3"/>
      <c r="T53" t="s">
        <v>571</v>
      </c>
      <c r="U53" s="2" t="s">
        <v>572</v>
      </c>
      <c r="V53">
        <f>AVERAGE(2090,3150,2370,1500)*V46</f>
        <v>2277.5</v>
      </c>
      <c r="W53" s="35">
        <f>(W54*100)/W61</f>
        <v>1321.2865403148082</v>
      </c>
    </row>
    <row r="54" spans="3:23" x14ac:dyDescent="0.45">
      <c r="C54" s="147"/>
      <c r="D54" t="s">
        <v>648</v>
      </c>
      <c r="E54" t="s">
        <v>649</v>
      </c>
      <c r="F54">
        <f>F52/(F46*F55*0.001)</f>
        <v>0.68209289527680217</v>
      </c>
      <c r="G54" s="52" t="s">
        <v>652</v>
      </c>
      <c r="R54" s="38"/>
      <c r="S54" s="3"/>
      <c r="T54" t="s">
        <v>559</v>
      </c>
      <c r="U54" s="2" t="s">
        <v>560</v>
      </c>
      <c r="V54">
        <f>V53*(V61/100)</f>
        <v>1958.6499999999999</v>
      </c>
      <c r="W54" s="35">
        <f>W52/V46</f>
        <v>1121.7722727272724</v>
      </c>
    </row>
    <row r="55" spans="3:23" x14ac:dyDescent="0.45">
      <c r="C55" s="147"/>
      <c r="D55" t="s">
        <v>650</v>
      </c>
      <c r="E55" t="s">
        <v>48</v>
      </c>
      <c r="F55">
        <f>(100-AVERAGE(Baseline_crop_data!R29:V29))*10</f>
        <v>909.26629264504413</v>
      </c>
      <c r="G55" s="52"/>
      <c r="R55" s="38"/>
      <c r="S55" s="3"/>
      <c r="T55" t="s">
        <v>26</v>
      </c>
      <c r="U55" s="2" t="s">
        <v>42</v>
      </c>
      <c r="V55">
        <v>0</v>
      </c>
      <c r="W55" s="35" t="s">
        <v>710</v>
      </c>
    </row>
    <row r="56" spans="3:23" x14ac:dyDescent="0.45">
      <c r="C56" s="147"/>
      <c r="D56" t="s">
        <v>651</v>
      </c>
      <c r="E56" t="s">
        <v>649</v>
      </c>
      <c r="F56">
        <f>(0.977*F54*1000+1.4)/1000</f>
        <v>0.66780475868543565</v>
      </c>
      <c r="G56" s="52" t="s">
        <v>653</v>
      </c>
      <c r="R56" s="38"/>
      <c r="S56" s="3"/>
      <c r="T56" t="s">
        <v>27</v>
      </c>
      <c r="U56" s="2" t="s">
        <v>42</v>
      </c>
      <c r="V56">
        <v>0</v>
      </c>
      <c r="W56" s="35" t="s">
        <v>710</v>
      </c>
    </row>
    <row r="57" spans="3:23" x14ac:dyDescent="0.45">
      <c r="C57" s="147"/>
      <c r="D57" t="s">
        <v>655</v>
      </c>
      <c r="E57" t="s">
        <v>631</v>
      </c>
      <c r="F57">
        <f>F46*(1-F56)</f>
        <v>1.8784463241090121</v>
      </c>
      <c r="G57" s="52" t="s">
        <v>654</v>
      </c>
      <c r="R57" s="38"/>
      <c r="S57" s="3"/>
      <c r="T57" t="s">
        <v>28</v>
      </c>
      <c r="U57" s="2" t="s">
        <v>42</v>
      </c>
      <c r="V57">
        <v>0</v>
      </c>
      <c r="W57" s="35" t="s">
        <v>710</v>
      </c>
    </row>
    <row r="58" spans="3:23" x14ac:dyDescent="0.45">
      <c r="C58" s="147"/>
      <c r="D58" t="s">
        <v>656</v>
      </c>
      <c r="E58" t="s">
        <v>631</v>
      </c>
      <c r="F58" s="6">
        <f>F57/(2.24/14.9)</f>
        <v>12.495022423760838</v>
      </c>
      <c r="G58" s="52" t="s">
        <v>657</v>
      </c>
      <c r="R58" s="38"/>
      <c r="S58" s="3"/>
      <c r="T58" t="s">
        <v>29</v>
      </c>
      <c r="U58" s="2" t="s">
        <v>43</v>
      </c>
      <c r="V58" t="s">
        <v>64</v>
      </c>
      <c r="W58" s="35" t="s">
        <v>236</v>
      </c>
    </row>
    <row r="59" spans="3:23" ht="28.5" x14ac:dyDescent="0.45">
      <c r="C59" s="147"/>
      <c r="D59" t="s">
        <v>658</v>
      </c>
      <c r="E59" t="s">
        <v>659</v>
      </c>
      <c r="F59">
        <f>(2.7+0.053*((F51/365)*1000))</f>
        <v>11.789863013698628</v>
      </c>
      <c r="G59" s="52" t="s">
        <v>660</v>
      </c>
      <c r="R59" s="38"/>
      <c r="S59" s="3" t="s">
        <v>30</v>
      </c>
      <c r="T59" t="s">
        <v>1226</v>
      </c>
      <c r="U59" s="2" t="s">
        <v>942</v>
      </c>
      <c r="V59">
        <f>(V53*V60)/V54</f>
        <v>0.39146511627906977</v>
      </c>
      <c r="W59" s="35">
        <v>0</v>
      </c>
    </row>
    <row r="60" spans="3:23" ht="28.5" x14ac:dyDescent="0.45">
      <c r="C60" s="147"/>
      <c r="D60" s="12" t="s">
        <v>661</v>
      </c>
      <c r="E60" t="s">
        <v>67</v>
      </c>
      <c r="F60">
        <f>AVERAGE(600,600,600,640,705,657)/10</f>
        <v>63.36666666666666</v>
      </c>
      <c r="G60" s="52" t="s">
        <v>669</v>
      </c>
      <c r="R60" s="38"/>
      <c r="T60" t="s">
        <v>31</v>
      </c>
      <c r="U60" s="2" t="s">
        <v>44</v>
      </c>
      <c r="V60">
        <f>((AVERAGE(301.88,371.44))/1000)</f>
        <v>0.33665999999999996</v>
      </c>
      <c r="W60" s="35">
        <v>0</v>
      </c>
    </row>
    <row r="61" spans="3:23" x14ac:dyDescent="0.45">
      <c r="C61" s="147"/>
      <c r="D61" t="s">
        <v>666</v>
      </c>
      <c r="E61" t="s">
        <v>631</v>
      </c>
      <c r="F61">
        <f>F60*F46/100</f>
        <v>3.5831603607568723</v>
      </c>
      <c r="G61" s="52"/>
      <c r="R61" s="38"/>
      <c r="S61" s="3"/>
      <c r="T61" t="s">
        <v>32</v>
      </c>
      <c r="U61" s="2" t="s">
        <v>45</v>
      </c>
      <c r="V61">
        <v>86</v>
      </c>
      <c r="W61" s="35">
        <v>84.9</v>
      </c>
    </row>
    <row r="62" spans="3:23" ht="12.75" customHeight="1" x14ac:dyDescent="0.45">
      <c r="C62" s="147"/>
      <c r="D62" t="s">
        <v>662</v>
      </c>
      <c r="E62" t="s">
        <v>48</v>
      </c>
      <c r="F62">
        <f>F50/6.25</f>
        <v>24</v>
      </c>
      <c r="G62" s="52"/>
      <c r="R62" s="38"/>
      <c r="S62" s="3"/>
      <c r="T62" t="s">
        <v>33</v>
      </c>
      <c r="U62" s="2" t="s">
        <v>46</v>
      </c>
      <c r="V62">
        <v>2.9</v>
      </c>
      <c r="W62" s="35">
        <v>8.4</v>
      </c>
    </row>
    <row r="63" spans="3:23" x14ac:dyDescent="0.45">
      <c r="C63" s="147"/>
      <c r="D63" t="s">
        <v>664</v>
      </c>
      <c r="E63" t="s">
        <v>663</v>
      </c>
      <c r="F63">
        <f>F62*F46</f>
        <v>135.7114918329799</v>
      </c>
      <c r="G63" s="52"/>
      <c r="R63" s="38"/>
      <c r="S63" s="3"/>
      <c r="T63" t="s">
        <v>34</v>
      </c>
      <c r="U63" s="2" t="s">
        <v>46</v>
      </c>
      <c r="V63">
        <f>(V72/6.25)/10</f>
        <v>3.3600000000000003</v>
      </c>
      <c r="W63" s="35">
        <f>(W72/6.25)/10</f>
        <v>8.4959999999999987</v>
      </c>
    </row>
    <row r="64" spans="3:23" x14ac:dyDescent="0.45">
      <c r="C64" s="147"/>
      <c r="D64" t="s">
        <v>667</v>
      </c>
      <c r="E64" t="s">
        <v>663</v>
      </c>
      <c r="F64">
        <f>F63*F60/100</f>
        <v>85.995848658164917</v>
      </c>
      <c r="G64" s="52"/>
      <c r="R64" s="38"/>
      <c r="S64" s="3"/>
      <c r="T64" t="s">
        <v>35</v>
      </c>
      <c r="U64" s="2" t="s">
        <v>46</v>
      </c>
      <c r="V64">
        <v>0.32</v>
      </c>
      <c r="W64" s="35">
        <v>0.28000000000000003</v>
      </c>
    </row>
    <row r="65" spans="2:26" x14ac:dyDescent="0.45">
      <c r="C65" s="147"/>
      <c r="D65" t="s">
        <v>665</v>
      </c>
      <c r="E65" t="s">
        <v>663</v>
      </c>
      <c r="F65">
        <f>F63-F64</f>
        <v>49.715643174814986</v>
      </c>
      <c r="G65" s="52"/>
      <c r="R65" s="39"/>
      <c r="S65" s="8"/>
      <c r="T65" s="9" t="s">
        <v>129</v>
      </c>
      <c r="U65" s="10" t="s">
        <v>47</v>
      </c>
      <c r="V65" t="s">
        <v>47</v>
      </c>
      <c r="W65" s="35">
        <v>0.35</v>
      </c>
    </row>
    <row r="66" spans="2:26" x14ac:dyDescent="0.45">
      <c r="C66" s="147"/>
      <c r="D66" t="s">
        <v>668</v>
      </c>
      <c r="E66" t="s">
        <v>637</v>
      </c>
      <c r="F66" s="6">
        <f>(F65*365)/1000</f>
        <v>18.146209758807469</v>
      </c>
      <c r="G66" s="52"/>
      <c r="R66" s="39"/>
      <c r="S66" s="8"/>
      <c r="T66" s="9" t="s">
        <v>50</v>
      </c>
      <c r="U66" s="10" t="s">
        <v>47</v>
      </c>
      <c r="V66" t="s">
        <v>47</v>
      </c>
      <c r="W66" s="35">
        <v>0.6</v>
      </c>
    </row>
    <row r="67" spans="2:26" ht="14.25" customHeight="1" x14ac:dyDescent="0.45">
      <c r="C67" s="147"/>
      <c r="D67" t="s">
        <v>671</v>
      </c>
      <c r="E67" t="s">
        <v>673</v>
      </c>
      <c r="F67">
        <f>F48/0.82</f>
        <v>15657.51418794884</v>
      </c>
      <c r="G67" s="84" t="s">
        <v>672</v>
      </c>
      <c r="R67" s="39"/>
      <c r="S67" s="8"/>
      <c r="T67" s="9" t="s">
        <v>570</v>
      </c>
      <c r="U67" s="10" t="s">
        <v>569</v>
      </c>
      <c r="V67">
        <v>1310</v>
      </c>
      <c r="W67" s="35">
        <v>1940</v>
      </c>
    </row>
    <row r="68" spans="2:26" ht="42.75" x14ac:dyDescent="0.45">
      <c r="C68" s="147"/>
      <c r="D68" t="s">
        <v>179</v>
      </c>
      <c r="E68" t="s">
        <v>673</v>
      </c>
      <c r="F68">
        <f>F67/(F60/100)</f>
        <v>24709.385883138624</v>
      </c>
      <c r="G68" s="84" t="s">
        <v>675</v>
      </c>
      <c r="R68" s="38"/>
      <c r="S68" s="3" t="s">
        <v>36</v>
      </c>
      <c r="T68" t="s">
        <v>126</v>
      </c>
      <c r="U68" s="2" t="s">
        <v>127</v>
      </c>
      <c r="V68">
        <f>((120/(V72/10)/100)*F39)</f>
        <v>16.156129980116656</v>
      </c>
      <c r="W68">
        <f>((120/(W72/10)/100)*F39)</f>
        <v>6.389429935639356</v>
      </c>
    </row>
    <row r="69" spans="2:26" ht="42.75" x14ac:dyDescent="0.45">
      <c r="C69" s="147"/>
      <c r="D69" t="s">
        <v>674</v>
      </c>
      <c r="E69" t="s">
        <v>123</v>
      </c>
      <c r="F69" s="6">
        <f>F68/F47</f>
        <v>11.971917197700888</v>
      </c>
      <c r="G69" s="52" t="s">
        <v>675</v>
      </c>
      <c r="R69" s="38"/>
      <c r="S69" s="3"/>
      <c r="T69" t="s">
        <v>37</v>
      </c>
      <c r="U69" s="1" t="s">
        <v>47</v>
      </c>
      <c r="V69">
        <v>-0.05</v>
      </c>
      <c r="W69" s="35">
        <v>4.3</v>
      </c>
    </row>
    <row r="70" spans="2:26" ht="14.25" customHeight="1" x14ac:dyDescent="0.45">
      <c r="C70" s="147" t="s">
        <v>679</v>
      </c>
      <c r="D70" t="s">
        <v>680</v>
      </c>
      <c r="E70" t="s">
        <v>681</v>
      </c>
      <c r="F70">
        <f>0.438</f>
        <v>0.438</v>
      </c>
      <c r="G70" s="52"/>
      <c r="R70" s="38"/>
      <c r="S70" s="3"/>
      <c r="T70" t="s">
        <v>122</v>
      </c>
      <c r="U70" s="2" t="s">
        <v>123</v>
      </c>
      <c r="V70">
        <v>13.2</v>
      </c>
      <c r="W70" s="35">
        <v>9.3000000000000007</v>
      </c>
    </row>
    <row r="71" spans="2:26" x14ac:dyDescent="0.45">
      <c r="C71" s="147"/>
      <c r="D71" t="s">
        <v>683</v>
      </c>
      <c r="E71" t="s">
        <v>682</v>
      </c>
      <c r="F71">
        <f>(F70/365)*1000</f>
        <v>1.2</v>
      </c>
      <c r="G71" s="52"/>
      <c r="R71" s="36"/>
      <c r="T71" t="s">
        <v>120</v>
      </c>
      <c r="U71" s="2" t="s">
        <v>48</v>
      </c>
      <c r="V71">
        <v>119</v>
      </c>
      <c r="W71" s="35">
        <v>87</v>
      </c>
    </row>
    <row r="72" spans="2:26" ht="14.65" thickBot="1" x14ac:dyDescent="0.5">
      <c r="C72" s="147"/>
      <c r="G72" s="52"/>
      <c r="R72" s="40"/>
      <c r="S72" s="41"/>
      <c r="T72" s="41" t="s">
        <v>121</v>
      </c>
      <c r="U72" s="42" t="s">
        <v>48</v>
      </c>
      <c r="V72" s="41">
        <v>210</v>
      </c>
      <c r="W72" s="43">
        <v>531</v>
      </c>
    </row>
    <row r="73" spans="2:26" x14ac:dyDescent="0.45">
      <c r="C73" s="161" t="s">
        <v>738</v>
      </c>
      <c r="D73" t="s">
        <v>739</v>
      </c>
      <c r="E73" t="s">
        <v>67</v>
      </c>
      <c r="F73">
        <f>'Financial data Palopuro Baselin'!D36</f>
        <v>0.68181818181818177</v>
      </c>
      <c r="G73" s="52"/>
    </row>
    <row r="74" spans="2:26" ht="14.65" thickBot="1" x14ac:dyDescent="0.5">
      <c r="C74" s="161"/>
      <c r="D74" t="s">
        <v>740</v>
      </c>
      <c r="E74" t="s">
        <v>67</v>
      </c>
      <c r="F74">
        <f>'Financial data Palopuro Baselin'!D37</f>
        <v>0.31818181818181818</v>
      </c>
      <c r="G74" s="52"/>
    </row>
    <row r="75" spans="2:26" x14ac:dyDescent="0.45">
      <c r="C75" s="161"/>
      <c r="D75" t="s">
        <v>741</v>
      </c>
      <c r="E75" t="s">
        <v>781</v>
      </c>
      <c r="F75">
        <f>F77*F126</f>
        <v>784.94678679371623</v>
      </c>
      <c r="G75" s="52"/>
      <c r="R75" s="89"/>
      <c r="S75" s="90" t="s">
        <v>841</v>
      </c>
      <c r="T75" s="91"/>
      <c r="U75" s="91"/>
      <c r="V75" s="91"/>
      <c r="W75" s="91"/>
      <c r="X75" s="91"/>
      <c r="Y75" s="91"/>
      <c r="Z75" s="92"/>
    </row>
    <row r="76" spans="2:26" ht="57" x14ac:dyDescent="0.45">
      <c r="C76" s="161"/>
      <c r="D76" t="s">
        <v>741</v>
      </c>
      <c r="E76" t="s">
        <v>782</v>
      </c>
      <c r="F76">
        <f>F75/60</f>
        <v>13.082446446561937</v>
      </c>
      <c r="G76" s="52"/>
      <c r="R76" s="36" t="s">
        <v>847</v>
      </c>
      <c r="S76" s="12" t="s">
        <v>848</v>
      </c>
      <c r="T76" t="s">
        <v>853</v>
      </c>
      <c r="U76" s="12" t="s">
        <v>854</v>
      </c>
      <c r="V76" s="12" t="s">
        <v>842</v>
      </c>
      <c r="W76" s="12" t="s">
        <v>843</v>
      </c>
      <c r="X76" s="12" t="s">
        <v>844</v>
      </c>
      <c r="Y76" s="12" t="s">
        <v>845</v>
      </c>
      <c r="Z76" s="52" t="s">
        <v>856</v>
      </c>
    </row>
    <row r="77" spans="2:26" ht="100.15" thickBot="1" x14ac:dyDescent="0.5">
      <c r="C77" s="161"/>
      <c r="D77" t="s">
        <v>744</v>
      </c>
      <c r="E77" t="s">
        <v>776</v>
      </c>
      <c r="F77">
        <v>5.17</v>
      </c>
      <c r="G77" s="84" t="s">
        <v>747</v>
      </c>
      <c r="R77" s="40" t="s">
        <v>926</v>
      </c>
      <c r="S77" s="83" t="s">
        <v>891</v>
      </c>
      <c r="T77" s="41">
        <v>100</v>
      </c>
      <c r="U77" s="41">
        <v>2277.5</v>
      </c>
      <c r="V77" s="41">
        <v>354</v>
      </c>
      <c r="W77" s="41">
        <v>73.5</v>
      </c>
      <c r="X77" s="41">
        <v>17.3</v>
      </c>
      <c r="Y77" s="41">
        <v>12.5</v>
      </c>
      <c r="Z77" s="43">
        <v>2.2999999999999998</v>
      </c>
    </row>
    <row r="78" spans="2:26" ht="100.15" thickBot="1" x14ac:dyDescent="0.5">
      <c r="C78" s="161"/>
      <c r="D78" t="s">
        <v>745</v>
      </c>
      <c r="E78" t="s">
        <v>782</v>
      </c>
      <c r="F78">
        <f>F76*F74</f>
        <v>4.1625965966333434</v>
      </c>
      <c r="G78" s="52" t="s">
        <v>747</v>
      </c>
    </row>
    <row r="79" spans="2:26" ht="14.25" customHeight="1" thickBot="1" x14ac:dyDescent="0.5">
      <c r="C79" s="162"/>
      <c r="D79" s="41" t="s">
        <v>746</v>
      </c>
      <c r="E79" s="41" t="s">
        <v>782</v>
      </c>
      <c r="F79" s="41">
        <f>F76*F73</f>
        <v>8.9198498499285925</v>
      </c>
      <c r="G79" s="85"/>
      <c r="R79" s="169" t="s">
        <v>704</v>
      </c>
      <c r="S79" s="49" t="s">
        <v>892</v>
      </c>
      <c r="T79" s="44" t="s">
        <v>261</v>
      </c>
      <c r="U79" s="44">
        <f>(U80*1000)/V53</f>
        <v>55.92886937431394</v>
      </c>
      <c r="V79" s="50"/>
    </row>
    <row r="80" spans="2:26" ht="28.5" x14ac:dyDescent="0.45">
      <c r="B80" s="48"/>
      <c r="C80" t="s">
        <v>923</v>
      </c>
      <c r="F80" s="35"/>
      <c r="G80" s="12"/>
      <c r="R80" s="161"/>
      <c r="S80" s="12" t="s">
        <v>705</v>
      </c>
      <c r="T80" t="s">
        <v>681</v>
      </c>
      <c r="U80">
        <v>127.378</v>
      </c>
      <c r="V80" s="52"/>
    </row>
    <row r="81" spans="2:22" ht="57" x14ac:dyDescent="0.45">
      <c r="B81" s="147" t="s">
        <v>927</v>
      </c>
      <c r="C81" s="26" t="s">
        <v>748</v>
      </c>
      <c r="D81" t="s">
        <v>751</v>
      </c>
      <c r="E81" t="s">
        <v>799</v>
      </c>
      <c r="F81" s="35">
        <f>F19</f>
        <v>173.375</v>
      </c>
      <c r="R81" s="147" t="s">
        <v>725</v>
      </c>
      <c r="S81" s="12" t="s">
        <v>726</v>
      </c>
      <c r="T81" t="s">
        <v>727</v>
      </c>
      <c r="U81">
        <v>14.5</v>
      </c>
      <c r="V81" s="52" t="s">
        <v>728</v>
      </c>
    </row>
    <row r="82" spans="2:22" ht="57" x14ac:dyDescent="0.45">
      <c r="B82" s="147"/>
      <c r="C82" s="26"/>
      <c r="D82" t="s">
        <v>752</v>
      </c>
      <c r="E82" t="s">
        <v>775</v>
      </c>
      <c r="F82" s="35">
        <f>G138</f>
        <v>506.74698795180728</v>
      </c>
      <c r="R82" s="147"/>
      <c r="S82" s="12" t="s">
        <v>726</v>
      </c>
      <c r="T82" t="s">
        <v>733</v>
      </c>
      <c r="U82">
        <v>145</v>
      </c>
      <c r="V82" s="52" t="s">
        <v>728</v>
      </c>
    </row>
    <row r="83" spans="2:22" ht="57" x14ac:dyDescent="0.45">
      <c r="B83" s="147"/>
      <c r="C83" s="26"/>
      <c r="D83" t="s">
        <v>54</v>
      </c>
      <c r="E83" t="s">
        <v>782</v>
      </c>
      <c r="F83" s="35">
        <f>F79</f>
        <v>8.9198498499285925</v>
      </c>
      <c r="R83" s="147"/>
      <c r="S83" s="12" t="s">
        <v>729</v>
      </c>
      <c r="T83" t="s">
        <v>610</v>
      </c>
      <c r="U83" s="6">
        <v>73</v>
      </c>
      <c r="V83" s="52" t="s">
        <v>728</v>
      </c>
    </row>
    <row r="84" spans="2:22" ht="14.25" customHeight="1" x14ac:dyDescent="0.45">
      <c r="B84" s="147"/>
      <c r="C84" s="26"/>
      <c r="D84" t="s">
        <v>753</v>
      </c>
      <c r="E84" t="s">
        <v>782</v>
      </c>
      <c r="F84" s="35">
        <f>F78</f>
        <v>4.1625965966333434</v>
      </c>
      <c r="R84" s="147"/>
      <c r="S84" s="12" t="s">
        <v>730</v>
      </c>
      <c r="T84" t="s">
        <v>731</v>
      </c>
      <c r="U84">
        <v>1214</v>
      </c>
      <c r="V84" s="52" t="s">
        <v>732</v>
      </c>
    </row>
    <row r="85" spans="2:22" x14ac:dyDescent="0.45">
      <c r="B85" s="147"/>
      <c r="C85" s="26"/>
      <c r="D85" t="s">
        <v>754</v>
      </c>
      <c r="E85" t="s">
        <v>178</v>
      </c>
      <c r="F85" s="35" t="str">
        <f>Basline_manure_data!E66</f>
        <v>From Luke (manure+urine)</v>
      </c>
      <c r="G85" s="12"/>
      <c r="R85" s="147"/>
      <c r="S85" s="12" t="s">
        <v>894</v>
      </c>
      <c r="T85" t="s">
        <v>893</v>
      </c>
      <c r="U85" s="97">
        <f>U84*(500000/3680)</f>
        <v>164945.65217391305</v>
      </c>
      <c r="V85" s="52"/>
    </row>
    <row r="86" spans="2:22" x14ac:dyDescent="0.45">
      <c r="B86" s="147"/>
      <c r="C86" s="26"/>
      <c r="D86" t="s">
        <v>755</v>
      </c>
      <c r="E86" t="s">
        <v>178</v>
      </c>
      <c r="F86" s="35" t="str">
        <f>Basline_manure_data!E82</f>
        <v>Dependent on the amount of animals</v>
      </c>
      <c r="G86" s="12"/>
      <c r="R86" s="86"/>
      <c r="S86" s="12" t="s">
        <v>894</v>
      </c>
      <c r="T86" t="s">
        <v>610</v>
      </c>
      <c r="U86" s="97">
        <f>U85/1000</f>
        <v>164.94565217391306</v>
      </c>
      <c r="V86" s="52"/>
    </row>
    <row r="87" spans="2:22" ht="28.5" x14ac:dyDescent="0.45">
      <c r="B87" s="147"/>
      <c r="C87" s="26" t="s">
        <v>749</v>
      </c>
      <c r="D87" t="s">
        <v>889</v>
      </c>
      <c r="E87" t="s">
        <v>950</v>
      </c>
      <c r="F87" s="35">
        <f>F39*0.7</f>
        <v>197.91259225642904</v>
      </c>
      <c r="G87" s="12"/>
      <c r="R87" s="161" t="s">
        <v>724</v>
      </c>
      <c r="S87" s="12" t="s">
        <v>712</v>
      </c>
      <c r="T87" t="s">
        <v>168</v>
      </c>
      <c r="U87">
        <v>217391</v>
      </c>
      <c r="V87" s="52"/>
    </row>
    <row r="88" spans="2:22" ht="28.5" x14ac:dyDescent="0.45">
      <c r="B88" s="147"/>
      <c r="C88" s="26"/>
      <c r="D88" t="s">
        <v>756</v>
      </c>
      <c r="E88" t="s">
        <v>62</v>
      </c>
      <c r="F88" s="35">
        <f>F39</f>
        <v>282.7322746520415</v>
      </c>
      <c r="G88" s="12"/>
      <c r="R88" s="161"/>
      <c r="S88" s="12" t="s">
        <v>713</v>
      </c>
      <c r="T88" t="s">
        <v>168</v>
      </c>
      <c r="U88">
        <v>151625</v>
      </c>
      <c r="V88" s="52"/>
    </row>
    <row r="89" spans="2:22" x14ac:dyDescent="0.45">
      <c r="B89" s="147"/>
      <c r="C89" s="26"/>
      <c r="D89" t="s">
        <v>757</v>
      </c>
      <c r="E89" t="s">
        <v>67</v>
      </c>
      <c r="F89" s="35">
        <f>F127</f>
        <v>53.7</v>
      </c>
      <c r="G89" s="12"/>
      <c r="R89" s="161" t="s">
        <v>714</v>
      </c>
      <c r="S89" s="12" t="s">
        <v>715</v>
      </c>
      <c r="T89" t="s">
        <v>67</v>
      </c>
      <c r="U89">
        <v>22</v>
      </c>
      <c r="V89" s="52"/>
    </row>
    <row r="90" spans="2:22" x14ac:dyDescent="0.45">
      <c r="B90" s="147"/>
      <c r="C90" s="26"/>
      <c r="D90" t="s">
        <v>758</v>
      </c>
      <c r="E90" t="s">
        <v>766</v>
      </c>
      <c r="F90" s="35">
        <f>F117</f>
        <v>384.60666666666663</v>
      </c>
      <c r="G90" s="12"/>
      <c r="R90" s="161"/>
      <c r="S90" s="12" t="s">
        <v>716</v>
      </c>
      <c r="T90" t="s">
        <v>67</v>
      </c>
      <c r="U90">
        <v>17</v>
      </c>
      <c r="V90" s="52"/>
    </row>
    <row r="91" spans="2:22" x14ac:dyDescent="0.45">
      <c r="B91" s="147"/>
      <c r="C91" s="26" t="s">
        <v>750</v>
      </c>
      <c r="D91" t="s">
        <v>759</v>
      </c>
      <c r="E91" t="s">
        <v>591</v>
      </c>
      <c r="F91" s="35">
        <f>F71*365</f>
        <v>438</v>
      </c>
      <c r="G91" s="12"/>
      <c r="R91" s="161"/>
      <c r="S91" s="12" t="s">
        <v>717</v>
      </c>
      <c r="T91" t="s">
        <v>67</v>
      </c>
      <c r="U91">
        <v>83</v>
      </c>
      <c r="V91" s="52"/>
    </row>
    <row r="92" spans="2:22" ht="30.75" customHeight="1" x14ac:dyDescent="0.45">
      <c r="B92" s="147"/>
      <c r="C92" s="26"/>
      <c r="D92" t="s">
        <v>760</v>
      </c>
      <c r="E92" t="s">
        <v>798</v>
      </c>
      <c r="F92" s="35">
        <v>7000</v>
      </c>
      <c r="G92" s="12"/>
      <c r="R92" s="161"/>
      <c r="S92" s="12" t="s">
        <v>718</v>
      </c>
      <c r="T92" t="s">
        <v>67</v>
      </c>
      <c r="U92">
        <v>91.8</v>
      </c>
      <c r="V92" s="52"/>
    </row>
    <row r="93" spans="2:22" x14ac:dyDescent="0.45">
      <c r="B93" s="147"/>
      <c r="C93" s="26"/>
      <c r="D93" t="s">
        <v>761</v>
      </c>
      <c r="E93" t="s">
        <v>47</v>
      </c>
      <c r="F93" s="35" t="s">
        <v>47</v>
      </c>
      <c r="G93" s="12"/>
      <c r="R93" s="161"/>
      <c r="S93" s="12" t="s">
        <v>720</v>
      </c>
      <c r="T93" t="s">
        <v>719</v>
      </c>
      <c r="U93">
        <v>530</v>
      </c>
      <c r="V93" s="52"/>
    </row>
    <row r="94" spans="2:22" x14ac:dyDescent="0.45">
      <c r="B94" s="147"/>
      <c r="C94" s="26"/>
      <c r="D94" t="s">
        <v>762</v>
      </c>
      <c r="E94" t="s">
        <v>47</v>
      </c>
      <c r="F94" s="35" t="s">
        <v>47</v>
      </c>
      <c r="G94" s="12"/>
      <c r="R94" s="161"/>
      <c r="S94" s="12" t="s">
        <v>721</v>
      </c>
      <c r="T94" t="s">
        <v>719</v>
      </c>
      <c r="U94">
        <v>660</v>
      </c>
      <c r="V94" s="52"/>
    </row>
    <row r="95" spans="2:22" x14ac:dyDescent="0.45">
      <c r="B95" s="147"/>
      <c r="C95" s="26"/>
      <c r="D95" t="s">
        <v>763</v>
      </c>
      <c r="E95" t="s">
        <v>797</v>
      </c>
      <c r="F95" s="35">
        <v>0</v>
      </c>
      <c r="G95" s="12"/>
      <c r="R95" s="161"/>
      <c r="S95" s="12" t="s">
        <v>722</v>
      </c>
      <c r="T95" t="s">
        <v>67</v>
      </c>
      <c r="U95">
        <v>60</v>
      </c>
      <c r="V95" s="52"/>
    </row>
    <row r="96" spans="2:22" x14ac:dyDescent="0.45">
      <c r="B96" s="147"/>
      <c r="C96" s="26"/>
      <c r="D96" t="s">
        <v>764</v>
      </c>
      <c r="E96" t="s">
        <v>797</v>
      </c>
      <c r="F96" s="35">
        <v>0</v>
      </c>
      <c r="G96" s="12"/>
      <c r="R96" s="161"/>
      <c r="S96" s="12" t="s">
        <v>723</v>
      </c>
      <c r="T96" t="s">
        <v>67</v>
      </c>
      <c r="U96">
        <v>61</v>
      </c>
      <c r="V96" s="52"/>
    </row>
    <row r="97" spans="2:22" ht="28.9" thickBot="1" x14ac:dyDescent="0.5">
      <c r="B97" s="148"/>
      <c r="C97" s="93"/>
      <c r="D97" s="41" t="s">
        <v>796</v>
      </c>
      <c r="E97" s="41" t="s">
        <v>62</v>
      </c>
      <c r="F97" s="43">
        <f>F39^0.75</f>
        <v>68.949566560701001</v>
      </c>
      <c r="G97" s="12"/>
      <c r="R97" s="161" t="s">
        <v>738</v>
      </c>
      <c r="S97" s="12" t="s">
        <v>739</v>
      </c>
      <c r="T97" t="s">
        <v>67</v>
      </c>
      <c r="U97">
        <f>'Financial data Palopuro Baselin'!D36</f>
        <v>0.68181818181818177</v>
      </c>
      <c r="V97" s="52"/>
    </row>
    <row r="98" spans="2:22" ht="28.9" thickBot="1" x14ac:dyDescent="0.5">
      <c r="C98" s="26"/>
      <c r="G98" s="12"/>
      <c r="R98" s="161"/>
      <c r="S98" s="12" t="s">
        <v>740</v>
      </c>
      <c r="T98" t="s">
        <v>67</v>
      </c>
      <c r="U98">
        <f>'Financial data Palopuro Baselin'!D37</f>
        <v>0.31818181818181818</v>
      </c>
      <c r="V98" s="52"/>
    </row>
    <row r="99" spans="2:22" ht="28.5" x14ac:dyDescent="0.45">
      <c r="B99" s="170" t="s">
        <v>928</v>
      </c>
      <c r="C99" s="166" t="s">
        <v>929</v>
      </c>
      <c r="D99" s="44" t="s">
        <v>31</v>
      </c>
      <c r="E99" s="44" t="s">
        <v>942</v>
      </c>
      <c r="F99" s="44">
        <f>F90/100</f>
        <v>3.8460666666666663</v>
      </c>
      <c r="G99" s="50"/>
      <c r="R99" s="161"/>
      <c r="S99" s="12" t="s">
        <v>741</v>
      </c>
      <c r="T99" t="s">
        <v>781</v>
      </c>
      <c r="U99">
        <f>U101*F126</f>
        <v>784.94678679371623</v>
      </c>
      <c r="V99" s="52"/>
    </row>
    <row r="100" spans="2:22" ht="22.5" customHeight="1" x14ac:dyDescent="0.45">
      <c r="B100" s="147"/>
      <c r="C100" s="140"/>
      <c r="D100" t="s">
        <v>929</v>
      </c>
      <c r="E100" t="s">
        <v>631</v>
      </c>
      <c r="F100">
        <f>F45</f>
        <v>0.65803098360598655</v>
      </c>
      <c r="G100" s="52"/>
      <c r="R100" s="161"/>
      <c r="S100" s="12" t="s">
        <v>741</v>
      </c>
      <c r="T100" t="s">
        <v>782</v>
      </c>
      <c r="U100">
        <f>U99/60</f>
        <v>13.082446446561937</v>
      </c>
      <c r="V100" s="52"/>
    </row>
    <row r="101" spans="2:22" ht="31.5" customHeight="1" x14ac:dyDescent="0.45">
      <c r="B101" s="147"/>
      <c r="C101" s="140"/>
      <c r="D101" t="s">
        <v>930</v>
      </c>
      <c r="E101" t="s">
        <v>943</v>
      </c>
      <c r="F101">
        <f>F89/100</f>
        <v>0.53700000000000003</v>
      </c>
      <c r="G101" s="52"/>
      <c r="R101" s="161"/>
      <c r="S101" s="12" t="s">
        <v>744</v>
      </c>
      <c r="T101" t="s">
        <v>776</v>
      </c>
      <c r="U101">
        <v>5.17</v>
      </c>
      <c r="V101" s="52" t="s">
        <v>747</v>
      </c>
    </row>
    <row r="102" spans="2:22" ht="185.25" x14ac:dyDescent="0.45">
      <c r="B102" s="147"/>
      <c r="C102" s="140"/>
      <c r="D102" t="s">
        <v>32</v>
      </c>
      <c r="E102" t="s">
        <v>45</v>
      </c>
      <c r="F102">
        <v>30.9</v>
      </c>
      <c r="G102" s="52" t="s">
        <v>944</v>
      </c>
      <c r="R102" s="161"/>
      <c r="S102" s="12" t="s">
        <v>745</v>
      </c>
      <c r="T102" t="s">
        <v>782</v>
      </c>
      <c r="U102">
        <f>U100*U98</f>
        <v>4.1625965966333434</v>
      </c>
      <c r="V102" s="52" t="s">
        <v>747</v>
      </c>
    </row>
    <row r="103" spans="2:22" ht="28.9" thickBot="1" x14ac:dyDescent="0.5">
      <c r="B103" s="147"/>
      <c r="C103" s="140"/>
      <c r="D103" t="s">
        <v>33</v>
      </c>
      <c r="E103" t="s">
        <v>45</v>
      </c>
      <c r="F103">
        <v>1.1000000000000001</v>
      </c>
      <c r="G103" s="52" t="s">
        <v>944</v>
      </c>
      <c r="R103" s="162"/>
      <c r="S103" s="83" t="s">
        <v>746</v>
      </c>
      <c r="T103" s="41" t="s">
        <v>782</v>
      </c>
      <c r="U103" s="41">
        <f>U100*U97</f>
        <v>8.9198498499285925</v>
      </c>
      <c r="V103" s="85"/>
    </row>
    <row r="104" spans="2:22" ht="28.9" thickBot="1" x14ac:dyDescent="0.5">
      <c r="B104" s="147"/>
      <c r="C104" s="140"/>
      <c r="D104" t="s">
        <v>64</v>
      </c>
      <c r="E104" t="s">
        <v>45</v>
      </c>
      <c r="F104">
        <f>F110/6.25</f>
        <v>3.3680000000000003</v>
      </c>
      <c r="G104" s="52" t="s">
        <v>944</v>
      </c>
    </row>
    <row r="105" spans="2:22" x14ac:dyDescent="0.45">
      <c r="B105" s="147"/>
      <c r="C105" s="140"/>
      <c r="D105" t="s">
        <v>65</v>
      </c>
      <c r="E105" t="s">
        <v>45</v>
      </c>
      <c r="F105" t="s">
        <v>47</v>
      </c>
      <c r="G105" s="52"/>
      <c r="R105" s="48" t="s">
        <v>437</v>
      </c>
      <c r="S105" s="44" t="s">
        <v>107</v>
      </c>
      <c r="T105" s="98" t="s">
        <v>922</v>
      </c>
    </row>
    <row r="106" spans="2:22" ht="15" customHeight="1" x14ac:dyDescent="0.45">
      <c r="B106" s="147"/>
      <c r="C106" s="140"/>
      <c r="D106" t="s">
        <v>66</v>
      </c>
      <c r="E106" t="s">
        <v>45</v>
      </c>
      <c r="F106" t="s">
        <v>47</v>
      </c>
      <c r="G106" s="52"/>
      <c r="R106" s="36" t="s">
        <v>438</v>
      </c>
      <c r="S106" t="s">
        <v>487</v>
      </c>
      <c r="T106" s="99">
        <v>25</v>
      </c>
    </row>
    <row r="107" spans="2:22" ht="14.25" customHeight="1" x14ac:dyDescent="0.45">
      <c r="B107" s="147"/>
      <c r="C107" s="140" t="s">
        <v>931</v>
      </c>
      <c r="D107" t="s">
        <v>932</v>
      </c>
      <c r="E107" t="s">
        <v>941</v>
      </c>
      <c r="F107">
        <v>162</v>
      </c>
      <c r="G107" s="52" t="s">
        <v>944</v>
      </c>
      <c r="R107" s="36" t="s">
        <v>440</v>
      </c>
      <c r="S107" t="s">
        <v>439</v>
      </c>
      <c r="T107" s="99">
        <v>15.869918699186991</v>
      </c>
    </row>
    <row r="108" spans="2:22" ht="15.75" customHeight="1" x14ac:dyDescent="0.45">
      <c r="B108" s="147"/>
      <c r="C108" s="140"/>
      <c r="D108" t="s">
        <v>933</v>
      </c>
      <c r="E108" t="s">
        <v>45</v>
      </c>
      <c r="F108">
        <v>0</v>
      </c>
      <c r="G108" s="52" t="s">
        <v>945</v>
      </c>
      <c r="R108" s="36" t="s">
        <v>441</v>
      </c>
      <c r="S108" t="s">
        <v>439</v>
      </c>
      <c r="T108" s="99">
        <v>48.878048780487802</v>
      </c>
    </row>
    <row r="109" spans="2:22" ht="12" customHeight="1" x14ac:dyDescent="0.45">
      <c r="B109" s="147"/>
      <c r="C109" s="140"/>
      <c r="D109" t="s">
        <v>934</v>
      </c>
      <c r="E109" t="s">
        <v>45</v>
      </c>
      <c r="F109">
        <v>0</v>
      </c>
      <c r="G109" s="52" t="s">
        <v>945</v>
      </c>
      <c r="R109" s="36" t="s">
        <v>442</v>
      </c>
      <c r="S109" t="s">
        <v>439</v>
      </c>
      <c r="T109" s="99">
        <v>32.390243902439025</v>
      </c>
    </row>
    <row r="110" spans="2:22" ht="15.75" customHeight="1" x14ac:dyDescent="0.45">
      <c r="B110" s="147"/>
      <c r="C110" s="140"/>
      <c r="D110" t="s">
        <v>38</v>
      </c>
      <c r="E110" t="s">
        <v>45</v>
      </c>
      <c r="F110">
        <v>21.05</v>
      </c>
      <c r="G110" s="52" t="s">
        <v>944</v>
      </c>
      <c r="R110" s="36" t="s">
        <v>443</v>
      </c>
      <c r="S110" t="s">
        <v>439</v>
      </c>
      <c r="T110" s="99">
        <v>50.487804878048777</v>
      </c>
    </row>
    <row r="111" spans="2:22" ht="42.75" x14ac:dyDescent="0.45">
      <c r="B111" s="147"/>
      <c r="C111" s="140"/>
      <c r="D111" t="s">
        <v>935</v>
      </c>
      <c r="E111" t="s">
        <v>45</v>
      </c>
      <c r="F111">
        <v>9.4</v>
      </c>
      <c r="G111" s="52" t="s">
        <v>945</v>
      </c>
      <c r="R111" s="36" t="s">
        <v>445</v>
      </c>
      <c r="S111" t="s">
        <v>439</v>
      </c>
      <c r="T111" s="99">
        <v>66.260162601626021</v>
      </c>
    </row>
    <row r="112" spans="2:22" x14ac:dyDescent="0.45">
      <c r="B112" s="147"/>
      <c r="C112" s="140" t="s">
        <v>750</v>
      </c>
      <c r="D112" t="s">
        <v>936</v>
      </c>
      <c r="E112" t="s">
        <v>940</v>
      </c>
      <c r="F112" t="s">
        <v>47</v>
      </c>
      <c r="G112" s="52"/>
      <c r="R112" s="36" t="s">
        <v>446</v>
      </c>
      <c r="S112" t="s">
        <v>439</v>
      </c>
      <c r="T112" s="99">
        <v>18.504065040650406</v>
      </c>
    </row>
    <row r="113" spans="2:20" x14ac:dyDescent="0.45">
      <c r="B113" s="147"/>
      <c r="C113" s="140"/>
      <c r="D113" t="s">
        <v>937</v>
      </c>
      <c r="E113" t="s">
        <v>48</v>
      </c>
      <c r="F113" t="s">
        <v>47</v>
      </c>
      <c r="G113" s="52"/>
      <c r="R113" s="36" t="s">
        <v>448</v>
      </c>
      <c r="S113" t="s">
        <v>439</v>
      </c>
      <c r="T113" s="99">
        <v>0</v>
      </c>
    </row>
    <row r="114" spans="2:20" x14ac:dyDescent="0.45">
      <c r="B114" s="147"/>
      <c r="C114" s="140"/>
      <c r="D114" t="s">
        <v>938</v>
      </c>
      <c r="E114" t="s">
        <v>946</v>
      </c>
      <c r="F114">
        <f>(F41)/F45</f>
        <v>53.456123154249511</v>
      </c>
      <c r="G114" s="52"/>
      <c r="R114" s="36" t="s">
        <v>449</v>
      </c>
      <c r="S114" t="s">
        <v>439</v>
      </c>
      <c r="T114" s="99">
        <v>0</v>
      </c>
    </row>
    <row r="115" spans="2:20" ht="12.4" customHeight="1" thickBot="1" x14ac:dyDescent="0.5">
      <c r="B115" s="148"/>
      <c r="C115" s="151"/>
      <c r="D115" s="41" t="s">
        <v>939</v>
      </c>
      <c r="E115" s="41" t="s">
        <v>947</v>
      </c>
      <c r="F115" s="41">
        <f>(F50*F46)/F45</f>
        <v>1288.9922284632189</v>
      </c>
      <c r="G115" s="85"/>
      <c r="R115" s="36" t="s">
        <v>450</v>
      </c>
      <c r="S115" t="s">
        <v>439</v>
      </c>
      <c r="T115" s="99">
        <v>0</v>
      </c>
    </row>
    <row r="116" spans="2:20" ht="10.5" customHeight="1" thickBot="1" x14ac:dyDescent="0.5">
      <c r="C116" s="26"/>
      <c r="G116" s="12"/>
      <c r="R116" s="36" t="s">
        <v>451</v>
      </c>
      <c r="S116" t="s">
        <v>439</v>
      </c>
      <c r="T116" s="99">
        <v>0</v>
      </c>
    </row>
    <row r="117" spans="2:20" ht="28.5" x14ac:dyDescent="0.45">
      <c r="C117" s="169" t="s">
        <v>742</v>
      </c>
      <c r="D117" s="44" t="s">
        <v>743</v>
      </c>
      <c r="E117" s="44" t="s">
        <v>766</v>
      </c>
      <c r="F117" s="44">
        <f>AVERAGE(354.76,360.24,438.82)</f>
        <v>384.60666666666663</v>
      </c>
      <c r="G117" s="50" t="s">
        <v>767</v>
      </c>
      <c r="R117" s="36" t="s">
        <v>452</v>
      </c>
      <c r="S117" t="s">
        <v>453</v>
      </c>
      <c r="T117" s="99">
        <v>4.1300813008130079</v>
      </c>
    </row>
    <row r="118" spans="2:20" x14ac:dyDescent="0.45">
      <c r="C118" s="161"/>
      <c r="D118" t="s">
        <v>765</v>
      </c>
      <c r="E118" t="s">
        <v>768</v>
      </c>
      <c r="F118">
        <v>530</v>
      </c>
      <c r="G118" s="52"/>
      <c r="R118" s="36" t="s">
        <v>454</v>
      </c>
      <c r="S118" t="s">
        <v>108</v>
      </c>
      <c r="T118" s="99">
        <v>1</v>
      </c>
    </row>
    <row r="119" spans="2:20" x14ac:dyDescent="0.45">
      <c r="C119" s="161"/>
      <c r="D119" t="s">
        <v>769</v>
      </c>
      <c r="E119" t="s">
        <v>12</v>
      </c>
      <c r="F119">
        <v>0.6</v>
      </c>
      <c r="G119" s="52"/>
      <c r="R119" s="36" t="s">
        <v>455</v>
      </c>
      <c r="S119" t="s">
        <v>41</v>
      </c>
      <c r="T119" s="99">
        <v>4.1300813008130079</v>
      </c>
    </row>
    <row r="120" spans="2:20" ht="17.25" customHeight="1" x14ac:dyDescent="0.45">
      <c r="C120" s="161"/>
      <c r="D120" t="s">
        <v>770</v>
      </c>
      <c r="E120" t="s">
        <v>771</v>
      </c>
      <c r="F120">
        <f>F118*F119</f>
        <v>318</v>
      </c>
      <c r="G120" s="52"/>
      <c r="R120" s="36" t="s">
        <v>707</v>
      </c>
      <c r="S120" t="s">
        <v>41</v>
      </c>
      <c r="T120" s="99">
        <v>2.815964523281596</v>
      </c>
    </row>
    <row r="121" spans="2:20" ht="15" customHeight="1" x14ac:dyDescent="0.45">
      <c r="C121" s="161" t="s">
        <v>774</v>
      </c>
      <c r="D121" t="s">
        <v>783</v>
      </c>
      <c r="E121" t="s">
        <v>771</v>
      </c>
      <c r="F121">
        <v>744</v>
      </c>
      <c r="G121" s="52" t="s">
        <v>773</v>
      </c>
      <c r="R121" s="36" t="s">
        <v>708</v>
      </c>
      <c r="S121" t="s">
        <v>41</v>
      </c>
      <c r="T121" s="99">
        <v>1.3141167775314115</v>
      </c>
    </row>
    <row r="122" spans="2:20" ht="14.25" customHeight="1" x14ac:dyDescent="0.45">
      <c r="C122" s="161"/>
      <c r="D122" t="s">
        <v>795</v>
      </c>
      <c r="E122" t="s">
        <v>791</v>
      </c>
      <c r="F122">
        <v>8844</v>
      </c>
      <c r="G122" s="84" t="s">
        <v>784</v>
      </c>
      <c r="R122" s="36" t="s">
        <v>506</v>
      </c>
      <c r="S122" t="s">
        <v>41</v>
      </c>
      <c r="T122" s="99">
        <v>0.27</v>
      </c>
    </row>
    <row r="123" spans="2:20" ht="15" customHeight="1" x14ac:dyDescent="0.45">
      <c r="C123" s="161"/>
      <c r="D123" t="s">
        <v>792</v>
      </c>
      <c r="E123" t="s">
        <v>793</v>
      </c>
      <c r="F123">
        <v>526</v>
      </c>
      <c r="G123" s="84" t="s">
        <v>784</v>
      </c>
      <c r="R123" s="36" t="s">
        <v>514</v>
      </c>
      <c r="S123" t="s">
        <v>41</v>
      </c>
      <c r="T123" s="99">
        <v>0.4</v>
      </c>
    </row>
    <row r="124" spans="2:20" ht="42.75" x14ac:dyDescent="0.45">
      <c r="C124" s="161"/>
      <c r="D124" t="s">
        <v>794</v>
      </c>
      <c r="E124" t="s">
        <v>794</v>
      </c>
      <c r="F124">
        <v>17</v>
      </c>
      <c r="G124" s="84" t="s">
        <v>784</v>
      </c>
      <c r="R124" s="36" t="s">
        <v>458</v>
      </c>
      <c r="S124" t="s">
        <v>457</v>
      </c>
      <c r="T124" s="99">
        <v>282.14928390243904</v>
      </c>
    </row>
    <row r="125" spans="2:20" x14ac:dyDescent="0.45">
      <c r="C125" s="161"/>
      <c r="G125" s="52"/>
      <c r="R125" s="36" t="s">
        <v>489</v>
      </c>
      <c r="S125" t="s">
        <v>490</v>
      </c>
      <c r="T125" s="99">
        <v>68.315673070866154</v>
      </c>
    </row>
    <row r="126" spans="2:20" ht="14.65" thickBot="1" x14ac:dyDescent="0.5">
      <c r="C126" s="161" t="s">
        <v>952</v>
      </c>
      <c r="D126" t="s">
        <v>989</v>
      </c>
      <c r="E126" t="s">
        <v>62</v>
      </c>
      <c r="F126">
        <f>F39*(F127*0.01)</f>
        <v>151.82723148814628</v>
      </c>
      <c r="G126" s="52" t="s">
        <v>780</v>
      </c>
      <c r="R126" s="40" t="s">
        <v>811</v>
      </c>
      <c r="S126" s="41" t="s">
        <v>812</v>
      </c>
      <c r="T126" s="43">
        <v>19.840000000000003</v>
      </c>
    </row>
    <row r="127" spans="2:20" x14ac:dyDescent="0.45">
      <c r="C127" s="161"/>
      <c r="D127" t="s">
        <v>778</v>
      </c>
      <c r="E127" t="s">
        <v>67</v>
      </c>
      <c r="F127">
        <v>53.7</v>
      </c>
      <c r="G127" s="52" t="s">
        <v>779</v>
      </c>
    </row>
    <row r="128" spans="2:20" ht="28.5" x14ac:dyDescent="0.45">
      <c r="C128" s="161"/>
      <c r="D128" t="s">
        <v>785</v>
      </c>
      <c r="E128" t="s">
        <v>786</v>
      </c>
      <c r="F128">
        <v>387</v>
      </c>
      <c r="G128" s="52" t="s">
        <v>787</v>
      </c>
    </row>
    <row r="129" spans="3:8" x14ac:dyDescent="0.45">
      <c r="C129" s="161"/>
      <c r="D129" t="s">
        <v>788</v>
      </c>
      <c r="E129" t="s">
        <v>789</v>
      </c>
      <c r="F129">
        <v>7000</v>
      </c>
      <c r="G129" s="52" t="s">
        <v>790</v>
      </c>
    </row>
    <row r="130" spans="3:8" ht="57.4" thickBot="1" x14ac:dyDescent="0.5">
      <c r="C130" s="162"/>
      <c r="D130" s="41" t="s">
        <v>800</v>
      </c>
      <c r="E130" s="41" t="s">
        <v>801</v>
      </c>
      <c r="F130" s="41">
        <v>0.6</v>
      </c>
      <c r="G130" s="85" t="s">
        <v>802</v>
      </c>
    </row>
    <row r="131" spans="3:8" ht="51" customHeight="1" thickBot="1" x14ac:dyDescent="0.5">
      <c r="G131" s="12"/>
    </row>
    <row r="132" spans="3:8" ht="48" customHeight="1" x14ac:dyDescent="0.45">
      <c r="C132" s="48"/>
      <c r="D132" s="49"/>
      <c r="E132" s="44"/>
      <c r="F132" s="44" t="s">
        <v>775</v>
      </c>
      <c r="G132" s="49" t="s">
        <v>951</v>
      </c>
      <c r="H132" s="50"/>
    </row>
    <row r="133" spans="3:8" ht="39.75" customHeight="1" x14ac:dyDescent="0.45">
      <c r="C133" s="147"/>
      <c r="D133" s="12" t="s">
        <v>803</v>
      </c>
      <c r="F133">
        <v>5560</v>
      </c>
      <c r="G133">
        <f>F133/$F$137</f>
        <v>111.64658634538154</v>
      </c>
      <c r="H133" s="84" t="s">
        <v>809</v>
      </c>
    </row>
    <row r="134" spans="3:8" ht="42.75" customHeight="1" x14ac:dyDescent="0.45">
      <c r="C134" s="147"/>
      <c r="D134" s="12" t="s">
        <v>806</v>
      </c>
      <c r="F134">
        <v>11100</v>
      </c>
      <c r="G134">
        <f>F134/$F$137</f>
        <v>222.89156626506025</v>
      </c>
      <c r="H134" s="84" t="s">
        <v>809</v>
      </c>
    </row>
    <row r="135" spans="3:8" ht="46.5" customHeight="1" x14ac:dyDescent="0.45">
      <c r="C135" s="147"/>
      <c r="D135" s="12" t="s">
        <v>807</v>
      </c>
      <c r="F135">
        <v>15200</v>
      </c>
      <c r="G135">
        <f>F135/$F$137</f>
        <v>305.22088353413659</v>
      </c>
      <c r="H135" s="84" t="s">
        <v>809</v>
      </c>
    </row>
    <row r="136" spans="3:8" ht="42.75" x14ac:dyDescent="0.45">
      <c r="C136" s="147"/>
      <c r="D136" s="12" t="s">
        <v>808</v>
      </c>
      <c r="F136">
        <v>10200</v>
      </c>
      <c r="G136">
        <f>F136/$F$137</f>
        <v>204.81927710843374</v>
      </c>
      <c r="H136" s="84" t="s">
        <v>809</v>
      </c>
    </row>
    <row r="137" spans="3:8" x14ac:dyDescent="0.45">
      <c r="C137" s="86"/>
      <c r="D137" s="12" t="s">
        <v>949</v>
      </c>
      <c r="F137">
        <v>49.8</v>
      </c>
      <c r="G137" s="6">
        <f>SUM(G133:G136)</f>
        <v>844.5783132530122</v>
      </c>
      <c r="H137" s="52"/>
    </row>
    <row r="138" spans="3:8" ht="14.65" thickBot="1" x14ac:dyDescent="0.5">
      <c r="C138" s="47"/>
      <c r="D138" s="83"/>
      <c r="E138" s="41"/>
      <c r="F138" s="41"/>
      <c r="G138" s="95">
        <f>G137*F130</f>
        <v>506.74698795180728</v>
      </c>
      <c r="H138" s="85"/>
    </row>
    <row r="139" spans="3:8" ht="14.25" customHeight="1" thickBot="1" x14ac:dyDescent="0.5">
      <c r="G139" s="12"/>
    </row>
    <row r="140" spans="3:8" x14ac:dyDescent="0.45">
      <c r="C140" s="48"/>
      <c r="D140" s="44" t="s">
        <v>676</v>
      </c>
      <c r="E140" s="44"/>
      <c r="F140" s="44"/>
      <c r="G140" s="49"/>
      <c r="H140" s="45"/>
    </row>
    <row r="141" spans="3:8" ht="30" customHeight="1" x14ac:dyDescent="0.45">
      <c r="C141" s="36" t="s">
        <v>677</v>
      </c>
      <c r="D141" t="s">
        <v>678</v>
      </c>
      <c r="E141" t="s">
        <v>685</v>
      </c>
      <c r="F141" t="s">
        <v>686</v>
      </c>
      <c r="G141" s="12" t="s">
        <v>687</v>
      </c>
      <c r="H141" s="35" t="s">
        <v>180</v>
      </c>
    </row>
    <row r="142" spans="3:8" ht="33" customHeight="1" x14ac:dyDescent="0.45">
      <c r="C142" s="46" t="s">
        <v>684</v>
      </c>
      <c r="D142" t="s">
        <v>689</v>
      </c>
      <c r="E142" t="s">
        <v>688</v>
      </c>
      <c r="F142">
        <v>0</v>
      </c>
      <c r="G142" s="12">
        <f>((4.8*Baseline_crop_data!R11)+(0.5*Baseline_crop_data!V11))</f>
        <v>597.72299999999996</v>
      </c>
      <c r="H142" s="52" t="s">
        <v>692</v>
      </c>
    </row>
    <row r="143" spans="3:8" ht="57" x14ac:dyDescent="0.45">
      <c r="C143" s="46"/>
      <c r="D143" t="s">
        <v>690</v>
      </c>
      <c r="E143" t="s">
        <v>691</v>
      </c>
      <c r="F143">
        <v>50</v>
      </c>
      <c r="G143" s="12">
        <f>G142*6</f>
        <v>3586.3379999999997</v>
      </c>
      <c r="H143" s="84" t="s">
        <v>697</v>
      </c>
    </row>
    <row r="144" spans="3:8" ht="28.5" x14ac:dyDescent="0.45">
      <c r="C144" s="46" t="s">
        <v>693</v>
      </c>
      <c r="D144" t="s">
        <v>694</v>
      </c>
      <c r="E144" t="s">
        <v>197</v>
      </c>
      <c r="F144">
        <v>0</v>
      </c>
      <c r="G144" s="12" t="s">
        <v>696</v>
      </c>
      <c r="H144" s="35"/>
    </row>
    <row r="145" spans="3:14" ht="28.5" x14ac:dyDescent="0.45">
      <c r="C145" s="46"/>
      <c r="D145" t="s">
        <v>695</v>
      </c>
      <c r="E145" t="s">
        <v>197</v>
      </c>
      <c r="F145">
        <v>0</v>
      </c>
      <c r="G145" s="12" t="s">
        <v>696</v>
      </c>
      <c r="H145" s="35"/>
    </row>
    <row r="146" spans="3:14" ht="28.9" thickBot="1" x14ac:dyDescent="0.5">
      <c r="C146" s="47"/>
      <c r="D146" s="41" t="s">
        <v>711</v>
      </c>
      <c r="E146" s="41" t="s">
        <v>42</v>
      </c>
      <c r="F146" s="41">
        <v>0</v>
      </c>
      <c r="G146" s="83" t="s">
        <v>696</v>
      </c>
      <c r="H146" s="43"/>
    </row>
    <row r="147" spans="3:14" x14ac:dyDescent="0.45">
      <c r="G147" s="12"/>
    </row>
    <row r="148" spans="3:14" x14ac:dyDescent="0.45">
      <c r="G148" s="12"/>
    </row>
    <row r="149" spans="3:14" x14ac:dyDescent="0.45">
      <c r="G149" s="12"/>
    </row>
    <row r="150" spans="3:14" ht="14.65" thickBot="1" x14ac:dyDescent="0.5">
      <c r="G150" s="12"/>
    </row>
    <row r="151" spans="3:14" ht="57" x14ac:dyDescent="0.45">
      <c r="C151" s="48" t="s">
        <v>817</v>
      </c>
      <c r="D151" s="44"/>
      <c r="E151" s="44"/>
      <c r="F151" s="44"/>
      <c r="G151" s="44"/>
      <c r="H151" s="44"/>
      <c r="I151" s="44"/>
      <c r="J151" s="49" t="s">
        <v>826</v>
      </c>
      <c r="K151" s="44"/>
      <c r="L151" s="50" t="s">
        <v>1397</v>
      </c>
    </row>
    <row r="152" spans="3:14" ht="57" x14ac:dyDescent="0.45">
      <c r="C152" s="36" t="s">
        <v>818</v>
      </c>
      <c r="D152" t="s">
        <v>835</v>
      </c>
      <c r="E152" t="s">
        <v>836</v>
      </c>
      <c r="F152" s="12" t="s">
        <v>1399</v>
      </c>
      <c r="G152" s="12" t="s">
        <v>1242</v>
      </c>
      <c r="H152" s="12" t="s">
        <v>1243</v>
      </c>
      <c r="I152" s="12" t="s">
        <v>837</v>
      </c>
      <c r="J152" s="12" t="s">
        <v>100</v>
      </c>
      <c r="K152" t="s">
        <v>1400</v>
      </c>
      <c r="L152" s="35"/>
      <c r="M152" s="12" t="s">
        <v>1401</v>
      </c>
      <c r="N152" s="12" t="s">
        <v>1402</v>
      </c>
    </row>
    <row r="153" spans="3:14" x14ac:dyDescent="0.45">
      <c r="C153" s="46" t="s">
        <v>819</v>
      </c>
      <c r="D153" t="s">
        <v>101</v>
      </c>
      <c r="E153">
        <v>57.14</v>
      </c>
      <c r="F153">
        <v>27.013993948562781</v>
      </c>
      <c r="G153">
        <f>($E$168-56)*(F153/100)</f>
        <v>42.012163388804851</v>
      </c>
      <c r="H153">
        <f>(G153/$G$168)*100</f>
        <v>19.862028833587768</v>
      </c>
      <c r="I153">
        <f>(E153/$E$170)*100</f>
        <v>15.898720089037283</v>
      </c>
      <c r="J153" s="12">
        <v>0</v>
      </c>
      <c r="K153">
        <f>$E$170*0.2</f>
        <v>71.88000000000001</v>
      </c>
      <c r="L153" s="35">
        <f>$E$174*(H153/100)</f>
        <v>35.692065813957228</v>
      </c>
      <c r="M153">
        <f>($E$174-$G$156)*(H153/100)</f>
        <v>24.569329667148075</v>
      </c>
      <c r="N153">
        <f>(G153/($E$174-$L$156))*100</f>
        <v>33.962945342606986</v>
      </c>
    </row>
    <row r="154" spans="3:14" x14ac:dyDescent="0.45">
      <c r="C154" s="46"/>
      <c r="D154" t="s">
        <v>103</v>
      </c>
      <c r="E154">
        <v>15.13</v>
      </c>
      <c r="F154">
        <v>7.1529878971255663</v>
      </c>
      <c r="G154">
        <f>($E$168-56)*(F154/100)</f>
        <v>11.124326777609683</v>
      </c>
      <c r="H154">
        <f t="shared" ref="H154:H163" si="0">(G154/$G$168)*100</f>
        <v>5.2592316459954995</v>
      </c>
      <c r="I154">
        <f>(E154/$E$170)*100</f>
        <v>4.2097941012799112</v>
      </c>
      <c r="J154" s="12">
        <v>0</v>
      </c>
      <c r="K154">
        <f>$E$170*0.2</f>
        <v>71.88000000000001</v>
      </c>
      <c r="L154" s="35">
        <f t="shared" ref="L154:L165" si="1">$E$174*(H154/100)</f>
        <v>9.4508392678539135</v>
      </c>
      <c r="M154">
        <f t="shared" ref="M154:M155" si="2">($E$174-$G$156)*(H154/100)</f>
        <v>6.505669546096434</v>
      </c>
      <c r="N154">
        <f t="shared" ref="N154:N162" si="3">(G154/($E$174-$L$156))*100</f>
        <v>8.9929885025138887</v>
      </c>
    </row>
    <row r="155" spans="3:14" x14ac:dyDescent="0.45">
      <c r="C155" s="46"/>
      <c r="D155" t="s">
        <v>102</v>
      </c>
      <c r="E155">
        <v>15.79</v>
      </c>
      <c r="F155">
        <v>7.4650151285930386</v>
      </c>
      <c r="G155">
        <f>($E$168-56)*(F155/100)</f>
        <v>11.609591527987897</v>
      </c>
      <c r="H155">
        <f t="shared" si="0"/>
        <v>5.4886495499186339</v>
      </c>
      <c r="I155">
        <f>(E155/$E$170)*100</f>
        <v>4.393433500278241</v>
      </c>
      <c r="J155" s="12">
        <v>0</v>
      </c>
      <c r="K155">
        <f>$E$170*0.2</f>
        <v>71.88000000000001</v>
      </c>
      <c r="L155" s="35">
        <f t="shared" si="1"/>
        <v>9.8631032412037865</v>
      </c>
      <c r="M155">
        <f t="shared" si="2"/>
        <v>6.7894594932493506</v>
      </c>
      <c r="N155">
        <f t="shared" si="3"/>
        <v>9.3852801358026632</v>
      </c>
    </row>
    <row r="156" spans="3:14" x14ac:dyDescent="0.45">
      <c r="C156" s="46"/>
      <c r="D156" t="s">
        <v>986</v>
      </c>
      <c r="E156">
        <v>56</v>
      </c>
      <c r="G156">
        <v>56</v>
      </c>
      <c r="H156">
        <f t="shared" si="0"/>
        <v>26.475037821482601</v>
      </c>
      <c r="J156" s="12"/>
      <c r="L156" s="35">
        <v>56</v>
      </c>
      <c r="M156">
        <v>56</v>
      </c>
      <c r="N156">
        <v>56</v>
      </c>
    </row>
    <row r="157" spans="3:14" x14ac:dyDescent="0.45">
      <c r="C157" s="46"/>
      <c r="D157" t="s">
        <v>106</v>
      </c>
      <c r="E157">
        <v>49.43</v>
      </c>
      <c r="F157">
        <v>23.368948562783658</v>
      </c>
      <c r="G157">
        <f>($E$168-56)*(F157/100)</f>
        <v>36.343388804841155</v>
      </c>
      <c r="H157">
        <f t="shared" si="0"/>
        <v>17.182010592303872</v>
      </c>
      <c r="I157">
        <f t="shared" ref="I157:I169" si="4">(E157/$E$170)*100</f>
        <v>13.75347801892042</v>
      </c>
      <c r="J157" s="12">
        <v>0</v>
      </c>
      <c r="K157">
        <f t="shared" ref="K157:K163" si="5">$E$170*0.2</f>
        <v>71.88000000000001</v>
      </c>
      <c r="L157" s="35">
        <f t="shared" si="1"/>
        <v>30.876073034370062</v>
      </c>
      <c r="M157">
        <f>($E$174-$G$156)*(H157/100)</f>
        <v>21.254147102679894</v>
      </c>
      <c r="N157">
        <f t="shared" si="3"/>
        <v>29.38026580827902</v>
      </c>
    </row>
    <row r="158" spans="3:14" x14ac:dyDescent="0.45">
      <c r="C158" s="46"/>
      <c r="D158" t="s">
        <v>828</v>
      </c>
      <c r="E158">
        <f>E153+E154+E155+E157</f>
        <v>137.49</v>
      </c>
      <c r="G158">
        <f>SUM(G153:G157)</f>
        <v>157.08947049924359</v>
      </c>
      <c r="H158">
        <f t="shared" si="0"/>
        <v>74.26695844328836</v>
      </c>
      <c r="I158">
        <f t="shared" si="4"/>
        <v>38.255425709515862</v>
      </c>
      <c r="J158" s="12">
        <v>0</v>
      </c>
      <c r="K158">
        <f t="shared" si="5"/>
        <v>71.88000000000001</v>
      </c>
      <c r="L158" s="35">
        <f t="shared" si="1"/>
        <v>133.4577243225892</v>
      </c>
      <c r="M158">
        <f t="shared" ref="M158:M162" si="6">($E$174-$G$156)*(H158/100)</f>
        <v>91.868227594347715</v>
      </c>
      <c r="N158">
        <f>SUM(N153:N157)</f>
        <v>137.72147978920256</v>
      </c>
    </row>
    <row r="159" spans="3:14" x14ac:dyDescent="0.45">
      <c r="C159" s="87" t="s">
        <v>820</v>
      </c>
      <c r="D159" t="s">
        <v>104</v>
      </c>
      <c r="E159">
        <v>0</v>
      </c>
      <c r="F159">
        <v>0</v>
      </c>
      <c r="G159">
        <f>($E$168-56)*(F159/100)</f>
        <v>0</v>
      </c>
      <c r="H159">
        <f t="shared" si="0"/>
        <v>0</v>
      </c>
      <c r="I159">
        <f t="shared" si="4"/>
        <v>0</v>
      </c>
      <c r="J159" s="12">
        <v>0</v>
      </c>
      <c r="K159">
        <f t="shared" si="5"/>
        <v>71.88000000000001</v>
      </c>
      <c r="L159" s="35">
        <f t="shared" si="1"/>
        <v>0</v>
      </c>
      <c r="M159">
        <f t="shared" si="6"/>
        <v>0</v>
      </c>
      <c r="N159">
        <f t="shared" si="3"/>
        <v>0</v>
      </c>
    </row>
    <row r="160" spans="3:14" x14ac:dyDescent="0.45">
      <c r="C160" s="87"/>
      <c r="D160" t="s">
        <v>105</v>
      </c>
      <c r="E160">
        <v>32.92</v>
      </c>
      <c r="F160">
        <v>15.563540090771555</v>
      </c>
      <c r="G160">
        <f>($E$168-56)*(F160/100)</f>
        <v>24.204417549167928</v>
      </c>
      <c r="H160">
        <f t="shared" si="0"/>
        <v>11.443086965378178</v>
      </c>
      <c r="I160">
        <f t="shared" si="4"/>
        <v>9.1597106288258203</v>
      </c>
      <c r="J160" s="12">
        <v>0</v>
      </c>
      <c r="K160">
        <f t="shared" si="5"/>
        <v>71.88000000000001</v>
      </c>
      <c r="L160" s="35">
        <f t="shared" si="1"/>
        <v>20.563227276784588</v>
      </c>
      <c r="M160">
        <f t="shared" si="6"/>
        <v>14.155098576172808</v>
      </c>
      <c r="N160">
        <f t="shared" si="3"/>
        <v>19.567031163434052</v>
      </c>
    </row>
    <row r="161" spans="3:14" x14ac:dyDescent="0.45">
      <c r="C161" s="87"/>
      <c r="D161" t="s">
        <v>829</v>
      </c>
      <c r="E161">
        <f>SUM(E159:E160)</f>
        <v>32.92</v>
      </c>
      <c r="H161">
        <f t="shared" si="0"/>
        <v>0</v>
      </c>
      <c r="I161">
        <f t="shared" si="4"/>
        <v>9.1597106288258203</v>
      </c>
      <c r="J161" s="12">
        <v>0</v>
      </c>
      <c r="K161">
        <f t="shared" si="5"/>
        <v>71.88000000000001</v>
      </c>
      <c r="L161" s="35">
        <f t="shared" si="1"/>
        <v>0</v>
      </c>
      <c r="M161">
        <f t="shared" si="6"/>
        <v>0</v>
      </c>
      <c r="N161">
        <f t="shared" si="3"/>
        <v>0</v>
      </c>
    </row>
    <row r="162" spans="3:14" x14ac:dyDescent="0.45">
      <c r="C162" s="46" t="s">
        <v>821</v>
      </c>
      <c r="D162" t="s">
        <v>322</v>
      </c>
      <c r="E162">
        <v>41.11</v>
      </c>
      <c r="F162">
        <v>19.435514372163386</v>
      </c>
      <c r="G162">
        <f>($E$168-56)*(F162/100)</f>
        <v>30.226111951588507</v>
      </c>
      <c r="H162">
        <f t="shared" si="0"/>
        <v>14.289954591333446</v>
      </c>
      <c r="I162">
        <f t="shared" si="4"/>
        <v>11.438508625486921</v>
      </c>
      <c r="J162" s="12">
        <v>0</v>
      </c>
      <c r="K162">
        <f t="shared" si="5"/>
        <v>71.88000000000001</v>
      </c>
      <c r="L162" s="35">
        <f t="shared" si="1"/>
        <v>25.679048400626204</v>
      </c>
      <c r="M162">
        <f t="shared" si="6"/>
        <v>17.676673829479473</v>
      </c>
      <c r="N162">
        <f t="shared" si="3"/>
        <v>24.435013703790219</v>
      </c>
    </row>
    <row r="163" spans="3:14" x14ac:dyDescent="0.45">
      <c r="C163" s="46"/>
      <c r="D163" t="s">
        <v>830</v>
      </c>
      <c r="E163">
        <f>E162</f>
        <v>41.11</v>
      </c>
      <c r="H163">
        <f t="shared" si="0"/>
        <v>0</v>
      </c>
      <c r="I163">
        <f t="shared" si="4"/>
        <v>11.438508625486921</v>
      </c>
      <c r="J163" s="12">
        <v>0</v>
      </c>
      <c r="K163">
        <f t="shared" si="5"/>
        <v>71.88000000000001</v>
      </c>
      <c r="L163" s="35">
        <f t="shared" si="1"/>
        <v>0</v>
      </c>
      <c r="N163">
        <f>N158+N160+N162</f>
        <v>181.72352465642683</v>
      </c>
    </row>
    <row r="164" spans="3:14" x14ac:dyDescent="0.45">
      <c r="C164" s="46" t="s">
        <v>822</v>
      </c>
      <c r="D164" t="s">
        <v>831</v>
      </c>
      <c r="E164">
        <v>121.81</v>
      </c>
      <c r="F164">
        <v>82.370841222612938</v>
      </c>
      <c r="G164">
        <f>F164*(E169/100)</f>
        <v>121.81</v>
      </c>
      <c r="H164">
        <f>(G164/$G$169)*100</f>
        <v>82.370841222612896</v>
      </c>
      <c r="I164">
        <f t="shared" si="4"/>
        <v>33.892598775737341</v>
      </c>
      <c r="J164" s="12">
        <v>0</v>
      </c>
      <c r="K164">
        <f>$E$170*0.4</f>
        <v>143.76000000000002</v>
      </c>
      <c r="L164" s="35">
        <f>$E$174-L166</f>
        <v>153.63000000000002</v>
      </c>
      <c r="M164">
        <v>153.53</v>
      </c>
    </row>
    <row r="165" spans="3:14" x14ac:dyDescent="0.45">
      <c r="C165" s="46"/>
      <c r="D165" t="s">
        <v>832</v>
      </c>
      <c r="E165">
        <f>E164</f>
        <v>121.81</v>
      </c>
      <c r="H165">
        <f t="shared" ref="H165:H167" si="7">(G165/$G$169)*100</f>
        <v>0</v>
      </c>
      <c r="I165">
        <f t="shared" si="4"/>
        <v>33.892598775737341</v>
      </c>
      <c r="J165" s="12">
        <v>0</v>
      </c>
      <c r="K165">
        <f>$E$170*0.4</f>
        <v>143.76000000000002</v>
      </c>
      <c r="L165" s="35">
        <f t="shared" si="1"/>
        <v>0</v>
      </c>
      <c r="M165">
        <f>M164</f>
        <v>153.53</v>
      </c>
    </row>
    <row r="166" spans="3:14" x14ac:dyDescent="0.45">
      <c r="C166" s="161" t="s">
        <v>118</v>
      </c>
      <c r="D166" t="s">
        <v>118</v>
      </c>
      <c r="E166">
        <v>26.07</v>
      </c>
      <c r="F166">
        <v>17.629158777387101</v>
      </c>
      <c r="G166">
        <f>F166*(E169/100)</f>
        <v>26.070000000000043</v>
      </c>
      <c r="H166">
        <f t="shared" si="7"/>
        <v>17.629158777387094</v>
      </c>
      <c r="I166">
        <f t="shared" si="4"/>
        <v>7.2537562604340566</v>
      </c>
      <c r="J166" s="12">
        <v>24</v>
      </c>
      <c r="K166">
        <v>27</v>
      </c>
      <c r="L166" s="35">
        <f>26.07</f>
        <v>26.07</v>
      </c>
      <c r="M166">
        <v>26.07</v>
      </c>
    </row>
    <row r="167" spans="3:14" x14ac:dyDescent="0.45">
      <c r="C167" s="161"/>
      <c r="D167" t="s">
        <v>833</v>
      </c>
      <c r="E167">
        <f>E166</f>
        <v>26.07</v>
      </c>
      <c r="H167">
        <f t="shared" si="7"/>
        <v>0</v>
      </c>
      <c r="I167">
        <f t="shared" si="4"/>
        <v>7.2537562604340566</v>
      </c>
      <c r="J167" s="12">
        <v>0</v>
      </c>
      <c r="K167">
        <f>K166</f>
        <v>27</v>
      </c>
      <c r="L167" s="35">
        <f>$E$174*(H167/100)</f>
        <v>0</v>
      </c>
      <c r="M167">
        <f>M166</f>
        <v>26.07</v>
      </c>
    </row>
    <row r="168" spans="3:14" x14ac:dyDescent="0.45">
      <c r="C168" s="161" t="s">
        <v>834</v>
      </c>
      <c r="D168" t="s">
        <v>823</v>
      </c>
      <c r="E168">
        <f>SUM(E158,E161,E163)</f>
        <v>211.52000000000004</v>
      </c>
      <c r="G168">
        <f>SUM(G158:G163)</f>
        <v>211.52000000000004</v>
      </c>
      <c r="I168">
        <f t="shared" si="4"/>
        <v>58.853644963828614</v>
      </c>
      <c r="J168" s="12">
        <v>0</v>
      </c>
      <c r="K168">
        <f>SUM(K158,K161,K163)</f>
        <v>215.64000000000004</v>
      </c>
      <c r="L168" s="35">
        <f>SUM(L153:L157,L160,L162)</f>
        <v>188.12435703479579</v>
      </c>
      <c r="M168">
        <f>SUM(M153:M157,M160,M162)</f>
        <v>146.95037821482606</v>
      </c>
    </row>
    <row r="169" spans="3:14" x14ac:dyDescent="0.45">
      <c r="C169" s="161"/>
      <c r="D169" t="s">
        <v>824</v>
      </c>
      <c r="E169">
        <f>SUM(E165,E167)</f>
        <v>147.88</v>
      </c>
      <c r="G169">
        <f>SUM(G164:G166)</f>
        <v>147.88000000000005</v>
      </c>
      <c r="I169">
        <f t="shared" si="4"/>
        <v>41.146355036171386</v>
      </c>
      <c r="J169" s="12">
        <f t="shared" ref="J169" si="8">SUM(J165,J167)</f>
        <v>0</v>
      </c>
      <c r="K169">
        <f>SUM(K165,K167)</f>
        <v>170.76000000000002</v>
      </c>
      <c r="L169" s="35">
        <f>L164+L166</f>
        <v>179.70000000000002</v>
      </c>
    </row>
    <row r="170" spans="3:14" ht="14.65" thickBot="1" x14ac:dyDescent="0.5">
      <c r="C170" s="162"/>
      <c r="D170" s="41" t="s">
        <v>825</v>
      </c>
      <c r="E170" s="41">
        <f>SUM(E168:E169)</f>
        <v>359.40000000000003</v>
      </c>
      <c r="F170" s="41"/>
      <c r="G170" s="41"/>
      <c r="H170" s="41"/>
      <c r="I170" s="41">
        <f>SUM(I168:I169)</f>
        <v>100</v>
      </c>
      <c r="J170" s="83">
        <f>SUM(J168:J169)</f>
        <v>0</v>
      </c>
      <c r="K170" s="41">
        <f>SUM(K168:K169)</f>
        <v>386.40000000000009</v>
      </c>
      <c r="L170" s="43">
        <f>SUM(L168:L169)</f>
        <v>367.82435703479581</v>
      </c>
    </row>
    <row r="171" spans="3:14" ht="14.65" thickBot="1" x14ac:dyDescent="0.5">
      <c r="G171" s="12"/>
    </row>
    <row r="172" spans="3:14" x14ac:dyDescent="0.45">
      <c r="C172" s="48" t="s">
        <v>838</v>
      </c>
      <c r="D172" s="44"/>
      <c r="E172" s="44"/>
      <c r="F172" s="45"/>
      <c r="G172" s="12"/>
    </row>
    <row r="173" spans="3:14" x14ac:dyDescent="0.45">
      <c r="C173" s="36"/>
      <c r="E173" t="s">
        <v>836</v>
      </c>
      <c r="F173" s="35" t="s">
        <v>837</v>
      </c>
      <c r="G173" s="12"/>
    </row>
    <row r="174" spans="3:14" x14ac:dyDescent="0.45">
      <c r="C174" s="161" t="s">
        <v>839</v>
      </c>
      <c r="D174" t="s">
        <v>840</v>
      </c>
      <c r="E174">
        <f>E176*0.5</f>
        <v>179.70000000000002</v>
      </c>
      <c r="F174" s="35">
        <f>(E174/$E$176)*100</f>
        <v>50</v>
      </c>
      <c r="G174" s="12"/>
    </row>
    <row r="175" spans="3:14" x14ac:dyDescent="0.45">
      <c r="C175" s="161"/>
      <c r="D175" t="s">
        <v>159</v>
      </c>
      <c r="E175">
        <f>E176*0.5</f>
        <v>179.70000000000002</v>
      </c>
      <c r="F175" s="35">
        <f>(E175/$E$176)*100</f>
        <v>50</v>
      </c>
      <c r="G175" s="12"/>
    </row>
    <row r="176" spans="3:14" ht="14.65" thickBot="1" x14ac:dyDescent="0.5">
      <c r="C176" s="40"/>
      <c r="D176" s="41" t="s">
        <v>429</v>
      </c>
      <c r="E176" s="41">
        <f>E170</f>
        <v>359.40000000000003</v>
      </c>
      <c r="F176" s="43"/>
      <c r="G176" s="12"/>
    </row>
    <row r="177" spans="3:6" ht="14.65" thickBot="1" x14ac:dyDescent="0.5"/>
    <row r="178" spans="3:6" x14ac:dyDescent="0.45">
      <c r="C178" s="48" t="s">
        <v>970</v>
      </c>
      <c r="D178" s="44"/>
      <c r="E178" s="44"/>
      <c r="F178" s="45"/>
    </row>
    <row r="179" spans="3:6" x14ac:dyDescent="0.45">
      <c r="C179" s="36" t="s">
        <v>971</v>
      </c>
      <c r="D179" t="s">
        <v>848</v>
      </c>
      <c r="E179" t="s">
        <v>972</v>
      </c>
      <c r="F179" s="35" t="s">
        <v>973</v>
      </c>
    </row>
    <row r="180" spans="3:6" x14ac:dyDescent="0.45">
      <c r="C180" s="36" t="s">
        <v>104</v>
      </c>
      <c r="D180" t="s">
        <v>974</v>
      </c>
      <c r="E180" s="58">
        <f>Baseline_crop_data!L19</f>
        <v>1104</v>
      </c>
      <c r="F180" s="35">
        <f>E180*$K$159</f>
        <v>79355.520000000004</v>
      </c>
    </row>
    <row r="181" spans="3:6" x14ac:dyDescent="0.45">
      <c r="C181" s="36"/>
      <c r="D181" t="s">
        <v>975</v>
      </c>
      <c r="E181" s="58">
        <f>Baseline_crop_data!M19</f>
        <v>1435.2000000000003</v>
      </c>
      <c r="F181" s="35">
        <f>E181*$K$159</f>
        <v>103162.17600000004</v>
      </c>
    </row>
    <row r="182" spans="3:6" x14ac:dyDescent="0.45">
      <c r="C182" s="36" t="s">
        <v>106</v>
      </c>
      <c r="D182" t="s">
        <v>106</v>
      </c>
      <c r="E182" s="58">
        <f>Baseline_crop_data!P19</f>
        <v>860.00000000000011</v>
      </c>
      <c r="F182" s="35">
        <f>E182*$K$157</f>
        <v>61816.800000000017</v>
      </c>
    </row>
    <row r="183" spans="3:6" x14ac:dyDescent="0.45">
      <c r="C183" s="36"/>
      <c r="D183" t="s">
        <v>116</v>
      </c>
      <c r="E183" s="58">
        <f>Baseline_crop_data!Q19</f>
        <v>1404.6666666666667</v>
      </c>
      <c r="F183" s="35">
        <f>E183*$K$157</f>
        <v>100967.44000000002</v>
      </c>
    </row>
    <row r="184" spans="3:6" x14ac:dyDescent="0.45">
      <c r="C184" s="36" t="s">
        <v>322</v>
      </c>
      <c r="D184" t="s">
        <v>322</v>
      </c>
      <c r="E184" s="58">
        <f>Baseline_crop_data!X19</f>
        <v>1557</v>
      </c>
      <c r="F184" s="35">
        <f>E184*$K$162</f>
        <v>111917.16000000002</v>
      </c>
    </row>
    <row r="185" spans="3:6" x14ac:dyDescent="0.45">
      <c r="C185" s="36"/>
      <c r="D185" t="s">
        <v>324</v>
      </c>
      <c r="E185" s="58">
        <f>Baseline_crop_data!Y19</f>
        <v>1089.8999999999999</v>
      </c>
      <c r="F185" s="35">
        <f>E185*$K$162</f>
        <v>78342.012000000002</v>
      </c>
    </row>
    <row r="186" spans="3:6" x14ac:dyDescent="0.45">
      <c r="C186" s="36" t="s">
        <v>976</v>
      </c>
      <c r="D186" t="s">
        <v>421</v>
      </c>
      <c r="E186" s="58">
        <f>Baseline_crop_data!R19</f>
        <v>1684.4914285714292</v>
      </c>
      <c r="F186" s="35">
        <f>E186*$K$164</f>
        <v>242162.48777142868</v>
      </c>
    </row>
    <row r="187" spans="3:6" x14ac:dyDescent="0.45">
      <c r="C187" s="36"/>
      <c r="D187" t="s">
        <v>240</v>
      </c>
      <c r="E187">
        <f>Baseline_crop_data!U19</f>
        <v>6300</v>
      </c>
      <c r="F187" s="35">
        <f>E187*$K$164</f>
        <v>905688.00000000012</v>
      </c>
    </row>
    <row r="188" spans="3:6" x14ac:dyDescent="0.45">
      <c r="C188" s="36" t="s">
        <v>977</v>
      </c>
      <c r="D188" t="s">
        <v>98</v>
      </c>
      <c r="E188">
        <f>Baseline_biogas_production!H5*1000</f>
        <v>300000</v>
      </c>
      <c r="F188" s="35">
        <f>E188</f>
        <v>300000</v>
      </c>
    </row>
    <row r="189" spans="3:6" x14ac:dyDescent="0.45">
      <c r="C189" s="36"/>
      <c r="D189" t="s">
        <v>99</v>
      </c>
      <c r="E189">
        <f>Baseline_biogas_production!H6*1000</f>
        <v>24800</v>
      </c>
      <c r="F189" s="35">
        <f>E189</f>
        <v>24800</v>
      </c>
    </row>
    <row r="190" spans="3:6" x14ac:dyDescent="0.45">
      <c r="C190" s="36" t="s">
        <v>101</v>
      </c>
      <c r="D190" t="s">
        <v>978</v>
      </c>
      <c r="E190" s="58">
        <f>Baseline_crop_data!G19</f>
        <v>1204</v>
      </c>
      <c r="F190" s="35">
        <f>E190*$K$153</f>
        <v>86543.520000000019</v>
      </c>
    </row>
    <row r="191" spans="3:6" x14ac:dyDescent="0.45">
      <c r="C191" s="36"/>
      <c r="D191" t="s">
        <v>979</v>
      </c>
      <c r="E191" s="58">
        <f>Baseline_crop_data!F19</f>
        <v>1376.0000000000002</v>
      </c>
      <c r="F191" s="35">
        <f t="shared" ref="F191:F192" si="9">E191*$K$153</f>
        <v>98906.880000000034</v>
      </c>
    </row>
    <row r="192" spans="3:6" x14ac:dyDescent="0.45">
      <c r="C192" s="36"/>
      <c r="D192" t="s">
        <v>980</v>
      </c>
      <c r="E192" s="58">
        <f>Baseline_crop_data!E19</f>
        <v>344.00000000000006</v>
      </c>
      <c r="F192" s="35">
        <f t="shared" si="9"/>
        <v>24726.720000000008</v>
      </c>
    </row>
    <row r="193" spans="3:12" x14ac:dyDescent="0.45">
      <c r="C193" s="36" t="s">
        <v>105</v>
      </c>
      <c r="D193" t="s">
        <v>981</v>
      </c>
      <c r="E193" s="58">
        <f>Baseline_crop_data!N19</f>
        <v>187.68</v>
      </c>
      <c r="F193" s="35">
        <f>E193*$K$160</f>
        <v>13490.438400000003</v>
      </c>
    </row>
    <row r="194" spans="3:12" x14ac:dyDescent="0.45">
      <c r="C194" s="36"/>
      <c r="D194" t="s">
        <v>982</v>
      </c>
      <c r="E194" s="58">
        <f>Baseline_crop_data!O19</f>
        <v>121.992</v>
      </c>
      <c r="F194" s="35">
        <f>E194*$K$160</f>
        <v>8768.7849600000009</v>
      </c>
    </row>
    <row r="195" spans="3:12" x14ac:dyDescent="0.45">
      <c r="C195" s="36" t="s">
        <v>983</v>
      </c>
      <c r="D195" t="s">
        <v>421</v>
      </c>
      <c r="E195" s="58">
        <f>Baseline_crop_data!V19</f>
        <v>1800</v>
      </c>
      <c r="F195" s="35">
        <f>E195*$K$166</f>
        <v>48600</v>
      </c>
    </row>
    <row r="196" spans="3:12" x14ac:dyDescent="0.45">
      <c r="C196" s="36" t="s">
        <v>103</v>
      </c>
      <c r="D196" t="s">
        <v>984</v>
      </c>
      <c r="E196" s="58">
        <f>Baseline_crop_data!H19</f>
        <v>1719.9999999999998</v>
      </c>
      <c r="F196" s="35">
        <f>$K$154*E196</f>
        <v>123633.60000000001</v>
      </c>
    </row>
    <row r="197" spans="3:12" x14ac:dyDescent="0.45">
      <c r="C197" s="36"/>
      <c r="D197" t="s">
        <v>877</v>
      </c>
      <c r="E197" s="58">
        <f>Baseline_crop_data!I19</f>
        <v>1471.5555555555552</v>
      </c>
      <c r="F197" s="35">
        <f>$K$154*E197</f>
        <v>105775.41333333332</v>
      </c>
    </row>
    <row r="198" spans="3:12" x14ac:dyDescent="0.45">
      <c r="C198" s="36" t="s">
        <v>985</v>
      </c>
      <c r="D198" t="s">
        <v>984</v>
      </c>
      <c r="E198" s="58">
        <f>Baseline_crop_data!J19</f>
        <v>2150</v>
      </c>
      <c r="F198" s="35">
        <f>$K$155*E198</f>
        <v>154542.00000000003</v>
      </c>
    </row>
    <row r="199" spans="3:12" x14ac:dyDescent="0.45">
      <c r="C199" s="36"/>
      <c r="D199" t="s">
        <v>985</v>
      </c>
      <c r="E199" s="58">
        <f>Baseline_crop_data!K19</f>
        <v>2257.5</v>
      </c>
      <c r="F199" s="35">
        <f>$K$155*E199</f>
        <v>162269.10000000003</v>
      </c>
    </row>
    <row r="200" spans="3:12" x14ac:dyDescent="0.45">
      <c r="C200" s="36" t="s">
        <v>986</v>
      </c>
      <c r="D200" t="s">
        <v>984</v>
      </c>
      <c r="E200">
        <f>V54</f>
        <v>1958.6499999999999</v>
      </c>
      <c r="F200" s="35">
        <f>E200*$K$158</f>
        <v>140787.76200000002</v>
      </c>
    </row>
    <row r="201" spans="3:12" x14ac:dyDescent="0.45">
      <c r="C201" s="36"/>
      <c r="D201" t="s">
        <v>987</v>
      </c>
      <c r="E201">
        <f>W54</f>
        <v>1121.7722727272724</v>
      </c>
      <c r="F201" s="35">
        <f>E201*$K$158</f>
        <v>80632.990963636345</v>
      </c>
    </row>
    <row r="202" spans="3:12" x14ac:dyDescent="0.45">
      <c r="C202" s="36" t="s">
        <v>735</v>
      </c>
      <c r="D202" t="s">
        <v>736</v>
      </c>
      <c r="E202">
        <f>V18</f>
        <v>47826.02</v>
      </c>
      <c r="F202" s="35">
        <f>E202</f>
        <v>47826.02</v>
      </c>
    </row>
    <row r="203" spans="3:12" ht="14.65" thickBot="1" x14ac:dyDescent="0.5">
      <c r="C203" s="40"/>
      <c r="D203" s="41" t="s">
        <v>988</v>
      </c>
      <c r="E203" s="41">
        <f>W18</f>
        <v>2656.25</v>
      </c>
      <c r="F203" s="43">
        <f>E203</f>
        <v>2656.25</v>
      </c>
    </row>
    <row r="204" spans="3:12" x14ac:dyDescent="0.45">
      <c r="C204" t="s">
        <v>993</v>
      </c>
      <c r="D204" t="s">
        <v>994</v>
      </c>
      <c r="E204">
        <v>0.65803098360598655</v>
      </c>
      <c r="F204">
        <v>143561.89256908119</v>
      </c>
    </row>
    <row r="205" spans="3:12" ht="14.65" thickBot="1" x14ac:dyDescent="0.5"/>
    <row r="206" spans="3:12" x14ac:dyDescent="0.45">
      <c r="C206" s="48" t="s">
        <v>1006</v>
      </c>
      <c r="D206" s="44" t="s">
        <v>1350</v>
      </c>
      <c r="E206" s="44" t="s">
        <v>1010</v>
      </c>
      <c r="F206" s="44" t="s">
        <v>1011</v>
      </c>
      <c r="G206" s="44" t="s">
        <v>1012</v>
      </c>
      <c r="H206" s="49" t="s">
        <v>988</v>
      </c>
      <c r="I206" s="44" t="s">
        <v>736</v>
      </c>
      <c r="J206" s="44" t="s">
        <v>1013</v>
      </c>
      <c r="K206" s="45" t="s">
        <v>90</v>
      </c>
    </row>
    <row r="207" spans="3:12" x14ac:dyDescent="0.45">
      <c r="C207" s="36" t="s">
        <v>1007</v>
      </c>
      <c r="D207">
        <f>(Baseline_biogas_production!F20)*1000</f>
        <v>589967.92698212271</v>
      </c>
      <c r="E207">
        <v>0</v>
      </c>
      <c r="F207">
        <v>0</v>
      </c>
      <c r="G207">
        <v>0</v>
      </c>
      <c r="H207" s="12">
        <v>0</v>
      </c>
      <c r="I207">
        <v>0</v>
      </c>
      <c r="J207">
        <v>0.52500000000000002</v>
      </c>
      <c r="K207" s="35">
        <v>0.47499999999999998</v>
      </c>
    </row>
    <row r="208" spans="3:12" x14ac:dyDescent="0.45">
      <c r="C208" s="36" t="s">
        <v>1008</v>
      </c>
      <c r="D208">
        <f>(($E$183*49.43)+($E$185*41.11)+($E$187*121.81)+($E$188)+$E$189+($E$190*11)+($E$194*32.92)+($E$197*15.13)+($E$199*15.79)+($E$201*56)+$E$202+$E$203)</f>
        <v>1394913.5168016162</v>
      </c>
      <c r="E208">
        <f>E188/D208</f>
        <v>0.21506709655224154</v>
      </c>
      <c r="F208">
        <f>E189/D208</f>
        <v>1.7778879981651969E-2</v>
      </c>
      <c r="G208">
        <f>(E187*121.81)/D208</f>
        <v>0.55014378365159944</v>
      </c>
      <c r="H208" s="12">
        <f>E203/D208</f>
        <v>1.9042399173896387E-3</v>
      </c>
      <c r="I208">
        <f>E202/D208</f>
        <v>3.4286010870164779E-2</v>
      </c>
      <c r="J208">
        <v>0</v>
      </c>
      <c r="K208" s="35">
        <v>0</v>
      </c>
      <c r="L208">
        <f>SUM(E208:I208)</f>
        <v>0.81918001097304738</v>
      </c>
    </row>
    <row r="209" spans="3:11" ht="42.75" customHeight="1" x14ac:dyDescent="0.45">
      <c r="C209" s="62" t="s">
        <v>1367</v>
      </c>
      <c r="D209">
        <f>(($E$183*49.43)+($E$185*41.11)+($E$187*121.81)+($E$188)+$E$189+($E$190*57.14)+($E$194*32.92)+($E$197*15.13)+($E$199*15.79))</f>
        <v>1337164.5595288889</v>
      </c>
      <c r="E209">
        <f>E188/D209</f>
        <v>0.22435533297838547</v>
      </c>
      <c r="F209">
        <f>E189/D209</f>
        <v>1.8546707526213197E-2</v>
      </c>
      <c r="G209">
        <f>(E187*121.81)/D209</f>
        <v>0.57390318531203977</v>
      </c>
      <c r="H209" s="12" t="s">
        <v>1368</v>
      </c>
      <c r="I209" s="12" t="s">
        <v>1368</v>
      </c>
      <c r="J209" s="12" t="s">
        <v>1368</v>
      </c>
      <c r="K209" s="12" t="s">
        <v>1368</v>
      </c>
    </row>
    <row r="210" spans="3:11" ht="14.65" thickBot="1" x14ac:dyDescent="0.5">
      <c r="C210" s="40" t="s">
        <v>1009</v>
      </c>
      <c r="D210" s="41">
        <v>1.2</v>
      </c>
      <c r="E210" s="41">
        <v>0</v>
      </c>
      <c r="F210" s="41">
        <v>0</v>
      </c>
      <c r="G210" s="41">
        <v>0</v>
      </c>
      <c r="H210" s="83">
        <v>0</v>
      </c>
      <c r="I210" s="41">
        <v>0</v>
      </c>
      <c r="J210" s="41">
        <v>1</v>
      </c>
      <c r="K210" s="43">
        <v>0</v>
      </c>
    </row>
  </sheetData>
  <mergeCells count="54">
    <mergeCell ref="V13:W13"/>
    <mergeCell ref="V14:W14"/>
    <mergeCell ref="V15:W15"/>
    <mergeCell ref="S5:S6"/>
    <mergeCell ref="V5:W5"/>
    <mergeCell ref="V6:W6"/>
    <mergeCell ref="S7:S12"/>
    <mergeCell ref="V7:W7"/>
    <mergeCell ref="V8:W8"/>
    <mergeCell ref="V9:W9"/>
    <mergeCell ref="V10:W10"/>
    <mergeCell ref="V11:W11"/>
    <mergeCell ref="V12:W12"/>
    <mergeCell ref="V44:W44"/>
    <mergeCell ref="R17:R28"/>
    <mergeCell ref="S17:S22"/>
    <mergeCell ref="S23:S28"/>
    <mergeCell ref="V39:W39"/>
    <mergeCell ref="V40:W40"/>
    <mergeCell ref="V41:W41"/>
    <mergeCell ref="V42:W42"/>
    <mergeCell ref="V43:W43"/>
    <mergeCell ref="C174:C175"/>
    <mergeCell ref="V45:W45"/>
    <mergeCell ref="V46:W46"/>
    <mergeCell ref="V47:W47"/>
    <mergeCell ref="V48:W48"/>
    <mergeCell ref="V49:W49"/>
    <mergeCell ref="R79:R80"/>
    <mergeCell ref="C73:C79"/>
    <mergeCell ref="C117:C120"/>
    <mergeCell ref="C121:C125"/>
    <mergeCell ref="C126:C130"/>
    <mergeCell ref="C133:C136"/>
    <mergeCell ref="C166:C167"/>
    <mergeCell ref="C168:C170"/>
    <mergeCell ref="R89:R96"/>
    <mergeCell ref="R87:R88"/>
    <mergeCell ref="B81:B97"/>
    <mergeCell ref="B99:B115"/>
    <mergeCell ref="C99:C106"/>
    <mergeCell ref="C107:C111"/>
    <mergeCell ref="C112:C115"/>
    <mergeCell ref="R97:R103"/>
    <mergeCell ref="R81:R85"/>
    <mergeCell ref="C38:C51"/>
    <mergeCell ref="C15:C30"/>
    <mergeCell ref="C31:C33"/>
    <mergeCell ref="C52:C69"/>
    <mergeCell ref="C70:C72"/>
    <mergeCell ref="C34:C37"/>
    <mergeCell ref="R5:R16"/>
    <mergeCell ref="C9:C11"/>
    <mergeCell ref="C12:C13"/>
  </mergeCells>
  <hyperlinks>
    <hyperlink ref="G44" r:id="rId1" xr:uid="{CA47A35C-32D9-4E21-8007-3694C0C8CAD8}"/>
    <hyperlink ref="G46" r:id="rId2" xr:uid="{553894A8-2706-4570-B383-A500D1DC9372}"/>
    <hyperlink ref="G67" r:id="rId3" xr:uid="{314DA1CA-422F-43B3-82E3-EB9A72830D88}"/>
    <hyperlink ref="G68" r:id="rId4" xr:uid="{32A95CEB-B918-49FD-B6C1-266E9C1180DC}"/>
    <hyperlink ref="G122" r:id="rId5" xr:uid="{584CA02B-5910-4C23-AE10-5804CD963BFE}"/>
    <hyperlink ref="G123" r:id="rId6" xr:uid="{F67F8861-F2A9-49AD-BA80-4EBDF733AAFD}"/>
    <hyperlink ref="G124" r:id="rId7" xr:uid="{0F46D38C-6E5A-4578-AB83-F1FEE388F009}"/>
    <hyperlink ref="G77" r:id="rId8" xr:uid="{8583FA04-EB48-4635-9E6E-ADF63033CBDD}"/>
    <hyperlink ref="G38" r:id="rId9" xr:uid="{8165716C-CF3E-44E2-8CEC-3CEB468F45DE}"/>
    <hyperlink ref="H133:H136" r:id="rId10" display="https://portal.mtt.fi/portal/pls/portal/tt_mtt.tt_mtt_kankir_pack.laheta" xr:uid="{D8AB0360-B092-496F-891E-E7637E5514BC}"/>
    <hyperlink ref="G50" r:id="rId11" xr:uid="{7F05ABFD-55CC-4736-8399-B867569EA0E9}"/>
    <hyperlink ref="H143" r:id="rId12" xr:uid="{2DB8D867-81D9-48FE-9A1D-1FCC62C7EF37}"/>
  </hyperlinks>
  <pageMargins left="0.7" right="0.7" top="0.75" bottom="0.75" header="0.3" footer="0.3"/>
  <pageSetup orientation="portrait" r:id="rId13"/>
  <legacyDrawing r:id="rId1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6C84D-5972-4782-A988-3CC0C746D1B7}">
  <dimension ref="A1:G197"/>
  <sheetViews>
    <sheetView topLeftCell="A168" zoomScale="62" workbookViewId="0">
      <selection activeCell="B197" sqref="B197:E197"/>
    </sheetView>
  </sheetViews>
  <sheetFormatPr defaultRowHeight="14.25" x14ac:dyDescent="0.45"/>
  <cols>
    <col min="1" max="1" width="13" bestFit="1" customWidth="1"/>
    <col min="2" max="2" width="21" customWidth="1"/>
    <col min="3" max="3" width="54.73046875" customWidth="1"/>
    <col min="4" max="5" width="25" customWidth="1"/>
    <col min="6" max="6" width="34.73046875" style="12" customWidth="1"/>
    <col min="7" max="7" width="30.86328125" customWidth="1"/>
    <col min="8" max="8" width="33" customWidth="1"/>
    <col min="11" max="11" width="16.265625" customWidth="1"/>
    <col min="12" max="12" width="16.1328125" customWidth="1"/>
    <col min="13" max="13" width="27.265625" customWidth="1"/>
    <col min="14" max="14" width="14.59765625" customWidth="1"/>
    <col min="15" max="15" width="24.86328125" customWidth="1"/>
    <col min="16" max="16" width="22.59765625" customWidth="1"/>
    <col min="17" max="17" width="20.1328125" customWidth="1"/>
    <col min="18" max="18" width="24.3984375" customWidth="1"/>
    <col min="19" max="19" width="14.3984375" customWidth="1"/>
  </cols>
  <sheetData>
    <row r="1" spans="1:6" x14ac:dyDescent="0.45">
      <c r="A1" t="s">
        <v>0</v>
      </c>
    </row>
    <row r="3" spans="1:6" x14ac:dyDescent="0.45">
      <c r="B3" s="94" t="s">
        <v>698</v>
      </c>
      <c r="C3" s="94" t="s">
        <v>699</v>
      </c>
    </row>
    <row r="4" spans="1:6" ht="14.65" thickBot="1" x14ac:dyDescent="0.5"/>
    <row r="5" spans="1:6" x14ac:dyDescent="0.45">
      <c r="B5" s="48"/>
      <c r="C5" s="44" t="s">
        <v>925</v>
      </c>
      <c r="D5" s="44"/>
      <c r="E5" s="44"/>
      <c r="F5" s="50"/>
    </row>
    <row r="6" spans="1:6" x14ac:dyDescent="0.45">
      <c r="B6" s="36"/>
      <c r="C6" t="s">
        <v>396</v>
      </c>
      <c r="D6" t="s">
        <v>107</v>
      </c>
      <c r="E6" t="s">
        <v>397</v>
      </c>
      <c r="F6" s="52" t="s">
        <v>180</v>
      </c>
    </row>
    <row r="7" spans="1:6" x14ac:dyDescent="0.45">
      <c r="B7" s="36"/>
      <c r="C7" s="12" t="s">
        <v>573</v>
      </c>
      <c r="D7" t="s">
        <v>960</v>
      </c>
      <c r="E7">
        <f>1650+(E124/1000)</f>
        <v>1650.3869999999999</v>
      </c>
      <c r="F7" s="52" t="s">
        <v>611</v>
      </c>
    </row>
    <row r="8" spans="1:6" x14ac:dyDescent="0.45">
      <c r="B8" s="36" t="s">
        <v>399</v>
      </c>
      <c r="C8" s="12" t="s">
        <v>573</v>
      </c>
      <c r="D8" t="s">
        <v>890</v>
      </c>
      <c r="E8">
        <f>E7*3600</f>
        <v>5941393.2000000002</v>
      </c>
      <c r="F8" s="52" t="s">
        <v>611</v>
      </c>
    </row>
    <row r="9" spans="1:6" ht="28.5" x14ac:dyDescent="0.45">
      <c r="B9" s="62" t="s">
        <v>400</v>
      </c>
      <c r="C9" s="12" t="s">
        <v>574</v>
      </c>
      <c r="D9" t="s">
        <v>401</v>
      </c>
      <c r="E9">
        <v>40</v>
      </c>
      <c r="F9" s="52" t="s">
        <v>612</v>
      </c>
    </row>
    <row r="10" spans="1:6" x14ac:dyDescent="0.45">
      <c r="B10" s="161" t="s">
        <v>575</v>
      </c>
      <c r="C10" t="s">
        <v>403</v>
      </c>
      <c r="D10" t="s">
        <v>402</v>
      </c>
      <c r="E10" s="6">
        <v>5.7</v>
      </c>
      <c r="F10" s="52" t="s">
        <v>613</v>
      </c>
    </row>
    <row r="11" spans="1:6" x14ac:dyDescent="0.45">
      <c r="B11" s="161"/>
      <c r="C11" t="s">
        <v>583</v>
      </c>
      <c r="D11" t="s">
        <v>584</v>
      </c>
      <c r="E11">
        <v>21</v>
      </c>
      <c r="F11" s="52" t="s">
        <v>613</v>
      </c>
    </row>
    <row r="12" spans="1:6" x14ac:dyDescent="0.45">
      <c r="B12" s="161"/>
      <c r="C12" t="s">
        <v>586</v>
      </c>
      <c r="D12" t="s">
        <v>585</v>
      </c>
      <c r="E12" s="53">
        <f>E14*E11</f>
        <v>3640.875</v>
      </c>
      <c r="F12" s="52" t="s">
        <v>613</v>
      </c>
    </row>
    <row r="13" spans="1:6" x14ac:dyDescent="0.45">
      <c r="B13" s="161"/>
      <c r="C13" t="s">
        <v>587</v>
      </c>
      <c r="D13" t="s">
        <v>588</v>
      </c>
      <c r="E13">
        <f>(E10/12)*100</f>
        <v>47.5</v>
      </c>
      <c r="F13" s="52" t="s">
        <v>613</v>
      </c>
    </row>
    <row r="14" spans="1:6" x14ac:dyDescent="0.45">
      <c r="B14" s="161"/>
      <c r="C14" t="s">
        <v>589</v>
      </c>
      <c r="D14" t="s">
        <v>590</v>
      </c>
      <c r="E14" s="53">
        <f>(E13/100)*365</f>
        <v>173.375</v>
      </c>
      <c r="F14" s="52" t="s">
        <v>613</v>
      </c>
    </row>
    <row r="15" spans="1:6" x14ac:dyDescent="0.45">
      <c r="B15" s="161"/>
      <c r="C15" t="s">
        <v>597</v>
      </c>
      <c r="D15" t="s">
        <v>600</v>
      </c>
      <c r="E15" s="6">
        <f>E54*365</f>
        <v>4560.6831846727064</v>
      </c>
      <c r="F15" s="52" t="s">
        <v>613</v>
      </c>
    </row>
    <row r="16" spans="1:6" x14ac:dyDescent="0.45">
      <c r="B16" s="161"/>
      <c r="C16" t="s">
        <v>598</v>
      </c>
      <c r="D16" t="s">
        <v>599</v>
      </c>
      <c r="E16">
        <f>E62</f>
        <v>16.331588782926726</v>
      </c>
      <c r="F16" s="52" t="s">
        <v>613</v>
      </c>
    </row>
    <row r="17" spans="2:6" x14ac:dyDescent="0.45">
      <c r="B17" s="161"/>
      <c r="C17" t="s">
        <v>601</v>
      </c>
      <c r="D17" t="s">
        <v>602</v>
      </c>
      <c r="E17">
        <v>4304</v>
      </c>
      <c r="F17" s="52" t="s">
        <v>613</v>
      </c>
    </row>
    <row r="18" spans="2:6" x14ac:dyDescent="0.45">
      <c r="B18" s="161"/>
      <c r="C18" t="s">
        <v>603</v>
      </c>
      <c r="D18" t="s">
        <v>599</v>
      </c>
      <c r="E18">
        <v>35.5</v>
      </c>
      <c r="F18" s="52" t="s">
        <v>613</v>
      </c>
    </row>
    <row r="19" spans="2:6" x14ac:dyDescent="0.45">
      <c r="B19" s="161"/>
      <c r="C19" t="s">
        <v>579</v>
      </c>
      <c r="D19" t="s">
        <v>591</v>
      </c>
      <c r="E19">
        <f>((5449/365)/24)*E12</f>
        <v>2264.7406249999999</v>
      </c>
      <c r="F19" s="52" t="s">
        <v>613</v>
      </c>
    </row>
    <row r="20" spans="2:6" x14ac:dyDescent="0.45">
      <c r="B20" s="161"/>
      <c r="C20" t="s">
        <v>580</v>
      </c>
      <c r="D20" t="s">
        <v>596</v>
      </c>
      <c r="E20">
        <f>((E16/(365*24))*E12)</f>
        <v>6.7878165879039205</v>
      </c>
      <c r="F20" s="52" t="s">
        <v>613</v>
      </c>
    </row>
    <row r="21" spans="2:6" x14ac:dyDescent="0.45">
      <c r="B21" s="161"/>
      <c r="C21" t="s">
        <v>592</v>
      </c>
      <c r="D21" t="s">
        <v>593</v>
      </c>
      <c r="E21">
        <f>((E17/365)/24)*E12</f>
        <v>1788.85</v>
      </c>
      <c r="F21" s="52" t="s">
        <v>613</v>
      </c>
    </row>
    <row r="22" spans="2:6" x14ac:dyDescent="0.45">
      <c r="B22" s="161"/>
      <c r="C22" t="s">
        <v>594</v>
      </c>
      <c r="D22" t="s">
        <v>195</v>
      </c>
      <c r="E22">
        <f>(E18/(365*24))*E12</f>
        <v>14.754687500000001</v>
      </c>
      <c r="F22" s="52" t="s">
        <v>613</v>
      </c>
    </row>
    <row r="23" spans="2:6" x14ac:dyDescent="0.45">
      <c r="B23" s="161"/>
      <c r="C23" t="s">
        <v>595</v>
      </c>
      <c r="D23" t="s">
        <v>195</v>
      </c>
      <c r="E23">
        <f>((E18+E16)/(365*24))*E12</f>
        <v>21.542504087903922</v>
      </c>
      <c r="F23" s="52" t="s">
        <v>613</v>
      </c>
    </row>
    <row r="24" spans="2:6" x14ac:dyDescent="0.45">
      <c r="B24" s="161"/>
      <c r="C24" t="s">
        <v>897</v>
      </c>
      <c r="D24" t="s">
        <v>899</v>
      </c>
      <c r="E24">
        <f>(6.21/5449)*E15</f>
        <v>5.1976220548389627</v>
      </c>
      <c r="F24" s="52" t="s">
        <v>613</v>
      </c>
    </row>
    <row r="25" spans="2:6" x14ac:dyDescent="0.45">
      <c r="B25" s="161"/>
      <c r="C25" t="s">
        <v>898</v>
      </c>
      <c r="D25" t="s">
        <v>900</v>
      </c>
      <c r="E25">
        <f>(14.1/5449)*E15</f>
        <v>11.801364085866243</v>
      </c>
      <c r="F25" s="52" t="s">
        <v>613</v>
      </c>
    </row>
    <row r="26" spans="2:6" x14ac:dyDescent="0.45">
      <c r="B26" s="168" t="s">
        <v>576</v>
      </c>
      <c r="C26" t="s">
        <v>577</v>
      </c>
      <c r="D26" t="s">
        <v>585</v>
      </c>
      <c r="E26" s="53">
        <f>(365*24)-E12</f>
        <v>5119.125</v>
      </c>
      <c r="F26" s="52" t="s">
        <v>613</v>
      </c>
    </row>
    <row r="27" spans="2:6" x14ac:dyDescent="0.45">
      <c r="B27" s="168"/>
      <c r="C27" t="s">
        <v>582</v>
      </c>
      <c r="D27" t="s">
        <v>588</v>
      </c>
      <c r="E27">
        <f>100-E13</f>
        <v>52.5</v>
      </c>
      <c r="F27" s="52" t="s">
        <v>613</v>
      </c>
    </row>
    <row r="28" spans="2:6" x14ac:dyDescent="0.45">
      <c r="B28" s="168"/>
      <c r="C28" t="s">
        <v>608</v>
      </c>
      <c r="D28" t="s">
        <v>609</v>
      </c>
      <c r="E28">
        <v>1.25</v>
      </c>
      <c r="F28" s="52" t="s">
        <v>613</v>
      </c>
    </row>
    <row r="29" spans="2:6" x14ac:dyDescent="0.45">
      <c r="B29" s="168" t="s">
        <v>578</v>
      </c>
      <c r="C29" t="s">
        <v>581</v>
      </c>
      <c r="D29" t="s">
        <v>604</v>
      </c>
      <c r="E29">
        <f>(E15/(365*24))*E26</f>
        <v>2665.149236043113</v>
      </c>
      <c r="F29" s="52" t="s">
        <v>613</v>
      </c>
    </row>
    <row r="30" spans="2:6" x14ac:dyDescent="0.45">
      <c r="B30" s="168"/>
      <c r="C30" t="s">
        <v>605</v>
      </c>
      <c r="D30" t="s">
        <v>250</v>
      </c>
      <c r="E30">
        <f>((E16/(365*24))*E26)</f>
        <v>9.5437721950228056</v>
      </c>
      <c r="F30" s="52" t="s">
        <v>613</v>
      </c>
    </row>
    <row r="31" spans="2:6" x14ac:dyDescent="0.45">
      <c r="B31" s="168"/>
      <c r="C31" t="s">
        <v>606</v>
      </c>
      <c r="D31" t="s">
        <v>250</v>
      </c>
      <c r="E31">
        <f>((E18/(365*24))*E26)</f>
        <v>20.745312500000001</v>
      </c>
      <c r="F31" s="52" t="s">
        <v>613</v>
      </c>
    </row>
    <row r="32" spans="2:6" ht="14.25" customHeight="1" x14ac:dyDescent="0.45">
      <c r="B32" s="168"/>
      <c r="C32" t="s">
        <v>607</v>
      </c>
      <c r="D32" t="s">
        <v>250</v>
      </c>
      <c r="E32">
        <f>SUM(E30:E31)</f>
        <v>30.289084695022808</v>
      </c>
      <c r="F32" s="52" t="s">
        <v>613</v>
      </c>
    </row>
    <row r="33" spans="2:6" ht="33.75" customHeight="1" x14ac:dyDescent="0.45">
      <c r="B33" s="147" t="s">
        <v>615</v>
      </c>
      <c r="C33" t="s">
        <v>616</v>
      </c>
      <c r="D33" t="s">
        <v>62</v>
      </c>
      <c r="E33">
        <v>530</v>
      </c>
      <c r="F33" s="96" t="s">
        <v>924</v>
      </c>
    </row>
    <row r="34" spans="2:6" ht="42.75" x14ac:dyDescent="0.45">
      <c r="B34" s="147"/>
      <c r="C34" t="s">
        <v>619</v>
      </c>
      <c r="D34" t="s">
        <v>62</v>
      </c>
      <c r="E34">
        <f>E33*0.55</f>
        <v>291.5</v>
      </c>
      <c r="F34" s="52" t="s">
        <v>618</v>
      </c>
    </row>
    <row r="35" spans="2:6" x14ac:dyDescent="0.45">
      <c r="B35" s="147"/>
      <c r="C35" t="s">
        <v>642</v>
      </c>
      <c r="D35" t="s">
        <v>62</v>
      </c>
      <c r="E35">
        <f>E33*(1-0.763*EXP(-0.00285*(365)))^2</f>
        <v>282.7322746520415</v>
      </c>
      <c r="F35" s="52" t="s">
        <v>620</v>
      </c>
    </row>
    <row r="36" spans="2:6" x14ac:dyDescent="0.45">
      <c r="B36" s="147"/>
      <c r="C36" t="s">
        <v>641</v>
      </c>
      <c r="D36" t="s">
        <v>62</v>
      </c>
      <c r="E36">
        <f>E33*(1-0.763*EXP(-0.00277*730)^2)</f>
        <v>522.91358366822658</v>
      </c>
      <c r="F36" s="52"/>
    </row>
    <row r="37" spans="2:6" x14ac:dyDescent="0.45">
      <c r="B37" s="147"/>
      <c r="C37" t="s">
        <v>644</v>
      </c>
      <c r="D37" t="s">
        <v>621</v>
      </c>
      <c r="E37" s="6">
        <f>(26.4+0.01*E38-41*E41-0.00006*E38^2+35.2*E41^2+0.12*E38*E41)*E39</f>
        <v>37.373595387452887</v>
      </c>
      <c r="F37" s="52" t="s">
        <v>625</v>
      </c>
    </row>
    <row r="38" spans="2:6" x14ac:dyDescent="0.45">
      <c r="B38" s="147"/>
      <c r="C38" t="s">
        <v>624</v>
      </c>
      <c r="D38" t="s">
        <v>62</v>
      </c>
      <c r="E38">
        <f>(((E33/(2*-0.00277))*(2-0.756*EXP(-0.00277*2190))^2+E33*2190)-((E33/(2*-0.00277))*(2-0.756*EXP(-0.00277*1))^2+E33*1))/2190-1</f>
        <v>422.15843524728905</v>
      </c>
      <c r="F38" s="52" t="s">
        <v>626</v>
      </c>
    </row>
    <row r="39" spans="2:6" ht="12.4" customHeight="1" x14ac:dyDescent="0.45">
      <c r="B39" s="147"/>
      <c r="C39" t="s">
        <v>622</v>
      </c>
      <c r="D39" t="s">
        <v>47</v>
      </c>
      <c r="E39">
        <v>0.9</v>
      </c>
      <c r="F39" s="52" t="s">
        <v>623</v>
      </c>
    </row>
    <row r="40" spans="2:6" ht="28.5" x14ac:dyDescent="0.45">
      <c r="B40" s="147"/>
      <c r="C40" t="s">
        <v>628</v>
      </c>
      <c r="D40" t="s">
        <v>62</v>
      </c>
      <c r="E40">
        <v>26</v>
      </c>
      <c r="F40" s="84" t="s">
        <v>617</v>
      </c>
    </row>
    <row r="41" spans="2:6" x14ac:dyDescent="0.45">
      <c r="B41" s="147"/>
      <c r="C41" t="s">
        <v>627</v>
      </c>
      <c r="D41" t="s">
        <v>631</v>
      </c>
      <c r="E41" s="6">
        <f>(E36-E35)/(730-365)</f>
        <v>0.65803098360598655</v>
      </c>
      <c r="F41" s="52" t="s">
        <v>632</v>
      </c>
    </row>
    <row r="42" spans="2:6" ht="42.75" x14ac:dyDescent="0.45">
      <c r="B42" s="147"/>
      <c r="C42" t="s">
        <v>633</v>
      </c>
      <c r="D42" t="s">
        <v>631</v>
      </c>
      <c r="E42" s="6">
        <f>(E35)*0.02</f>
        <v>5.6546454930408299</v>
      </c>
      <c r="F42" s="84" t="s">
        <v>634</v>
      </c>
    </row>
    <row r="43" spans="2:6" x14ac:dyDescent="0.45">
      <c r="B43" s="147"/>
      <c r="C43" t="s">
        <v>635</v>
      </c>
      <c r="D43" t="s">
        <v>636</v>
      </c>
      <c r="E43" s="6">
        <f>E42*365</f>
        <v>2063.945604959903</v>
      </c>
      <c r="F43" s="52"/>
    </row>
    <row r="44" spans="2:6" x14ac:dyDescent="0.45">
      <c r="B44" s="147"/>
      <c r="C44" t="s">
        <v>638</v>
      </c>
      <c r="D44" t="s">
        <v>639</v>
      </c>
      <c r="E44">
        <f>E37*365</f>
        <v>13641.362316420304</v>
      </c>
      <c r="F44" s="52">
        <f>E44/E33</f>
        <v>25.73841946494397</v>
      </c>
    </row>
    <row r="45" spans="2:6" x14ac:dyDescent="0.45">
      <c r="B45" s="147"/>
      <c r="C45" t="s">
        <v>614</v>
      </c>
      <c r="D45" t="s">
        <v>123</v>
      </c>
      <c r="E45" s="6">
        <f>E44/E43</f>
        <v>6.6093613531473467</v>
      </c>
      <c r="F45" s="52"/>
    </row>
    <row r="46" spans="2:6" x14ac:dyDescent="0.45">
      <c r="B46" s="147"/>
      <c r="C46" t="s">
        <v>640</v>
      </c>
      <c r="D46" t="s">
        <v>48</v>
      </c>
      <c r="E46">
        <v>135</v>
      </c>
      <c r="F46" s="52"/>
    </row>
    <row r="47" spans="2:6" ht="14.25" customHeight="1" x14ac:dyDescent="0.45">
      <c r="B47" s="147"/>
      <c r="C47" t="s">
        <v>66</v>
      </c>
      <c r="D47" t="s">
        <v>168</v>
      </c>
      <c r="E47">
        <v>62.6</v>
      </c>
      <c r="F47" s="52" t="s">
        <v>643</v>
      </c>
    </row>
    <row r="48" spans="2:6" ht="14.25" customHeight="1" x14ac:dyDescent="0.45">
      <c r="B48" s="147" t="s">
        <v>670</v>
      </c>
      <c r="C48" t="s">
        <v>645</v>
      </c>
      <c r="D48" t="s">
        <v>631</v>
      </c>
      <c r="E48">
        <f>(E49*E42)/16</f>
        <v>3.5070341951512591</v>
      </c>
      <c r="F48" s="52" t="s">
        <v>646</v>
      </c>
    </row>
    <row r="49" spans="2:6" x14ac:dyDescent="0.45">
      <c r="B49" s="147"/>
      <c r="C49" t="s">
        <v>647</v>
      </c>
      <c r="D49" t="s">
        <v>123</v>
      </c>
      <c r="E49">
        <f>(AVERAGE(Baseline_crop_data!R39,Baseline_crop_data!U39,Baseline_crop_data!V39))</f>
        <v>9.9232652500457963</v>
      </c>
      <c r="F49" s="52"/>
    </row>
    <row r="50" spans="2:6" ht="14.25" customHeight="1" x14ac:dyDescent="0.45">
      <c r="B50" s="147"/>
      <c r="C50" t="s">
        <v>648</v>
      </c>
      <c r="D50" t="s">
        <v>649</v>
      </c>
      <c r="E50">
        <f>E48/(E42*E51*0.001)</f>
        <v>0.68209289527680217</v>
      </c>
      <c r="F50" s="52" t="s">
        <v>652</v>
      </c>
    </row>
    <row r="51" spans="2:6" ht="15.75" customHeight="1" x14ac:dyDescent="0.45">
      <c r="B51" s="147"/>
      <c r="C51" t="s">
        <v>650</v>
      </c>
      <c r="D51" t="s">
        <v>48</v>
      </c>
      <c r="E51">
        <f>(100-AVERAGE(Baseline_crop_data!R29:V29))*10</f>
        <v>909.26629264504413</v>
      </c>
      <c r="F51" s="52"/>
    </row>
    <row r="52" spans="2:6" x14ac:dyDescent="0.45">
      <c r="B52" s="147"/>
      <c r="C52" t="s">
        <v>651</v>
      </c>
      <c r="D52" t="s">
        <v>649</v>
      </c>
      <c r="E52">
        <f>(0.977*E50*1000+1.4)/1000</f>
        <v>0.66780475868543565</v>
      </c>
      <c r="F52" s="52" t="s">
        <v>653</v>
      </c>
    </row>
    <row r="53" spans="2:6" x14ac:dyDescent="0.45">
      <c r="B53" s="147"/>
      <c r="C53" t="s">
        <v>655</v>
      </c>
      <c r="D53" t="s">
        <v>631</v>
      </c>
      <c r="E53">
        <f>E42*(1-E52)</f>
        <v>1.8784463241090121</v>
      </c>
      <c r="F53" s="52" t="s">
        <v>654</v>
      </c>
    </row>
    <row r="54" spans="2:6" x14ac:dyDescent="0.45">
      <c r="B54" s="147"/>
      <c r="C54" t="s">
        <v>656</v>
      </c>
      <c r="D54" t="s">
        <v>631</v>
      </c>
      <c r="E54" s="6">
        <f>E53/(2.24/14.9)</f>
        <v>12.495022423760838</v>
      </c>
      <c r="F54" s="52" t="s">
        <v>657</v>
      </c>
    </row>
    <row r="55" spans="2:6" ht="28.5" x14ac:dyDescent="0.45">
      <c r="B55" s="147"/>
      <c r="C55" t="s">
        <v>658</v>
      </c>
      <c r="D55" t="s">
        <v>659</v>
      </c>
      <c r="E55">
        <f>(2.7+0.053*((E47/365)*1000))</f>
        <v>11.789863013698628</v>
      </c>
      <c r="F55" s="52" t="s">
        <v>660</v>
      </c>
    </row>
    <row r="56" spans="2:6" x14ac:dyDescent="0.45">
      <c r="B56" s="147"/>
      <c r="C56" s="12" t="s">
        <v>661</v>
      </c>
      <c r="D56" t="s">
        <v>67</v>
      </c>
      <c r="E56">
        <f>AVERAGE(600,600,600,640,705,657)/10</f>
        <v>63.36666666666666</v>
      </c>
      <c r="F56" s="52" t="s">
        <v>669</v>
      </c>
    </row>
    <row r="57" spans="2:6" x14ac:dyDescent="0.45">
      <c r="B57" s="147"/>
      <c r="C57" t="s">
        <v>666</v>
      </c>
      <c r="D57" t="s">
        <v>631</v>
      </c>
      <c r="E57">
        <f>E56*E42/100</f>
        <v>3.5831603607568723</v>
      </c>
      <c r="F57" s="52"/>
    </row>
    <row r="58" spans="2:6" x14ac:dyDescent="0.45">
      <c r="B58" s="147"/>
      <c r="C58" t="s">
        <v>662</v>
      </c>
      <c r="D58" t="s">
        <v>48</v>
      </c>
      <c r="E58">
        <f>E46/6.25</f>
        <v>21.6</v>
      </c>
      <c r="F58" s="52"/>
    </row>
    <row r="59" spans="2:6" ht="14.25" customHeight="1" x14ac:dyDescent="0.45">
      <c r="B59" s="147"/>
      <c r="C59" t="s">
        <v>664</v>
      </c>
      <c r="D59" t="s">
        <v>663</v>
      </c>
      <c r="E59">
        <f>E58*E42</f>
        <v>122.14034264968193</v>
      </c>
      <c r="F59" s="52"/>
    </row>
    <row r="60" spans="2:6" ht="13.5" customHeight="1" x14ac:dyDescent="0.45">
      <c r="B60" s="147"/>
      <c r="C60" t="s">
        <v>667</v>
      </c>
      <c r="D60" t="s">
        <v>663</v>
      </c>
      <c r="E60">
        <f>E59*E56/100</f>
        <v>77.396263792348435</v>
      </c>
      <c r="F60" s="52"/>
    </row>
    <row r="61" spans="2:6" x14ac:dyDescent="0.45">
      <c r="B61" s="147"/>
      <c r="C61" t="s">
        <v>665</v>
      </c>
      <c r="D61" t="s">
        <v>663</v>
      </c>
      <c r="E61">
        <f>E59-E60</f>
        <v>44.744078857333491</v>
      </c>
      <c r="F61" s="52"/>
    </row>
    <row r="62" spans="2:6" x14ac:dyDescent="0.45">
      <c r="B62" s="147"/>
      <c r="C62" t="s">
        <v>668</v>
      </c>
      <c r="D62" t="s">
        <v>637</v>
      </c>
      <c r="E62" s="6">
        <f>(E61*365)/1000</f>
        <v>16.331588782926726</v>
      </c>
      <c r="F62" s="52"/>
    </row>
    <row r="63" spans="2:6" ht="42.75" x14ac:dyDescent="0.45">
      <c r="B63" s="147"/>
      <c r="C63" t="s">
        <v>671</v>
      </c>
      <c r="D63" t="s">
        <v>673</v>
      </c>
      <c r="E63">
        <f>E44/0.82</f>
        <v>16635.807702951592</v>
      </c>
      <c r="F63" s="84" t="s">
        <v>672</v>
      </c>
    </row>
    <row r="64" spans="2:6" ht="42.75" x14ac:dyDescent="0.45">
      <c r="B64" s="147"/>
      <c r="C64" t="s">
        <v>179</v>
      </c>
      <c r="D64" t="s">
        <v>673</v>
      </c>
      <c r="E64">
        <f>E63/(E56/100)</f>
        <v>26253.247295557485</v>
      </c>
      <c r="F64" s="84" t="s">
        <v>675</v>
      </c>
    </row>
    <row r="65" spans="1:6" ht="42.75" x14ac:dyDescent="0.45">
      <c r="B65" s="147"/>
      <c r="C65" t="s">
        <v>674</v>
      </c>
      <c r="D65" t="s">
        <v>123</v>
      </c>
      <c r="E65" s="6">
        <f>E64/E43</f>
        <v>12.719931781374401</v>
      </c>
      <c r="F65" s="52" t="s">
        <v>675</v>
      </c>
    </row>
    <row r="66" spans="1:6" x14ac:dyDescent="0.45">
      <c r="B66" s="147" t="s">
        <v>679</v>
      </c>
      <c r="C66" t="s">
        <v>680</v>
      </c>
      <c r="D66" t="s">
        <v>681</v>
      </c>
      <c r="E66">
        <f>Eco_brew!F81</f>
        <v>173.375</v>
      </c>
      <c r="F66" s="52"/>
    </row>
    <row r="67" spans="1:6" x14ac:dyDescent="0.45">
      <c r="B67" s="147"/>
      <c r="C67" t="s">
        <v>683</v>
      </c>
      <c r="D67" t="s">
        <v>682</v>
      </c>
      <c r="E67">
        <f>(E66/365)*1000</f>
        <v>475</v>
      </c>
      <c r="F67" s="52"/>
    </row>
    <row r="68" spans="1:6" x14ac:dyDescent="0.45">
      <c r="B68" s="147"/>
      <c r="F68" s="52"/>
    </row>
    <row r="69" spans="1:6" x14ac:dyDescent="0.45">
      <c r="B69" s="161" t="s">
        <v>738</v>
      </c>
      <c r="C69" t="s">
        <v>739</v>
      </c>
      <c r="D69" t="s">
        <v>67</v>
      </c>
      <c r="E69">
        <f>'Financial data Palopuro Baselin'!D36</f>
        <v>0.68181818181818177</v>
      </c>
      <c r="F69" s="52"/>
    </row>
    <row r="70" spans="1:6" x14ac:dyDescent="0.45">
      <c r="B70" s="161"/>
      <c r="C70" t="s">
        <v>740</v>
      </c>
      <c r="D70" t="s">
        <v>67</v>
      </c>
      <c r="E70">
        <f>'Financial data Palopuro Baselin'!D37</f>
        <v>0.31818181818181818</v>
      </c>
      <c r="F70" s="52"/>
    </row>
    <row r="71" spans="1:6" x14ac:dyDescent="0.45">
      <c r="B71" s="161"/>
      <c r="C71" t="s">
        <v>741</v>
      </c>
      <c r="D71" t="s">
        <v>781</v>
      </c>
      <c r="E71">
        <f>E73*E122</f>
        <v>784.94678679371623</v>
      </c>
      <c r="F71" s="52"/>
    </row>
    <row r="72" spans="1:6" x14ac:dyDescent="0.45">
      <c r="B72" s="161"/>
      <c r="C72" t="s">
        <v>741</v>
      </c>
      <c r="D72" t="s">
        <v>782</v>
      </c>
      <c r="E72">
        <f>E71/60</f>
        <v>13.082446446561937</v>
      </c>
      <c r="F72" s="52"/>
    </row>
    <row r="73" spans="1:6" ht="71.25" x14ac:dyDescent="0.45">
      <c r="B73" s="161"/>
      <c r="C73" t="s">
        <v>744</v>
      </c>
      <c r="D73" t="s">
        <v>776</v>
      </c>
      <c r="E73">
        <v>5.17</v>
      </c>
      <c r="F73" s="84" t="s">
        <v>747</v>
      </c>
    </row>
    <row r="74" spans="1:6" ht="71.25" x14ac:dyDescent="0.45">
      <c r="B74" s="161"/>
      <c r="C74" t="s">
        <v>745</v>
      </c>
      <c r="D74" t="s">
        <v>782</v>
      </c>
      <c r="E74">
        <f>E72*E70</f>
        <v>4.1625965966333434</v>
      </c>
      <c r="F74" s="52" t="s">
        <v>747</v>
      </c>
    </row>
    <row r="75" spans="1:6" ht="14.65" thickBot="1" x14ac:dyDescent="0.5">
      <c r="B75" s="162"/>
      <c r="C75" s="41" t="s">
        <v>746</v>
      </c>
      <c r="D75" s="41" t="s">
        <v>782</v>
      </c>
      <c r="E75" s="41">
        <f>E72*E69</f>
        <v>8.9198498499285925</v>
      </c>
      <c r="F75" s="85"/>
    </row>
    <row r="76" spans="1:6" x14ac:dyDescent="0.45">
      <c r="A76" s="48"/>
      <c r="B76" t="s">
        <v>923</v>
      </c>
      <c r="E76" s="35"/>
    </row>
    <row r="77" spans="1:6" x14ac:dyDescent="0.45">
      <c r="A77" s="147" t="s">
        <v>927</v>
      </c>
      <c r="B77" s="26" t="s">
        <v>748</v>
      </c>
      <c r="C77" t="s">
        <v>751</v>
      </c>
      <c r="D77" t="s">
        <v>799</v>
      </c>
      <c r="E77" s="35">
        <f>E14</f>
        <v>173.375</v>
      </c>
      <c r="F77"/>
    </row>
    <row r="78" spans="1:6" x14ac:dyDescent="0.45">
      <c r="A78" s="147"/>
      <c r="B78" s="26"/>
      <c r="C78" t="s">
        <v>752</v>
      </c>
      <c r="D78" t="s">
        <v>775</v>
      </c>
      <c r="E78" s="35">
        <f>F136</f>
        <v>674.0963855421686</v>
      </c>
      <c r="F78"/>
    </row>
    <row r="79" spans="1:6" x14ac:dyDescent="0.45">
      <c r="A79" s="147"/>
      <c r="B79" s="26"/>
      <c r="C79" t="s">
        <v>54</v>
      </c>
      <c r="D79" t="s">
        <v>782</v>
      </c>
      <c r="E79" s="35">
        <f>E75</f>
        <v>8.9198498499285925</v>
      </c>
      <c r="F79"/>
    </row>
    <row r="80" spans="1:6" x14ac:dyDescent="0.45">
      <c r="A80" s="147"/>
      <c r="B80" s="26"/>
      <c r="C80" t="s">
        <v>753</v>
      </c>
      <c r="D80" t="s">
        <v>782</v>
      </c>
      <c r="E80" s="35">
        <f>E74</f>
        <v>4.1625965966333434</v>
      </c>
      <c r="F80"/>
    </row>
    <row r="81" spans="1:6" x14ac:dyDescent="0.45">
      <c r="A81" s="147"/>
      <c r="B81" s="26"/>
      <c r="C81" t="s">
        <v>754</v>
      </c>
      <c r="D81" t="s">
        <v>178</v>
      </c>
      <c r="E81" s="35">
        <f>Basline_manure_data!D62</f>
        <v>22.277484121376514</v>
      </c>
    </row>
    <row r="82" spans="1:6" x14ac:dyDescent="0.45">
      <c r="A82" s="147"/>
      <c r="B82" s="26"/>
      <c r="C82" t="s">
        <v>755</v>
      </c>
      <c r="D82" t="s">
        <v>178</v>
      </c>
      <c r="E82" s="35">
        <f>Basline_manure_data!D78</f>
        <v>0.6</v>
      </c>
    </row>
    <row r="83" spans="1:6" x14ac:dyDescent="0.45">
      <c r="A83" s="147"/>
      <c r="B83" s="26" t="s">
        <v>749</v>
      </c>
      <c r="C83" t="s">
        <v>889</v>
      </c>
      <c r="D83" t="s">
        <v>950</v>
      </c>
      <c r="E83" s="35">
        <f>E35*0.7</f>
        <v>197.91259225642904</v>
      </c>
    </row>
    <row r="84" spans="1:6" x14ac:dyDescent="0.45">
      <c r="A84" s="147"/>
      <c r="B84" s="26"/>
      <c r="C84" t="s">
        <v>756</v>
      </c>
      <c r="D84" t="s">
        <v>62</v>
      </c>
      <c r="E84" s="35">
        <f>E35</f>
        <v>282.7322746520415</v>
      </c>
    </row>
    <row r="85" spans="1:6" x14ac:dyDescent="0.45">
      <c r="A85" s="147"/>
      <c r="B85" s="26"/>
      <c r="C85" t="s">
        <v>757</v>
      </c>
      <c r="D85" t="s">
        <v>67</v>
      </c>
      <c r="E85" s="35">
        <f>E123</f>
        <v>53.7</v>
      </c>
    </row>
    <row r="86" spans="1:6" x14ac:dyDescent="0.45">
      <c r="A86" s="147"/>
      <c r="B86" s="26"/>
      <c r="C86" t="s">
        <v>758</v>
      </c>
      <c r="D86" t="s">
        <v>766</v>
      </c>
      <c r="E86" s="35">
        <f>E113</f>
        <v>384.60666666666663</v>
      </c>
    </row>
    <row r="87" spans="1:6" x14ac:dyDescent="0.45">
      <c r="A87" s="147"/>
      <c r="B87" s="26" t="s">
        <v>750</v>
      </c>
      <c r="C87" t="s">
        <v>759</v>
      </c>
      <c r="D87" t="s">
        <v>591</v>
      </c>
      <c r="E87" s="35">
        <f>E67*365</f>
        <v>173375</v>
      </c>
    </row>
    <row r="88" spans="1:6" x14ac:dyDescent="0.45">
      <c r="A88" s="147"/>
      <c r="B88" s="26"/>
      <c r="C88" t="s">
        <v>760</v>
      </c>
      <c r="D88" t="s">
        <v>798</v>
      </c>
      <c r="E88" s="35">
        <v>7000</v>
      </c>
    </row>
    <row r="89" spans="1:6" x14ac:dyDescent="0.45">
      <c r="A89" s="147"/>
      <c r="B89" s="26"/>
      <c r="C89" t="s">
        <v>761</v>
      </c>
      <c r="D89" t="s">
        <v>47</v>
      </c>
      <c r="E89" s="35" t="s">
        <v>47</v>
      </c>
    </row>
    <row r="90" spans="1:6" x14ac:dyDescent="0.45">
      <c r="A90" s="147"/>
      <c r="B90" s="26"/>
      <c r="C90" t="s">
        <v>762</v>
      </c>
      <c r="D90" t="s">
        <v>47</v>
      </c>
      <c r="E90" s="35" t="s">
        <v>47</v>
      </c>
    </row>
    <row r="91" spans="1:6" x14ac:dyDescent="0.45">
      <c r="A91" s="147"/>
      <c r="B91" s="26"/>
      <c r="C91" t="s">
        <v>763</v>
      </c>
      <c r="D91" t="s">
        <v>797</v>
      </c>
      <c r="E91" s="35">
        <f>((E44/E93)*E93*(1+0.2*(E12/100)))</f>
        <v>112974.35236401383</v>
      </c>
    </row>
    <row r="92" spans="1:6" x14ac:dyDescent="0.45">
      <c r="A92" s="147"/>
      <c r="B92" s="26"/>
      <c r="C92" t="s">
        <v>764</v>
      </c>
      <c r="D92" t="s">
        <v>797</v>
      </c>
      <c r="E92" s="35">
        <f>(((E46*E43))/E93)*E93</f>
        <v>278632.6566695869</v>
      </c>
    </row>
    <row r="93" spans="1:6" ht="14.65" thickBot="1" x14ac:dyDescent="0.5">
      <c r="A93" s="148"/>
      <c r="B93" s="93"/>
      <c r="C93" s="41" t="s">
        <v>796</v>
      </c>
      <c r="D93" s="41" t="s">
        <v>62</v>
      </c>
      <c r="E93" s="43">
        <f>E35^0.75</f>
        <v>68.949566560701001</v>
      </c>
    </row>
    <row r="94" spans="1:6" ht="14.65" thickBot="1" x14ac:dyDescent="0.5">
      <c r="B94" s="26"/>
    </row>
    <row r="95" spans="1:6" x14ac:dyDescent="0.45">
      <c r="A95" s="170" t="s">
        <v>928</v>
      </c>
      <c r="B95" s="166" t="s">
        <v>929</v>
      </c>
      <c r="C95" s="44" t="s">
        <v>31</v>
      </c>
      <c r="D95" s="44" t="s">
        <v>942</v>
      </c>
      <c r="E95" s="44">
        <f>E86/100</f>
        <v>3.8460666666666663</v>
      </c>
      <c r="F95" s="50"/>
    </row>
    <row r="96" spans="1:6" x14ac:dyDescent="0.45">
      <c r="A96" s="147"/>
      <c r="B96" s="140"/>
      <c r="C96" t="s">
        <v>929</v>
      </c>
      <c r="D96" t="s">
        <v>631</v>
      </c>
      <c r="E96">
        <f>E41</f>
        <v>0.65803098360598655</v>
      </c>
      <c r="F96" s="52"/>
    </row>
    <row r="97" spans="1:6" x14ac:dyDescent="0.45">
      <c r="A97" s="147"/>
      <c r="B97" s="140"/>
      <c r="C97" t="s">
        <v>930</v>
      </c>
      <c r="D97" t="s">
        <v>943</v>
      </c>
      <c r="E97">
        <f>E85/100</f>
        <v>0.53700000000000003</v>
      </c>
      <c r="F97" s="52"/>
    </row>
    <row r="98" spans="1:6" ht="28.5" x14ac:dyDescent="0.45">
      <c r="A98" s="147"/>
      <c r="B98" s="140"/>
      <c r="C98" t="s">
        <v>32</v>
      </c>
      <c r="D98" t="s">
        <v>45</v>
      </c>
      <c r="E98">
        <v>30.9</v>
      </c>
      <c r="F98" s="52" t="s">
        <v>944</v>
      </c>
    </row>
    <row r="99" spans="1:6" ht="28.5" x14ac:dyDescent="0.45">
      <c r="A99" s="147"/>
      <c r="B99" s="140"/>
      <c r="C99" t="s">
        <v>33</v>
      </c>
      <c r="D99" t="s">
        <v>45</v>
      </c>
      <c r="E99">
        <v>1.1000000000000001</v>
      </c>
      <c r="F99" s="52" t="s">
        <v>944</v>
      </c>
    </row>
    <row r="100" spans="1:6" ht="28.5" x14ac:dyDescent="0.45">
      <c r="A100" s="147"/>
      <c r="B100" s="140"/>
      <c r="C100" t="s">
        <v>64</v>
      </c>
      <c r="D100" t="s">
        <v>45</v>
      </c>
      <c r="E100">
        <f>E106/6.25</f>
        <v>3.3680000000000003</v>
      </c>
      <c r="F100" s="52" t="s">
        <v>944</v>
      </c>
    </row>
    <row r="101" spans="1:6" x14ac:dyDescent="0.45">
      <c r="A101" s="147"/>
      <c r="B101" s="140"/>
      <c r="C101" t="s">
        <v>65</v>
      </c>
      <c r="D101" t="s">
        <v>45</v>
      </c>
      <c r="E101" t="s">
        <v>47</v>
      </c>
      <c r="F101" s="52"/>
    </row>
    <row r="102" spans="1:6" x14ac:dyDescent="0.45">
      <c r="A102" s="147"/>
      <c r="B102" s="140"/>
      <c r="C102" t="s">
        <v>66</v>
      </c>
      <c r="D102" t="s">
        <v>45</v>
      </c>
      <c r="E102" t="s">
        <v>47</v>
      </c>
      <c r="F102" s="52"/>
    </row>
    <row r="103" spans="1:6" ht="28.5" x14ac:dyDescent="0.45">
      <c r="A103" s="147"/>
      <c r="B103" s="140" t="s">
        <v>931</v>
      </c>
      <c r="C103" t="s">
        <v>932</v>
      </c>
      <c r="D103" t="s">
        <v>941</v>
      </c>
      <c r="E103">
        <v>162</v>
      </c>
      <c r="F103" s="52" t="s">
        <v>944</v>
      </c>
    </row>
    <row r="104" spans="1:6" ht="42.75" x14ac:dyDescent="0.45">
      <c r="A104" s="147"/>
      <c r="B104" s="140"/>
      <c r="C104" t="s">
        <v>933</v>
      </c>
      <c r="D104" t="s">
        <v>45</v>
      </c>
      <c r="E104">
        <v>0</v>
      </c>
      <c r="F104" s="52" t="s">
        <v>945</v>
      </c>
    </row>
    <row r="105" spans="1:6" ht="42.75" x14ac:dyDescent="0.45">
      <c r="A105" s="147"/>
      <c r="B105" s="140"/>
      <c r="C105" t="s">
        <v>934</v>
      </c>
      <c r="D105" t="s">
        <v>45</v>
      </c>
      <c r="E105">
        <v>0</v>
      </c>
      <c r="F105" s="52" t="s">
        <v>945</v>
      </c>
    </row>
    <row r="106" spans="1:6" ht="28.5" x14ac:dyDescent="0.45">
      <c r="A106" s="147"/>
      <c r="B106" s="140"/>
      <c r="C106" t="s">
        <v>38</v>
      </c>
      <c r="D106" t="s">
        <v>45</v>
      </c>
      <c r="E106">
        <v>21.05</v>
      </c>
      <c r="F106" s="52" t="s">
        <v>944</v>
      </c>
    </row>
    <row r="107" spans="1:6" ht="42.75" x14ac:dyDescent="0.45">
      <c r="A107" s="147"/>
      <c r="B107" s="140"/>
      <c r="C107" t="s">
        <v>935</v>
      </c>
      <c r="D107" t="s">
        <v>45</v>
      </c>
      <c r="E107">
        <v>9.4</v>
      </c>
      <c r="F107" s="52" t="s">
        <v>945</v>
      </c>
    </row>
    <row r="108" spans="1:6" x14ac:dyDescent="0.45">
      <c r="A108" s="147"/>
      <c r="B108" s="140" t="s">
        <v>750</v>
      </c>
      <c r="C108" t="s">
        <v>936</v>
      </c>
      <c r="D108" t="s">
        <v>940</v>
      </c>
      <c r="E108" t="s">
        <v>47</v>
      </c>
      <c r="F108" s="52"/>
    </row>
    <row r="109" spans="1:6" x14ac:dyDescent="0.45">
      <c r="A109" s="147"/>
      <c r="B109" s="140"/>
      <c r="C109" t="s">
        <v>937</v>
      </c>
      <c r="D109" t="s">
        <v>48</v>
      </c>
      <c r="E109" t="s">
        <v>47</v>
      </c>
      <c r="F109" s="52"/>
    </row>
    <row r="110" spans="1:6" x14ac:dyDescent="0.45">
      <c r="A110" s="147"/>
      <c r="B110" s="140"/>
      <c r="C110" t="s">
        <v>938</v>
      </c>
      <c r="D110" t="s">
        <v>946</v>
      </c>
      <c r="E110">
        <f>E37/E41</f>
        <v>56.79610279541383</v>
      </c>
      <c r="F110" s="52"/>
    </row>
    <row r="111" spans="1:6" ht="14.65" thickBot="1" x14ac:dyDescent="0.5">
      <c r="A111" s="148"/>
      <c r="B111" s="151"/>
      <c r="C111" s="41" t="s">
        <v>939</v>
      </c>
      <c r="D111" s="41" t="s">
        <v>947</v>
      </c>
      <c r="E111" s="41">
        <f>(E46*E42)/E41</f>
        <v>1160.093005616897</v>
      </c>
      <c r="F111" s="85"/>
    </row>
    <row r="112" spans="1:6" ht="14.65" thickBot="1" x14ac:dyDescent="0.5">
      <c r="B112" s="26"/>
    </row>
    <row r="113" spans="2:7" ht="28.5" x14ac:dyDescent="0.45">
      <c r="B113" s="169" t="s">
        <v>742</v>
      </c>
      <c r="C113" s="44" t="s">
        <v>743</v>
      </c>
      <c r="D113" s="44" t="s">
        <v>766</v>
      </c>
      <c r="E113" s="44">
        <f>AVERAGE(354.76,360.24,438.82)</f>
        <v>384.60666666666663</v>
      </c>
      <c r="F113" s="50" t="s">
        <v>767</v>
      </c>
    </row>
    <row r="114" spans="2:7" x14ac:dyDescent="0.45">
      <c r="B114" s="161"/>
      <c r="C114" t="s">
        <v>765</v>
      </c>
      <c r="D114" t="s">
        <v>768</v>
      </c>
      <c r="E114">
        <v>530</v>
      </c>
      <c r="F114" s="52"/>
    </row>
    <row r="115" spans="2:7" x14ac:dyDescent="0.45">
      <c r="B115" s="161"/>
      <c r="C115" t="s">
        <v>769</v>
      </c>
      <c r="D115" t="s">
        <v>12</v>
      </c>
      <c r="E115">
        <v>0.6</v>
      </c>
      <c r="F115" s="52"/>
    </row>
    <row r="116" spans="2:7" x14ac:dyDescent="0.45">
      <c r="B116" s="161"/>
      <c r="C116" t="s">
        <v>770</v>
      </c>
      <c r="D116" t="s">
        <v>771</v>
      </c>
      <c r="E116">
        <f>E114*E115</f>
        <v>318</v>
      </c>
      <c r="F116" s="52"/>
    </row>
    <row r="117" spans="2:7" ht="27.75" customHeight="1" x14ac:dyDescent="0.45">
      <c r="B117" s="161" t="s">
        <v>774</v>
      </c>
      <c r="C117" t="s">
        <v>783</v>
      </c>
      <c r="D117" t="s">
        <v>771</v>
      </c>
      <c r="E117">
        <v>744</v>
      </c>
      <c r="F117" s="52" t="s">
        <v>773</v>
      </c>
    </row>
    <row r="118" spans="2:7" ht="17.25" customHeight="1" x14ac:dyDescent="0.45">
      <c r="B118" s="161"/>
      <c r="C118" t="s">
        <v>795</v>
      </c>
      <c r="D118" t="s">
        <v>791</v>
      </c>
      <c r="E118">
        <v>8844</v>
      </c>
      <c r="F118" s="84" t="s">
        <v>784</v>
      </c>
    </row>
    <row r="119" spans="2:7" ht="19.5" customHeight="1" x14ac:dyDescent="0.45">
      <c r="B119" s="161"/>
      <c r="C119" t="s">
        <v>792</v>
      </c>
      <c r="D119" t="s">
        <v>793</v>
      </c>
      <c r="E119">
        <v>526</v>
      </c>
      <c r="F119" s="84" t="s">
        <v>784</v>
      </c>
    </row>
    <row r="120" spans="2:7" ht="18" customHeight="1" x14ac:dyDescent="0.45">
      <c r="B120" s="161"/>
      <c r="C120" t="s">
        <v>794</v>
      </c>
      <c r="D120" t="s">
        <v>794</v>
      </c>
      <c r="E120">
        <v>17</v>
      </c>
      <c r="F120" s="84" t="s">
        <v>784</v>
      </c>
    </row>
    <row r="121" spans="2:7" x14ac:dyDescent="0.45">
      <c r="B121" s="161"/>
      <c r="F121" s="52"/>
    </row>
    <row r="122" spans="2:7" x14ac:dyDescent="0.45">
      <c r="B122" s="161" t="s">
        <v>952</v>
      </c>
      <c r="C122" t="s">
        <v>777</v>
      </c>
      <c r="D122" t="s">
        <v>62</v>
      </c>
      <c r="E122">
        <f>E35*(E123*0.01)</f>
        <v>151.82723148814628</v>
      </c>
      <c r="F122" s="52" t="s">
        <v>780</v>
      </c>
    </row>
    <row r="123" spans="2:7" x14ac:dyDescent="0.45">
      <c r="B123" s="161"/>
      <c r="C123" t="s">
        <v>778</v>
      </c>
      <c r="D123" t="s">
        <v>67</v>
      </c>
      <c r="E123">
        <v>53.7</v>
      </c>
      <c r="F123" s="52" t="s">
        <v>779</v>
      </c>
    </row>
    <row r="124" spans="2:7" ht="28.5" x14ac:dyDescent="0.45">
      <c r="B124" s="161"/>
      <c r="C124" t="s">
        <v>785</v>
      </c>
      <c r="D124" t="s">
        <v>786</v>
      </c>
      <c r="E124">
        <v>387</v>
      </c>
      <c r="F124" s="52" t="s">
        <v>787</v>
      </c>
    </row>
    <row r="125" spans="2:7" x14ac:dyDescent="0.45">
      <c r="B125" s="161"/>
      <c r="C125" t="s">
        <v>788</v>
      </c>
      <c r="D125" t="s">
        <v>789</v>
      </c>
      <c r="E125">
        <v>7000</v>
      </c>
      <c r="F125" s="52" t="s">
        <v>790</v>
      </c>
    </row>
    <row r="126" spans="2:7" ht="43.15" thickBot="1" x14ac:dyDescent="0.5">
      <c r="B126" s="162"/>
      <c r="C126" s="41" t="s">
        <v>800</v>
      </c>
      <c r="D126" s="41" t="s">
        <v>801</v>
      </c>
      <c r="E126" s="41">
        <v>0.6</v>
      </c>
      <c r="F126" s="85" t="s">
        <v>802</v>
      </c>
    </row>
    <row r="127" spans="2:7" ht="14.65" thickBot="1" x14ac:dyDescent="0.5"/>
    <row r="128" spans="2:7" x14ac:dyDescent="0.45">
      <c r="B128" s="48"/>
      <c r="C128" s="49"/>
      <c r="D128" s="44"/>
      <c r="E128" s="44" t="s">
        <v>775</v>
      </c>
      <c r="F128" s="49" t="s">
        <v>951</v>
      </c>
      <c r="G128" s="50"/>
    </row>
    <row r="129" spans="2:7" ht="28.5" x14ac:dyDescent="0.45">
      <c r="B129" s="147"/>
      <c r="C129" s="12" t="s">
        <v>804</v>
      </c>
      <c r="E129">
        <v>11900</v>
      </c>
      <c r="F129">
        <f t="shared" ref="F129:F134" si="0">E129/$E$135</f>
        <v>238.9558232931727</v>
      </c>
      <c r="G129" s="84" t="s">
        <v>809</v>
      </c>
    </row>
    <row r="130" spans="2:7" ht="28.5" x14ac:dyDescent="0.45">
      <c r="B130" s="147"/>
      <c r="C130" s="12" t="s">
        <v>805</v>
      </c>
      <c r="E130">
        <v>1990</v>
      </c>
      <c r="F130">
        <f t="shared" si="0"/>
        <v>39.959839357429722</v>
      </c>
      <c r="G130" s="84" t="s">
        <v>809</v>
      </c>
    </row>
    <row r="131" spans="2:7" ht="28.5" x14ac:dyDescent="0.45">
      <c r="B131" s="147"/>
      <c r="C131" s="12" t="s">
        <v>803</v>
      </c>
      <c r="E131">
        <v>5560</v>
      </c>
      <c r="F131">
        <f t="shared" si="0"/>
        <v>111.64658634538154</v>
      </c>
      <c r="G131" s="84" t="s">
        <v>809</v>
      </c>
    </row>
    <row r="132" spans="2:7" ht="28.5" x14ac:dyDescent="0.45">
      <c r="B132" s="147"/>
      <c r="C132" s="12" t="s">
        <v>806</v>
      </c>
      <c r="E132">
        <v>11100</v>
      </c>
      <c r="F132">
        <f t="shared" si="0"/>
        <v>222.89156626506025</v>
      </c>
      <c r="G132" s="84" t="s">
        <v>809</v>
      </c>
    </row>
    <row r="133" spans="2:7" ht="28.5" x14ac:dyDescent="0.45">
      <c r="B133" s="147"/>
      <c r="C133" s="12" t="s">
        <v>807</v>
      </c>
      <c r="E133">
        <v>15200</v>
      </c>
      <c r="F133">
        <f t="shared" si="0"/>
        <v>305.22088353413659</v>
      </c>
      <c r="G133" s="84" t="s">
        <v>809</v>
      </c>
    </row>
    <row r="134" spans="2:7" ht="28.5" x14ac:dyDescent="0.45">
      <c r="B134" s="147"/>
      <c r="C134" s="12" t="s">
        <v>808</v>
      </c>
      <c r="E134">
        <v>10200</v>
      </c>
      <c r="F134">
        <f t="shared" si="0"/>
        <v>204.81927710843374</v>
      </c>
      <c r="G134" s="84" t="s">
        <v>809</v>
      </c>
    </row>
    <row r="135" spans="2:7" x14ac:dyDescent="0.45">
      <c r="B135" s="86"/>
      <c r="C135" s="12" t="s">
        <v>949</v>
      </c>
      <c r="E135">
        <v>49.8</v>
      </c>
      <c r="F135" s="6">
        <f>SUM(F129:F134)</f>
        <v>1123.4939759036145</v>
      </c>
      <c r="G135" s="52"/>
    </row>
    <row r="136" spans="2:7" ht="14.65" thickBot="1" x14ac:dyDescent="0.5">
      <c r="B136" s="47"/>
      <c r="C136" s="83"/>
      <c r="D136" s="41"/>
      <c r="E136" s="41"/>
      <c r="F136" s="95">
        <f>F135*E126</f>
        <v>674.0963855421686</v>
      </c>
      <c r="G136" s="85"/>
    </row>
    <row r="137" spans="2:7" ht="28.5" customHeight="1" thickBot="1" x14ac:dyDescent="0.5"/>
    <row r="138" spans="2:7" ht="15" customHeight="1" x14ac:dyDescent="0.45">
      <c r="B138" s="48"/>
      <c r="C138" s="44" t="s">
        <v>676</v>
      </c>
      <c r="D138" s="44"/>
      <c r="E138" s="44"/>
      <c r="F138" s="49"/>
      <c r="G138" s="45"/>
    </row>
    <row r="139" spans="2:7" x14ac:dyDescent="0.45">
      <c r="B139" s="36" t="s">
        <v>677</v>
      </c>
      <c r="C139" t="s">
        <v>678</v>
      </c>
      <c r="D139" t="s">
        <v>685</v>
      </c>
      <c r="E139" t="s">
        <v>686</v>
      </c>
      <c r="F139" s="12" t="s">
        <v>687</v>
      </c>
      <c r="G139" s="35" t="s">
        <v>180</v>
      </c>
    </row>
    <row r="140" spans="2:7" ht="28.5" x14ac:dyDescent="0.45">
      <c r="B140" s="46" t="s">
        <v>684</v>
      </c>
      <c r="C140" t="s">
        <v>689</v>
      </c>
      <c r="D140" t="s">
        <v>688</v>
      </c>
      <c r="E140">
        <v>0</v>
      </c>
      <c r="F140" s="12">
        <f>((4.8*Baseline_crop_data!R11)+(0.5*Baseline_crop_data!V11))</f>
        <v>597.72299999999996</v>
      </c>
      <c r="G140" s="52" t="s">
        <v>692</v>
      </c>
    </row>
    <row r="141" spans="2:7" ht="57" x14ac:dyDescent="0.45">
      <c r="B141" s="46"/>
      <c r="C141" t="s">
        <v>690</v>
      </c>
      <c r="D141" t="s">
        <v>691</v>
      </c>
      <c r="E141">
        <v>50</v>
      </c>
      <c r="F141" s="12">
        <f>F140*6</f>
        <v>3586.3379999999997</v>
      </c>
      <c r="G141" s="52" t="s">
        <v>697</v>
      </c>
    </row>
    <row r="142" spans="2:7" x14ac:dyDescent="0.45">
      <c r="B142" s="46" t="s">
        <v>693</v>
      </c>
      <c r="C142" t="s">
        <v>694</v>
      </c>
      <c r="D142" t="s">
        <v>197</v>
      </c>
      <c r="E142">
        <v>0</v>
      </c>
      <c r="F142" s="12" t="s">
        <v>696</v>
      </c>
      <c r="G142" s="35"/>
    </row>
    <row r="143" spans="2:7" x14ac:dyDescent="0.45">
      <c r="B143" s="46"/>
      <c r="C143" t="s">
        <v>695</v>
      </c>
      <c r="D143" t="s">
        <v>197</v>
      </c>
      <c r="E143">
        <v>0</v>
      </c>
      <c r="F143" s="12" t="s">
        <v>696</v>
      </c>
      <c r="G143" s="35"/>
    </row>
    <row r="144" spans="2:7" ht="14.65" thickBot="1" x14ac:dyDescent="0.5">
      <c r="B144" s="47"/>
      <c r="C144" s="41" t="s">
        <v>711</v>
      </c>
      <c r="D144" s="41" t="s">
        <v>42</v>
      </c>
      <c r="E144" s="41">
        <v>0</v>
      </c>
      <c r="F144" s="83" t="s">
        <v>696</v>
      </c>
      <c r="G144" s="43"/>
    </row>
    <row r="148" spans="2:7" ht="14.65" thickBot="1" x14ac:dyDescent="0.5"/>
    <row r="149" spans="2:7" x14ac:dyDescent="0.45">
      <c r="B149" s="48" t="s">
        <v>817</v>
      </c>
      <c r="C149" s="44"/>
      <c r="D149" s="44"/>
      <c r="E149" s="44"/>
      <c r="F149" s="49" t="s">
        <v>826</v>
      </c>
      <c r="G149" s="45"/>
    </row>
    <row r="150" spans="2:7" x14ac:dyDescent="0.45">
      <c r="B150" s="36" t="s">
        <v>818</v>
      </c>
      <c r="C150" t="s">
        <v>835</v>
      </c>
      <c r="D150" t="s">
        <v>836</v>
      </c>
      <c r="E150" t="s">
        <v>837</v>
      </c>
      <c r="F150" s="12" t="s">
        <v>100</v>
      </c>
      <c r="G150" s="35" t="s">
        <v>827</v>
      </c>
    </row>
    <row r="151" spans="2:7" x14ac:dyDescent="0.45">
      <c r="B151" s="46" t="s">
        <v>819</v>
      </c>
      <c r="C151" t="s">
        <v>101</v>
      </c>
      <c r="D151">
        <v>57.14</v>
      </c>
      <c r="E151">
        <f t="shared" ref="E151:E164" si="1">(D151/$D$167)*100</f>
        <v>15.898720089037283</v>
      </c>
      <c r="F151" s="12">
        <v>0</v>
      </c>
      <c r="G151" s="35">
        <f>$D$167*0.2</f>
        <v>71.88000000000001</v>
      </c>
    </row>
    <row r="152" spans="2:7" x14ac:dyDescent="0.45">
      <c r="B152" s="46"/>
      <c r="C152" t="s">
        <v>103</v>
      </c>
      <c r="D152">
        <v>15.13</v>
      </c>
      <c r="E152">
        <f t="shared" si="1"/>
        <v>4.2097941012799112</v>
      </c>
      <c r="F152" s="12">
        <v>0</v>
      </c>
      <c r="G152" s="35">
        <f>$D$167*0.2</f>
        <v>71.88000000000001</v>
      </c>
    </row>
    <row r="153" spans="2:7" x14ac:dyDescent="0.45">
      <c r="B153" s="46"/>
      <c r="C153" t="s">
        <v>102</v>
      </c>
      <c r="D153">
        <v>15.79</v>
      </c>
      <c r="E153">
        <f t="shared" si="1"/>
        <v>4.393433500278241</v>
      </c>
      <c r="F153" s="12">
        <v>0</v>
      </c>
      <c r="G153" s="35">
        <f>$D$167*0.2</f>
        <v>71.88000000000001</v>
      </c>
    </row>
    <row r="154" spans="2:7" x14ac:dyDescent="0.45">
      <c r="B154" s="46"/>
      <c r="C154" t="s">
        <v>106</v>
      </c>
      <c r="D154">
        <v>49.43</v>
      </c>
      <c r="E154">
        <f t="shared" si="1"/>
        <v>13.75347801892042</v>
      </c>
      <c r="F154" s="12">
        <v>0</v>
      </c>
      <c r="G154" s="35">
        <f>$D$167*0.2</f>
        <v>71.88000000000001</v>
      </c>
    </row>
    <row r="155" spans="2:7" x14ac:dyDescent="0.45">
      <c r="B155" s="46"/>
      <c r="C155" t="s">
        <v>828</v>
      </c>
      <c r="D155">
        <f>SUM(D151:D154)</f>
        <v>137.49</v>
      </c>
      <c r="E155">
        <f t="shared" si="1"/>
        <v>38.255425709515862</v>
      </c>
      <c r="F155" s="12">
        <v>0</v>
      </c>
      <c r="G155" s="35">
        <f>SUM(G151:G154)</f>
        <v>287.52000000000004</v>
      </c>
    </row>
    <row r="156" spans="2:7" x14ac:dyDescent="0.45">
      <c r="B156" s="87" t="s">
        <v>820</v>
      </c>
      <c r="C156" t="s">
        <v>104</v>
      </c>
      <c r="D156">
        <v>0</v>
      </c>
      <c r="E156">
        <f t="shared" si="1"/>
        <v>0</v>
      </c>
      <c r="F156" s="12">
        <v>0</v>
      </c>
      <c r="G156" s="35">
        <f>$D$167*0.2</f>
        <v>71.88000000000001</v>
      </c>
    </row>
    <row r="157" spans="2:7" x14ac:dyDescent="0.45">
      <c r="B157" s="87"/>
      <c r="C157" t="s">
        <v>105</v>
      </c>
      <c r="D157">
        <v>32.92</v>
      </c>
      <c r="E157">
        <f t="shared" si="1"/>
        <v>9.1597106288258203</v>
      </c>
      <c r="F157" s="12">
        <v>0</v>
      </c>
      <c r="G157" s="35">
        <f>$D$167*0.2</f>
        <v>71.88000000000001</v>
      </c>
    </row>
    <row r="158" spans="2:7" x14ac:dyDescent="0.45">
      <c r="B158" s="87"/>
      <c r="C158" t="s">
        <v>829</v>
      </c>
      <c r="D158">
        <f>SUM(D156:D157)</f>
        <v>32.92</v>
      </c>
      <c r="E158">
        <f t="shared" si="1"/>
        <v>9.1597106288258203</v>
      </c>
      <c r="F158" s="12">
        <v>0</v>
      </c>
      <c r="G158" s="35">
        <f>SUM(G156:G157)</f>
        <v>143.76000000000002</v>
      </c>
    </row>
    <row r="159" spans="2:7" x14ac:dyDescent="0.45">
      <c r="B159" s="46" t="s">
        <v>821</v>
      </c>
      <c r="C159" t="s">
        <v>322</v>
      </c>
      <c r="D159">
        <v>41.11</v>
      </c>
      <c r="E159">
        <f t="shared" si="1"/>
        <v>11.438508625486921</v>
      </c>
      <c r="F159" s="12">
        <v>0</v>
      </c>
      <c r="G159" s="35">
        <f>$D$167*0.2</f>
        <v>71.88000000000001</v>
      </c>
    </row>
    <row r="160" spans="2:7" x14ac:dyDescent="0.45">
      <c r="B160" s="46"/>
      <c r="C160" t="s">
        <v>830</v>
      </c>
      <c r="D160">
        <f>D159</f>
        <v>41.11</v>
      </c>
      <c r="E160">
        <f t="shared" si="1"/>
        <v>11.438508625486921</v>
      </c>
      <c r="F160" s="12">
        <v>0</v>
      </c>
      <c r="G160" s="35">
        <f>G159</f>
        <v>71.88000000000001</v>
      </c>
    </row>
    <row r="161" spans="2:7" x14ac:dyDescent="0.45">
      <c r="B161" s="46" t="s">
        <v>822</v>
      </c>
      <c r="C161" t="s">
        <v>831</v>
      </c>
      <c r="D161">
        <v>121.81</v>
      </c>
      <c r="E161">
        <f t="shared" si="1"/>
        <v>33.892598775737341</v>
      </c>
      <c r="F161" s="12">
        <v>0</v>
      </c>
      <c r="G161" s="35">
        <f>$D$167*0.4</f>
        <v>143.76000000000002</v>
      </c>
    </row>
    <row r="162" spans="2:7" x14ac:dyDescent="0.45">
      <c r="B162" s="46"/>
      <c r="C162" t="s">
        <v>832</v>
      </c>
      <c r="D162">
        <f>D161</f>
        <v>121.81</v>
      </c>
      <c r="E162">
        <f t="shared" si="1"/>
        <v>33.892598775737341</v>
      </c>
      <c r="F162" s="12">
        <v>0</v>
      </c>
      <c r="G162" s="35">
        <f>$D$167*0.4</f>
        <v>143.76000000000002</v>
      </c>
    </row>
    <row r="163" spans="2:7" x14ac:dyDescent="0.45">
      <c r="B163" s="161" t="s">
        <v>118</v>
      </c>
      <c r="C163" t="s">
        <v>118</v>
      </c>
      <c r="D163">
        <v>26.07</v>
      </c>
      <c r="E163">
        <f t="shared" si="1"/>
        <v>7.2537562604340566</v>
      </c>
      <c r="F163" s="12">
        <v>24</v>
      </c>
      <c r="G163" s="35">
        <v>27</v>
      </c>
    </row>
    <row r="164" spans="2:7" x14ac:dyDescent="0.45">
      <c r="B164" s="161"/>
      <c r="C164" t="s">
        <v>833</v>
      </c>
      <c r="D164">
        <f>D163</f>
        <v>26.07</v>
      </c>
      <c r="E164">
        <f t="shared" si="1"/>
        <v>7.2537562604340566</v>
      </c>
      <c r="F164" s="12">
        <v>0</v>
      </c>
      <c r="G164" s="35">
        <f>G163</f>
        <v>27</v>
      </c>
    </row>
    <row r="165" spans="2:7" x14ac:dyDescent="0.45">
      <c r="B165" s="161" t="s">
        <v>834</v>
      </c>
      <c r="C165" t="s">
        <v>823</v>
      </c>
      <c r="D165">
        <f>SUM(D155,D158,D160)</f>
        <v>211.52000000000004</v>
      </c>
      <c r="E165">
        <f>SUM(E155,E158,E160)</f>
        <v>58.8536449638286</v>
      </c>
      <c r="F165" s="12">
        <v>0</v>
      </c>
      <c r="G165" s="35">
        <f>SUM(G155,G158,G160)</f>
        <v>503.16000000000008</v>
      </c>
    </row>
    <row r="166" spans="2:7" x14ac:dyDescent="0.45">
      <c r="B166" s="161"/>
      <c r="C166" t="s">
        <v>824</v>
      </c>
      <c r="D166">
        <f>SUM(D162,D164)</f>
        <v>147.88</v>
      </c>
      <c r="E166">
        <f>SUM(E162,E164)</f>
        <v>41.1463550361714</v>
      </c>
      <c r="F166" s="12">
        <f t="shared" ref="F166" si="2">SUM(F162,F164)</f>
        <v>0</v>
      </c>
      <c r="G166" s="35">
        <f>SUM(G162,G164)</f>
        <v>170.76000000000002</v>
      </c>
    </row>
    <row r="167" spans="2:7" ht="31.5" customHeight="1" thickBot="1" x14ac:dyDescent="0.5">
      <c r="B167" s="162"/>
      <c r="C167" s="41" t="s">
        <v>825</v>
      </c>
      <c r="D167" s="41">
        <f>SUM(D165:D166)</f>
        <v>359.40000000000003</v>
      </c>
      <c r="E167" s="41">
        <f>SUM(E165:E166)</f>
        <v>100</v>
      </c>
      <c r="F167" s="83">
        <f>SUM(F165:F166)</f>
        <v>0</v>
      </c>
      <c r="G167" s="43">
        <f>SUM(G165:G166)</f>
        <v>673.92000000000007</v>
      </c>
    </row>
    <row r="168" spans="2:7" ht="60.75" customHeight="1" thickBot="1" x14ac:dyDescent="0.5"/>
    <row r="169" spans="2:7" x14ac:dyDescent="0.45">
      <c r="B169" s="48" t="s">
        <v>838</v>
      </c>
      <c r="C169" s="44"/>
      <c r="D169" s="44"/>
      <c r="E169" s="45"/>
    </row>
    <row r="170" spans="2:7" x14ac:dyDescent="0.45">
      <c r="B170" s="36"/>
      <c r="D170" t="s">
        <v>836</v>
      </c>
      <c r="E170" s="35" t="s">
        <v>837</v>
      </c>
    </row>
    <row r="171" spans="2:7" x14ac:dyDescent="0.45">
      <c r="B171" s="161" t="s">
        <v>839</v>
      </c>
      <c r="C171" t="s">
        <v>840</v>
      </c>
      <c r="D171">
        <f>D173*0.5</f>
        <v>179.70000000000002</v>
      </c>
      <c r="E171" s="35">
        <f>(D171/$D$173)*100</f>
        <v>50</v>
      </c>
    </row>
    <row r="172" spans="2:7" x14ac:dyDescent="0.45">
      <c r="B172" s="161"/>
      <c r="C172" t="s">
        <v>159</v>
      </c>
      <c r="D172">
        <f>D173*0.5</f>
        <v>179.70000000000002</v>
      </c>
      <c r="E172" s="35">
        <f>(D172/$D$173)*100</f>
        <v>50</v>
      </c>
    </row>
    <row r="173" spans="2:7" ht="14.65" thickBot="1" x14ac:dyDescent="0.5">
      <c r="B173" s="40"/>
      <c r="C173" s="41" t="s">
        <v>429</v>
      </c>
      <c r="D173" s="41">
        <f>D167</f>
        <v>359.40000000000003</v>
      </c>
      <c r="E173" s="43"/>
    </row>
    <row r="175" spans="2:7" x14ac:dyDescent="0.45">
      <c r="B175" t="s">
        <v>970</v>
      </c>
    </row>
    <row r="176" spans="2:7" x14ac:dyDescent="0.45">
      <c r="B176" t="s">
        <v>971</v>
      </c>
      <c r="C176" t="s">
        <v>848</v>
      </c>
      <c r="D176" t="s">
        <v>972</v>
      </c>
      <c r="E176" t="s">
        <v>973</v>
      </c>
    </row>
    <row r="177" spans="2:5" x14ac:dyDescent="0.45">
      <c r="B177" t="s">
        <v>104</v>
      </c>
      <c r="C177" t="s">
        <v>974</v>
      </c>
      <c r="D177">
        <v>1104</v>
      </c>
      <c r="E177">
        <v>79355.520000000004</v>
      </c>
    </row>
    <row r="178" spans="2:5" x14ac:dyDescent="0.45">
      <c r="C178" t="s">
        <v>975</v>
      </c>
      <c r="D178">
        <v>1435.2000000000003</v>
      </c>
      <c r="E178">
        <v>103162.17600000004</v>
      </c>
    </row>
    <row r="179" spans="2:5" ht="16.149999999999999" customHeight="1" x14ac:dyDescent="0.45">
      <c r="B179" t="s">
        <v>106</v>
      </c>
      <c r="C179" t="s">
        <v>106</v>
      </c>
      <c r="D179">
        <v>860.00000000000011</v>
      </c>
      <c r="E179">
        <v>61816.800000000017</v>
      </c>
    </row>
    <row r="180" spans="2:5" x14ac:dyDescent="0.45">
      <c r="C180" t="s">
        <v>116</v>
      </c>
      <c r="D180">
        <v>1404.6666666666667</v>
      </c>
      <c r="E180">
        <v>100967.44000000002</v>
      </c>
    </row>
    <row r="181" spans="2:5" x14ac:dyDescent="0.45">
      <c r="B181" t="s">
        <v>322</v>
      </c>
      <c r="C181" t="s">
        <v>322</v>
      </c>
      <c r="D181">
        <v>1557</v>
      </c>
      <c r="E181">
        <v>111917.16000000002</v>
      </c>
    </row>
    <row r="182" spans="2:5" x14ac:dyDescent="0.45">
      <c r="C182" t="s">
        <v>324</v>
      </c>
      <c r="D182">
        <v>1089.8999999999999</v>
      </c>
      <c r="E182">
        <v>78342.012000000002</v>
      </c>
    </row>
    <row r="183" spans="2:5" x14ac:dyDescent="0.45">
      <c r="B183" t="s">
        <v>976</v>
      </c>
      <c r="C183" t="s">
        <v>421</v>
      </c>
      <c r="D183">
        <v>1684.4914285714292</v>
      </c>
      <c r="E183">
        <v>242162.48777142868</v>
      </c>
    </row>
    <row r="184" spans="2:5" x14ac:dyDescent="0.45">
      <c r="C184" t="s">
        <v>240</v>
      </c>
      <c r="D184">
        <v>6300</v>
      </c>
      <c r="E184">
        <v>905688.00000000012</v>
      </c>
    </row>
    <row r="185" spans="2:5" x14ac:dyDescent="0.45">
      <c r="B185" t="s">
        <v>977</v>
      </c>
      <c r="C185" t="s">
        <v>98</v>
      </c>
      <c r="D185">
        <v>300000</v>
      </c>
      <c r="E185">
        <v>300000</v>
      </c>
    </row>
    <row r="186" spans="2:5" x14ac:dyDescent="0.45">
      <c r="C186" t="s">
        <v>99</v>
      </c>
      <c r="D186">
        <v>24800</v>
      </c>
      <c r="E186">
        <v>24800</v>
      </c>
    </row>
    <row r="187" spans="2:5" x14ac:dyDescent="0.45">
      <c r="B187" t="s">
        <v>101</v>
      </c>
      <c r="C187" t="s">
        <v>978</v>
      </c>
      <c r="D187">
        <v>1204</v>
      </c>
      <c r="E187">
        <v>86543.520000000019</v>
      </c>
    </row>
    <row r="188" spans="2:5" x14ac:dyDescent="0.45">
      <c r="C188" t="s">
        <v>979</v>
      </c>
      <c r="D188">
        <v>1376.0000000000002</v>
      </c>
      <c r="E188">
        <v>98906.880000000034</v>
      </c>
    </row>
    <row r="189" spans="2:5" x14ac:dyDescent="0.45">
      <c r="C189" t="s">
        <v>980</v>
      </c>
      <c r="D189">
        <v>344.00000000000006</v>
      </c>
      <c r="E189">
        <v>24726.720000000008</v>
      </c>
    </row>
    <row r="190" spans="2:5" x14ac:dyDescent="0.45">
      <c r="B190" t="s">
        <v>105</v>
      </c>
      <c r="C190" t="s">
        <v>981</v>
      </c>
      <c r="D190">
        <v>187.68</v>
      </c>
      <c r="E190">
        <v>13490.438400000003</v>
      </c>
    </row>
    <row r="191" spans="2:5" x14ac:dyDescent="0.45">
      <c r="C191" t="s">
        <v>982</v>
      </c>
      <c r="D191">
        <v>121.992</v>
      </c>
      <c r="E191">
        <v>8768.7849600000009</v>
      </c>
    </row>
    <row r="192" spans="2:5" x14ac:dyDescent="0.45">
      <c r="B192" t="s">
        <v>983</v>
      </c>
      <c r="C192" t="s">
        <v>421</v>
      </c>
      <c r="D192">
        <v>1800</v>
      </c>
      <c r="E192">
        <v>48600</v>
      </c>
    </row>
    <row r="193" spans="2:5" x14ac:dyDescent="0.45">
      <c r="B193" t="s">
        <v>103</v>
      </c>
      <c r="C193" t="s">
        <v>984</v>
      </c>
      <c r="D193">
        <v>1719.9999999999998</v>
      </c>
      <c r="E193">
        <v>123633.60000000001</v>
      </c>
    </row>
    <row r="194" spans="2:5" x14ac:dyDescent="0.45">
      <c r="C194" t="s">
        <v>877</v>
      </c>
      <c r="D194">
        <v>1471.5555555555552</v>
      </c>
      <c r="E194">
        <v>105775.41333333332</v>
      </c>
    </row>
    <row r="195" spans="2:5" x14ac:dyDescent="0.45">
      <c r="B195" t="s">
        <v>985</v>
      </c>
      <c r="C195" t="s">
        <v>984</v>
      </c>
      <c r="D195">
        <v>2150</v>
      </c>
      <c r="E195">
        <v>154542.00000000003</v>
      </c>
    </row>
    <row r="196" spans="2:5" x14ac:dyDescent="0.45">
      <c r="C196" t="s">
        <v>985</v>
      </c>
      <c r="D196">
        <v>2257.5</v>
      </c>
      <c r="E196">
        <v>162269.10000000003</v>
      </c>
    </row>
    <row r="197" spans="2:5" x14ac:dyDescent="0.45">
      <c r="B197" t="s">
        <v>993</v>
      </c>
      <c r="C197" t="s">
        <v>994</v>
      </c>
      <c r="D197">
        <v>0.65803098360598655</v>
      </c>
      <c r="E197">
        <v>143561.89256908119</v>
      </c>
    </row>
  </sheetData>
  <mergeCells count="19">
    <mergeCell ref="B165:B167"/>
    <mergeCell ref="B171:B172"/>
    <mergeCell ref="B113:B116"/>
    <mergeCell ref="B117:B121"/>
    <mergeCell ref="B122:B126"/>
    <mergeCell ref="B129:B134"/>
    <mergeCell ref="B163:B164"/>
    <mergeCell ref="B69:B75"/>
    <mergeCell ref="A77:A93"/>
    <mergeCell ref="A95:A111"/>
    <mergeCell ref="B95:B102"/>
    <mergeCell ref="B103:B107"/>
    <mergeCell ref="B108:B111"/>
    <mergeCell ref="B66:B68"/>
    <mergeCell ref="B10:B25"/>
    <mergeCell ref="B26:B28"/>
    <mergeCell ref="B29:B32"/>
    <mergeCell ref="B33:B47"/>
    <mergeCell ref="B48:B65"/>
  </mergeCells>
  <hyperlinks>
    <hyperlink ref="F40" r:id="rId1" xr:uid="{0177EDA2-369C-4A25-BC96-DB77F5265CF7}"/>
    <hyperlink ref="F42" r:id="rId2" xr:uid="{838817C1-7BE8-4FFD-A949-D3603CE6CCB5}"/>
    <hyperlink ref="F63" r:id="rId3" xr:uid="{E27E2293-F598-48B6-B877-92AFDFD0C9B2}"/>
    <hyperlink ref="F64" r:id="rId4" xr:uid="{A5975C71-6E32-430E-B350-F98BA4187E05}"/>
    <hyperlink ref="F118" r:id="rId5" xr:uid="{A45E5E1A-E295-4AFD-8444-DE247939DA7C}"/>
    <hyperlink ref="F119" r:id="rId6" xr:uid="{A8629566-A9B7-4D42-946C-F13B102BA7D6}"/>
    <hyperlink ref="F120" r:id="rId7" xr:uid="{6BC7B6B9-CFF7-4E7A-AC5A-516931D96F8F}"/>
    <hyperlink ref="F73" r:id="rId8" xr:uid="{6A1C6B04-13E1-45FB-AC10-DE8F978BF1D8}"/>
    <hyperlink ref="F33" r:id="rId9" xr:uid="{6D9F8EFE-6EB0-4B6B-A978-ED5F411B45DF}"/>
    <hyperlink ref="G129:G134" r:id="rId10" display="https://portal.mtt.fi/portal/pls/portal/tt_mtt.tt_mtt_kankir_pack.laheta" xr:uid="{D9972D98-3781-445F-9282-5C55AA6A56BE}"/>
  </hyperlinks>
  <pageMargins left="0.7" right="0.7" top="0.75" bottom="0.75" header="0.3" footer="0.3"/>
  <drawing r:id="rId11"/>
  <legacyDrawing r:id="rId1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1DE5D-5CD5-4809-8CAD-270B4CF0F10C}">
  <dimension ref="B1:Z206"/>
  <sheetViews>
    <sheetView topLeftCell="G86" zoomScale="65" zoomScaleNormal="100" workbookViewId="0">
      <selection activeCell="C206" sqref="C206:F206"/>
    </sheetView>
  </sheetViews>
  <sheetFormatPr defaultRowHeight="14.25" x14ac:dyDescent="0.45"/>
  <cols>
    <col min="2" max="2" width="16.86328125" customWidth="1"/>
    <col min="3" max="3" width="27" customWidth="1"/>
    <col min="4" max="4" width="51.1328125" customWidth="1"/>
    <col min="5" max="5" width="38.86328125" bestFit="1" customWidth="1"/>
    <col min="6" max="6" width="46" customWidth="1"/>
    <col min="7" max="7" width="28" customWidth="1"/>
    <col min="8" max="8" width="27.1328125" customWidth="1"/>
    <col min="18" max="18" width="21.86328125" customWidth="1"/>
    <col min="19" max="19" width="27.59765625" customWidth="1"/>
    <col min="20" max="20" width="28.86328125" customWidth="1"/>
    <col min="21" max="21" width="21.73046875" customWidth="1"/>
    <col min="22" max="22" width="16" customWidth="1"/>
    <col min="23" max="23" width="15.3984375" customWidth="1"/>
  </cols>
  <sheetData>
    <row r="1" spans="3:23" ht="14.65" thickBot="1" x14ac:dyDescent="0.5"/>
    <row r="2" spans="3:23" ht="14.65" thickTop="1" x14ac:dyDescent="0.45">
      <c r="R2" s="17" t="s">
        <v>734</v>
      </c>
      <c r="S2" s="18"/>
      <c r="T2" s="18"/>
      <c r="U2" s="18"/>
      <c r="V2" s="18"/>
      <c r="W2" s="14"/>
    </row>
    <row r="3" spans="3:23" x14ac:dyDescent="0.45">
      <c r="R3" s="19"/>
      <c r="W3" s="15"/>
    </row>
    <row r="4" spans="3:23" x14ac:dyDescent="0.45">
      <c r="R4" s="27" t="s">
        <v>10</v>
      </c>
      <c r="S4" s="6" t="s">
        <v>21</v>
      </c>
      <c r="T4" s="6" t="s">
        <v>11</v>
      </c>
      <c r="U4" s="6" t="s">
        <v>107</v>
      </c>
      <c r="V4" s="6" t="s">
        <v>735</v>
      </c>
      <c r="W4" s="15"/>
    </row>
    <row r="5" spans="3:23" x14ac:dyDescent="0.45">
      <c r="C5" t="s">
        <v>698</v>
      </c>
      <c r="D5" t="s">
        <v>700</v>
      </c>
      <c r="R5" s="171" t="s">
        <v>13</v>
      </c>
      <c r="S5" s="140" t="s">
        <v>22</v>
      </c>
      <c r="T5" t="s">
        <v>14</v>
      </c>
      <c r="U5" s="2" t="s">
        <v>39</v>
      </c>
      <c r="V5" s="141">
        <v>0</v>
      </c>
      <c r="W5" s="173"/>
    </row>
    <row r="6" spans="3:23" ht="14.65" thickBot="1" x14ac:dyDescent="0.5">
      <c r="R6" s="171"/>
      <c r="S6" s="140"/>
      <c r="T6" t="s">
        <v>555</v>
      </c>
      <c r="U6" s="2" t="s">
        <v>47</v>
      </c>
      <c r="V6" s="141" t="s">
        <v>47</v>
      </c>
      <c r="W6" s="173"/>
    </row>
    <row r="7" spans="3:23" x14ac:dyDescent="0.45">
      <c r="C7" s="48"/>
      <c r="D7" s="44" t="s">
        <v>398</v>
      </c>
      <c r="E7" s="44"/>
      <c r="F7" s="44"/>
      <c r="G7" s="45"/>
      <c r="R7" s="171"/>
      <c r="S7" s="140" t="s">
        <v>23</v>
      </c>
      <c r="T7" t="s">
        <v>15</v>
      </c>
      <c r="U7" s="2" t="s">
        <v>40</v>
      </c>
      <c r="V7" s="141">
        <v>0</v>
      </c>
      <c r="W7" s="173"/>
    </row>
    <row r="8" spans="3:23" x14ac:dyDescent="0.45">
      <c r="C8" s="36"/>
      <c r="D8" t="s">
        <v>396</v>
      </c>
      <c r="E8" t="s">
        <v>107</v>
      </c>
      <c r="F8" t="s">
        <v>397</v>
      </c>
      <c r="G8" s="35" t="s">
        <v>180</v>
      </c>
      <c r="R8" s="171"/>
      <c r="S8" s="140"/>
      <c r="T8" t="s">
        <v>16</v>
      </c>
      <c r="U8" s="2" t="s">
        <v>40</v>
      </c>
      <c r="V8" s="141">
        <v>0</v>
      </c>
      <c r="W8" s="173"/>
    </row>
    <row r="9" spans="3:23" x14ac:dyDescent="0.45">
      <c r="C9" s="36" t="s">
        <v>399</v>
      </c>
      <c r="D9" s="12" t="s">
        <v>573</v>
      </c>
      <c r="E9" t="s">
        <v>610</v>
      </c>
      <c r="F9">
        <f>1650+(F129/100)</f>
        <v>1653.87</v>
      </c>
      <c r="G9" s="35" t="s">
        <v>611</v>
      </c>
      <c r="R9" s="171"/>
      <c r="S9" s="140"/>
      <c r="T9" t="s">
        <v>17</v>
      </c>
      <c r="U9" s="2" t="s">
        <v>40</v>
      </c>
      <c r="V9" s="141">
        <v>0</v>
      </c>
      <c r="W9" s="173"/>
    </row>
    <row r="10" spans="3:23" x14ac:dyDescent="0.45">
      <c r="C10" s="36"/>
      <c r="D10" s="12" t="s">
        <v>895</v>
      </c>
      <c r="E10" t="s">
        <v>610</v>
      </c>
      <c r="F10" s="97">
        <f>F9+U82+U85</f>
        <v>1891.8156521739129</v>
      </c>
      <c r="G10" s="35"/>
      <c r="R10" s="171"/>
      <c r="S10" s="140"/>
      <c r="T10" t="s">
        <v>18</v>
      </c>
      <c r="U10" s="2" t="s">
        <v>41</v>
      </c>
      <c r="V10" s="174"/>
      <c r="W10" s="175"/>
    </row>
    <row r="11" spans="3:23" x14ac:dyDescent="0.45">
      <c r="C11" s="36"/>
      <c r="D11" s="12" t="s">
        <v>895</v>
      </c>
      <c r="E11" t="s">
        <v>896</v>
      </c>
      <c r="F11" s="6">
        <f>F10*3600</f>
        <v>6810536.347826086</v>
      </c>
      <c r="G11" s="35"/>
      <c r="R11" s="171"/>
      <c r="S11" s="140"/>
      <c r="T11" t="s">
        <v>19</v>
      </c>
      <c r="U11" s="2" t="s">
        <v>41</v>
      </c>
      <c r="V11" s="174"/>
      <c r="W11" s="175"/>
    </row>
    <row r="12" spans="3:23" x14ac:dyDescent="0.45">
      <c r="C12" s="161" t="s">
        <v>735</v>
      </c>
      <c r="D12" s="12" t="s">
        <v>736</v>
      </c>
      <c r="E12" t="s">
        <v>991</v>
      </c>
      <c r="F12">
        <v>217391</v>
      </c>
      <c r="G12" s="35" t="s">
        <v>992</v>
      </c>
      <c r="R12" s="171"/>
      <c r="S12" s="140"/>
      <c r="T12" t="s">
        <v>109</v>
      </c>
      <c r="U12" s="2" t="s">
        <v>108</v>
      </c>
      <c r="V12" s="141">
        <v>0</v>
      </c>
      <c r="W12" s="173"/>
    </row>
    <row r="13" spans="3:23" ht="13.9" customHeight="1" x14ac:dyDescent="0.45">
      <c r="C13" s="161"/>
      <c r="D13" s="12" t="s">
        <v>988</v>
      </c>
      <c r="E13" t="s">
        <v>991</v>
      </c>
      <c r="F13">
        <v>15625</v>
      </c>
      <c r="G13" s="35" t="s">
        <v>992</v>
      </c>
      <c r="R13" s="171"/>
      <c r="T13" t="s">
        <v>110</v>
      </c>
      <c r="U13" s="2" t="s">
        <v>39</v>
      </c>
      <c r="V13" s="141">
        <f>F12+F13</f>
        <v>233016</v>
      </c>
      <c r="W13" s="173"/>
    </row>
    <row r="14" spans="3:23" x14ac:dyDescent="0.45">
      <c r="C14" s="62" t="s">
        <v>400</v>
      </c>
      <c r="D14" s="12" t="s">
        <v>574</v>
      </c>
      <c r="E14" t="s">
        <v>401</v>
      </c>
      <c r="F14">
        <v>40</v>
      </c>
      <c r="G14" s="35" t="s">
        <v>612</v>
      </c>
      <c r="R14" s="171"/>
      <c r="T14" t="s">
        <v>568</v>
      </c>
      <c r="U14" s="2" t="s">
        <v>42</v>
      </c>
      <c r="V14" s="141" t="s">
        <v>47</v>
      </c>
      <c r="W14" s="173"/>
    </row>
    <row r="15" spans="3:23" x14ac:dyDescent="0.45">
      <c r="C15" s="161" t="s">
        <v>575</v>
      </c>
      <c r="D15" t="s">
        <v>403</v>
      </c>
      <c r="E15" t="s">
        <v>402</v>
      </c>
      <c r="F15" s="6">
        <v>5.7</v>
      </c>
      <c r="G15" s="52" t="s">
        <v>613</v>
      </c>
      <c r="R15" s="171"/>
      <c r="T15" t="s">
        <v>556</v>
      </c>
      <c r="U15" s="2" t="s">
        <v>47</v>
      </c>
      <c r="V15" s="141" t="s">
        <v>47</v>
      </c>
      <c r="W15" s="173"/>
    </row>
    <row r="16" spans="3:23" x14ac:dyDescent="0.45">
      <c r="C16" s="161"/>
      <c r="D16" t="s">
        <v>583</v>
      </c>
      <c r="E16" t="s">
        <v>584</v>
      </c>
      <c r="F16">
        <v>21</v>
      </c>
      <c r="G16" s="52" t="s">
        <v>613</v>
      </c>
      <c r="R16" s="171"/>
      <c r="V16" t="s">
        <v>736</v>
      </c>
      <c r="W16" s="15" t="s">
        <v>737</v>
      </c>
    </row>
    <row r="17" spans="3:23" x14ac:dyDescent="0.45">
      <c r="C17" s="161"/>
      <c r="D17" t="s">
        <v>586</v>
      </c>
      <c r="E17" t="s">
        <v>585</v>
      </c>
      <c r="F17" s="53">
        <f>F19*F16</f>
        <v>3640.875</v>
      </c>
      <c r="G17" s="52" t="s">
        <v>613</v>
      </c>
      <c r="R17" s="172" t="s">
        <v>20</v>
      </c>
      <c r="S17" s="140" t="s">
        <v>24</v>
      </c>
      <c r="T17" s="6" t="s">
        <v>25</v>
      </c>
      <c r="U17" s="7" t="s">
        <v>42</v>
      </c>
      <c r="V17">
        <v>0</v>
      </c>
      <c r="W17" s="15">
        <v>0</v>
      </c>
    </row>
    <row r="18" spans="3:23" x14ac:dyDescent="0.45">
      <c r="C18" s="161"/>
      <c r="D18" t="s">
        <v>587</v>
      </c>
      <c r="E18" t="s">
        <v>588</v>
      </c>
      <c r="F18">
        <f>(F15/12)*100</f>
        <v>47.5</v>
      </c>
      <c r="G18" s="52" t="s">
        <v>613</v>
      </c>
      <c r="R18" s="172"/>
      <c r="S18" s="140"/>
      <c r="T18" t="s">
        <v>435</v>
      </c>
      <c r="U18" s="2" t="s">
        <v>42</v>
      </c>
      <c r="V18">
        <f>F12*(V25/100)</f>
        <v>47826.02</v>
      </c>
      <c r="W18" s="15">
        <f>F13*(W25/100)</f>
        <v>2656.25</v>
      </c>
    </row>
    <row r="19" spans="3:23" x14ac:dyDescent="0.45">
      <c r="C19" s="161"/>
      <c r="D19" t="s">
        <v>589</v>
      </c>
      <c r="E19" t="s">
        <v>590</v>
      </c>
      <c r="F19" s="53">
        <f>(F18/100)*365</f>
        <v>173.375</v>
      </c>
      <c r="G19" s="52" t="s">
        <v>613</v>
      </c>
      <c r="R19" s="172"/>
      <c r="S19" s="140"/>
      <c r="T19" t="s">
        <v>571</v>
      </c>
      <c r="U19" s="2" t="s">
        <v>572</v>
      </c>
      <c r="V19">
        <f>F12</f>
        <v>217391</v>
      </c>
      <c r="W19" s="15">
        <f>F13</f>
        <v>15625</v>
      </c>
    </row>
    <row r="20" spans="3:23" x14ac:dyDescent="0.45">
      <c r="C20" s="161"/>
      <c r="D20" t="s">
        <v>597</v>
      </c>
      <c r="E20" t="s">
        <v>600</v>
      </c>
      <c r="F20" s="6">
        <f>F59*365</f>
        <v>4560.6831846727064</v>
      </c>
      <c r="G20" s="52" t="s">
        <v>613</v>
      </c>
      <c r="R20" s="172"/>
      <c r="S20" s="140"/>
      <c r="T20" t="s">
        <v>26</v>
      </c>
      <c r="U20" s="2" t="s">
        <v>42</v>
      </c>
      <c r="V20" t="s">
        <v>710</v>
      </c>
      <c r="W20" s="15" t="s">
        <v>710</v>
      </c>
    </row>
    <row r="21" spans="3:23" x14ac:dyDescent="0.45">
      <c r="C21" s="161"/>
      <c r="D21" t="s">
        <v>598</v>
      </c>
      <c r="E21" t="s">
        <v>599</v>
      </c>
      <c r="F21">
        <f>F67</f>
        <v>16.331588782926726</v>
      </c>
      <c r="G21" s="52" t="s">
        <v>613</v>
      </c>
      <c r="R21" s="172"/>
      <c r="S21" s="140"/>
      <c r="T21" t="s">
        <v>27</v>
      </c>
      <c r="U21" s="2" t="s">
        <v>42</v>
      </c>
      <c r="V21">
        <v>0</v>
      </c>
      <c r="W21" s="15">
        <v>0</v>
      </c>
    </row>
    <row r="22" spans="3:23" x14ac:dyDescent="0.45">
      <c r="C22" s="161"/>
      <c r="D22" t="s">
        <v>601</v>
      </c>
      <c r="E22" t="s">
        <v>602</v>
      </c>
      <c r="F22">
        <v>4304</v>
      </c>
      <c r="G22" s="52" t="s">
        <v>613</v>
      </c>
      <c r="R22" s="172"/>
      <c r="S22" s="140"/>
      <c r="T22" t="s">
        <v>28</v>
      </c>
      <c r="U22" s="2" t="s">
        <v>42</v>
      </c>
      <c r="V22" t="s">
        <v>710</v>
      </c>
      <c r="W22" s="15" t="s">
        <v>710</v>
      </c>
    </row>
    <row r="23" spans="3:23" x14ac:dyDescent="0.45">
      <c r="C23" s="161"/>
      <c r="D23" t="s">
        <v>603</v>
      </c>
      <c r="E23" t="s">
        <v>599</v>
      </c>
      <c r="F23">
        <v>35.5</v>
      </c>
      <c r="G23" s="52" t="s">
        <v>613</v>
      </c>
      <c r="R23" s="172"/>
      <c r="S23" s="140" t="s">
        <v>30</v>
      </c>
      <c r="T23" t="s">
        <v>29</v>
      </c>
      <c r="U23" s="2" t="s">
        <v>43</v>
      </c>
      <c r="V23" t="s">
        <v>236</v>
      </c>
      <c r="W23" s="15" t="s">
        <v>236</v>
      </c>
    </row>
    <row r="24" spans="3:23" x14ac:dyDescent="0.45">
      <c r="C24" s="161"/>
      <c r="D24" t="s">
        <v>579</v>
      </c>
      <c r="E24" t="s">
        <v>591</v>
      </c>
      <c r="F24">
        <f>((5449/365)/24)*F17</f>
        <v>2264.7406249999999</v>
      </c>
      <c r="G24" s="52" t="s">
        <v>613</v>
      </c>
      <c r="R24" s="172"/>
      <c r="S24" s="140"/>
      <c r="T24" t="s">
        <v>31</v>
      </c>
      <c r="U24" s="2" t="s">
        <v>44</v>
      </c>
      <c r="V24">
        <v>0</v>
      </c>
      <c r="W24" s="15">
        <v>0</v>
      </c>
    </row>
    <row r="25" spans="3:23" x14ac:dyDescent="0.45">
      <c r="C25" s="161"/>
      <c r="D25" t="s">
        <v>580</v>
      </c>
      <c r="E25" t="s">
        <v>596</v>
      </c>
      <c r="F25">
        <f>((F21/(365*24))*F17)</f>
        <v>6.7878165879039205</v>
      </c>
      <c r="G25" s="52" t="s">
        <v>613</v>
      </c>
      <c r="R25" s="172"/>
      <c r="S25" s="140"/>
      <c r="T25" t="s">
        <v>32</v>
      </c>
      <c r="U25" s="2" t="s">
        <v>45</v>
      </c>
      <c r="V25">
        <v>22</v>
      </c>
      <c r="W25" s="15">
        <v>17</v>
      </c>
    </row>
    <row r="26" spans="3:23" x14ac:dyDescent="0.45">
      <c r="C26" s="161"/>
      <c r="D26" t="s">
        <v>592</v>
      </c>
      <c r="E26" t="s">
        <v>593</v>
      </c>
      <c r="F26">
        <f>((F22/365)/24)*F17</f>
        <v>1788.85</v>
      </c>
      <c r="G26" s="52" t="s">
        <v>613</v>
      </c>
      <c r="R26" s="172"/>
      <c r="S26" s="140"/>
      <c r="T26" t="s">
        <v>33</v>
      </c>
      <c r="U26" s="2" t="s">
        <v>46</v>
      </c>
      <c r="V26">
        <v>4</v>
      </c>
      <c r="W26" s="15">
        <v>7</v>
      </c>
    </row>
    <row r="27" spans="3:23" x14ac:dyDescent="0.45">
      <c r="C27" s="161"/>
      <c r="D27" t="s">
        <v>594</v>
      </c>
      <c r="E27" t="s">
        <v>195</v>
      </c>
      <c r="F27">
        <f>(F23/(365*24))*F17</f>
        <v>14.754687500000001</v>
      </c>
      <c r="G27" s="52" t="s">
        <v>613</v>
      </c>
      <c r="R27" s="172"/>
      <c r="S27" s="140"/>
      <c r="T27" t="s">
        <v>34</v>
      </c>
      <c r="U27" s="2" t="s">
        <v>46</v>
      </c>
      <c r="V27">
        <f>(V35/6.25)/10</f>
        <v>3.6799999999999997</v>
      </c>
      <c r="W27" s="15">
        <f>(W35/6.25)/10</f>
        <v>7.8239999999999998</v>
      </c>
    </row>
    <row r="28" spans="3:23" x14ac:dyDescent="0.45">
      <c r="C28" s="161"/>
      <c r="D28" t="s">
        <v>595</v>
      </c>
      <c r="E28" t="s">
        <v>195</v>
      </c>
      <c r="F28">
        <f>((F23+F21)/(365*24))*F17</f>
        <v>21.542504087903922</v>
      </c>
      <c r="G28" s="52" t="s">
        <v>613</v>
      </c>
      <c r="R28" s="172"/>
      <c r="S28" s="140"/>
      <c r="T28" t="s">
        <v>35</v>
      </c>
      <c r="U28" s="2" t="s">
        <v>46</v>
      </c>
      <c r="V28">
        <v>5.8</v>
      </c>
      <c r="W28" s="15">
        <v>1.31</v>
      </c>
    </row>
    <row r="29" spans="3:23" x14ac:dyDescent="0.45">
      <c r="C29" s="161"/>
      <c r="D29" t="s">
        <v>897</v>
      </c>
      <c r="E29" t="s">
        <v>899</v>
      </c>
      <c r="F29">
        <f>(6.21/5449)*F20</f>
        <v>5.1976220548389627</v>
      </c>
      <c r="G29" s="52" t="s">
        <v>613</v>
      </c>
      <c r="R29" s="29"/>
      <c r="S29" s="8"/>
      <c r="T29" s="9" t="s">
        <v>129</v>
      </c>
      <c r="U29" s="10" t="s">
        <v>47</v>
      </c>
      <c r="V29" t="s">
        <v>47</v>
      </c>
      <c r="W29" s="15" t="s">
        <v>47</v>
      </c>
    </row>
    <row r="30" spans="3:23" x14ac:dyDescent="0.45">
      <c r="C30" s="161"/>
      <c r="D30" t="s">
        <v>898</v>
      </c>
      <c r="E30" t="s">
        <v>900</v>
      </c>
      <c r="F30">
        <f>(14.1/5449)*F20</f>
        <v>11.801364085866243</v>
      </c>
      <c r="G30" s="52" t="s">
        <v>613</v>
      </c>
      <c r="R30" s="29"/>
      <c r="S30" s="8"/>
      <c r="T30" s="9" t="s">
        <v>50</v>
      </c>
      <c r="U30" s="10" t="s">
        <v>47</v>
      </c>
      <c r="V30" t="s">
        <v>47</v>
      </c>
      <c r="W30" s="15" t="s">
        <v>47</v>
      </c>
    </row>
    <row r="31" spans="3:23" x14ac:dyDescent="0.45">
      <c r="C31" s="168" t="s">
        <v>576</v>
      </c>
      <c r="D31" t="s">
        <v>577</v>
      </c>
      <c r="E31" t="s">
        <v>585</v>
      </c>
      <c r="F31" s="53">
        <f>(365*24)-F17</f>
        <v>5119.125</v>
      </c>
      <c r="G31" s="52" t="s">
        <v>613</v>
      </c>
      <c r="R31" s="29"/>
      <c r="S31" s="8"/>
      <c r="T31" s="9" t="s">
        <v>570</v>
      </c>
      <c r="U31" s="10" t="s">
        <v>569</v>
      </c>
      <c r="V31" t="s">
        <v>47</v>
      </c>
      <c r="W31" s="15" t="s">
        <v>47</v>
      </c>
    </row>
    <row r="32" spans="3:23" x14ac:dyDescent="0.45">
      <c r="C32" s="168"/>
      <c r="D32" t="s">
        <v>582</v>
      </c>
      <c r="E32" t="s">
        <v>588</v>
      </c>
      <c r="F32">
        <f>100-F18</f>
        <v>52.5</v>
      </c>
      <c r="G32" s="52" t="s">
        <v>613</v>
      </c>
      <c r="R32" s="28"/>
      <c r="S32" s="3" t="s">
        <v>36</v>
      </c>
      <c r="T32" t="s">
        <v>126</v>
      </c>
      <c r="U32" s="2" t="s">
        <v>127</v>
      </c>
      <c r="V32">
        <f>((120/(V36/10)/100)*$F$89)</f>
        <v>5.952258413727189</v>
      </c>
      <c r="W32">
        <f>((120/(W36/10)/100)*$F$89)</f>
        <v>38.554401088914744</v>
      </c>
    </row>
    <row r="33" spans="3:23" x14ac:dyDescent="0.45">
      <c r="C33" s="168"/>
      <c r="D33" t="s">
        <v>608</v>
      </c>
      <c r="E33" t="s">
        <v>609</v>
      </c>
      <c r="F33">
        <v>1.2</v>
      </c>
      <c r="G33" s="52" t="s">
        <v>613</v>
      </c>
      <c r="R33" s="19"/>
      <c r="T33" t="s">
        <v>37</v>
      </c>
      <c r="U33" s="1" t="s">
        <v>47</v>
      </c>
      <c r="V33">
        <v>0.37</v>
      </c>
      <c r="W33" s="15">
        <v>0.23</v>
      </c>
    </row>
    <row r="34" spans="3:23" ht="15.75" customHeight="1" x14ac:dyDescent="0.45">
      <c r="C34" s="168" t="s">
        <v>578</v>
      </c>
      <c r="D34" t="s">
        <v>581</v>
      </c>
      <c r="E34" t="s">
        <v>604</v>
      </c>
      <c r="F34">
        <f>(F20/(365*24))*F31</f>
        <v>2665.149236043113</v>
      </c>
      <c r="G34" s="52" t="s">
        <v>613</v>
      </c>
      <c r="R34" s="28"/>
      <c r="S34" s="3"/>
      <c r="T34" t="s">
        <v>122</v>
      </c>
      <c r="U34" s="2" t="s">
        <v>123</v>
      </c>
      <c r="V34">
        <v>10.7</v>
      </c>
      <c r="W34" s="15">
        <v>13.4</v>
      </c>
    </row>
    <row r="35" spans="3:23" x14ac:dyDescent="0.45">
      <c r="C35" s="168"/>
      <c r="D35" t="s">
        <v>605</v>
      </c>
      <c r="E35" t="s">
        <v>250</v>
      </c>
      <c r="F35">
        <f>((F21/(365*24))*F31)</f>
        <v>9.5437721950228056</v>
      </c>
      <c r="G35" s="52" t="s">
        <v>613</v>
      </c>
      <c r="R35" s="28"/>
      <c r="S35" s="3"/>
      <c r="T35" t="s">
        <v>120</v>
      </c>
      <c r="U35" s="2" t="s">
        <v>48</v>
      </c>
      <c r="V35">
        <v>230</v>
      </c>
      <c r="W35" s="15">
        <v>489</v>
      </c>
    </row>
    <row r="36" spans="3:23" ht="17.25" customHeight="1" thickBot="1" x14ac:dyDescent="0.5">
      <c r="C36" s="168"/>
      <c r="D36" t="s">
        <v>606</v>
      </c>
      <c r="E36" t="s">
        <v>250</v>
      </c>
      <c r="F36">
        <f>((F23/(365*24))*F31)</f>
        <v>20.745312500000001</v>
      </c>
      <c r="G36" s="52" t="s">
        <v>613</v>
      </c>
      <c r="R36" s="21"/>
      <c r="S36" s="20"/>
      <c r="T36" s="20" t="s">
        <v>121</v>
      </c>
      <c r="U36" s="30" t="s">
        <v>48</v>
      </c>
      <c r="V36" s="20">
        <v>570</v>
      </c>
      <c r="W36" s="16">
        <v>88</v>
      </c>
    </row>
    <row r="37" spans="3:23" ht="15" thickTop="1" thickBot="1" x14ac:dyDescent="0.5">
      <c r="C37" s="168"/>
      <c r="D37" t="s">
        <v>607</v>
      </c>
      <c r="E37" t="s">
        <v>250</v>
      </c>
      <c r="F37">
        <f>SUM(F35:F36)</f>
        <v>30.289084695022808</v>
      </c>
      <c r="G37" s="52" t="s">
        <v>613</v>
      </c>
    </row>
    <row r="38" spans="3:23" ht="42.75" x14ac:dyDescent="0.45">
      <c r="C38" s="147" t="s">
        <v>615</v>
      </c>
      <c r="D38" t="s">
        <v>616</v>
      </c>
      <c r="E38" t="s">
        <v>62</v>
      </c>
      <c r="F38">
        <v>530</v>
      </c>
      <c r="G38" s="96" t="s">
        <v>924</v>
      </c>
      <c r="R38" s="31"/>
      <c r="S38" s="32" t="s">
        <v>701</v>
      </c>
      <c r="T38" s="32"/>
      <c r="U38" s="32"/>
      <c r="V38" s="32"/>
      <c r="W38" s="33"/>
    </row>
    <row r="39" spans="3:23" ht="71.25" x14ac:dyDescent="0.45">
      <c r="C39" s="147"/>
      <c r="D39" t="s">
        <v>619</v>
      </c>
      <c r="E39" t="s">
        <v>62</v>
      </c>
      <c r="F39">
        <f>F38*0.55</f>
        <v>291.5</v>
      </c>
      <c r="G39" s="52" t="s">
        <v>618</v>
      </c>
      <c r="R39" s="34" t="s">
        <v>13</v>
      </c>
      <c r="S39" s="26" t="s">
        <v>22</v>
      </c>
      <c r="T39" t="s">
        <v>14</v>
      </c>
      <c r="U39" s="2" t="s">
        <v>39</v>
      </c>
      <c r="V39" s="141">
        <v>0</v>
      </c>
      <c r="W39" s="165"/>
    </row>
    <row r="40" spans="3:23" x14ac:dyDescent="0.45">
      <c r="C40" s="147"/>
      <c r="D40" t="s">
        <v>642</v>
      </c>
      <c r="E40" t="s">
        <v>62</v>
      </c>
      <c r="F40">
        <f>F38*(1-0.763*EXP(-0.00285*(365)))^2</f>
        <v>282.7322746520415</v>
      </c>
      <c r="G40" s="52" t="s">
        <v>620</v>
      </c>
      <c r="R40" s="34"/>
      <c r="S40" s="26"/>
      <c r="T40" t="s">
        <v>555</v>
      </c>
      <c r="U40" s="2" t="s">
        <v>47</v>
      </c>
      <c r="V40" s="141">
        <v>0.19</v>
      </c>
      <c r="W40" s="165"/>
    </row>
    <row r="41" spans="3:23" x14ac:dyDescent="0.45">
      <c r="C41" s="147"/>
      <c r="D41" t="s">
        <v>641</v>
      </c>
      <c r="E41" t="s">
        <v>62</v>
      </c>
      <c r="F41">
        <f>F38*(1-0.763*EXP(-0.00277*730)^2)</f>
        <v>522.91358366822658</v>
      </c>
      <c r="G41" s="52"/>
      <c r="R41" s="34"/>
      <c r="S41" s="26" t="s">
        <v>23</v>
      </c>
      <c r="T41" t="s">
        <v>15</v>
      </c>
      <c r="U41" s="2" t="s">
        <v>40</v>
      </c>
      <c r="V41" s="141">
        <f>'Financial data Palopuro Baselin'!N22</f>
        <v>282.14928390243904</v>
      </c>
      <c r="W41" s="165"/>
    </row>
    <row r="42" spans="3:23" x14ac:dyDescent="0.45">
      <c r="C42" s="147"/>
      <c r="D42" t="s">
        <v>644</v>
      </c>
      <c r="E42" t="s">
        <v>621</v>
      </c>
      <c r="F42" s="6">
        <f>(26.4+0.01*F43-41*F46-0.00006*F43^2+35.2*F46^2+0.12*F43*F46)*F44</f>
        <v>37.373595387452887</v>
      </c>
      <c r="G42" s="52" t="s">
        <v>625</v>
      </c>
      <c r="R42" s="34"/>
      <c r="S42" s="26"/>
      <c r="T42" t="s">
        <v>16</v>
      </c>
      <c r="U42" s="2" t="s">
        <v>40</v>
      </c>
      <c r="V42" s="141">
        <v>0</v>
      </c>
      <c r="W42" s="165"/>
    </row>
    <row r="43" spans="3:23" x14ac:dyDescent="0.45">
      <c r="C43" s="147"/>
      <c r="D43" t="s">
        <v>624</v>
      </c>
      <c r="E43" t="s">
        <v>62</v>
      </c>
      <c r="F43">
        <f>(((F38/(2*-0.00277))*(2-0.756*EXP(-0.00277*2190))^2+F38*2190)-((F38/(2*-0.00277))*(2-0.756*EXP(-0.00277*1))^2+F38*1))/2190-1</f>
        <v>422.15843524728905</v>
      </c>
      <c r="G43" s="52" t="s">
        <v>626</v>
      </c>
      <c r="R43" s="34"/>
      <c r="S43" s="26"/>
      <c r="T43" t="s">
        <v>17</v>
      </c>
      <c r="U43" s="2" t="s">
        <v>40</v>
      </c>
      <c r="V43" s="141">
        <f>Baseline_crop_data!J68</f>
        <v>552.4159507045822</v>
      </c>
      <c r="W43" s="165"/>
    </row>
    <row r="44" spans="3:23" x14ac:dyDescent="0.45">
      <c r="C44" s="147"/>
      <c r="D44" t="s">
        <v>622</v>
      </c>
      <c r="E44" t="s">
        <v>47</v>
      </c>
      <c r="F44">
        <v>0.9</v>
      </c>
      <c r="G44" s="52" t="s">
        <v>623</v>
      </c>
      <c r="R44" s="34"/>
      <c r="S44" s="26"/>
      <c r="T44" t="s">
        <v>18</v>
      </c>
      <c r="U44" s="2" t="s">
        <v>41</v>
      </c>
      <c r="V44" s="141">
        <f>'Financial data Palopuro Baselin'!N18</f>
        <v>2.815964523281596</v>
      </c>
      <c r="W44" s="165"/>
    </row>
    <row r="45" spans="3:23" ht="28.5" x14ac:dyDescent="0.45">
      <c r="C45" s="147"/>
      <c r="D45" t="s">
        <v>628</v>
      </c>
      <c r="E45" t="s">
        <v>62</v>
      </c>
      <c r="F45">
        <v>26</v>
      </c>
      <c r="G45" s="84" t="s">
        <v>617</v>
      </c>
      <c r="R45" s="34"/>
      <c r="S45" s="26"/>
      <c r="T45" t="s">
        <v>19</v>
      </c>
      <c r="U45" s="2" t="s">
        <v>41</v>
      </c>
      <c r="V45" s="141">
        <f>'Financial data Palopuro Baselin'!N19</f>
        <v>1.3141167775314115</v>
      </c>
      <c r="W45" s="165"/>
    </row>
    <row r="46" spans="3:23" ht="28.5" x14ac:dyDescent="0.45">
      <c r="C46" s="147"/>
      <c r="D46" t="s">
        <v>627</v>
      </c>
      <c r="E46" t="s">
        <v>631</v>
      </c>
      <c r="F46" s="6">
        <f>(F41-F40)/(730-365)</f>
        <v>0.65803098360598655</v>
      </c>
      <c r="G46" s="52" t="s">
        <v>632</v>
      </c>
      <c r="R46" s="34"/>
      <c r="S46" s="26"/>
      <c r="T46" t="s">
        <v>109</v>
      </c>
      <c r="U46" s="2" t="s">
        <v>108</v>
      </c>
      <c r="V46" s="141">
        <v>1</v>
      </c>
      <c r="W46" s="165"/>
    </row>
    <row r="47" spans="3:23" ht="42.75" x14ac:dyDescent="0.45">
      <c r="C47" s="147"/>
      <c r="D47" t="s">
        <v>633</v>
      </c>
      <c r="E47" t="s">
        <v>631</v>
      </c>
      <c r="F47" s="6">
        <f>(F40)*0.02</f>
        <v>5.6546454930408299</v>
      </c>
      <c r="G47" s="84" t="s">
        <v>634</v>
      </c>
      <c r="R47" s="34"/>
      <c r="S47" s="26"/>
      <c r="T47" t="s">
        <v>110</v>
      </c>
      <c r="U47" s="2" t="s">
        <v>39</v>
      </c>
      <c r="V47" s="141" t="s">
        <v>709</v>
      </c>
      <c r="W47" s="165"/>
    </row>
    <row r="48" spans="3:23" x14ac:dyDescent="0.45">
      <c r="C48" s="147"/>
      <c r="D48" t="s">
        <v>635</v>
      </c>
      <c r="E48" t="s">
        <v>636</v>
      </c>
      <c r="F48" s="6">
        <f>F47*365</f>
        <v>2063.945604959903</v>
      </c>
      <c r="G48" s="52"/>
      <c r="R48" s="34"/>
      <c r="S48" s="26"/>
      <c r="T48" t="s">
        <v>568</v>
      </c>
      <c r="U48" s="2" t="s">
        <v>42</v>
      </c>
      <c r="V48" s="141" t="s">
        <v>709</v>
      </c>
      <c r="W48" s="165"/>
    </row>
    <row r="49" spans="3:23" x14ac:dyDescent="0.45">
      <c r="C49" s="147"/>
      <c r="D49" t="s">
        <v>638</v>
      </c>
      <c r="E49" t="s">
        <v>639</v>
      </c>
      <c r="F49">
        <f>F42*365</f>
        <v>13641.362316420304</v>
      </c>
      <c r="G49" s="52">
        <f>F49/F38</f>
        <v>25.73841946494397</v>
      </c>
      <c r="R49" s="34"/>
      <c r="S49" s="26"/>
      <c r="T49" t="s">
        <v>556</v>
      </c>
      <c r="U49" s="2" t="s">
        <v>47</v>
      </c>
      <c r="V49" s="141">
        <v>0.55000000000000004</v>
      </c>
      <c r="W49" s="165"/>
    </row>
    <row r="50" spans="3:23" ht="15" customHeight="1" x14ac:dyDescent="0.45">
      <c r="C50" s="147"/>
      <c r="D50" t="s">
        <v>614</v>
      </c>
      <c r="E50" t="s">
        <v>123</v>
      </c>
      <c r="F50" s="6">
        <f>F49/F48</f>
        <v>6.6093613531473467</v>
      </c>
      <c r="G50" s="52"/>
      <c r="R50" s="36"/>
      <c r="V50" t="s">
        <v>702</v>
      </c>
      <c r="W50" s="35" t="s">
        <v>703</v>
      </c>
    </row>
    <row r="51" spans="3:23" x14ac:dyDescent="0.45">
      <c r="C51" s="147"/>
      <c r="D51" t="s">
        <v>640</v>
      </c>
      <c r="E51" t="s">
        <v>48</v>
      </c>
      <c r="F51">
        <v>135</v>
      </c>
      <c r="G51" s="52"/>
      <c r="R51" s="37" t="s">
        <v>20</v>
      </c>
      <c r="S51" s="5" t="s">
        <v>24</v>
      </c>
      <c r="T51" s="6" t="s">
        <v>25</v>
      </c>
      <c r="U51" s="7" t="s">
        <v>42</v>
      </c>
      <c r="V51">
        <v>0</v>
      </c>
      <c r="W51" s="35" t="s">
        <v>710</v>
      </c>
    </row>
    <row r="52" spans="3:23" x14ac:dyDescent="0.45">
      <c r="C52" s="147"/>
      <c r="D52" t="s">
        <v>66</v>
      </c>
      <c r="E52" t="s">
        <v>168</v>
      </c>
      <c r="F52">
        <v>62.6</v>
      </c>
      <c r="G52" s="52" t="s">
        <v>643</v>
      </c>
      <c r="R52" s="38"/>
      <c r="S52" s="3"/>
      <c r="T52" t="s">
        <v>435</v>
      </c>
      <c r="U52" s="2" t="s">
        <v>42</v>
      </c>
      <c r="V52">
        <f>V54*V46</f>
        <v>1958.6499999999999</v>
      </c>
      <c r="W52" s="35">
        <f>(((1-V49)*V52)/V49)*0.7</f>
        <v>1121.7722727272724</v>
      </c>
    </row>
    <row r="53" spans="3:23" ht="14.25" customHeight="1" x14ac:dyDescent="0.45">
      <c r="C53" s="147" t="s">
        <v>670</v>
      </c>
      <c r="D53" t="s">
        <v>645</v>
      </c>
      <c r="E53" t="s">
        <v>631</v>
      </c>
      <c r="F53">
        <f>(F54*F47)/16</f>
        <v>3.5070341951512591</v>
      </c>
      <c r="G53" s="52" t="s">
        <v>646</v>
      </c>
      <c r="R53" s="38"/>
      <c r="S53" s="3"/>
      <c r="T53" t="s">
        <v>571</v>
      </c>
      <c r="U53" s="2" t="s">
        <v>572</v>
      </c>
      <c r="V53">
        <f>AVERAGE(2090,3150,2370,1500)*V46</f>
        <v>2277.5</v>
      </c>
      <c r="W53" s="35">
        <f>(W54*100)/W60</f>
        <v>1321.2865403148082</v>
      </c>
    </row>
    <row r="54" spans="3:23" x14ac:dyDescent="0.45">
      <c r="C54" s="147"/>
      <c r="D54" t="s">
        <v>647</v>
      </c>
      <c r="E54" t="s">
        <v>123</v>
      </c>
      <c r="F54">
        <f>(AVERAGE(Baseline_crop_data!R39,Baseline_crop_data!U39,Baseline_crop_data!V39))</f>
        <v>9.9232652500457963</v>
      </c>
      <c r="G54" s="52"/>
      <c r="R54" s="38"/>
      <c r="S54" s="3"/>
      <c r="T54" t="s">
        <v>559</v>
      </c>
      <c r="U54" s="2" t="s">
        <v>560</v>
      </c>
      <c r="V54">
        <f>V53*(V60/100)</f>
        <v>1958.6499999999999</v>
      </c>
      <c r="W54" s="35">
        <f>W52/V46</f>
        <v>1121.7722727272724</v>
      </c>
    </row>
    <row r="55" spans="3:23" x14ac:dyDescent="0.45">
      <c r="C55" s="147"/>
      <c r="D55" t="s">
        <v>648</v>
      </c>
      <c r="E55" t="s">
        <v>649</v>
      </c>
      <c r="F55">
        <f>F53/(F47*F56*0.001)</f>
        <v>0.68209289527680217</v>
      </c>
      <c r="G55" s="52" t="s">
        <v>652</v>
      </c>
      <c r="R55" s="38"/>
      <c r="S55" s="3"/>
      <c r="T55" t="s">
        <v>26</v>
      </c>
      <c r="U55" s="2" t="s">
        <v>42</v>
      </c>
      <c r="V55">
        <v>0</v>
      </c>
      <c r="W55" s="35" t="s">
        <v>710</v>
      </c>
    </row>
    <row r="56" spans="3:23" x14ac:dyDescent="0.45">
      <c r="C56" s="147"/>
      <c r="D56" t="s">
        <v>650</v>
      </c>
      <c r="E56" t="s">
        <v>48</v>
      </c>
      <c r="F56">
        <f>(100-AVERAGE(Baseline_crop_data!R29:V29))*10</f>
        <v>909.26629264504413</v>
      </c>
      <c r="G56" s="52"/>
      <c r="R56" s="38"/>
      <c r="S56" s="3"/>
      <c r="T56" t="s">
        <v>27</v>
      </c>
      <c r="U56" s="2" t="s">
        <v>42</v>
      </c>
      <c r="V56">
        <v>0</v>
      </c>
      <c r="W56" s="35" t="s">
        <v>710</v>
      </c>
    </row>
    <row r="57" spans="3:23" x14ac:dyDescent="0.45">
      <c r="C57" s="147"/>
      <c r="D57" t="s">
        <v>651</v>
      </c>
      <c r="E57" t="s">
        <v>649</v>
      </c>
      <c r="F57">
        <f>(0.977*F55*1000+1.4)/1000</f>
        <v>0.66780475868543565</v>
      </c>
      <c r="G57" s="52" t="s">
        <v>653</v>
      </c>
      <c r="R57" s="38"/>
      <c r="S57" s="3"/>
      <c r="T57" t="s">
        <v>28</v>
      </c>
      <c r="U57" s="2" t="s">
        <v>42</v>
      </c>
      <c r="V57">
        <v>0</v>
      </c>
      <c r="W57" s="35" t="s">
        <v>710</v>
      </c>
    </row>
    <row r="58" spans="3:23" x14ac:dyDescent="0.45">
      <c r="C58" s="147"/>
      <c r="D58" t="s">
        <v>655</v>
      </c>
      <c r="E58" t="s">
        <v>631</v>
      </c>
      <c r="F58">
        <f>F47*(1-F57)</f>
        <v>1.8784463241090121</v>
      </c>
      <c r="G58" s="52" t="s">
        <v>654</v>
      </c>
      <c r="R58" s="38"/>
      <c r="S58" s="3"/>
      <c r="T58" t="s">
        <v>29</v>
      </c>
      <c r="U58" s="2" t="s">
        <v>43</v>
      </c>
      <c r="V58" t="s">
        <v>64</v>
      </c>
      <c r="W58" s="35" t="s">
        <v>236</v>
      </c>
    </row>
    <row r="59" spans="3:23" x14ac:dyDescent="0.45">
      <c r="C59" s="147"/>
      <c r="D59" t="s">
        <v>656</v>
      </c>
      <c r="E59" t="s">
        <v>631</v>
      </c>
      <c r="F59" s="6">
        <f>F58/(2.24/14.9)</f>
        <v>12.495022423760838</v>
      </c>
      <c r="G59" s="52" t="s">
        <v>657</v>
      </c>
      <c r="R59" s="38"/>
      <c r="S59" s="3" t="s">
        <v>30</v>
      </c>
      <c r="T59" t="s">
        <v>31</v>
      </c>
      <c r="U59" s="2" t="s">
        <v>44</v>
      </c>
      <c r="V59">
        <f>(AVERAGE(301.88,371.44))</f>
        <v>336.65999999999997</v>
      </c>
      <c r="W59" s="35">
        <v>0</v>
      </c>
    </row>
    <row r="60" spans="3:23" ht="28.5" x14ac:dyDescent="0.45">
      <c r="C60" s="147"/>
      <c r="D60" t="s">
        <v>658</v>
      </c>
      <c r="E60" t="s">
        <v>659</v>
      </c>
      <c r="F60">
        <f>(2.7+0.053*((F52/365)*1000))</f>
        <v>11.789863013698628</v>
      </c>
      <c r="G60" s="52" t="s">
        <v>660</v>
      </c>
      <c r="R60" s="38"/>
      <c r="S60" s="3"/>
      <c r="T60" t="s">
        <v>32</v>
      </c>
      <c r="U60" s="2" t="s">
        <v>45</v>
      </c>
      <c r="V60">
        <v>86</v>
      </c>
      <c r="W60" s="35">
        <v>84.9</v>
      </c>
    </row>
    <row r="61" spans="3:23" x14ac:dyDescent="0.45">
      <c r="C61" s="147"/>
      <c r="D61" s="12" t="s">
        <v>661</v>
      </c>
      <c r="E61" t="s">
        <v>67</v>
      </c>
      <c r="F61">
        <f>AVERAGE(600,600,600,640,705,657)/10</f>
        <v>63.36666666666666</v>
      </c>
      <c r="G61" s="52" t="s">
        <v>669</v>
      </c>
      <c r="R61" s="38"/>
      <c r="S61" s="3"/>
      <c r="T61" t="s">
        <v>33</v>
      </c>
      <c r="U61" s="2" t="s">
        <v>46</v>
      </c>
      <c r="V61">
        <v>2.9</v>
      </c>
      <c r="W61" s="35">
        <v>8.4</v>
      </c>
    </row>
    <row r="62" spans="3:23" ht="12.75" customHeight="1" x14ac:dyDescent="0.45">
      <c r="C62" s="147"/>
      <c r="D62" t="s">
        <v>666</v>
      </c>
      <c r="E62" t="s">
        <v>631</v>
      </c>
      <c r="F62">
        <f>F61*F47/100</f>
        <v>3.5831603607568723</v>
      </c>
      <c r="G62" s="52"/>
      <c r="R62" s="38"/>
      <c r="S62" s="3"/>
      <c r="T62" t="s">
        <v>34</v>
      </c>
      <c r="U62" s="2" t="s">
        <v>46</v>
      </c>
      <c r="V62">
        <f>(V71/6.25)/10</f>
        <v>3.3600000000000003</v>
      </c>
      <c r="W62" s="35">
        <f>(W71/6.25)/10</f>
        <v>8.4959999999999987</v>
      </c>
    </row>
    <row r="63" spans="3:23" x14ac:dyDescent="0.45">
      <c r="C63" s="147"/>
      <c r="D63" t="s">
        <v>662</v>
      </c>
      <c r="E63" t="s">
        <v>48</v>
      </c>
      <c r="F63">
        <f>F51/6.25</f>
        <v>21.6</v>
      </c>
      <c r="G63" s="52"/>
      <c r="R63" s="38"/>
      <c r="S63" s="3"/>
      <c r="T63" t="s">
        <v>35</v>
      </c>
      <c r="U63" s="2" t="s">
        <v>46</v>
      </c>
      <c r="V63">
        <v>0.32</v>
      </c>
      <c r="W63" s="35">
        <v>0.28000000000000003</v>
      </c>
    </row>
    <row r="64" spans="3:23" x14ac:dyDescent="0.45">
      <c r="C64" s="147"/>
      <c r="D64" t="s">
        <v>664</v>
      </c>
      <c r="E64" t="s">
        <v>663</v>
      </c>
      <c r="F64">
        <f>F63*F47</f>
        <v>122.14034264968193</v>
      </c>
      <c r="G64" s="52"/>
      <c r="R64" s="39"/>
      <c r="S64" s="8"/>
      <c r="T64" s="9" t="s">
        <v>129</v>
      </c>
      <c r="U64" s="10" t="s">
        <v>47</v>
      </c>
      <c r="V64" t="s">
        <v>47</v>
      </c>
      <c r="W64" s="35">
        <v>0.35</v>
      </c>
    </row>
    <row r="65" spans="3:26" x14ac:dyDescent="0.45">
      <c r="C65" s="147"/>
      <c r="D65" t="s">
        <v>667</v>
      </c>
      <c r="E65" t="s">
        <v>663</v>
      </c>
      <c r="F65">
        <f>F64*F61/100</f>
        <v>77.396263792348435</v>
      </c>
      <c r="G65" s="52"/>
      <c r="R65" s="39"/>
      <c r="S65" s="8"/>
      <c r="T65" s="9" t="s">
        <v>50</v>
      </c>
      <c r="U65" s="10" t="s">
        <v>47</v>
      </c>
      <c r="V65" t="s">
        <v>47</v>
      </c>
      <c r="W65" s="35">
        <v>0.6</v>
      </c>
    </row>
    <row r="66" spans="3:26" x14ac:dyDescent="0.45">
      <c r="C66" s="147"/>
      <c r="D66" t="s">
        <v>665</v>
      </c>
      <c r="E66" t="s">
        <v>663</v>
      </c>
      <c r="F66">
        <f>F64-F65</f>
        <v>44.744078857333491</v>
      </c>
      <c r="G66" s="52"/>
      <c r="R66" s="39"/>
      <c r="S66" s="8"/>
      <c r="T66" s="9" t="s">
        <v>570</v>
      </c>
      <c r="U66" s="10" t="s">
        <v>569</v>
      </c>
      <c r="V66">
        <v>1310</v>
      </c>
      <c r="W66" s="35">
        <v>1940</v>
      </c>
    </row>
    <row r="67" spans="3:26" ht="14.25" customHeight="1" x14ac:dyDescent="0.45">
      <c r="C67" s="147"/>
      <c r="D67" t="s">
        <v>668</v>
      </c>
      <c r="E67" t="s">
        <v>637</v>
      </c>
      <c r="F67" s="6">
        <f>(F66*365)/1000</f>
        <v>16.331588782926726</v>
      </c>
      <c r="G67" s="52"/>
      <c r="R67" s="38"/>
      <c r="S67" s="3" t="s">
        <v>36</v>
      </c>
      <c r="T67" t="s">
        <v>126</v>
      </c>
      <c r="U67" s="2" t="s">
        <v>127</v>
      </c>
      <c r="V67">
        <f>((120/(V71/10)/100)*$F$89)</f>
        <v>16.156129980116656</v>
      </c>
      <c r="W67">
        <f>((120/(W71/10)/100)*$F$89)</f>
        <v>6.389429935639356</v>
      </c>
    </row>
    <row r="68" spans="3:26" ht="57" x14ac:dyDescent="0.45">
      <c r="C68" s="147"/>
      <c r="D68" t="s">
        <v>671</v>
      </c>
      <c r="E68" t="s">
        <v>673</v>
      </c>
      <c r="F68">
        <f>F49/0.82</f>
        <v>16635.807702951592</v>
      </c>
      <c r="G68" s="84" t="s">
        <v>672</v>
      </c>
      <c r="R68" s="38"/>
      <c r="S68" s="3"/>
      <c r="T68" t="s">
        <v>37</v>
      </c>
      <c r="U68" s="1" t="s">
        <v>47</v>
      </c>
      <c r="V68">
        <v>-0.05</v>
      </c>
      <c r="W68" s="35">
        <v>4.3</v>
      </c>
    </row>
    <row r="69" spans="3:26" ht="42.75" x14ac:dyDescent="0.45">
      <c r="C69" s="147"/>
      <c r="D69" t="s">
        <v>179</v>
      </c>
      <c r="E69" t="s">
        <v>673</v>
      </c>
      <c r="F69">
        <f>F68/(F61/100)</f>
        <v>26253.247295557485</v>
      </c>
      <c r="G69" s="84" t="s">
        <v>675</v>
      </c>
      <c r="R69" s="38"/>
      <c r="S69" s="3"/>
      <c r="T69" t="s">
        <v>122</v>
      </c>
      <c r="U69" s="2" t="s">
        <v>123</v>
      </c>
      <c r="V69">
        <v>13.2</v>
      </c>
      <c r="W69" s="35">
        <v>9.3000000000000007</v>
      </c>
    </row>
    <row r="70" spans="3:26" ht="14.25" customHeight="1" x14ac:dyDescent="0.45">
      <c r="C70" s="147"/>
      <c r="D70" t="s">
        <v>674</v>
      </c>
      <c r="E70" t="s">
        <v>123</v>
      </c>
      <c r="F70" s="6">
        <f>F69/F48</f>
        <v>12.719931781374401</v>
      </c>
      <c r="G70" s="52" t="s">
        <v>675</v>
      </c>
      <c r="R70" s="36"/>
      <c r="T70" t="s">
        <v>120</v>
      </c>
      <c r="U70" s="2" t="s">
        <v>48</v>
      </c>
      <c r="V70">
        <v>119</v>
      </c>
      <c r="W70" s="35">
        <v>87</v>
      </c>
    </row>
    <row r="71" spans="3:26" ht="14.65" thickBot="1" x14ac:dyDescent="0.5">
      <c r="C71" s="147" t="s">
        <v>679</v>
      </c>
      <c r="D71" t="s">
        <v>680</v>
      </c>
      <c r="E71" t="s">
        <v>681</v>
      </c>
      <c r="F71">
        <f>(F33*365)/1000</f>
        <v>0.438</v>
      </c>
      <c r="G71" s="52"/>
      <c r="R71" s="40"/>
      <c r="S71" s="41"/>
      <c r="T71" s="41" t="s">
        <v>121</v>
      </c>
      <c r="U71" s="42" t="s">
        <v>48</v>
      </c>
      <c r="V71" s="41">
        <v>210</v>
      </c>
      <c r="W71" s="43">
        <v>531</v>
      </c>
    </row>
    <row r="72" spans="3:26" x14ac:dyDescent="0.45">
      <c r="C72" s="147"/>
      <c r="D72" t="s">
        <v>683</v>
      </c>
      <c r="E72" t="s">
        <v>682</v>
      </c>
      <c r="F72">
        <f>(F71/365)*1000</f>
        <v>1.2</v>
      </c>
      <c r="G72" s="52"/>
    </row>
    <row r="73" spans="3:26" ht="14.65" thickBot="1" x14ac:dyDescent="0.5">
      <c r="C73" s="147"/>
      <c r="G73" s="52"/>
    </row>
    <row r="74" spans="3:26" x14ac:dyDescent="0.45">
      <c r="C74" s="161" t="s">
        <v>738</v>
      </c>
      <c r="D74" t="s">
        <v>739</v>
      </c>
      <c r="E74" t="s">
        <v>67</v>
      </c>
      <c r="F74">
        <f>'Financial data Palopuro Baselin'!D36</f>
        <v>0.68181818181818177</v>
      </c>
      <c r="G74" s="52"/>
      <c r="R74" s="89"/>
      <c r="S74" s="90" t="s">
        <v>841</v>
      </c>
      <c r="T74" s="91"/>
      <c r="U74" s="91"/>
      <c r="V74" s="91"/>
      <c r="W74" s="91"/>
      <c r="X74" s="91"/>
      <c r="Y74" s="91"/>
      <c r="Z74" s="92"/>
    </row>
    <row r="75" spans="3:26" ht="57" x14ac:dyDescent="0.45">
      <c r="C75" s="161"/>
      <c r="D75" t="s">
        <v>740</v>
      </c>
      <c r="E75" t="s">
        <v>67</v>
      </c>
      <c r="F75">
        <f>'Financial data Palopuro Baselin'!D37</f>
        <v>0.31818181818181818</v>
      </c>
      <c r="G75" s="52"/>
      <c r="R75" s="36" t="s">
        <v>847</v>
      </c>
      <c r="S75" s="12" t="s">
        <v>848</v>
      </c>
      <c r="T75" t="s">
        <v>853</v>
      </c>
      <c r="U75" s="12" t="s">
        <v>854</v>
      </c>
      <c r="V75" s="12" t="s">
        <v>842</v>
      </c>
      <c r="W75" s="12" t="s">
        <v>843</v>
      </c>
      <c r="X75" s="12" t="s">
        <v>844</v>
      </c>
      <c r="Y75" s="12" t="s">
        <v>845</v>
      </c>
      <c r="Z75" s="52" t="s">
        <v>856</v>
      </c>
    </row>
    <row r="76" spans="3:26" ht="14.65" thickBot="1" x14ac:dyDescent="0.5">
      <c r="C76" s="161"/>
      <c r="D76" t="s">
        <v>741</v>
      </c>
      <c r="E76" t="s">
        <v>781</v>
      </c>
      <c r="F76">
        <f>F78*F127</f>
        <v>784.94678679371623</v>
      </c>
      <c r="G76" s="52"/>
      <c r="R76" s="40" t="s">
        <v>926</v>
      </c>
      <c r="S76" s="83" t="s">
        <v>891</v>
      </c>
      <c r="T76" s="41">
        <v>100</v>
      </c>
      <c r="U76" s="41">
        <v>2277.5</v>
      </c>
      <c r="V76" s="41">
        <v>354</v>
      </c>
      <c r="W76" s="41">
        <v>73.5</v>
      </c>
      <c r="X76" s="41">
        <v>17.3</v>
      </c>
      <c r="Y76" s="41">
        <v>12.5</v>
      </c>
      <c r="Z76" s="43">
        <v>2.2999999999999998</v>
      </c>
    </row>
    <row r="77" spans="3:26" ht="14.65" thickBot="1" x14ac:dyDescent="0.5">
      <c r="C77" s="161"/>
      <c r="D77" t="s">
        <v>741</v>
      </c>
      <c r="E77" t="s">
        <v>782</v>
      </c>
      <c r="F77">
        <f>F76/60</f>
        <v>13.082446446561937</v>
      </c>
      <c r="G77" s="52"/>
    </row>
    <row r="78" spans="3:26" ht="99.75" x14ac:dyDescent="0.45">
      <c r="C78" s="161"/>
      <c r="D78" t="s">
        <v>744</v>
      </c>
      <c r="E78" t="s">
        <v>776</v>
      </c>
      <c r="F78">
        <v>5.17</v>
      </c>
      <c r="G78" s="84" t="s">
        <v>747</v>
      </c>
      <c r="R78" s="169" t="s">
        <v>704</v>
      </c>
      <c r="S78" s="49" t="s">
        <v>892</v>
      </c>
      <c r="T78" s="44" t="s">
        <v>261</v>
      </c>
      <c r="U78" s="44">
        <f>(U79*1000)/V53</f>
        <v>55.92886937431394</v>
      </c>
      <c r="V78" s="50"/>
    </row>
    <row r="79" spans="3:26" ht="14.25" customHeight="1" x14ac:dyDescent="0.45">
      <c r="C79" s="161"/>
      <c r="D79" t="s">
        <v>745</v>
      </c>
      <c r="E79" t="s">
        <v>782</v>
      </c>
      <c r="F79">
        <f>F77*F75</f>
        <v>4.1625965966333434</v>
      </c>
      <c r="G79" s="52" t="s">
        <v>747</v>
      </c>
      <c r="R79" s="161"/>
      <c r="S79" s="12" t="s">
        <v>705</v>
      </c>
      <c r="T79" t="s">
        <v>681</v>
      </c>
      <c r="U79">
        <v>127.378</v>
      </c>
      <c r="V79" s="52"/>
    </row>
    <row r="80" spans="3:26" ht="57.4" thickBot="1" x14ac:dyDescent="0.5">
      <c r="C80" s="162"/>
      <c r="D80" s="41" t="s">
        <v>746</v>
      </c>
      <c r="E80" s="41" t="s">
        <v>782</v>
      </c>
      <c r="F80" s="41">
        <f>F77*F74</f>
        <v>8.9198498499285925</v>
      </c>
      <c r="G80" s="85"/>
      <c r="R80" s="147" t="s">
        <v>725</v>
      </c>
      <c r="S80" s="12" t="s">
        <v>726</v>
      </c>
      <c r="T80" t="s">
        <v>727</v>
      </c>
      <c r="U80">
        <v>14.5</v>
      </c>
      <c r="V80" s="52" t="s">
        <v>728</v>
      </c>
    </row>
    <row r="81" spans="2:22" ht="57" x14ac:dyDescent="0.45">
      <c r="B81" s="48"/>
      <c r="C81" t="s">
        <v>923</v>
      </c>
      <c r="F81" s="35"/>
      <c r="G81" s="12"/>
      <c r="R81" s="147"/>
      <c r="S81" s="12" t="s">
        <v>726</v>
      </c>
      <c r="T81" t="s">
        <v>733</v>
      </c>
      <c r="U81">
        <v>145</v>
      </c>
      <c r="V81" s="52" t="s">
        <v>728</v>
      </c>
    </row>
    <row r="82" spans="2:22" ht="57" x14ac:dyDescent="0.45">
      <c r="B82" s="147" t="s">
        <v>927</v>
      </c>
      <c r="C82" s="26" t="s">
        <v>748</v>
      </c>
      <c r="D82" t="s">
        <v>751</v>
      </c>
      <c r="E82" t="s">
        <v>799</v>
      </c>
      <c r="F82" s="35">
        <f>F19</f>
        <v>173.375</v>
      </c>
      <c r="R82" s="147"/>
      <c r="S82" s="12" t="s">
        <v>729</v>
      </c>
      <c r="T82" t="s">
        <v>610</v>
      </c>
      <c r="U82" s="6">
        <v>73</v>
      </c>
      <c r="V82" s="52" t="s">
        <v>728</v>
      </c>
    </row>
    <row r="83" spans="2:22" ht="99.75" x14ac:dyDescent="0.45">
      <c r="B83" s="147"/>
      <c r="C83" s="26"/>
      <c r="D83" t="s">
        <v>752</v>
      </c>
      <c r="E83" t="s">
        <v>775</v>
      </c>
      <c r="F83" s="35">
        <f>G142</f>
        <v>674.0963855421686</v>
      </c>
      <c r="R83" s="147"/>
      <c r="S83" s="12" t="s">
        <v>730</v>
      </c>
      <c r="T83" t="s">
        <v>731</v>
      </c>
      <c r="U83">
        <v>1214</v>
      </c>
      <c r="V83" s="52" t="s">
        <v>732</v>
      </c>
    </row>
    <row r="84" spans="2:22" ht="14.25" customHeight="1" x14ac:dyDescent="0.45">
      <c r="B84" s="147"/>
      <c r="C84" s="26"/>
      <c r="D84" t="s">
        <v>54</v>
      </c>
      <c r="E84" t="s">
        <v>782</v>
      </c>
      <c r="F84" s="35">
        <f>F80</f>
        <v>8.9198498499285925</v>
      </c>
      <c r="R84" s="147"/>
      <c r="S84" s="12" t="s">
        <v>894</v>
      </c>
      <c r="T84" t="s">
        <v>893</v>
      </c>
      <c r="U84" s="97">
        <f>U83*(500000/3680)</f>
        <v>164945.65217391305</v>
      </c>
      <c r="V84" s="52"/>
    </row>
    <row r="85" spans="2:22" x14ac:dyDescent="0.45">
      <c r="B85" s="147"/>
      <c r="C85" s="26"/>
      <c r="D85" t="s">
        <v>753</v>
      </c>
      <c r="E85" t="s">
        <v>782</v>
      </c>
      <c r="F85" s="35">
        <f>F79</f>
        <v>4.1625965966333434</v>
      </c>
      <c r="R85" s="86"/>
      <c r="S85" s="12" t="s">
        <v>894</v>
      </c>
      <c r="T85" t="s">
        <v>610</v>
      </c>
      <c r="U85" s="97">
        <f>U84/1000</f>
        <v>164.94565217391306</v>
      </c>
      <c r="V85" s="52"/>
    </row>
    <row r="86" spans="2:22" ht="28.5" x14ac:dyDescent="0.45">
      <c r="B86" s="147"/>
      <c r="C86" s="26"/>
      <c r="D86" t="s">
        <v>754</v>
      </c>
      <c r="E86" t="s">
        <v>178</v>
      </c>
      <c r="F86" s="35" t="str">
        <f>Basline_manure_data!E66</f>
        <v>From Luke (manure+urine)</v>
      </c>
      <c r="G86" s="12"/>
      <c r="R86" s="161" t="s">
        <v>724</v>
      </c>
      <c r="S86" s="12" t="s">
        <v>712</v>
      </c>
      <c r="T86" t="s">
        <v>168</v>
      </c>
      <c r="U86">
        <v>217391</v>
      </c>
      <c r="V86" s="52"/>
    </row>
    <row r="87" spans="2:22" ht="28.5" x14ac:dyDescent="0.45">
      <c r="B87" s="147"/>
      <c r="C87" s="26"/>
      <c r="D87" t="s">
        <v>755</v>
      </c>
      <c r="E87" t="s">
        <v>178</v>
      </c>
      <c r="F87" s="35" t="str">
        <f>Basline_manure_data!E82</f>
        <v>Dependent on the amount of animals</v>
      </c>
      <c r="G87" s="12"/>
      <c r="R87" s="161"/>
      <c r="S87" s="12" t="s">
        <v>713</v>
      </c>
      <c r="T87" t="s">
        <v>168</v>
      </c>
      <c r="U87">
        <v>151625</v>
      </c>
      <c r="V87" s="52"/>
    </row>
    <row r="88" spans="2:22" x14ac:dyDescent="0.45">
      <c r="B88" s="147"/>
      <c r="C88" s="26" t="s">
        <v>749</v>
      </c>
      <c r="D88" t="s">
        <v>889</v>
      </c>
      <c r="E88" t="s">
        <v>950</v>
      </c>
      <c r="F88" s="35">
        <f>F40*0.7</f>
        <v>197.91259225642904</v>
      </c>
      <c r="G88" s="12"/>
      <c r="R88" s="161" t="s">
        <v>714</v>
      </c>
      <c r="S88" s="12" t="s">
        <v>715</v>
      </c>
      <c r="T88" t="s">
        <v>67</v>
      </c>
      <c r="U88">
        <v>22</v>
      </c>
      <c r="V88" s="52"/>
    </row>
    <row r="89" spans="2:22" x14ac:dyDescent="0.45">
      <c r="B89" s="147"/>
      <c r="C89" s="26"/>
      <c r="D89" t="s">
        <v>756</v>
      </c>
      <c r="E89" t="s">
        <v>62</v>
      </c>
      <c r="F89" s="35">
        <f>F40</f>
        <v>282.7322746520415</v>
      </c>
      <c r="G89" s="12"/>
      <c r="R89" s="161"/>
      <c r="S89" s="12" t="s">
        <v>716</v>
      </c>
      <c r="T89" t="s">
        <v>67</v>
      </c>
      <c r="U89">
        <v>17</v>
      </c>
      <c r="V89" s="52"/>
    </row>
    <row r="90" spans="2:22" x14ac:dyDescent="0.45">
      <c r="B90" s="147"/>
      <c r="C90" s="26"/>
      <c r="D90" t="s">
        <v>757</v>
      </c>
      <c r="E90" t="s">
        <v>67</v>
      </c>
      <c r="F90" s="35">
        <f>F128</f>
        <v>53.7</v>
      </c>
      <c r="G90" s="12"/>
      <c r="R90" s="161"/>
      <c r="S90" s="12" t="s">
        <v>717</v>
      </c>
      <c r="T90" t="s">
        <v>67</v>
      </c>
      <c r="U90">
        <v>83</v>
      </c>
      <c r="V90" s="52"/>
    </row>
    <row r="91" spans="2:22" x14ac:dyDescent="0.45">
      <c r="B91" s="147"/>
      <c r="C91" s="26"/>
      <c r="D91" t="s">
        <v>758</v>
      </c>
      <c r="E91" t="s">
        <v>766</v>
      </c>
      <c r="F91" s="35">
        <f>F118</f>
        <v>384.60666666666663</v>
      </c>
      <c r="G91" s="12"/>
      <c r="R91" s="161"/>
      <c r="S91" s="12" t="s">
        <v>718</v>
      </c>
      <c r="T91" t="s">
        <v>67</v>
      </c>
      <c r="U91">
        <v>91.8</v>
      </c>
      <c r="V91" s="52"/>
    </row>
    <row r="92" spans="2:22" ht="30.75" customHeight="1" x14ac:dyDescent="0.45">
      <c r="B92" s="147"/>
      <c r="C92" s="26" t="s">
        <v>750</v>
      </c>
      <c r="D92" t="s">
        <v>759</v>
      </c>
      <c r="E92" t="s">
        <v>591</v>
      </c>
      <c r="F92" s="35">
        <f>F72*365</f>
        <v>438</v>
      </c>
      <c r="G92" s="12"/>
      <c r="R92" s="161"/>
      <c r="S92" s="12" t="s">
        <v>720</v>
      </c>
      <c r="T92" t="s">
        <v>719</v>
      </c>
      <c r="U92">
        <v>530</v>
      </c>
      <c r="V92" s="52"/>
    </row>
    <row r="93" spans="2:22" x14ac:dyDescent="0.45">
      <c r="B93" s="147"/>
      <c r="C93" s="26"/>
      <c r="D93" t="s">
        <v>760</v>
      </c>
      <c r="E93" t="s">
        <v>798</v>
      </c>
      <c r="F93" s="35">
        <v>7000</v>
      </c>
      <c r="G93" s="12"/>
      <c r="R93" s="161"/>
      <c r="S93" s="12" t="s">
        <v>721</v>
      </c>
      <c r="T93" t="s">
        <v>719</v>
      </c>
      <c r="U93">
        <v>660</v>
      </c>
      <c r="V93" s="52"/>
    </row>
    <row r="94" spans="2:22" x14ac:dyDescent="0.45">
      <c r="B94" s="147"/>
      <c r="C94" s="26"/>
      <c r="D94" t="s">
        <v>761</v>
      </c>
      <c r="E94" t="s">
        <v>47</v>
      </c>
      <c r="F94" s="35" t="s">
        <v>47</v>
      </c>
      <c r="G94" s="12"/>
      <c r="R94" s="161"/>
      <c r="S94" s="12" t="s">
        <v>722</v>
      </c>
      <c r="T94" t="s">
        <v>67</v>
      </c>
      <c r="U94">
        <v>60</v>
      </c>
      <c r="V94" s="52"/>
    </row>
    <row r="95" spans="2:22" x14ac:dyDescent="0.45">
      <c r="B95" s="147"/>
      <c r="C95" s="26"/>
      <c r="D95" t="s">
        <v>762</v>
      </c>
      <c r="E95" t="s">
        <v>47</v>
      </c>
      <c r="F95" s="35" t="s">
        <v>47</v>
      </c>
      <c r="G95" s="12"/>
      <c r="R95" s="161"/>
      <c r="S95" s="12" t="s">
        <v>723</v>
      </c>
      <c r="T95" t="s">
        <v>67</v>
      </c>
      <c r="U95">
        <v>61</v>
      </c>
      <c r="V95" s="52"/>
    </row>
    <row r="96" spans="2:22" ht="28.5" x14ac:dyDescent="0.45">
      <c r="B96" s="147"/>
      <c r="C96" s="26"/>
      <c r="D96" t="s">
        <v>763</v>
      </c>
      <c r="E96" t="s">
        <v>797</v>
      </c>
      <c r="F96" s="35">
        <f>((F49/F98)*F98*(1+0.2*(F17/100)))</f>
        <v>112974.35236401383</v>
      </c>
      <c r="G96" s="12"/>
      <c r="R96" s="161" t="s">
        <v>738</v>
      </c>
      <c r="S96" s="12" t="s">
        <v>739</v>
      </c>
      <c r="T96" t="s">
        <v>67</v>
      </c>
      <c r="U96">
        <f>'Financial data Palopuro Baselin'!D36</f>
        <v>0.68181818181818177</v>
      </c>
      <c r="V96" s="52"/>
    </row>
    <row r="97" spans="2:22" ht="28.5" x14ac:dyDescent="0.45">
      <c r="B97" s="147"/>
      <c r="C97" s="26"/>
      <c r="D97" t="s">
        <v>764</v>
      </c>
      <c r="E97" t="s">
        <v>797</v>
      </c>
      <c r="F97" s="35">
        <f>(((F51*F48))/F98)*F98</f>
        <v>278632.6566695869</v>
      </c>
      <c r="G97" s="12"/>
      <c r="R97" s="161"/>
      <c r="S97" s="12" t="s">
        <v>740</v>
      </c>
      <c r="T97" t="s">
        <v>67</v>
      </c>
      <c r="U97">
        <f>'Financial data Palopuro Baselin'!D37</f>
        <v>0.31818181818181818</v>
      </c>
      <c r="V97" s="52"/>
    </row>
    <row r="98" spans="2:22" ht="28.9" thickBot="1" x14ac:dyDescent="0.5">
      <c r="B98" s="148"/>
      <c r="C98" s="93"/>
      <c r="D98" s="41" t="s">
        <v>796</v>
      </c>
      <c r="E98" s="41" t="s">
        <v>62</v>
      </c>
      <c r="F98" s="43">
        <f>F40^0.75</f>
        <v>68.949566560701001</v>
      </c>
      <c r="G98" s="12"/>
      <c r="R98" s="161"/>
      <c r="S98" s="12" t="s">
        <v>741</v>
      </c>
      <c r="T98" t="s">
        <v>781</v>
      </c>
      <c r="U98" t="e">
        <f>U100*#REF!</f>
        <v>#REF!</v>
      </c>
      <c r="V98" s="52"/>
    </row>
    <row r="99" spans="2:22" ht="28.9" thickBot="1" x14ac:dyDescent="0.5">
      <c r="C99" s="26"/>
      <c r="G99" s="12"/>
      <c r="R99" s="161"/>
      <c r="S99" s="12" t="s">
        <v>741</v>
      </c>
      <c r="T99" t="s">
        <v>782</v>
      </c>
      <c r="U99" t="e">
        <f>U98/60</f>
        <v>#REF!</v>
      </c>
      <c r="V99" s="52"/>
    </row>
    <row r="100" spans="2:22" ht="16.5" customHeight="1" x14ac:dyDescent="0.45">
      <c r="B100" s="170" t="s">
        <v>928</v>
      </c>
      <c r="C100" s="166" t="s">
        <v>929</v>
      </c>
      <c r="D100" s="44" t="s">
        <v>31</v>
      </c>
      <c r="E100" s="44" t="s">
        <v>942</v>
      </c>
      <c r="F100" s="44">
        <f>F91/100</f>
        <v>3.8460666666666663</v>
      </c>
      <c r="G100" s="50"/>
      <c r="R100" s="161"/>
      <c r="S100" s="12" t="s">
        <v>744</v>
      </c>
      <c r="T100" t="s">
        <v>776</v>
      </c>
      <c r="U100">
        <v>5.17</v>
      </c>
      <c r="V100" s="52" t="s">
        <v>747</v>
      </c>
    </row>
    <row r="101" spans="2:22" ht="31.5" customHeight="1" x14ac:dyDescent="0.45">
      <c r="B101" s="147"/>
      <c r="C101" s="140"/>
      <c r="D101" t="s">
        <v>929</v>
      </c>
      <c r="E101" t="s">
        <v>631</v>
      </c>
      <c r="F101">
        <f>F46</f>
        <v>0.65803098360598655</v>
      </c>
      <c r="G101" s="52"/>
      <c r="R101" s="161"/>
      <c r="S101" s="12" t="s">
        <v>745</v>
      </c>
      <c r="T101" t="s">
        <v>782</v>
      </c>
      <c r="U101" t="e">
        <f>U99*U97</f>
        <v>#REF!</v>
      </c>
      <c r="V101" s="52" t="s">
        <v>747</v>
      </c>
    </row>
    <row r="102" spans="2:22" ht="14.65" thickBot="1" x14ac:dyDescent="0.5">
      <c r="B102" s="147"/>
      <c r="C102" s="140"/>
      <c r="D102" t="s">
        <v>930</v>
      </c>
      <c r="E102" t="s">
        <v>943</v>
      </c>
      <c r="F102">
        <f>F90/100</f>
        <v>0.53700000000000003</v>
      </c>
      <c r="G102" s="52"/>
      <c r="R102" s="162"/>
      <c r="S102" s="83" t="s">
        <v>746</v>
      </c>
      <c r="T102" s="41" t="s">
        <v>782</v>
      </c>
      <c r="U102" s="41" t="e">
        <f>U99*U96</f>
        <v>#REF!</v>
      </c>
      <c r="V102" s="85"/>
    </row>
    <row r="103" spans="2:22" ht="28.5" x14ac:dyDescent="0.45">
      <c r="B103" s="147"/>
      <c r="C103" s="140"/>
      <c r="D103" t="s">
        <v>32</v>
      </c>
      <c r="E103" t="s">
        <v>45</v>
      </c>
      <c r="F103">
        <v>30.9</v>
      </c>
      <c r="G103" s="52" t="s">
        <v>944</v>
      </c>
    </row>
    <row r="104" spans="2:22" ht="28.5" x14ac:dyDescent="0.45">
      <c r="B104" s="147"/>
      <c r="C104" s="140"/>
      <c r="D104" t="s">
        <v>33</v>
      </c>
      <c r="E104" t="s">
        <v>45</v>
      </c>
      <c r="F104">
        <v>1.1000000000000001</v>
      </c>
      <c r="G104" s="52" t="s">
        <v>944</v>
      </c>
    </row>
    <row r="105" spans="2:22" ht="28.5" x14ac:dyDescent="0.45">
      <c r="B105" s="147"/>
      <c r="C105" s="140"/>
      <c r="D105" t="s">
        <v>64</v>
      </c>
      <c r="E105" t="s">
        <v>45</v>
      </c>
      <c r="F105">
        <f>F111/6.25</f>
        <v>3.3680000000000003</v>
      </c>
      <c r="G105" s="52" t="s">
        <v>944</v>
      </c>
    </row>
    <row r="106" spans="2:22" x14ac:dyDescent="0.45">
      <c r="B106" s="147"/>
      <c r="C106" s="140"/>
      <c r="D106" t="s">
        <v>65</v>
      </c>
      <c r="E106" t="s">
        <v>45</v>
      </c>
      <c r="F106" t="s">
        <v>47</v>
      </c>
      <c r="G106" s="52"/>
    </row>
    <row r="107" spans="2:22" x14ac:dyDescent="0.45">
      <c r="B107" s="147"/>
      <c r="C107" s="140"/>
      <c r="D107" t="s">
        <v>66</v>
      </c>
      <c r="E107" t="s">
        <v>45</v>
      </c>
      <c r="F107" t="s">
        <v>47</v>
      </c>
      <c r="G107" s="52"/>
    </row>
    <row r="108" spans="2:22" ht="28.5" x14ac:dyDescent="0.45">
      <c r="B108" s="147"/>
      <c r="C108" s="140" t="s">
        <v>931</v>
      </c>
      <c r="D108" t="s">
        <v>932</v>
      </c>
      <c r="E108" t="s">
        <v>941</v>
      </c>
      <c r="F108">
        <v>162</v>
      </c>
      <c r="G108" s="52" t="s">
        <v>944</v>
      </c>
    </row>
    <row r="109" spans="2:22" ht="42.75" x14ac:dyDescent="0.45">
      <c r="B109" s="147"/>
      <c r="C109" s="140"/>
      <c r="D109" t="s">
        <v>933</v>
      </c>
      <c r="E109" t="s">
        <v>45</v>
      </c>
      <c r="F109">
        <v>0</v>
      </c>
      <c r="G109" s="52" t="s">
        <v>945</v>
      </c>
    </row>
    <row r="110" spans="2:22" ht="42.75" x14ac:dyDescent="0.45">
      <c r="B110" s="147"/>
      <c r="C110" s="140"/>
      <c r="D110" t="s">
        <v>934</v>
      </c>
      <c r="E110" t="s">
        <v>45</v>
      </c>
      <c r="F110">
        <v>0</v>
      </c>
      <c r="G110" s="52" t="s">
        <v>945</v>
      </c>
    </row>
    <row r="111" spans="2:22" ht="28.5" x14ac:dyDescent="0.45">
      <c r="B111" s="147"/>
      <c r="C111" s="140"/>
      <c r="D111" t="s">
        <v>38</v>
      </c>
      <c r="E111" t="s">
        <v>45</v>
      </c>
      <c r="F111">
        <v>21.05</v>
      </c>
      <c r="G111" s="52" t="s">
        <v>944</v>
      </c>
    </row>
    <row r="112" spans="2:22" ht="42.75" x14ac:dyDescent="0.45">
      <c r="B112" s="147"/>
      <c r="C112" s="140"/>
      <c r="D112" t="s">
        <v>935</v>
      </c>
      <c r="E112" t="s">
        <v>45</v>
      </c>
      <c r="F112">
        <v>9.4</v>
      </c>
      <c r="G112" s="52" t="s">
        <v>945</v>
      </c>
    </row>
    <row r="113" spans="2:7" x14ac:dyDescent="0.45">
      <c r="B113" s="147"/>
      <c r="C113" s="140" t="s">
        <v>750</v>
      </c>
      <c r="D113" t="s">
        <v>936</v>
      </c>
      <c r="E113" t="s">
        <v>940</v>
      </c>
      <c r="F113" t="s">
        <v>47</v>
      </c>
      <c r="G113" s="52"/>
    </row>
    <row r="114" spans="2:7" x14ac:dyDescent="0.45">
      <c r="B114" s="147"/>
      <c r="C114" s="140"/>
      <c r="D114" t="s">
        <v>937</v>
      </c>
      <c r="E114" t="s">
        <v>48</v>
      </c>
      <c r="F114" t="s">
        <v>47</v>
      </c>
      <c r="G114" s="52"/>
    </row>
    <row r="115" spans="2:7" x14ac:dyDescent="0.45">
      <c r="B115" s="147"/>
      <c r="C115" s="140"/>
      <c r="D115" t="s">
        <v>938</v>
      </c>
      <c r="E115" t="s">
        <v>946</v>
      </c>
      <c r="F115">
        <f>F42/F46</f>
        <v>56.79610279541383</v>
      </c>
      <c r="G115" s="52"/>
    </row>
    <row r="116" spans="2:7" ht="14.65" thickBot="1" x14ac:dyDescent="0.5">
      <c r="B116" s="148"/>
      <c r="C116" s="151"/>
      <c r="D116" s="41" t="s">
        <v>939</v>
      </c>
      <c r="E116" s="41" t="s">
        <v>947</v>
      </c>
      <c r="F116" s="41">
        <f>(F51*F47)/F46</f>
        <v>1160.093005616897</v>
      </c>
      <c r="G116" s="85"/>
    </row>
    <row r="117" spans="2:7" ht="14.65" thickBot="1" x14ac:dyDescent="0.5">
      <c r="C117" s="26"/>
      <c r="G117" s="12"/>
    </row>
    <row r="118" spans="2:7" ht="28.5" x14ac:dyDescent="0.45">
      <c r="C118" s="169" t="s">
        <v>742</v>
      </c>
      <c r="D118" s="44" t="s">
        <v>743</v>
      </c>
      <c r="E118" s="44" t="s">
        <v>766</v>
      </c>
      <c r="F118" s="44">
        <f>AVERAGE(354.76,360.24,438.82)</f>
        <v>384.60666666666663</v>
      </c>
      <c r="G118" s="50" t="s">
        <v>767</v>
      </c>
    </row>
    <row r="119" spans="2:7" x14ac:dyDescent="0.45">
      <c r="C119" s="161"/>
      <c r="D119" t="s">
        <v>765</v>
      </c>
      <c r="E119" t="s">
        <v>768</v>
      </c>
      <c r="F119">
        <v>530</v>
      </c>
      <c r="G119" s="52"/>
    </row>
    <row r="120" spans="2:7" x14ac:dyDescent="0.45">
      <c r="C120" s="161"/>
      <c r="D120" t="s">
        <v>769</v>
      </c>
      <c r="E120" t="s">
        <v>12</v>
      </c>
      <c r="F120">
        <v>0.6</v>
      </c>
      <c r="G120" s="52"/>
    </row>
    <row r="121" spans="2:7" x14ac:dyDescent="0.45">
      <c r="C121" s="161"/>
      <c r="D121" t="s">
        <v>770</v>
      </c>
      <c r="E121" t="s">
        <v>771</v>
      </c>
      <c r="F121">
        <f>F119*F120</f>
        <v>318</v>
      </c>
      <c r="G121" s="52"/>
    </row>
    <row r="122" spans="2:7" ht="128.25" x14ac:dyDescent="0.45">
      <c r="C122" s="161" t="s">
        <v>774</v>
      </c>
      <c r="D122" t="s">
        <v>783</v>
      </c>
      <c r="E122" t="s">
        <v>771</v>
      </c>
      <c r="F122">
        <v>744</v>
      </c>
      <c r="G122" s="52" t="s">
        <v>773</v>
      </c>
    </row>
    <row r="123" spans="2:7" ht="57" x14ac:dyDescent="0.45">
      <c r="C123" s="161"/>
      <c r="D123" t="s">
        <v>795</v>
      </c>
      <c r="E123" t="s">
        <v>791</v>
      </c>
      <c r="F123">
        <v>8844</v>
      </c>
      <c r="G123" s="84" t="s">
        <v>784</v>
      </c>
    </row>
    <row r="124" spans="2:7" ht="57" x14ac:dyDescent="0.45">
      <c r="C124" s="161"/>
      <c r="D124" t="s">
        <v>792</v>
      </c>
      <c r="E124" t="s">
        <v>793</v>
      </c>
      <c r="F124">
        <v>526</v>
      </c>
      <c r="G124" s="84" t="s">
        <v>784</v>
      </c>
    </row>
    <row r="125" spans="2:7" ht="57" x14ac:dyDescent="0.45">
      <c r="C125" s="161"/>
      <c r="D125" t="s">
        <v>794</v>
      </c>
      <c r="E125" t="s">
        <v>794</v>
      </c>
      <c r="F125">
        <v>17</v>
      </c>
      <c r="G125" s="84" t="s">
        <v>784</v>
      </c>
    </row>
    <row r="126" spans="2:7" x14ac:dyDescent="0.45">
      <c r="C126" s="161"/>
      <c r="G126" s="52"/>
    </row>
    <row r="127" spans="2:7" x14ac:dyDescent="0.45">
      <c r="C127" s="161" t="s">
        <v>952</v>
      </c>
      <c r="D127" t="s">
        <v>777</v>
      </c>
      <c r="E127" t="s">
        <v>62</v>
      </c>
      <c r="F127">
        <f>F40*(F128*0.01)</f>
        <v>151.82723148814628</v>
      </c>
      <c r="G127" s="52" t="s">
        <v>780</v>
      </c>
    </row>
    <row r="128" spans="2:7" x14ac:dyDescent="0.45">
      <c r="C128" s="161"/>
      <c r="D128" t="s">
        <v>778</v>
      </c>
      <c r="E128" t="s">
        <v>67</v>
      </c>
      <c r="F128">
        <v>53.7</v>
      </c>
      <c r="G128" s="52" t="s">
        <v>779</v>
      </c>
    </row>
    <row r="129" spans="3:8" ht="42.75" x14ac:dyDescent="0.45">
      <c r="C129" s="161"/>
      <c r="D129" t="s">
        <v>785</v>
      </c>
      <c r="E129" t="s">
        <v>786</v>
      </c>
      <c r="F129">
        <v>387</v>
      </c>
      <c r="G129" s="52" t="s">
        <v>787</v>
      </c>
    </row>
    <row r="130" spans="3:8" x14ac:dyDescent="0.45">
      <c r="C130" s="161"/>
      <c r="E130" t="s">
        <v>961</v>
      </c>
      <c r="F130">
        <f>F129*F133</f>
        <v>3870</v>
      </c>
      <c r="G130" s="52"/>
    </row>
    <row r="131" spans="3:8" x14ac:dyDescent="0.45">
      <c r="C131" s="161"/>
      <c r="D131" t="s">
        <v>788</v>
      </c>
      <c r="E131" t="s">
        <v>789</v>
      </c>
      <c r="F131">
        <v>7000</v>
      </c>
      <c r="G131" s="52" t="s">
        <v>790</v>
      </c>
    </row>
    <row r="132" spans="3:8" ht="48" customHeight="1" x14ac:dyDescent="0.45">
      <c r="C132" s="36"/>
      <c r="D132" t="s">
        <v>800</v>
      </c>
      <c r="E132" t="s">
        <v>801</v>
      </c>
      <c r="F132">
        <v>0.6</v>
      </c>
      <c r="G132" s="52" t="s">
        <v>802</v>
      </c>
    </row>
    <row r="133" spans="3:8" ht="54.75" customHeight="1" thickBot="1" x14ac:dyDescent="0.5">
      <c r="C133" s="36"/>
      <c r="D133" t="s">
        <v>962</v>
      </c>
      <c r="E133" t="s">
        <v>963</v>
      </c>
      <c r="F133">
        <v>10</v>
      </c>
      <c r="G133" s="52"/>
      <c r="H133" s="12"/>
    </row>
    <row r="134" spans="3:8" ht="46.5" customHeight="1" x14ac:dyDescent="0.45">
      <c r="C134" s="170"/>
      <c r="D134" s="49"/>
      <c r="E134" s="44"/>
      <c r="F134" s="44" t="s">
        <v>775</v>
      </c>
      <c r="G134" s="49" t="s">
        <v>951</v>
      </c>
      <c r="H134" s="103" t="s">
        <v>809</v>
      </c>
    </row>
    <row r="135" spans="3:8" ht="39.75" customHeight="1" x14ac:dyDescent="0.45">
      <c r="C135" s="147"/>
      <c r="D135" s="12" t="s">
        <v>804</v>
      </c>
      <c r="F135">
        <v>11900</v>
      </c>
      <c r="G135">
        <f t="shared" ref="G135:G140" si="0">F135/$F$141</f>
        <v>238.9558232931727</v>
      </c>
      <c r="H135" s="84" t="s">
        <v>809</v>
      </c>
    </row>
    <row r="136" spans="3:8" ht="42.75" customHeight="1" x14ac:dyDescent="0.45">
      <c r="C136" s="147"/>
      <c r="D136" s="12" t="s">
        <v>805</v>
      </c>
      <c r="F136">
        <v>1990</v>
      </c>
      <c r="G136">
        <f t="shared" si="0"/>
        <v>39.959839357429722</v>
      </c>
      <c r="H136" s="84" t="s">
        <v>809</v>
      </c>
    </row>
    <row r="137" spans="3:8" ht="46.5" customHeight="1" x14ac:dyDescent="0.45">
      <c r="C137" s="147"/>
      <c r="D137" s="12" t="s">
        <v>803</v>
      </c>
      <c r="F137">
        <v>5560</v>
      </c>
      <c r="G137">
        <f t="shared" si="0"/>
        <v>111.64658634538154</v>
      </c>
      <c r="H137" s="84" t="s">
        <v>809</v>
      </c>
    </row>
    <row r="138" spans="3:8" ht="42.75" x14ac:dyDescent="0.45">
      <c r="C138" s="147"/>
      <c r="D138" s="12" t="s">
        <v>806</v>
      </c>
      <c r="F138">
        <v>11100</v>
      </c>
      <c r="G138">
        <f t="shared" si="0"/>
        <v>222.89156626506025</v>
      </c>
      <c r="H138" s="84" t="s">
        <v>809</v>
      </c>
    </row>
    <row r="139" spans="3:8" ht="42.75" x14ac:dyDescent="0.45">
      <c r="C139" s="147"/>
      <c r="D139" s="12" t="s">
        <v>807</v>
      </c>
      <c r="F139">
        <v>15200</v>
      </c>
      <c r="G139">
        <f t="shared" si="0"/>
        <v>305.22088353413659</v>
      </c>
      <c r="H139" s="84" t="s">
        <v>809</v>
      </c>
    </row>
    <row r="140" spans="3:8" x14ac:dyDescent="0.45">
      <c r="C140" s="86"/>
      <c r="D140" s="12" t="s">
        <v>808</v>
      </c>
      <c r="F140">
        <v>10200</v>
      </c>
      <c r="G140">
        <f t="shared" si="0"/>
        <v>204.81927710843374</v>
      </c>
      <c r="H140" s="52"/>
    </row>
    <row r="141" spans="3:8" ht="14.25" customHeight="1" x14ac:dyDescent="0.45">
      <c r="C141" s="46"/>
      <c r="D141" s="12" t="s">
        <v>949</v>
      </c>
      <c r="F141">
        <v>49.8</v>
      </c>
      <c r="G141" s="6">
        <f>SUM(G135:G140)</f>
        <v>1123.4939759036145</v>
      </c>
      <c r="H141" s="52"/>
    </row>
    <row r="142" spans="3:8" ht="14.65" thickBot="1" x14ac:dyDescent="0.5">
      <c r="C142" s="40"/>
      <c r="D142" s="83"/>
      <c r="E142" s="41"/>
      <c r="F142" s="41"/>
      <c r="G142" s="95">
        <f>G141*F132</f>
        <v>674.0963855421686</v>
      </c>
      <c r="H142" s="43"/>
    </row>
    <row r="143" spans="3:8" x14ac:dyDescent="0.45">
      <c r="C143" s="36"/>
      <c r="D143" t="s">
        <v>676</v>
      </c>
      <c r="G143" s="12"/>
      <c r="H143" s="35"/>
    </row>
    <row r="144" spans="3:8" x14ac:dyDescent="0.45">
      <c r="C144" s="36" t="s">
        <v>677</v>
      </c>
      <c r="D144" t="s">
        <v>678</v>
      </c>
      <c r="E144" t="s">
        <v>685</v>
      </c>
      <c r="F144" t="s">
        <v>686</v>
      </c>
      <c r="G144" s="12" t="s">
        <v>687</v>
      </c>
      <c r="H144" s="35" t="s">
        <v>180</v>
      </c>
    </row>
    <row r="145" spans="3:8" ht="28.5" x14ac:dyDescent="0.45">
      <c r="C145" s="46" t="s">
        <v>684</v>
      </c>
      <c r="D145" t="s">
        <v>689</v>
      </c>
      <c r="E145" t="s">
        <v>688</v>
      </c>
      <c r="F145">
        <v>0</v>
      </c>
      <c r="G145" s="12">
        <f>((4.8*Baseline_crop_data!R11)+(0.5*Baseline_crop_data!V11))</f>
        <v>597.72299999999996</v>
      </c>
      <c r="H145" s="52" t="s">
        <v>692</v>
      </c>
    </row>
    <row r="146" spans="3:8" ht="71.25" x14ac:dyDescent="0.45">
      <c r="C146" s="46"/>
      <c r="D146" t="s">
        <v>690</v>
      </c>
      <c r="E146" t="s">
        <v>691</v>
      </c>
      <c r="F146">
        <v>50</v>
      </c>
      <c r="G146" s="12">
        <f>G145*6</f>
        <v>3586.3379999999997</v>
      </c>
      <c r="H146" s="52" t="s">
        <v>697</v>
      </c>
    </row>
    <row r="147" spans="3:8" x14ac:dyDescent="0.45">
      <c r="C147" s="46" t="s">
        <v>693</v>
      </c>
      <c r="D147" t="s">
        <v>694</v>
      </c>
      <c r="E147" t="s">
        <v>197</v>
      </c>
      <c r="F147">
        <v>0</v>
      </c>
      <c r="G147" s="12" t="s">
        <v>696</v>
      </c>
      <c r="H147" s="35"/>
    </row>
    <row r="148" spans="3:8" x14ac:dyDescent="0.45">
      <c r="C148" s="46"/>
      <c r="D148" t="s">
        <v>695</v>
      </c>
      <c r="E148" t="s">
        <v>197</v>
      </c>
      <c r="F148">
        <v>0</v>
      </c>
      <c r="G148" s="12" t="s">
        <v>696</v>
      </c>
      <c r="H148" s="35"/>
    </row>
    <row r="149" spans="3:8" ht="14.65" thickBot="1" x14ac:dyDescent="0.5">
      <c r="C149" s="47"/>
      <c r="D149" s="41" t="s">
        <v>711</v>
      </c>
      <c r="E149" s="41" t="s">
        <v>42</v>
      </c>
      <c r="F149" s="41">
        <v>0</v>
      </c>
      <c r="G149" s="83" t="s">
        <v>696</v>
      </c>
      <c r="H149" s="43"/>
    </row>
    <row r="151" spans="3:8" x14ac:dyDescent="0.45">
      <c r="G151" s="12"/>
    </row>
    <row r="152" spans="3:8" x14ac:dyDescent="0.45">
      <c r="G152" s="12"/>
    </row>
    <row r="153" spans="3:8" ht="14.65" thickBot="1" x14ac:dyDescent="0.5">
      <c r="G153" s="12"/>
    </row>
    <row r="154" spans="3:8" x14ac:dyDescent="0.45">
      <c r="C154" s="48" t="s">
        <v>817</v>
      </c>
      <c r="D154" s="44"/>
      <c r="E154" s="44"/>
      <c r="F154" s="44"/>
      <c r="G154" s="49" t="s">
        <v>826</v>
      </c>
      <c r="H154" s="45"/>
    </row>
    <row r="155" spans="3:8" x14ac:dyDescent="0.45">
      <c r="C155" s="36" t="s">
        <v>818</v>
      </c>
      <c r="D155" t="s">
        <v>835</v>
      </c>
      <c r="E155" t="s">
        <v>836</v>
      </c>
      <c r="F155" t="s">
        <v>837</v>
      </c>
      <c r="G155" s="12" t="s">
        <v>100</v>
      </c>
      <c r="H155" s="35" t="s">
        <v>827</v>
      </c>
    </row>
    <row r="156" spans="3:8" x14ac:dyDescent="0.45">
      <c r="C156" s="46" t="s">
        <v>819</v>
      </c>
      <c r="D156" t="s">
        <v>101</v>
      </c>
      <c r="E156">
        <v>57.14</v>
      </c>
      <c r="F156">
        <f t="shared" ref="F156:F171" si="1">(E156/$E$172)*100</f>
        <v>15.898720089037283</v>
      </c>
      <c r="G156" s="12">
        <v>0</v>
      </c>
      <c r="H156" s="35">
        <f t="shared" ref="H156:H165" si="2">$E$172*0.2</f>
        <v>71.88000000000001</v>
      </c>
    </row>
    <row r="157" spans="3:8" x14ac:dyDescent="0.45">
      <c r="C157" s="46"/>
      <c r="D157" t="s">
        <v>103</v>
      </c>
      <c r="E157">
        <v>15.13</v>
      </c>
      <c r="F157">
        <f t="shared" si="1"/>
        <v>4.2097941012799112</v>
      </c>
      <c r="G157" s="12">
        <v>0</v>
      </c>
      <c r="H157" s="35">
        <f t="shared" si="2"/>
        <v>71.88000000000001</v>
      </c>
    </row>
    <row r="158" spans="3:8" x14ac:dyDescent="0.45">
      <c r="C158" s="46"/>
      <c r="D158" t="s">
        <v>102</v>
      </c>
      <c r="E158">
        <v>15.79</v>
      </c>
      <c r="F158">
        <f t="shared" si="1"/>
        <v>4.393433500278241</v>
      </c>
      <c r="G158" s="12">
        <v>0</v>
      </c>
      <c r="H158" s="35">
        <f t="shared" si="2"/>
        <v>71.88000000000001</v>
      </c>
    </row>
    <row r="159" spans="3:8" x14ac:dyDescent="0.45">
      <c r="C159" s="46"/>
      <c r="D159" t="s">
        <v>106</v>
      </c>
      <c r="E159">
        <v>49.43</v>
      </c>
      <c r="F159">
        <f t="shared" si="1"/>
        <v>13.75347801892042</v>
      </c>
      <c r="G159" s="12">
        <v>0</v>
      </c>
      <c r="H159" s="35">
        <f t="shared" si="2"/>
        <v>71.88000000000001</v>
      </c>
    </row>
    <row r="160" spans="3:8" x14ac:dyDescent="0.45">
      <c r="C160" s="46"/>
      <c r="D160" t="s">
        <v>828</v>
      </c>
      <c r="E160">
        <f>SUM(E156:E159)</f>
        <v>137.49</v>
      </c>
      <c r="F160">
        <f t="shared" si="1"/>
        <v>38.255425709515862</v>
      </c>
      <c r="G160" s="12">
        <v>0</v>
      </c>
      <c r="H160" s="35">
        <f t="shared" si="2"/>
        <v>71.88000000000001</v>
      </c>
    </row>
    <row r="161" spans="3:8" x14ac:dyDescent="0.45">
      <c r="C161" s="87" t="s">
        <v>820</v>
      </c>
      <c r="D161" t="s">
        <v>104</v>
      </c>
      <c r="E161">
        <v>0</v>
      </c>
      <c r="F161">
        <f t="shared" si="1"/>
        <v>0</v>
      </c>
      <c r="G161" s="12">
        <v>0</v>
      </c>
      <c r="H161" s="35">
        <f t="shared" si="2"/>
        <v>71.88000000000001</v>
      </c>
    </row>
    <row r="162" spans="3:8" x14ac:dyDescent="0.45">
      <c r="C162" s="87"/>
      <c r="D162" t="s">
        <v>105</v>
      </c>
      <c r="E162">
        <v>32.92</v>
      </c>
      <c r="F162">
        <f t="shared" si="1"/>
        <v>9.1597106288258203</v>
      </c>
      <c r="G162" s="12">
        <v>0</v>
      </c>
      <c r="H162" s="35">
        <f t="shared" si="2"/>
        <v>71.88000000000001</v>
      </c>
    </row>
    <row r="163" spans="3:8" x14ac:dyDescent="0.45">
      <c r="C163" s="87"/>
      <c r="D163" t="s">
        <v>829</v>
      </c>
      <c r="E163">
        <f>SUM(E161:E162)</f>
        <v>32.92</v>
      </c>
      <c r="F163">
        <f t="shared" si="1"/>
        <v>9.1597106288258203</v>
      </c>
      <c r="G163" s="12">
        <v>0</v>
      </c>
      <c r="H163" s="35">
        <f t="shared" si="2"/>
        <v>71.88000000000001</v>
      </c>
    </row>
    <row r="164" spans="3:8" x14ac:dyDescent="0.45">
      <c r="C164" s="46" t="s">
        <v>821</v>
      </c>
      <c r="D164" t="s">
        <v>322</v>
      </c>
      <c r="E164">
        <v>41.11</v>
      </c>
      <c r="F164">
        <f t="shared" si="1"/>
        <v>11.438508625486921</v>
      </c>
      <c r="G164" s="12">
        <v>0</v>
      </c>
      <c r="H164" s="35">
        <f t="shared" si="2"/>
        <v>71.88000000000001</v>
      </c>
    </row>
    <row r="165" spans="3:8" x14ac:dyDescent="0.45">
      <c r="C165" s="46"/>
      <c r="D165" t="s">
        <v>830</v>
      </c>
      <c r="E165">
        <f>E164</f>
        <v>41.11</v>
      </c>
      <c r="F165">
        <f t="shared" si="1"/>
        <v>11.438508625486921</v>
      </c>
      <c r="G165" s="12">
        <v>0</v>
      </c>
      <c r="H165" s="35">
        <f t="shared" si="2"/>
        <v>71.88000000000001</v>
      </c>
    </row>
    <row r="166" spans="3:8" x14ac:dyDescent="0.45">
      <c r="C166" s="46" t="s">
        <v>822</v>
      </c>
      <c r="D166" t="s">
        <v>831</v>
      </c>
      <c r="E166">
        <v>121.81</v>
      </c>
      <c r="F166">
        <f t="shared" si="1"/>
        <v>33.892598775737341</v>
      </c>
      <c r="G166" s="12">
        <v>0</v>
      </c>
      <c r="H166" s="35">
        <f>$E$172*0.4</f>
        <v>143.76000000000002</v>
      </c>
    </row>
    <row r="167" spans="3:8" x14ac:dyDescent="0.45">
      <c r="C167" s="46"/>
      <c r="D167" t="s">
        <v>832</v>
      </c>
      <c r="E167">
        <f>E166</f>
        <v>121.81</v>
      </c>
      <c r="F167">
        <f t="shared" si="1"/>
        <v>33.892598775737341</v>
      </c>
      <c r="G167" s="12">
        <v>0</v>
      </c>
      <c r="H167" s="35">
        <f>$E$172*0.4</f>
        <v>143.76000000000002</v>
      </c>
    </row>
    <row r="168" spans="3:8" x14ac:dyDescent="0.45">
      <c r="C168" s="161" t="s">
        <v>118</v>
      </c>
      <c r="D168" t="s">
        <v>118</v>
      </c>
      <c r="E168">
        <v>26.07</v>
      </c>
      <c r="F168">
        <f t="shared" si="1"/>
        <v>7.2537562604340566</v>
      </c>
      <c r="G168" s="12">
        <v>24</v>
      </c>
      <c r="H168" s="35">
        <v>27</v>
      </c>
    </row>
    <row r="169" spans="3:8" x14ac:dyDescent="0.45">
      <c r="C169" s="161"/>
      <c r="D169" t="s">
        <v>833</v>
      </c>
      <c r="E169">
        <f>E168</f>
        <v>26.07</v>
      </c>
      <c r="F169">
        <f t="shared" si="1"/>
        <v>7.2537562604340566</v>
      </c>
      <c r="G169" s="12">
        <v>0</v>
      </c>
      <c r="H169" s="35">
        <f>H168</f>
        <v>27</v>
      </c>
    </row>
    <row r="170" spans="3:8" x14ac:dyDescent="0.45">
      <c r="C170" s="161" t="s">
        <v>834</v>
      </c>
      <c r="D170" t="s">
        <v>823</v>
      </c>
      <c r="E170">
        <f>SUM(E160,E163,E165)</f>
        <v>211.52000000000004</v>
      </c>
      <c r="F170">
        <f t="shared" si="1"/>
        <v>58.853644963828614</v>
      </c>
      <c r="G170" s="12">
        <v>0</v>
      </c>
      <c r="H170" s="35">
        <f>SUM(H160,H163,H165)</f>
        <v>215.64000000000004</v>
      </c>
    </row>
    <row r="171" spans="3:8" x14ac:dyDescent="0.45">
      <c r="C171" s="161"/>
      <c r="D171" t="s">
        <v>824</v>
      </c>
      <c r="E171">
        <f>SUM(E167,E169)</f>
        <v>147.88</v>
      </c>
      <c r="F171">
        <f t="shared" si="1"/>
        <v>41.146355036171386</v>
      </c>
      <c r="G171" s="12">
        <f t="shared" ref="G171" si="3">SUM(G167,G169)</f>
        <v>0</v>
      </c>
      <c r="H171" s="35">
        <f>SUM(H167,H169)</f>
        <v>170.76000000000002</v>
      </c>
    </row>
    <row r="172" spans="3:8" ht="14.65" thickBot="1" x14ac:dyDescent="0.5">
      <c r="C172" s="162"/>
      <c r="D172" s="41" t="s">
        <v>825</v>
      </c>
      <c r="E172" s="41">
        <f>SUM(E170:E171)</f>
        <v>359.40000000000003</v>
      </c>
      <c r="F172" s="41">
        <f>SUM(F170:F171)</f>
        <v>100</v>
      </c>
      <c r="G172" s="83">
        <f>SUM(G170:G171)</f>
        <v>0</v>
      </c>
      <c r="H172" s="43">
        <f>SUM(H170:H171)</f>
        <v>386.40000000000009</v>
      </c>
    </row>
    <row r="173" spans="3:8" ht="14.65" thickBot="1" x14ac:dyDescent="0.5">
      <c r="G173" s="12"/>
    </row>
    <row r="174" spans="3:8" x14ac:dyDescent="0.45">
      <c r="C174" s="48" t="s">
        <v>838</v>
      </c>
      <c r="D174" s="44"/>
      <c r="E174" s="44"/>
      <c r="F174" s="45"/>
      <c r="G174" s="12"/>
    </row>
    <row r="175" spans="3:8" x14ac:dyDescent="0.45">
      <c r="C175" s="36"/>
      <c r="E175" t="s">
        <v>836</v>
      </c>
      <c r="F175" s="35" t="s">
        <v>837</v>
      </c>
      <c r="G175" s="12"/>
    </row>
    <row r="176" spans="3:8" x14ac:dyDescent="0.45">
      <c r="C176" s="161" t="s">
        <v>839</v>
      </c>
      <c r="D176" t="s">
        <v>840</v>
      </c>
      <c r="E176">
        <f>E178*0.5</f>
        <v>179.70000000000002</v>
      </c>
      <c r="F176" s="35">
        <f>(E176/$E$178)*100</f>
        <v>50</v>
      </c>
      <c r="G176" s="12"/>
    </row>
    <row r="177" spans="3:7" x14ac:dyDescent="0.45">
      <c r="C177" s="161"/>
      <c r="D177" t="s">
        <v>159</v>
      </c>
      <c r="E177">
        <f>E178*0.5</f>
        <v>179.70000000000002</v>
      </c>
      <c r="F177" s="35">
        <f>(E177/$E$178)*100</f>
        <v>50</v>
      </c>
      <c r="G177" s="12"/>
    </row>
    <row r="178" spans="3:7" ht="14.65" thickBot="1" x14ac:dyDescent="0.5">
      <c r="C178" s="40"/>
      <c r="D178" s="41" t="s">
        <v>429</v>
      </c>
      <c r="E178" s="41">
        <f>E172</f>
        <v>359.40000000000003</v>
      </c>
      <c r="F178" s="43"/>
      <c r="G178" s="12"/>
    </row>
    <row r="180" spans="3:7" x14ac:dyDescent="0.45">
      <c r="C180" t="s">
        <v>970</v>
      </c>
    </row>
    <row r="181" spans="3:7" x14ac:dyDescent="0.45">
      <c r="C181" t="s">
        <v>971</v>
      </c>
      <c r="D181" t="s">
        <v>848</v>
      </c>
      <c r="E181" t="s">
        <v>972</v>
      </c>
      <c r="F181" t="s">
        <v>973</v>
      </c>
    </row>
    <row r="182" spans="3:7" x14ac:dyDescent="0.45">
      <c r="C182" t="s">
        <v>104</v>
      </c>
      <c r="D182" t="s">
        <v>974</v>
      </c>
      <c r="E182">
        <v>1104</v>
      </c>
      <c r="F182">
        <v>79355.520000000004</v>
      </c>
    </row>
    <row r="183" spans="3:7" x14ac:dyDescent="0.45">
      <c r="D183" t="s">
        <v>975</v>
      </c>
      <c r="E183">
        <v>1435.2000000000003</v>
      </c>
      <c r="F183">
        <v>103162.17600000004</v>
      </c>
    </row>
    <row r="184" spans="3:7" x14ac:dyDescent="0.45">
      <c r="C184" t="s">
        <v>106</v>
      </c>
      <c r="D184" t="s">
        <v>106</v>
      </c>
      <c r="E184">
        <v>860.00000000000011</v>
      </c>
      <c r="F184">
        <v>61816.800000000017</v>
      </c>
    </row>
    <row r="185" spans="3:7" x14ac:dyDescent="0.45">
      <c r="D185" t="s">
        <v>116</v>
      </c>
      <c r="E185">
        <v>1404.6666666666667</v>
      </c>
      <c r="F185">
        <v>100967.44000000002</v>
      </c>
    </row>
    <row r="186" spans="3:7" x14ac:dyDescent="0.45">
      <c r="C186" t="s">
        <v>322</v>
      </c>
      <c r="D186" t="s">
        <v>322</v>
      </c>
      <c r="E186">
        <v>1557</v>
      </c>
      <c r="F186">
        <v>111917.16000000002</v>
      </c>
    </row>
    <row r="187" spans="3:7" x14ac:dyDescent="0.45">
      <c r="D187" t="s">
        <v>324</v>
      </c>
      <c r="E187">
        <v>1089.8999999999999</v>
      </c>
      <c r="F187">
        <v>78342.012000000002</v>
      </c>
    </row>
    <row r="188" spans="3:7" x14ac:dyDescent="0.45">
      <c r="C188" t="s">
        <v>976</v>
      </c>
      <c r="D188" t="s">
        <v>421</v>
      </c>
      <c r="E188">
        <v>1684.4914285714292</v>
      </c>
      <c r="F188">
        <v>242162.48777142868</v>
      </c>
    </row>
    <row r="189" spans="3:7" x14ac:dyDescent="0.45">
      <c r="D189" t="s">
        <v>240</v>
      </c>
      <c r="E189">
        <v>6300</v>
      </c>
      <c r="F189">
        <v>905688.00000000012</v>
      </c>
    </row>
    <row r="190" spans="3:7" x14ac:dyDescent="0.45">
      <c r="C190" t="s">
        <v>977</v>
      </c>
      <c r="D190" t="s">
        <v>98</v>
      </c>
      <c r="E190">
        <v>300000</v>
      </c>
      <c r="F190">
        <v>300000</v>
      </c>
    </row>
    <row r="191" spans="3:7" x14ac:dyDescent="0.45">
      <c r="D191" t="s">
        <v>99</v>
      </c>
      <c r="E191">
        <v>24800</v>
      </c>
      <c r="F191">
        <v>24800</v>
      </c>
    </row>
    <row r="192" spans="3:7" x14ac:dyDescent="0.45">
      <c r="C192" t="s">
        <v>101</v>
      </c>
      <c r="D192" t="s">
        <v>978</v>
      </c>
      <c r="E192">
        <v>1204</v>
      </c>
      <c r="F192">
        <v>86543.520000000019</v>
      </c>
    </row>
    <row r="193" spans="3:6" x14ac:dyDescent="0.45">
      <c r="D193" t="s">
        <v>979</v>
      </c>
      <c r="E193">
        <v>1376.0000000000002</v>
      </c>
      <c r="F193">
        <v>98906.880000000034</v>
      </c>
    </row>
    <row r="194" spans="3:6" x14ac:dyDescent="0.45">
      <c r="D194" t="s">
        <v>980</v>
      </c>
      <c r="E194">
        <v>344.00000000000006</v>
      </c>
      <c r="F194">
        <v>24726.720000000008</v>
      </c>
    </row>
    <row r="195" spans="3:6" x14ac:dyDescent="0.45">
      <c r="C195" t="s">
        <v>105</v>
      </c>
      <c r="D195" t="s">
        <v>981</v>
      </c>
      <c r="E195">
        <v>187.68</v>
      </c>
      <c r="F195">
        <v>13490.438400000003</v>
      </c>
    </row>
    <row r="196" spans="3:6" x14ac:dyDescent="0.45">
      <c r="D196" t="s">
        <v>982</v>
      </c>
      <c r="E196">
        <v>121.992</v>
      </c>
      <c r="F196">
        <v>8768.7849600000009</v>
      </c>
    </row>
    <row r="197" spans="3:6" x14ac:dyDescent="0.45">
      <c r="C197" t="s">
        <v>983</v>
      </c>
      <c r="D197" t="s">
        <v>421</v>
      </c>
      <c r="E197">
        <v>1800</v>
      </c>
      <c r="F197">
        <v>48600</v>
      </c>
    </row>
    <row r="198" spans="3:6" x14ac:dyDescent="0.45">
      <c r="C198" t="s">
        <v>103</v>
      </c>
      <c r="D198" t="s">
        <v>984</v>
      </c>
      <c r="E198">
        <v>1719.9999999999998</v>
      </c>
      <c r="F198">
        <v>123633.60000000001</v>
      </c>
    </row>
    <row r="199" spans="3:6" x14ac:dyDescent="0.45">
      <c r="D199" t="s">
        <v>877</v>
      </c>
      <c r="E199">
        <v>1471.5555555555552</v>
      </c>
      <c r="F199">
        <v>105775.41333333332</v>
      </c>
    </row>
    <row r="200" spans="3:6" x14ac:dyDescent="0.45">
      <c r="C200" t="s">
        <v>985</v>
      </c>
      <c r="D200" t="s">
        <v>984</v>
      </c>
      <c r="E200">
        <v>2150</v>
      </c>
      <c r="F200">
        <v>154542.00000000003</v>
      </c>
    </row>
    <row r="201" spans="3:6" x14ac:dyDescent="0.45">
      <c r="D201" t="s">
        <v>985</v>
      </c>
      <c r="E201">
        <v>2257.5</v>
      </c>
      <c r="F201">
        <v>162269.10000000003</v>
      </c>
    </row>
    <row r="202" spans="3:6" x14ac:dyDescent="0.45">
      <c r="C202" t="s">
        <v>986</v>
      </c>
      <c r="D202" t="s">
        <v>984</v>
      </c>
      <c r="E202">
        <v>1958.6499999999999</v>
      </c>
      <c r="F202">
        <v>140787.76200000002</v>
      </c>
    </row>
    <row r="203" spans="3:6" x14ac:dyDescent="0.45">
      <c r="D203" t="s">
        <v>987</v>
      </c>
      <c r="E203">
        <v>1121.7722727272724</v>
      </c>
      <c r="F203">
        <v>80632.990963636345</v>
      </c>
    </row>
    <row r="204" spans="3:6" x14ac:dyDescent="0.45">
      <c r="C204" t="s">
        <v>735</v>
      </c>
      <c r="D204" t="s">
        <v>736</v>
      </c>
      <c r="E204">
        <v>47826.02</v>
      </c>
      <c r="F204">
        <v>47826.02</v>
      </c>
    </row>
    <row r="205" spans="3:6" x14ac:dyDescent="0.45">
      <c r="D205" t="s">
        <v>988</v>
      </c>
      <c r="E205">
        <v>2656.25</v>
      </c>
      <c r="F205">
        <v>2656.25</v>
      </c>
    </row>
    <row r="206" spans="3:6" x14ac:dyDescent="0.45">
      <c r="C206" t="s">
        <v>993</v>
      </c>
      <c r="D206" t="s">
        <v>994</v>
      </c>
      <c r="E206">
        <f>F101</f>
        <v>0.65803098360598655</v>
      </c>
      <c r="F206">
        <f>(((F101)*365)*G145)</f>
        <v>143561.89256908119</v>
      </c>
    </row>
  </sheetData>
  <mergeCells count="53">
    <mergeCell ref="C168:C169"/>
    <mergeCell ref="C170:C172"/>
    <mergeCell ref="C176:C177"/>
    <mergeCell ref="C113:C116"/>
    <mergeCell ref="C118:C121"/>
    <mergeCell ref="C122:C126"/>
    <mergeCell ref="C127:C131"/>
    <mergeCell ref="C134:C139"/>
    <mergeCell ref="B82:B98"/>
    <mergeCell ref="R80:R84"/>
    <mergeCell ref="R86:R87"/>
    <mergeCell ref="R88:R95"/>
    <mergeCell ref="R96:R102"/>
    <mergeCell ref="B100:B116"/>
    <mergeCell ref="C100:C107"/>
    <mergeCell ref="C108:C112"/>
    <mergeCell ref="V48:W48"/>
    <mergeCell ref="V49:W49"/>
    <mergeCell ref="C53:C70"/>
    <mergeCell ref="C74:C80"/>
    <mergeCell ref="R78:R79"/>
    <mergeCell ref="V7:W7"/>
    <mergeCell ref="V8:W8"/>
    <mergeCell ref="V9:W9"/>
    <mergeCell ref="C71:C73"/>
    <mergeCell ref="C31:C33"/>
    <mergeCell ref="C34:C37"/>
    <mergeCell ref="C38:C52"/>
    <mergeCell ref="V39:W39"/>
    <mergeCell ref="V40:W40"/>
    <mergeCell ref="V41:W41"/>
    <mergeCell ref="V42:W42"/>
    <mergeCell ref="V43:W43"/>
    <mergeCell ref="V44:W44"/>
    <mergeCell ref="V45:W45"/>
    <mergeCell ref="V46:W46"/>
    <mergeCell ref="V47:W47"/>
    <mergeCell ref="C12:C13"/>
    <mergeCell ref="V10:W10"/>
    <mergeCell ref="V11:W11"/>
    <mergeCell ref="V12:W12"/>
    <mergeCell ref="C15:C30"/>
    <mergeCell ref="V13:W13"/>
    <mergeCell ref="V14:W14"/>
    <mergeCell ref="V15:W15"/>
    <mergeCell ref="R17:R28"/>
    <mergeCell ref="S17:S22"/>
    <mergeCell ref="S23:S28"/>
    <mergeCell ref="R5:R16"/>
    <mergeCell ref="S5:S6"/>
    <mergeCell ref="V5:W5"/>
    <mergeCell ref="V6:W6"/>
    <mergeCell ref="S7:S12"/>
  </mergeCells>
  <phoneticPr fontId="4" type="noConversion"/>
  <hyperlinks>
    <hyperlink ref="G45" r:id="rId1" xr:uid="{A85B8C63-0F2C-4BC2-894D-BB0273E62AE2}"/>
    <hyperlink ref="G47" r:id="rId2" xr:uid="{3D12F0D6-1DA9-4526-9021-1F7FB62DBB35}"/>
    <hyperlink ref="G68" r:id="rId3" xr:uid="{D844D463-1EBD-46D5-9A8D-8F71DE6E5DE9}"/>
    <hyperlink ref="G69" r:id="rId4" xr:uid="{9AEB8914-E7D9-44C4-8E42-ECB4A9FC5A77}"/>
    <hyperlink ref="G123" r:id="rId5" xr:uid="{F388ADD1-9707-4948-8FE8-EDD857F5A7CF}"/>
    <hyperlink ref="G124" r:id="rId6" xr:uid="{4D2607FC-456E-492C-B957-19137722FAA0}"/>
    <hyperlink ref="G125" r:id="rId7" xr:uid="{C2B5AB30-2308-4C47-83F4-DD976E7E0507}"/>
    <hyperlink ref="G78" r:id="rId8" xr:uid="{D838EA7C-B3AD-4ABA-9A6D-21E5B397CC63}"/>
    <hyperlink ref="G38" r:id="rId9" xr:uid="{2EECD1AE-6653-489E-9549-3CD3797A47AD}"/>
    <hyperlink ref="H134:H138" r:id="rId10" display="https://portal.mtt.fi/portal/pls/portal/tt_mtt.tt_mtt_kankir_pack.laheta" xr:uid="{5C8FEEF0-9187-4DB1-AE73-8A1B36F2C9A9}"/>
  </hyperlinks>
  <pageMargins left="0.7" right="0.7" top="0.75" bottom="0.75" header="0.3" footer="0.3"/>
  <legacyDrawing r:id="rId1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625B1-D131-405D-969B-DE9915E32DF6}">
  <dimension ref="A3:K56"/>
  <sheetViews>
    <sheetView topLeftCell="A14" zoomScale="85" zoomScaleNormal="85" workbookViewId="0">
      <selection activeCell="F23" sqref="F23"/>
    </sheetView>
  </sheetViews>
  <sheetFormatPr defaultRowHeight="14.25" x14ac:dyDescent="0.45"/>
  <cols>
    <col min="1" max="1" width="20.6640625" style="12" customWidth="1"/>
    <col min="2" max="2" width="31.6640625" style="12" customWidth="1"/>
    <col min="3" max="3" width="13.73046875" style="12" customWidth="1"/>
    <col min="4" max="4" width="47" style="12" customWidth="1"/>
    <col min="5" max="5" width="13.6640625" style="12" customWidth="1"/>
    <col min="6" max="6" width="29.6640625" style="12" customWidth="1"/>
    <col min="7" max="7" width="20.33203125" customWidth="1"/>
  </cols>
  <sheetData>
    <row r="3" spans="1:7" ht="28.5" x14ac:dyDescent="0.45">
      <c r="A3" s="128" t="s">
        <v>1251</v>
      </c>
      <c r="B3" s="128" t="s">
        <v>1254</v>
      </c>
      <c r="C3" s="128" t="s">
        <v>1255</v>
      </c>
      <c r="D3" s="128" t="s">
        <v>1253</v>
      </c>
      <c r="E3" s="128" t="s">
        <v>107</v>
      </c>
      <c r="F3" s="128" t="s">
        <v>1257</v>
      </c>
      <c r="G3" s="128" t="s">
        <v>1258</v>
      </c>
    </row>
    <row r="4" spans="1:7" ht="57" x14ac:dyDescent="0.45">
      <c r="A4" s="176" t="s">
        <v>1252</v>
      </c>
      <c r="B4" s="176" t="s">
        <v>0</v>
      </c>
      <c r="C4" s="128" t="s">
        <v>13</v>
      </c>
      <c r="D4" s="128" t="s">
        <v>1299</v>
      </c>
      <c r="E4" s="128" t="s">
        <v>47</v>
      </c>
      <c r="F4" s="128">
        <v>1</v>
      </c>
      <c r="G4" s="129">
        <v>9999999</v>
      </c>
    </row>
    <row r="5" spans="1:7" x14ac:dyDescent="0.45">
      <c r="A5" s="176"/>
      <c r="B5" s="176"/>
      <c r="C5" s="176" t="s">
        <v>1256</v>
      </c>
      <c r="D5" s="128" t="s">
        <v>1259</v>
      </c>
      <c r="E5" s="128" t="s">
        <v>67</v>
      </c>
      <c r="F5" s="128">
        <v>-999999</v>
      </c>
      <c r="G5" s="129">
        <v>0</v>
      </c>
    </row>
    <row r="6" spans="1:7" x14ac:dyDescent="0.45">
      <c r="A6" s="176"/>
      <c r="B6" s="176"/>
      <c r="C6" s="176"/>
      <c r="D6" s="128" t="s">
        <v>1260</v>
      </c>
      <c r="E6" s="128" t="s">
        <v>67</v>
      </c>
      <c r="F6" s="128">
        <v>-5</v>
      </c>
      <c r="G6" s="129">
        <v>5</v>
      </c>
    </row>
    <row r="7" spans="1:7" x14ac:dyDescent="0.45">
      <c r="A7" s="176"/>
      <c r="B7" s="176"/>
      <c r="C7" s="176"/>
      <c r="D7" s="128" t="s">
        <v>1261</v>
      </c>
      <c r="E7" s="128" t="s">
        <v>67</v>
      </c>
      <c r="F7" s="128">
        <v>0</v>
      </c>
      <c r="G7" s="129">
        <v>30</v>
      </c>
    </row>
    <row r="8" spans="1:7" x14ac:dyDescent="0.45">
      <c r="A8" s="176"/>
      <c r="B8" s="176"/>
      <c r="C8" s="176"/>
      <c r="D8" s="128" t="s">
        <v>1262</v>
      </c>
      <c r="E8" s="128" t="s">
        <v>67</v>
      </c>
      <c r="F8" s="128">
        <v>-999999</v>
      </c>
      <c r="G8" s="129">
        <v>0</v>
      </c>
    </row>
    <row r="9" spans="1:7" x14ac:dyDescent="0.45">
      <c r="A9" s="176"/>
      <c r="B9" s="176"/>
      <c r="C9" s="176"/>
      <c r="D9" s="128" t="s">
        <v>1263</v>
      </c>
      <c r="E9" s="128" t="s">
        <v>67</v>
      </c>
      <c r="F9" s="128">
        <v>-5</v>
      </c>
      <c r="G9" s="129">
        <v>5</v>
      </c>
    </row>
    <row r="10" spans="1:7" x14ac:dyDescent="0.45">
      <c r="A10" s="176"/>
      <c r="B10" s="176"/>
      <c r="C10" s="176"/>
      <c r="D10" s="128" t="s">
        <v>1264</v>
      </c>
      <c r="E10" s="128" t="s">
        <v>67</v>
      </c>
      <c r="F10" s="128">
        <v>0</v>
      </c>
      <c r="G10" s="129">
        <v>30</v>
      </c>
    </row>
    <row r="11" spans="1:7" x14ac:dyDescent="0.45">
      <c r="A11" s="176"/>
      <c r="B11" s="176"/>
      <c r="C11" s="176"/>
      <c r="D11" s="128" t="s">
        <v>1265</v>
      </c>
      <c r="E11" s="128" t="s">
        <v>47</v>
      </c>
      <c r="F11" s="128">
        <v>1</v>
      </c>
      <c r="G11" s="129">
        <v>9999999</v>
      </c>
    </row>
    <row r="12" spans="1:7" x14ac:dyDescent="0.45">
      <c r="A12" s="176"/>
      <c r="B12" s="176"/>
      <c r="C12" s="176"/>
      <c r="D12" s="128" t="s">
        <v>1268</v>
      </c>
      <c r="E12" s="128" t="s">
        <v>67</v>
      </c>
      <c r="F12" s="128">
        <v>-10</v>
      </c>
      <c r="G12" s="129">
        <v>10</v>
      </c>
    </row>
    <row r="13" spans="1:7" ht="28.5" x14ac:dyDescent="0.45">
      <c r="A13" s="176"/>
      <c r="B13" s="176"/>
      <c r="C13" s="128" t="s">
        <v>1266</v>
      </c>
      <c r="D13" s="128" t="s">
        <v>1267</v>
      </c>
      <c r="E13" s="128" t="s">
        <v>673</v>
      </c>
      <c r="F13" s="128" t="s">
        <v>1281</v>
      </c>
      <c r="G13" s="130">
        <v>9999999999999</v>
      </c>
    </row>
    <row r="14" spans="1:7" ht="28.5" x14ac:dyDescent="0.45">
      <c r="A14" s="176"/>
      <c r="B14" s="176"/>
      <c r="C14" s="128" t="s">
        <v>977</v>
      </c>
      <c r="D14" s="128" t="s">
        <v>1269</v>
      </c>
      <c r="E14" s="128" t="s">
        <v>47</v>
      </c>
      <c r="F14" s="128">
        <v>0</v>
      </c>
      <c r="G14" s="129">
        <v>1</v>
      </c>
    </row>
    <row r="15" spans="1:7" ht="28.5" x14ac:dyDescent="0.45">
      <c r="A15" s="176"/>
      <c r="B15" s="176"/>
      <c r="C15" s="128" t="s">
        <v>1270</v>
      </c>
      <c r="D15" s="128" t="s">
        <v>840</v>
      </c>
      <c r="E15" s="128" t="s">
        <v>1271</v>
      </c>
      <c r="F15" s="128">
        <v>0.55000000000000004</v>
      </c>
      <c r="G15" s="129">
        <v>0.65</v>
      </c>
    </row>
    <row r="16" spans="1:7" x14ac:dyDescent="0.45">
      <c r="A16" s="176"/>
      <c r="B16" s="176"/>
      <c r="C16" s="128"/>
      <c r="D16" s="128" t="s">
        <v>159</v>
      </c>
      <c r="E16" s="128" t="s">
        <v>1271</v>
      </c>
      <c r="F16" s="128">
        <v>0.35</v>
      </c>
      <c r="G16" s="129">
        <v>0.45</v>
      </c>
    </row>
    <row r="17" spans="1:7" x14ac:dyDescent="0.45">
      <c r="A17" s="176"/>
      <c r="B17" s="176"/>
      <c r="C17" s="128" t="s">
        <v>1272</v>
      </c>
      <c r="D17" s="128" t="s">
        <v>1282</v>
      </c>
      <c r="E17" s="128" t="s">
        <v>108</v>
      </c>
      <c r="F17" s="128">
        <v>340</v>
      </c>
      <c r="G17" s="129">
        <v>375</v>
      </c>
    </row>
    <row r="18" spans="1:7" ht="71.25" customHeight="1" x14ac:dyDescent="0.45">
      <c r="A18" s="176"/>
      <c r="B18" s="176" t="s">
        <v>1280</v>
      </c>
      <c r="C18" s="128" t="s">
        <v>13</v>
      </c>
      <c r="D18" s="128" t="s">
        <v>1273</v>
      </c>
      <c r="E18" s="128" t="s">
        <v>108</v>
      </c>
      <c r="F18" s="128">
        <v>56</v>
      </c>
      <c r="G18" s="129">
        <v>71.88</v>
      </c>
    </row>
    <row r="19" spans="1:7" ht="42.75" x14ac:dyDescent="0.45">
      <c r="A19" s="176"/>
      <c r="B19" s="176"/>
      <c r="C19" s="128" t="s">
        <v>1266</v>
      </c>
      <c r="D19" s="128" t="s">
        <v>1267</v>
      </c>
      <c r="E19" s="128" t="s">
        <v>673</v>
      </c>
      <c r="F19" s="128" t="s">
        <v>1283</v>
      </c>
      <c r="G19" s="130">
        <v>99999999999999</v>
      </c>
    </row>
    <row r="20" spans="1:7" ht="28.5" x14ac:dyDescent="0.45">
      <c r="A20" s="176"/>
      <c r="B20" s="176"/>
      <c r="C20" s="128" t="s">
        <v>1274</v>
      </c>
      <c r="D20" s="128" t="s">
        <v>1275</v>
      </c>
      <c r="E20" s="128" t="s">
        <v>47</v>
      </c>
      <c r="F20" s="128">
        <v>0</v>
      </c>
      <c r="G20" s="129">
        <v>1</v>
      </c>
    </row>
    <row r="21" spans="1:7" x14ac:dyDescent="0.45">
      <c r="A21" s="176"/>
      <c r="B21" s="128" t="s">
        <v>1276</v>
      </c>
      <c r="C21" s="128" t="s">
        <v>1277</v>
      </c>
      <c r="D21" s="128" t="s">
        <v>1277</v>
      </c>
      <c r="E21" s="128" t="s">
        <v>1277</v>
      </c>
      <c r="F21" s="128" t="s">
        <v>1277</v>
      </c>
      <c r="G21" s="128" t="s">
        <v>1277</v>
      </c>
    </row>
    <row r="22" spans="1:7" ht="28.5" x14ac:dyDescent="0.45">
      <c r="A22" s="176"/>
      <c r="B22" s="128" t="s">
        <v>1278</v>
      </c>
      <c r="C22" s="128" t="s">
        <v>1279</v>
      </c>
      <c r="D22" s="128" t="s">
        <v>1279</v>
      </c>
      <c r="E22" s="128" t="s">
        <v>1279</v>
      </c>
      <c r="F22" s="128" t="s">
        <v>1279</v>
      </c>
      <c r="G22" s="128" t="s">
        <v>1279</v>
      </c>
    </row>
    <row r="23" spans="1:7" ht="57" x14ac:dyDescent="0.45">
      <c r="A23" s="128" t="s">
        <v>1284</v>
      </c>
      <c r="B23" s="128" t="s">
        <v>1286</v>
      </c>
      <c r="C23" s="128" t="s">
        <v>1270</v>
      </c>
      <c r="D23" s="128" t="s">
        <v>1285</v>
      </c>
      <c r="E23" s="128" t="s">
        <v>1271</v>
      </c>
      <c r="F23" s="128">
        <v>0.45</v>
      </c>
      <c r="G23" s="129">
        <v>0.55000000000000004</v>
      </c>
    </row>
    <row r="24" spans="1:7" ht="71.25" x14ac:dyDescent="0.45">
      <c r="A24" s="128" t="s">
        <v>1287</v>
      </c>
      <c r="B24" s="128" t="s">
        <v>1288</v>
      </c>
      <c r="C24" s="128" t="s">
        <v>1289</v>
      </c>
      <c r="D24" s="128" t="s">
        <v>1289</v>
      </c>
      <c r="E24" s="128" t="s">
        <v>1289</v>
      </c>
      <c r="F24" s="128" t="s">
        <v>1289</v>
      </c>
      <c r="G24" s="128" t="s">
        <v>1289</v>
      </c>
    </row>
    <row r="27" spans="1:7" ht="28.5" x14ac:dyDescent="0.45">
      <c r="A27" s="128" t="s">
        <v>1293</v>
      </c>
      <c r="B27" s="128" t="s">
        <v>1292</v>
      </c>
      <c r="C27" s="128" t="s">
        <v>1291</v>
      </c>
      <c r="D27" s="128" t="s">
        <v>1290</v>
      </c>
      <c r="E27" s="128" t="s">
        <v>107</v>
      </c>
      <c r="F27" s="128" t="s">
        <v>1257</v>
      </c>
      <c r="G27" s="128" t="s">
        <v>1258</v>
      </c>
    </row>
    <row r="28" spans="1:7" ht="57" x14ac:dyDescent="0.45">
      <c r="A28" s="176" t="s">
        <v>1313</v>
      </c>
      <c r="B28" s="176" t="s">
        <v>1314</v>
      </c>
      <c r="C28" s="177" t="s">
        <v>13</v>
      </c>
      <c r="D28" s="128" t="s">
        <v>1294</v>
      </c>
      <c r="E28" s="128" t="s">
        <v>42</v>
      </c>
      <c r="F28" s="128">
        <v>0</v>
      </c>
      <c r="G28" s="129">
        <v>100</v>
      </c>
    </row>
    <row r="29" spans="1:7" ht="28.5" x14ac:dyDescent="0.45">
      <c r="A29" s="176"/>
      <c r="B29" s="176"/>
      <c r="C29" s="177"/>
      <c r="D29" s="128" t="s">
        <v>1295</v>
      </c>
      <c r="E29" s="128" t="s">
        <v>42</v>
      </c>
      <c r="F29" s="128">
        <v>0</v>
      </c>
      <c r="G29" s="129">
        <v>100</v>
      </c>
    </row>
    <row r="30" spans="1:7" x14ac:dyDescent="0.45">
      <c r="A30" s="176"/>
      <c r="B30" s="176"/>
      <c r="C30" s="177"/>
      <c r="D30" s="128" t="s">
        <v>1296</v>
      </c>
      <c r="E30" s="128" t="s">
        <v>42</v>
      </c>
      <c r="F30" s="128">
        <v>0</v>
      </c>
      <c r="G30" s="129">
        <v>100</v>
      </c>
    </row>
    <row r="31" spans="1:7" x14ac:dyDescent="0.45">
      <c r="A31" s="176"/>
      <c r="B31" s="176"/>
      <c r="C31" s="177"/>
      <c r="D31" s="128" t="s">
        <v>1297</v>
      </c>
      <c r="E31" s="128" t="s">
        <v>42</v>
      </c>
      <c r="F31" s="128">
        <v>0</v>
      </c>
      <c r="G31" s="129">
        <v>100</v>
      </c>
    </row>
    <row r="32" spans="1:7" x14ac:dyDescent="0.45">
      <c r="A32" s="176"/>
      <c r="B32" s="176"/>
      <c r="C32" s="177"/>
      <c r="D32" s="128" t="s">
        <v>1298</v>
      </c>
      <c r="E32" s="128" t="s">
        <v>42</v>
      </c>
      <c r="F32" s="128">
        <v>0</v>
      </c>
      <c r="G32" s="129">
        <v>98906.880000000005</v>
      </c>
    </row>
    <row r="33" spans="1:7" ht="28.5" x14ac:dyDescent="0.45">
      <c r="A33" s="176"/>
      <c r="B33" s="176"/>
      <c r="C33" s="177"/>
      <c r="D33" s="128" t="s">
        <v>1300</v>
      </c>
      <c r="E33" s="128" t="s">
        <v>1301</v>
      </c>
      <c r="F33" s="128">
        <v>0</v>
      </c>
      <c r="G33" s="129">
        <v>1</v>
      </c>
    </row>
    <row r="34" spans="1:7" x14ac:dyDescent="0.45">
      <c r="A34" s="176"/>
      <c r="B34" s="176"/>
      <c r="C34" s="177"/>
      <c r="D34" s="128" t="s">
        <v>1302</v>
      </c>
      <c r="E34" s="128" t="s">
        <v>108</v>
      </c>
      <c r="F34" s="128">
        <v>0</v>
      </c>
      <c r="G34" s="129">
        <v>71.88</v>
      </c>
    </row>
    <row r="35" spans="1:7" x14ac:dyDescent="0.45">
      <c r="A35" s="176"/>
      <c r="B35" s="176"/>
      <c r="C35" s="177"/>
      <c r="D35" s="128" t="s">
        <v>1303</v>
      </c>
      <c r="E35" s="128" t="s">
        <v>108</v>
      </c>
      <c r="F35" s="128">
        <v>0</v>
      </c>
      <c r="G35" s="129">
        <v>143.76</v>
      </c>
    </row>
    <row r="36" spans="1:7" x14ac:dyDescent="0.45">
      <c r="A36" s="176"/>
      <c r="B36" s="176"/>
      <c r="C36" s="177"/>
      <c r="D36" s="128" t="s">
        <v>1304</v>
      </c>
      <c r="E36" s="128" t="s">
        <v>108</v>
      </c>
      <c r="F36" s="128">
        <v>24</v>
      </c>
      <c r="G36" s="129">
        <v>27</v>
      </c>
    </row>
    <row r="37" spans="1:7" x14ac:dyDescent="0.45">
      <c r="A37" s="176"/>
      <c r="B37" s="176"/>
      <c r="C37" s="176" t="s">
        <v>1256</v>
      </c>
      <c r="D37" s="128" t="s">
        <v>1305</v>
      </c>
      <c r="E37" s="128" t="s">
        <v>688</v>
      </c>
      <c r="F37" s="128">
        <v>0</v>
      </c>
      <c r="G37" s="129">
        <v>200</v>
      </c>
    </row>
    <row r="38" spans="1:7" x14ac:dyDescent="0.45">
      <c r="A38" s="176"/>
      <c r="B38" s="176"/>
      <c r="C38" s="176"/>
      <c r="D38" s="128" t="s">
        <v>1306</v>
      </c>
      <c r="E38" s="128" t="s">
        <v>688</v>
      </c>
      <c r="F38" s="128">
        <v>0</v>
      </c>
      <c r="G38" s="129">
        <v>10</v>
      </c>
    </row>
    <row r="39" spans="1:7" x14ac:dyDescent="0.45">
      <c r="A39" s="176"/>
      <c r="B39" s="176"/>
      <c r="C39" s="176"/>
      <c r="D39" s="128" t="s">
        <v>1307</v>
      </c>
      <c r="E39" s="128" t="s">
        <v>688</v>
      </c>
      <c r="F39" s="128">
        <v>0</v>
      </c>
      <c r="G39" s="129">
        <v>80</v>
      </c>
    </row>
    <row r="40" spans="1:7" x14ac:dyDescent="0.45">
      <c r="A40" s="176"/>
      <c r="B40" s="176"/>
      <c r="C40" s="176"/>
      <c r="D40" s="128" t="s">
        <v>1308</v>
      </c>
      <c r="E40" s="128" t="s">
        <v>47</v>
      </c>
      <c r="F40" s="128">
        <v>0.1</v>
      </c>
      <c r="G40" s="129">
        <v>0.5</v>
      </c>
    </row>
    <row r="41" spans="1:7" x14ac:dyDescent="0.45">
      <c r="A41" s="176"/>
      <c r="B41" s="176"/>
      <c r="C41" s="176"/>
      <c r="D41" s="128" t="s">
        <v>1309</v>
      </c>
      <c r="E41" s="128" t="s">
        <v>47</v>
      </c>
      <c r="F41" s="128">
        <v>0.1</v>
      </c>
      <c r="G41" s="129">
        <v>0.5</v>
      </c>
    </row>
    <row r="42" spans="1:7" ht="28.5" customHeight="1" x14ac:dyDescent="0.45">
      <c r="A42" s="176"/>
      <c r="B42" s="176"/>
      <c r="C42" s="176" t="s">
        <v>977</v>
      </c>
      <c r="D42" s="128" t="s">
        <v>1310</v>
      </c>
      <c r="E42" s="128" t="s">
        <v>42</v>
      </c>
      <c r="F42" s="128">
        <v>0</v>
      </c>
      <c r="G42" s="129">
        <v>24800</v>
      </c>
    </row>
    <row r="43" spans="1:7" x14ac:dyDescent="0.45">
      <c r="A43" s="176"/>
      <c r="B43" s="176"/>
      <c r="C43" s="176"/>
      <c r="D43" s="128" t="s">
        <v>1311</v>
      </c>
      <c r="E43" s="128" t="s">
        <v>42</v>
      </c>
      <c r="F43" s="128">
        <v>0</v>
      </c>
      <c r="G43" s="129">
        <v>300000</v>
      </c>
    </row>
    <row r="44" spans="1:7" ht="85.5" customHeight="1" x14ac:dyDescent="0.45">
      <c r="A44" s="176" t="s">
        <v>1315</v>
      </c>
      <c r="B44" s="176" t="s">
        <v>1314</v>
      </c>
      <c r="C44" s="176" t="s">
        <v>13</v>
      </c>
      <c r="D44" s="128" t="s">
        <v>1302</v>
      </c>
      <c r="E44" s="128" t="s">
        <v>108</v>
      </c>
      <c r="F44" s="128">
        <v>0</v>
      </c>
      <c r="G44" s="129">
        <v>89.850000000000009</v>
      </c>
    </row>
    <row r="45" spans="1:7" x14ac:dyDescent="0.45">
      <c r="A45" s="176"/>
      <c r="B45" s="176"/>
      <c r="C45" s="176"/>
      <c r="D45" s="128" t="s">
        <v>1303</v>
      </c>
      <c r="E45" s="128" t="s">
        <v>108</v>
      </c>
      <c r="F45" s="128">
        <v>0</v>
      </c>
      <c r="G45" s="129">
        <f>179.7-26.07</f>
        <v>153.63</v>
      </c>
    </row>
    <row r="53" spans="1:11" x14ac:dyDescent="0.45">
      <c r="A53" s="6">
        <v>79.817717276296577</v>
      </c>
      <c r="B53" s="54">
        <v>321.42543918809497</v>
      </c>
      <c r="C53" s="54">
        <v>526.7041629078891</v>
      </c>
      <c r="D53" s="54">
        <v>621.49886519766881</v>
      </c>
      <c r="E53">
        <v>687.40945199999999</v>
      </c>
      <c r="F53">
        <v>295.53524557968109</v>
      </c>
      <c r="G53">
        <v>453.46503763649633</v>
      </c>
      <c r="H53" s="6">
        <v>81.006246483101407</v>
      </c>
      <c r="I53">
        <v>295.53524557968109</v>
      </c>
      <c r="J53">
        <v>453.46503763649633</v>
      </c>
      <c r="K53">
        <v>554</v>
      </c>
    </row>
    <row r="56" spans="1:11" x14ac:dyDescent="0.45">
      <c r="A56" s="6">
        <v>109.81495248842479</v>
      </c>
      <c r="B56" s="54">
        <v>430.30838950944656</v>
      </c>
      <c r="C56" s="54">
        <v>544.35973420823791</v>
      </c>
      <c r="D56" s="54">
        <v>641.22290423414654</v>
      </c>
      <c r="E56" s="54">
        <v>687.40945199999999</v>
      </c>
      <c r="F56">
        <v>380.22168513998304</v>
      </c>
      <c r="G56">
        <v>465.06180121712993</v>
      </c>
      <c r="H56" s="6">
        <v>108.98816498000433</v>
      </c>
      <c r="I56">
        <v>380.22168513998304</v>
      </c>
      <c r="J56">
        <v>465.06180121712993</v>
      </c>
      <c r="K56">
        <v>523.66419178082185</v>
      </c>
    </row>
  </sheetData>
  <mergeCells count="12">
    <mergeCell ref="C44:C45"/>
    <mergeCell ref="B44:B45"/>
    <mergeCell ref="A44:A45"/>
    <mergeCell ref="A4:A22"/>
    <mergeCell ref="B18:B20"/>
    <mergeCell ref="B4:B17"/>
    <mergeCell ref="C5:C12"/>
    <mergeCell ref="A28:A43"/>
    <mergeCell ref="B28:B43"/>
    <mergeCell ref="C28:C36"/>
    <mergeCell ref="C37:C41"/>
    <mergeCell ref="C42:C43"/>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4F293-06D2-4C2A-ADB6-D9B3D11E7311}">
  <dimension ref="A1:AK235"/>
  <sheetViews>
    <sheetView topLeftCell="C46" zoomScaleNormal="100" workbookViewId="0">
      <selection activeCell="C77" sqref="C77"/>
    </sheetView>
  </sheetViews>
  <sheetFormatPr defaultRowHeight="14.25" x14ac:dyDescent="0.45"/>
  <cols>
    <col min="1" max="1" width="11.53125" customWidth="1"/>
    <col min="2" max="12" width="12.53125" customWidth="1"/>
    <col min="13" max="13" width="16.1328125" customWidth="1"/>
    <col min="14" max="14" width="18.59765625" customWidth="1"/>
    <col min="16" max="16" width="10.86328125" bestFit="1" customWidth="1"/>
    <col min="17" max="17" width="17.265625" style="12" customWidth="1"/>
    <col min="28" max="28" width="39.86328125" customWidth="1"/>
    <col min="29" max="35" width="13.73046875" customWidth="1"/>
    <col min="36" max="36" width="28.33203125" bestFit="1" customWidth="1"/>
    <col min="37" max="37" width="25.53125" bestFit="1" customWidth="1"/>
  </cols>
  <sheetData>
    <row r="1" spans="1:37" ht="14.65" thickBot="1" x14ac:dyDescent="0.5">
      <c r="B1" t="s">
        <v>1338</v>
      </c>
    </row>
    <row r="2" spans="1:37" s="12" customFormat="1" ht="51" customHeight="1" x14ac:dyDescent="0.45">
      <c r="A2" s="12" t="s">
        <v>1329</v>
      </c>
      <c r="B2" s="12" t="s">
        <v>1251</v>
      </c>
      <c r="C2" s="12" t="s">
        <v>1292</v>
      </c>
      <c r="D2" s="12" t="s">
        <v>1035</v>
      </c>
      <c r="E2" s="12" t="s">
        <v>1052</v>
      </c>
      <c r="F2" s="12" t="s">
        <v>1330</v>
      </c>
      <c r="G2" s="12" t="s">
        <v>1039</v>
      </c>
      <c r="H2" s="12" t="s">
        <v>1336</v>
      </c>
      <c r="I2" s="12" t="s">
        <v>1034</v>
      </c>
      <c r="J2" s="12" t="s">
        <v>1331</v>
      </c>
      <c r="K2" s="12" t="s">
        <v>1332</v>
      </c>
      <c r="L2" s="12" t="s">
        <v>1335</v>
      </c>
      <c r="M2" s="12" t="s">
        <v>1342</v>
      </c>
      <c r="N2" s="12" t="s">
        <v>1343</v>
      </c>
      <c r="O2" s="12" t="s">
        <v>1356</v>
      </c>
      <c r="P2" s="12" t="s">
        <v>1369</v>
      </c>
      <c r="Q2" s="12" t="s">
        <v>1370</v>
      </c>
      <c r="R2" s="12" t="s">
        <v>1376</v>
      </c>
      <c r="S2" s="12" t="s">
        <v>1377</v>
      </c>
      <c r="AB2" s="101"/>
      <c r="AC2" s="136" t="s">
        <v>1035</v>
      </c>
      <c r="AD2" s="137" t="s">
        <v>1052</v>
      </c>
      <c r="AE2" s="137" t="s">
        <v>1053</v>
      </c>
      <c r="AF2" s="49" t="s">
        <v>1039</v>
      </c>
      <c r="AG2" s="49" t="s">
        <v>1044</v>
      </c>
      <c r="AH2" s="136" t="s">
        <v>1034</v>
      </c>
      <c r="AI2" s="49" t="s">
        <v>1036</v>
      </c>
      <c r="AJ2" s="49" t="s">
        <v>1159</v>
      </c>
      <c r="AK2" s="50" t="s">
        <v>1055</v>
      </c>
    </row>
    <row r="3" spans="1:37" ht="14.35" customHeight="1" x14ac:dyDescent="0.45">
      <c r="A3" s="135">
        <v>45273</v>
      </c>
      <c r="B3" t="s">
        <v>1333</v>
      </c>
      <c r="C3" t="s">
        <v>1334</v>
      </c>
      <c r="M3">
        <v>124613</v>
      </c>
      <c r="N3">
        <v>125569</v>
      </c>
      <c r="O3">
        <f>N3-M3</f>
        <v>956</v>
      </c>
      <c r="AB3" s="62" t="s">
        <v>1354</v>
      </c>
      <c r="AC3">
        <v>4.2682666666666664</v>
      </c>
      <c r="AD3">
        <v>5.2576096408981163</v>
      </c>
      <c r="AE3">
        <v>5.2745241396927289</v>
      </c>
      <c r="AF3">
        <v>5.1210437668009243</v>
      </c>
      <c r="AG3">
        <v>4.9220804577671329</v>
      </c>
      <c r="AH3">
        <v>3.8460666666666663</v>
      </c>
      <c r="AI3">
        <v>4.9220804577671329</v>
      </c>
      <c r="AJ3">
        <v>4.5255114220751054</v>
      </c>
      <c r="AK3" s="35">
        <v>4.3134120336943447</v>
      </c>
    </row>
    <row r="4" spans="1:37" ht="14.35" customHeight="1" x14ac:dyDescent="0.45">
      <c r="A4" s="135">
        <v>45273</v>
      </c>
      <c r="B4" t="s">
        <v>1337</v>
      </c>
      <c r="C4" t="s">
        <v>1334</v>
      </c>
      <c r="D4">
        <f t="shared" ref="D4:D36" si="0">H4</f>
        <v>59</v>
      </c>
      <c r="E4">
        <v>4</v>
      </c>
      <c r="F4">
        <v>4</v>
      </c>
      <c r="G4">
        <v>9</v>
      </c>
      <c r="H4">
        <v>59</v>
      </c>
      <c r="I4">
        <f t="shared" ref="I4:I67" si="1">J4</f>
        <v>73</v>
      </c>
      <c r="J4">
        <v>73</v>
      </c>
      <c r="K4">
        <v>41</v>
      </c>
      <c r="L4">
        <v>105</v>
      </c>
      <c r="O4">
        <f t="shared" ref="O4:O67" si="2">N4-M4</f>
        <v>0</v>
      </c>
      <c r="AB4" s="62" t="s">
        <v>1353</v>
      </c>
      <c r="AC4">
        <v>256.41581400631588</v>
      </c>
      <c r="AD4">
        <v>370.83621242306032</v>
      </c>
      <c r="AE4">
        <v>370.83621242306032</v>
      </c>
      <c r="AF4">
        <v>370.83621242306032</v>
      </c>
      <c r="AG4">
        <v>214.7811291201192</v>
      </c>
      <c r="AH4">
        <v>173.02953770314193</v>
      </c>
      <c r="AI4">
        <v>257.24740012596681</v>
      </c>
      <c r="AJ4">
        <v>257.24740012596681</v>
      </c>
      <c r="AK4" s="35">
        <v>257.24740012596681</v>
      </c>
    </row>
    <row r="5" spans="1:37" ht="14.35" customHeight="1" x14ac:dyDescent="0.45">
      <c r="A5" s="135">
        <v>45273</v>
      </c>
      <c r="B5" t="s">
        <v>1339</v>
      </c>
      <c r="C5" t="s">
        <v>1334</v>
      </c>
      <c r="D5">
        <f t="shared" si="0"/>
        <v>60</v>
      </c>
      <c r="E5">
        <v>4</v>
      </c>
      <c r="F5">
        <v>4</v>
      </c>
      <c r="G5">
        <v>9</v>
      </c>
      <c r="H5">
        <v>60</v>
      </c>
      <c r="I5">
        <f t="shared" si="1"/>
        <v>78</v>
      </c>
      <c r="J5">
        <v>78</v>
      </c>
      <c r="K5">
        <v>44</v>
      </c>
      <c r="L5">
        <v>113</v>
      </c>
      <c r="O5">
        <f t="shared" si="2"/>
        <v>0</v>
      </c>
      <c r="AB5" s="62" t="s">
        <v>1352</v>
      </c>
      <c r="AC5">
        <v>570</v>
      </c>
      <c r="AD5">
        <v>1460</v>
      </c>
      <c r="AE5">
        <v>1460</v>
      </c>
      <c r="AF5">
        <v>1460</v>
      </c>
      <c r="AG5">
        <v>570</v>
      </c>
      <c r="AH5">
        <v>460</v>
      </c>
      <c r="AI5">
        <v>2452</v>
      </c>
      <c r="AJ5">
        <v>2452</v>
      </c>
      <c r="AK5" s="35">
        <v>2452</v>
      </c>
    </row>
    <row r="6" spans="1:37" ht="14.35" customHeight="1" x14ac:dyDescent="0.45">
      <c r="A6" s="135">
        <v>45273</v>
      </c>
      <c r="B6" t="s">
        <v>1340</v>
      </c>
      <c r="C6" t="s">
        <v>1334</v>
      </c>
      <c r="D6">
        <f t="shared" si="0"/>
        <v>60</v>
      </c>
      <c r="E6">
        <v>4</v>
      </c>
      <c r="F6">
        <v>4</v>
      </c>
      <c r="G6">
        <v>9</v>
      </c>
      <c r="H6">
        <v>60</v>
      </c>
      <c r="I6">
        <f t="shared" si="1"/>
        <v>87</v>
      </c>
      <c r="J6">
        <v>87</v>
      </c>
      <c r="K6">
        <v>49</v>
      </c>
      <c r="L6">
        <v>125</v>
      </c>
      <c r="O6">
        <f t="shared" si="2"/>
        <v>0</v>
      </c>
      <c r="AB6" s="62" t="s">
        <v>1355</v>
      </c>
      <c r="AC6">
        <f>AC3*AC4</f>
        <v>1094.4510717293579</v>
      </c>
      <c r="AD6">
        <f t="shared" ref="AD6:AK6" si="3">AD3*AD4</f>
        <v>1949.7120456296238</v>
      </c>
      <c r="AE6">
        <f t="shared" si="3"/>
        <v>1955.9845542976523</v>
      </c>
      <c r="AF6">
        <f t="shared" si="3"/>
        <v>1899.0684741331766</v>
      </c>
      <c r="AG6">
        <f t="shared" si="3"/>
        <v>1057.169998339298</v>
      </c>
      <c r="AH6">
        <f t="shared" si="3"/>
        <v>665.48313730879738</v>
      </c>
      <c r="AI6">
        <f t="shared" si="3"/>
        <v>1266.1924009714235</v>
      </c>
      <c r="AJ6">
        <f t="shared" si="3"/>
        <v>1164.1760475691876</v>
      </c>
      <c r="AK6" s="35">
        <f t="shared" si="3"/>
        <v>1109.6140313399294</v>
      </c>
    </row>
    <row r="7" spans="1:37" ht="14.35" customHeight="1" x14ac:dyDescent="0.45">
      <c r="A7" s="135">
        <v>45273</v>
      </c>
      <c r="B7" t="s">
        <v>1341</v>
      </c>
      <c r="C7" t="s">
        <v>1334</v>
      </c>
      <c r="D7">
        <f t="shared" si="0"/>
        <v>67</v>
      </c>
      <c r="E7">
        <v>4</v>
      </c>
      <c r="F7">
        <v>4</v>
      </c>
      <c r="G7">
        <v>9</v>
      </c>
      <c r="H7">
        <v>67</v>
      </c>
      <c r="I7">
        <f t="shared" si="1"/>
        <v>87</v>
      </c>
      <c r="J7">
        <v>87</v>
      </c>
      <c r="K7">
        <v>49</v>
      </c>
      <c r="L7">
        <v>126</v>
      </c>
      <c r="O7">
        <f t="shared" si="2"/>
        <v>0</v>
      </c>
      <c r="AB7" s="62" t="s">
        <v>1357</v>
      </c>
      <c r="AC7">
        <v>232.36947791164661</v>
      </c>
      <c r="AD7">
        <v>316.86746987951807</v>
      </c>
      <c r="AE7">
        <v>528.11244979919684</v>
      </c>
      <c r="AF7">
        <v>528.11244979919684</v>
      </c>
      <c r="AG7">
        <v>316.86746987951807</v>
      </c>
      <c r="AH7">
        <v>232.36947791164661</v>
      </c>
      <c r="AI7">
        <v>316.86746987951807</v>
      </c>
      <c r="AJ7">
        <v>528.11244979919684</v>
      </c>
      <c r="AK7" s="35">
        <v>528.11244979919684</v>
      </c>
    </row>
    <row r="8" spans="1:37" ht="14.35" customHeight="1" x14ac:dyDescent="0.45">
      <c r="A8" s="135">
        <v>45273</v>
      </c>
      <c r="B8" t="s">
        <v>1344</v>
      </c>
      <c r="C8" t="s">
        <v>1334</v>
      </c>
      <c r="D8">
        <f t="shared" si="0"/>
        <v>76</v>
      </c>
      <c r="E8">
        <v>4</v>
      </c>
      <c r="F8">
        <v>4</v>
      </c>
      <c r="G8">
        <v>9</v>
      </c>
      <c r="H8">
        <v>76</v>
      </c>
      <c r="I8">
        <f t="shared" si="1"/>
        <v>94</v>
      </c>
      <c r="J8">
        <v>94</v>
      </c>
      <c r="K8">
        <v>53</v>
      </c>
      <c r="L8">
        <v>135</v>
      </c>
      <c r="O8">
        <f t="shared" si="2"/>
        <v>0</v>
      </c>
      <c r="AB8" s="62" t="s">
        <v>1358</v>
      </c>
      <c r="AC8">
        <v>9.6465203712244492</v>
      </c>
      <c r="AD8">
        <v>5.4466568699636975</v>
      </c>
      <c r="AE8">
        <v>5.4466568699636975</v>
      </c>
      <c r="AF8">
        <v>5.4466568699636975</v>
      </c>
      <c r="AG8">
        <v>8.0801979606483432</v>
      </c>
      <c r="AH8">
        <v>8.0660916285255411</v>
      </c>
      <c r="AI8">
        <v>2.2497344765298535</v>
      </c>
      <c r="AJ8">
        <v>2.2497344765298535</v>
      </c>
      <c r="AK8" s="35">
        <v>2.2497344765298535</v>
      </c>
    </row>
    <row r="9" spans="1:37" ht="14.35" customHeight="1" x14ac:dyDescent="0.45">
      <c r="A9" s="135">
        <v>45274</v>
      </c>
      <c r="B9" t="s">
        <v>1345</v>
      </c>
      <c r="C9" t="s">
        <v>1334</v>
      </c>
      <c r="D9">
        <f t="shared" si="0"/>
        <v>89</v>
      </c>
      <c r="E9">
        <v>4</v>
      </c>
      <c r="F9">
        <v>4</v>
      </c>
      <c r="G9">
        <v>9</v>
      </c>
      <c r="H9">
        <v>89</v>
      </c>
      <c r="I9">
        <f t="shared" si="1"/>
        <v>91</v>
      </c>
      <c r="J9">
        <v>91</v>
      </c>
      <c r="K9">
        <v>51</v>
      </c>
      <c r="L9">
        <v>131</v>
      </c>
      <c r="O9">
        <f t="shared" si="2"/>
        <v>0</v>
      </c>
      <c r="AB9" s="62" t="s">
        <v>1359</v>
      </c>
      <c r="AC9">
        <v>4.5017095065714097</v>
      </c>
      <c r="AD9">
        <v>2.5417732059830591</v>
      </c>
      <c r="AE9">
        <v>2.5417732059830591</v>
      </c>
      <c r="AF9">
        <v>2.5417732059830591</v>
      </c>
      <c r="AG9">
        <v>3.7707590483025606</v>
      </c>
      <c r="AH9">
        <v>3.7641760933119195</v>
      </c>
      <c r="AI9">
        <v>1.0498760890472651</v>
      </c>
      <c r="AJ9">
        <v>1.0498760890472651</v>
      </c>
      <c r="AK9" s="35">
        <v>1.0498760890472651</v>
      </c>
    </row>
    <row r="10" spans="1:37" ht="14.35" customHeight="1" x14ac:dyDescent="0.45">
      <c r="A10" s="135">
        <v>45274</v>
      </c>
      <c r="B10" t="s">
        <v>1346</v>
      </c>
      <c r="C10" t="s">
        <v>1334</v>
      </c>
      <c r="D10">
        <f t="shared" si="0"/>
        <v>89</v>
      </c>
      <c r="E10">
        <v>4</v>
      </c>
      <c r="F10">
        <v>4</v>
      </c>
      <c r="G10">
        <v>9</v>
      </c>
      <c r="H10">
        <v>89</v>
      </c>
      <c r="I10">
        <f t="shared" si="1"/>
        <v>91</v>
      </c>
      <c r="J10">
        <v>91</v>
      </c>
      <c r="K10">
        <v>51</v>
      </c>
      <c r="L10">
        <v>131</v>
      </c>
      <c r="O10">
        <f t="shared" si="2"/>
        <v>0</v>
      </c>
      <c r="AB10" s="62" t="s">
        <v>1360</v>
      </c>
      <c r="AC10">
        <f>(AC8*'Financial data Palopuro Baselin'!$D$34)+(AC9*'Financial data Palopuro Baselin'!$D$35)</f>
        <v>290.37292264940879</v>
      </c>
      <c r="AD10">
        <f>(AD8*'Financial data Palopuro Baselin'!$D$34)+(AD9*'Financial data Palopuro Baselin'!$D$35)</f>
        <v>163.95151962956871</v>
      </c>
      <c r="AE10">
        <f>(AE8*'Financial data Palopuro Baselin'!$D$34)+(AE9*'Financial data Palopuro Baselin'!$D$35)</f>
        <v>163.95151962956871</v>
      </c>
      <c r="AF10">
        <f>(AF8*'Financial data Palopuro Baselin'!$D$34)+(AF9*'Financial data Palopuro Baselin'!$D$35)</f>
        <v>163.95151962956871</v>
      </c>
      <c r="AG10">
        <f>(AG8*'Financial data Palopuro Baselin'!$D$34)+(AG9*'Financial data Palopuro Baselin'!$D$35)</f>
        <v>243.22456254984675</v>
      </c>
      <c r="AH10">
        <f>(AH8*'Financial data Palopuro Baselin'!$D$34)+(AH9*'Financial data Palopuro Baselin'!$D$35)</f>
        <v>242.79994344070354</v>
      </c>
      <c r="AI10">
        <f>(AI8*'Financial data Palopuro Baselin'!$D$34)+(AI9*'Financial data Palopuro Baselin'!$D$35)</f>
        <v>67.719960150998119</v>
      </c>
      <c r="AJ10">
        <f>(AJ8*'Financial data Palopuro Baselin'!$D$34)+(AJ9*'Financial data Palopuro Baselin'!$D$35)</f>
        <v>67.719960150998119</v>
      </c>
      <c r="AK10" s="35">
        <f>(AK8*'Financial data Palopuro Baselin'!$D$34)+(AK9*'Financial data Palopuro Baselin'!$D$35)</f>
        <v>67.719960150998119</v>
      </c>
    </row>
    <row r="11" spans="1:37" ht="14.35" customHeight="1" x14ac:dyDescent="0.45">
      <c r="A11" s="135">
        <v>45274</v>
      </c>
      <c r="B11" t="s">
        <v>1347</v>
      </c>
      <c r="C11" t="s">
        <v>1334</v>
      </c>
      <c r="D11">
        <f t="shared" si="0"/>
        <v>87</v>
      </c>
      <c r="E11">
        <v>4</v>
      </c>
      <c r="F11">
        <v>4</v>
      </c>
      <c r="G11">
        <v>9</v>
      </c>
      <c r="H11">
        <v>87</v>
      </c>
      <c r="I11">
        <f t="shared" si="1"/>
        <v>93</v>
      </c>
      <c r="J11">
        <v>93</v>
      </c>
      <c r="K11">
        <v>52</v>
      </c>
      <c r="L11">
        <v>132</v>
      </c>
      <c r="O11">
        <f t="shared" si="2"/>
        <v>0</v>
      </c>
      <c r="AB11" s="62" t="s">
        <v>1361</v>
      </c>
      <c r="AC11">
        <f>AC10+AC7</f>
        <v>522.74240056105543</v>
      </c>
      <c r="AD11">
        <f t="shared" ref="AD11:AK11" si="4">AD10+AD7</f>
        <v>480.8189895090868</v>
      </c>
      <c r="AE11">
        <f t="shared" si="4"/>
        <v>692.06396942876552</v>
      </c>
      <c r="AF11">
        <f t="shared" si="4"/>
        <v>692.06396942876552</v>
      </c>
      <c r="AG11">
        <f t="shared" si="4"/>
        <v>560.09203242936485</v>
      </c>
      <c r="AH11">
        <f t="shared" si="4"/>
        <v>475.16942135235013</v>
      </c>
      <c r="AI11">
        <f t="shared" si="4"/>
        <v>384.5874300305162</v>
      </c>
      <c r="AJ11">
        <f t="shared" si="4"/>
        <v>595.83240995019491</v>
      </c>
      <c r="AK11" s="35">
        <f t="shared" si="4"/>
        <v>595.83240995019491</v>
      </c>
    </row>
    <row r="12" spans="1:37" ht="14.35" customHeight="1" thickBot="1" x14ac:dyDescent="0.5">
      <c r="A12" s="135">
        <v>45274</v>
      </c>
      <c r="B12" t="s">
        <v>1333</v>
      </c>
      <c r="C12" t="s">
        <v>1351</v>
      </c>
      <c r="D12">
        <f t="shared" si="0"/>
        <v>52</v>
      </c>
      <c r="E12">
        <v>2</v>
      </c>
      <c r="F12">
        <v>2</v>
      </c>
      <c r="G12">
        <v>5</v>
      </c>
      <c r="H12">
        <v>52</v>
      </c>
      <c r="I12">
        <f t="shared" si="1"/>
        <v>41</v>
      </c>
      <c r="J12">
        <v>41</v>
      </c>
      <c r="K12">
        <v>29</v>
      </c>
      <c r="L12">
        <v>75</v>
      </c>
      <c r="M12">
        <v>110333</v>
      </c>
      <c r="N12">
        <v>121547</v>
      </c>
      <c r="O12">
        <f t="shared" si="2"/>
        <v>11214</v>
      </c>
      <c r="AB12" s="51" t="s">
        <v>1362</v>
      </c>
      <c r="AC12" s="41">
        <f>AC6-AC11</f>
        <v>571.70867116830243</v>
      </c>
      <c r="AD12" s="41">
        <f t="shared" ref="AD12:AK12" si="5">AD6-AD11</f>
        <v>1468.893056120537</v>
      </c>
      <c r="AE12" s="41">
        <f t="shared" si="5"/>
        <v>1263.9205848688866</v>
      </c>
      <c r="AF12" s="41">
        <f t="shared" si="5"/>
        <v>1207.0045047044109</v>
      </c>
      <c r="AG12" s="41">
        <f t="shared" si="5"/>
        <v>497.07796590993314</v>
      </c>
      <c r="AH12" s="41">
        <f t="shared" si="5"/>
        <v>190.31371595644725</v>
      </c>
      <c r="AI12" s="41">
        <f t="shared" si="5"/>
        <v>881.60497094090726</v>
      </c>
      <c r="AJ12" s="41">
        <f t="shared" si="5"/>
        <v>568.34363761899272</v>
      </c>
      <c r="AK12" s="43">
        <f t="shared" si="5"/>
        <v>513.78162138973448</v>
      </c>
    </row>
    <row r="13" spans="1:37" ht="14.35" customHeight="1" x14ac:dyDescent="0.45">
      <c r="A13" s="135">
        <v>45274</v>
      </c>
      <c r="B13" t="s">
        <v>1337</v>
      </c>
      <c r="C13" t="s">
        <v>1351</v>
      </c>
      <c r="D13">
        <f t="shared" si="0"/>
        <v>57</v>
      </c>
      <c r="E13">
        <v>2</v>
      </c>
      <c r="F13">
        <v>2</v>
      </c>
      <c r="G13">
        <v>5</v>
      </c>
      <c r="H13">
        <v>57</v>
      </c>
      <c r="I13">
        <f t="shared" si="1"/>
        <v>56</v>
      </c>
      <c r="J13">
        <v>56</v>
      </c>
      <c r="K13">
        <v>37</v>
      </c>
      <c r="L13">
        <v>95</v>
      </c>
      <c r="M13">
        <f>142718+44</f>
        <v>142762</v>
      </c>
      <c r="N13">
        <v>144950</v>
      </c>
      <c r="O13">
        <f t="shared" si="2"/>
        <v>2188</v>
      </c>
    </row>
    <row r="14" spans="1:37" x14ac:dyDescent="0.45">
      <c r="A14" s="135">
        <v>45274</v>
      </c>
      <c r="B14" t="s">
        <v>1339</v>
      </c>
      <c r="C14" t="s">
        <v>1351</v>
      </c>
      <c r="D14">
        <f t="shared" si="0"/>
        <v>59</v>
      </c>
      <c r="E14">
        <v>2</v>
      </c>
      <c r="F14">
        <v>2</v>
      </c>
      <c r="G14">
        <v>4</v>
      </c>
      <c r="H14">
        <v>59</v>
      </c>
      <c r="I14">
        <f t="shared" si="1"/>
        <v>72</v>
      </c>
      <c r="J14">
        <v>72</v>
      </c>
      <c r="K14">
        <v>44</v>
      </c>
      <c r="L14">
        <v>113</v>
      </c>
      <c r="M14">
        <f>154742+67</f>
        <v>154809</v>
      </c>
      <c r="N14">
        <v>157355</v>
      </c>
      <c r="O14">
        <f t="shared" si="2"/>
        <v>2546</v>
      </c>
    </row>
    <row r="15" spans="1:37" x14ac:dyDescent="0.45">
      <c r="A15" s="135">
        <v>45274</v>
      </c>
      <c r="B15" t="s">
        <v>1340</v>
      </c>
      <c r="C15" t="s">
        <v>1351</v>
      </c>
      <c r="D15">
        <f t="shared" si="0"/>
        <v>68</v>
      </c>
      <c r="E15">
        <v>3</v>
      </c>
      <c r="F15">
        <v>3</v>
      </c>
      <c r="G15">
        <v>8</v>
      </c>
      <c r="H15">
        <v>68</v>
      </c>
      <c r="I15">
        <f t="shared" si="1"/>
        <v>85</v>
      </c>
      <c r="J15">
        <v>85</v>
      </c>
      <c r="K15">
        <v>47</v>
      </c>
      <c r="L15">
        <v>121</v>
      </c>
      <c r="M15">
        <f>168897+74</f>
        <v>168971</v>
      </c>
      <c r="N15">
        <v>177948</v>
      </c>
      <c r="O15">
        <f t="shared" si="2"/>
        <v>8977</v>
      </c>
    </row>
    <row r="16" spans="1:37" x14ac:dyDescent="0.45">
      <c r="A16" s="135">
        <v>45274</v>
      </c>
      <c r="B16" t="s">
        <v>1341</v>
      </c>
      <c r="C16" t="s">
        <v>1351</v>
      </c>
      <c r="D16">
        <f t="shared" si="0"/>
        <v>75</v>
      </c>
      <c r="E16">
        <v>4</v>
      </c>
      <c r="F16">
        <v>4</v>
      </c>
      <c r="G16">
        <v>9</v>
      </c>
      <c r="H16">
        <v>75</v>
      </c>
      <c r="I16">
        <f t="shared" si="1"/>
        <v>88</v>
      </c>
      <c r="J16">
        <v>88</v>
      </c>
      <c r="K16">
        <v>49</v>
      </c>
      <c r="L16">
        <v>125</v>
      </c>
      <c r="M16">
        <f>7+178247</f>
        <v>178254</v>
      </c>
      <c r="N16">
        <v>174174</v>
      </c>
      <c r="O16">
        <f t="shared" si="2"/>
        <v>-4080</v>
      </c>
    </row>
    <row r="17" spans="1:17" x14ac:dyDescent="0.45">
      <c r="A17" s="135">
        <v>45275</v>
      </c>
      <c r="B17" t="s">
        <v>1344</v>
      </c>
      <c r="C17" t="s">
        <v>1351</v>
      </c>
      <c r="D17">
        <f t="shared" si="0"/>
        <v>84</v>
      </c>
      <c r="E17">
        <v>4</v>
      </c>
      <c r="F17">
        <v>4</v>
      </c>
      <c r="G17">
        <v>9</v>
      </c>
      <c r="H17">
        <v>84</v>
      </c>
      <c r="I17">
        <f t="shared" si="1"/>
        <v>89</v>
      </c>
      <c r="J17">
        <v>89</v>
      </c>
      <c r="K17">
        <v>50</v>
      </c>
      <c r="L17">
        <v>127</v>
      </c>
      <c r="M17">
        <v>197933</v>
      </c>
      <c r="N17">
        <v>204267</v>
      </c>
      <c r="O17">
        <f t="shared" si="2"/>
        <v>6334</v>
      </c>
    </row>
    <row r="18" spans="1:17" x14ac:dyDescent="0.45">
      <c r="A18" s="135">
        <v>45275</v>
      </c>
      <c r="B18" t="s">
        <v>1345</v>
      </c>
      <c r="C18" t="s">
        <v>1351</v>
      </c>
      <c r="D18">
        <f t="shared" si="0"/>
        <v>87</v>
      </c>
      <c r="E18">
        <v>4</v>
      </c>
      <c r="F18">
        <v>4</v>
      </c>
      <c r="G18">
        <v>9</v>
      </c>
      <c r="H18">
        <v>87</v>
      </c>
      <c r="I18">
        <f t="shared" si="1"/>
        <v>91</v>
      </c>
      <c r="J18">
        <v>91</v>
      </c>
      <c r="K18">
        <v>51</v>
      </c>
      <c r="L18">
        <v>131</v>
      </c>
      <c r="M18">
        <v>202520</v>
      </c>
      <c r="N18">
        <v>209560</v>
      </c>
      <c r="O18">
        <f t="shared" si="2"/>
        <v>7040</v>
      </c>
    </row>
    <row r="19" spans="1:17" x14ac:dyDescent="0.45">
      <c r="A19" s="135">
        <v>45275</v>
      </c>
      <c r="B19" t="s">
        <v>1346</v>
      </c>
      <c r="C19" t="s">
        <v>1351</v>
      </c>
      <c r="D19">
        <f t="shared" si="0"/>
        <v>89</v>
      </c>
      <c r="E19">
        <v>4</v>
      </c>
      <c r="F19">
        <v>4</v>
      </c>
      <c r="G19">
        <v>9</v>
      </c>
      <c r="H19">
        <v>89</v>
      </c>
      <c r="I19">
        <f t="shared" si="1"/>
        <v>91</v>
      </c>
      <c r="J19">
        <v>91</v>
      </c>
      <c r="K19">
        <v>51</v>
      </c>
      <c r="L19">
        <v>131</v>
      </c>
      <c r="M19">
        <f>201188+62</f>
        <v>201250</v>
      </c>
      <c r="N19">
        <v>212165</v>
      </c>
      <c r="O19">
        <f t="shared" si="2"/>
        <v>10915</v>
      </c>
    </row>
    <row r="20" spans="1:17" x14ac:dyDescent="0.45">
      <c r="A20" s="135">
        <v>45275</v>
      </c>
      <c r="B20" t="s">
        <v>1347</v>
      </c>
      <c r="C20" t="s">
        <v>1351</v>
      </c>
      <c r="D20">
        <f t="shared" si="0"/>
        <v>90</v>
      </c>
      <c r="E20">
        <v>4</v>
      </c>
      <c r="F20">
        <v>4</v>
      </c>
      <c r="G20">
        <v>9</v>
      </c>
      <c r="H20">
        <v>90</v>
      </c>
      <c r="I20">
        <f t="shared" si="1"/>
        <v>93</v>
      </c>
      <c r="J20">
        <v>93</v>
      </c>
      <c r="K20">
        <v>52</v>
      </c>
      <c r="L20">
        <v>133</v>
      </c>
      <c r="M20">
        <v>201839</v>
      </c>
      <c r="N20">
        <v>215176</v>
      </c>
      <c r="O20">
        <f t="shared" si="2"/>
        <v>13337</v>
      </c>
    </row>
    <row r="21" spans="1:17" x14ac:dyDescent="0.45">
      <c r="A21" s="135">
        <v>45275</v>
      </c>
      <c r="B21" t="s">
        <v>1333</v>
      </c>
      <c r="C21" t="s">
        <v>1366</v>
      </c>
      <c r="D21">
        <f t="shared" si="0"/>
        <v>35</v>
      </c>
      <c r="E21">
        <v>4</v>
      </c>
      <c r="F21">
        <v>4</v>
      </c>
      <c r="G21">
        <v>4</v>
      </c>
      <c r="H21">
        <v>35</v>
      </c>
      <c r="I21">
        <f t="shared" si="1"/>
        <v>53</v>
      </c>
      <c r="J21">
        <v>53</v>
      </c>
      <c r="K21">
        <v>20</v>
      </c>
      <c r="L21">
        <v>50</v>
      </c>
      <c r="M21">
        <v>82808</v>
      </c>
      <c r="N21">
        <v>82673</v>
      </c>
      <c r="O21">
        <f t="shared" si="2"/>
        <v>-135</v>
      </c>
      <c r="P21">
        <v>-1557</v>
      </c>
      <c r="Q21" s="12">
        <v>151011</v>
      </c>
    </row>
    <row r="22" spans="1:17" x14ac:dyDescent="0.45">
      <c r="A22" s="135">
        <v>45275</v>
      </c>
      <c r="B22" t="s">
        <v>1337</v>
      </c>
      <c r="C22" t="s">
        <v>1366</v>
      </c>
      <c r="D22">
        <f t="shared" si="0"/>
        <v>33</v>
      </c>
      <c r="E22">
        <v>3</v>
      </c>
      <c r="F22">
        <v>3</v>
      </c>
      <c r="G22">
        <v>3</v>
      </c>
      <c r="H22">
        <v>33</v>
      </c>
      <c r="I22">
        <f t="shared" si="1"/>
        <v>34</v>
      </c>
      <c r="J22">
        <v>34</v>
      </c>
      <c r="K22">
        <v>19</v>
      </c>
      <c r="L22">
        <v>47</v>
      </c>
      <c r="M22">
        <f>78088+87</f>
        <v>78175</v>
      </c>
      <c r="N22">
        <v>77758</v>
      </c>
      <c r="O22">
        <f t="shared" si="2"/>
        <v>-417</v>
      </c>
      <c r="P22">
        <v>-1522</v>
      </c>
      <c r="Q22" s="12">
        <v>188883</v>
      </c>
    </row>
    <row r="23" spans="1:17" x14ac:dyDescent="0.45">
      <c r="A23" s="135">
        <v>45275</v>
      </c>
      <c r="B23" t="s">
        <v>1339</v>
      </c>
      <c r="C23" t="s">
        <v>1366</v>
      </c>
      <c r="D23">
        <f t="shared" si="0"/>
        <v>13</v>
      </c>
      <c r="E23">
        <v>3</v>
      </c>
      <c r="F23">
        <v>2</v>
      </c>
      <c r="G23">
        <v>4</v>
      </c>
      <c r="H23">
        <v>13</v>
      </c>
      <c r="I23">
        <f t="shared" si="1"/>
        <v>61</v>
      </c>
      <c r="J23">
        <v>61</v>
      </c>
      <c r="K23">
        <v>15</v>
      </c>
      <c r="L23">
        <v>38</v>
      </c>
      <c r="M23">
        <f>67413+1634</f>
        <v>69047</v>
      </c>
      <c r="N23">
        <v>49789</v>
      </c>
      <c r="O23">
        <f t="shared" si="2"/>
        <v>-19258</v>
      </c>
      <c r="P23">
        <v>-1378</v>
      </c>
      <c r="Q23" s="12">
        <v>167693</v>
      </c>
    </row>
    <row r="24" spans="1:17" x14ac:dyDescent="0.45">
      <c r="A24" s="135">
        <v>45275</v>
      </c>
      <c r="B24" t="s">
        <v>1340</v>
      </c>
      <c r="C24" t="s">
        <v>1366</v>
      </c>
      <c r="D24">
        <f t="shared" si="0"/>
        <v>4</v>
      </c>
      <c r="E24">
        <v>2</v>
      </c>
      <c r="F24">
        <v>2</v>
      </c>
      <c r="G24">
        <v>5</v>
      </c>
      <c r="H24">
        <v>4</v>
      </c>
      <c r="I24">
        <f t="shared" si="1"/>
        <v>18</v>
      </c>
      <c r="J24">
        <v>18</v>
      </c>
      <c r="K24">
        <v>10</v>
      </c>
      <c r="L24">
        <v>25</v>
      </c>
      <c r="M24">
        <f>37650+168</f>
        <v>37818</v>
      </c>
      <c r="N24">
        <v>30285</v>
      </c>
      <c r="O24">
        <f t="shared" si="2"/>
        <v>-7533</v>
      </c>
      <c r="P24">
        <v>-486</v>
      </c>
      <c r="Q24" s="12">
        <v>183100</v>
      </c>
    </row>
    <row r="25" spans="1:17" x14ac:dyDescent="0.45">
      <c r="A25" s="135">
        <v>45275</v>
      </c>
      <c r="B25" t="s">
        <v>1341</v>
      </c>
      <c r="C25" t="s">
        <v>1366</v>
      </c>
      <c r="D25">
        <f t="shared" si="0"/>
        <v>2</v>
      </c>
      <c r="E25">
        <v>2</v>
      </c>
      <c r="F25">
        <v>2</v>
      </c>
      <c r="G25">
        <v>5</v>
      </c>
      <c r="H25">
        <v>2</v>
      </c>
      <c r="I25">
        <f t="shared" si="1"/>
        <v>14</v>
      </c>
      <c r="J25">
        <v>14</v>
      </c>
      <c r="K25">
        <v>8</v>
      </c>
      <c r="L25">
        <v>19</v>
      </c>
      <c r="M25">
        <f>43120+698</f>
        <v>43818</v>
      </c>
      <c r="N25">
        <v>23361</v>
      </c>
      <c r="O25">
        <f t="shared" si="2"/>
        <v>-20457</v>
      </c>
      <c r="P25">
        <v>-780</v>
      </c>
      <c r="Q25" s="12">
        <v>160052</v>
      </c>
    </row>
    <row r="26" spans="1:17" x14ac:dyDescent="0.45">
      <c r="A26" s="135">
        <v>45275</v>
      </c>
      <c r="B26" t="s">
        <v>1344</v>
      </c>
      <c r="C26" t="s">
        <v>1366</v>
      </c>
      <c r="D26">
        <f t="shared" si="0"/>
        <v>0</v>
      </c>
      <c r="E26">
        <v>2</v>
      </c>
      <c r="F26">
        <v>2</v>
      </c>
      <c r="G26">
        <v>6</v>
      </c>
      <c r="H26">
        <v>0</v>
      </c>
      <c r="I26">
        <f t="shared" si="1"/>
        <v>11</v>
      </c>
      <c r="J26">
        <v>11</v>
      </c>
      <c r="K26">
        <v>6</v>
      </c>
      <c r="L26">
        <v>15</v>
      </c>
      <c r="M26">
        <f>26502+3342</f>
        <v>29844</v>
      </c>
      <c r="N26">
        <v>17834</v>
      </c>
      <c r="O26">
        <f t="shared" si="2"/>
        <v>-12010</v>
      </c>
      <c r="P26">
        <v>-192</v>
      </c>
      <c r="Q26" s="12">
        <v>147594</v>
      </c>
    </row>
    <row r="27" spans="1:17" x14ac:dyDescent="0.45">
      <c r="A27" s="135">
        <v>45275</v>
      </c>
      <c r="B27" t="s">
        <v>1345</v>
      </c>
      <c r="C27" t="s">
        <v>1366</v>
      </c>
      <c r="D27">
        <f t="shared" si="0"/>
        <v>0</v>
      </c>
      <c r="E27">
        <v>2</v>
      </c>
      <c r="F27">
        <v>2</v>
      </c>
      <c r="G27">
        <v>4</v>
      </c>
      <c r="H27">
        <v>0</v>
      </c>
      <c r="I27">
        <f t="shared" si="1"/>
        <v>9</v>
      </c>
      <c r="J27">
        <v>9</v>
      </c>
      <c r="K27">
        <v>5</v>
      </c>
      <c r="L27">
        <v>11</v>
      </c>
      <c r="M27">
        <f>20899+3216</f>
        <v>24115</v>
      </c>
      <c r="N27">
        <v>13784</v>
      </c>
      <c r="O27">
        <f t="shared" si="2"/>
        <v>-10331</v>
      </c>
      <c r="P27">
        <v>-117</v>
      </c>
      <c r="Q27" s="12">
        <v>164051</v>
      </c>
    </row>
    <row r="28" spans="1:17" x14ac:dyDescent="0.45">
      <c r="A28" s="135">
        <v>45278</v>
      </c>
      <c r="B28" t="s">
        <v>1346</v>
      </c>
      <c r="C28" t="s">
        <v>1366</v>
      </c>
      <c r="D28">
        <f>H28</f>
        <v>0</v>
      </c>
      <c r="E28">
        <v>1</v>
      </c>
      <c r="F28">
        <v>1</v>
      </c>
      <c r="G28">
        <v>1</v>
      </c>
      <c r="H28">
        <v>0</v>
      </c>
      <c r="I28">
        <f t="shared" si="1"/>
        <v>9</v>
      </c>
      <c r="J28">
        <v>9</v>
      </c>
      <c r="K28">
        <v>5</v>
      </c>
      <c r="L28">
        <v>12</v>
      </c>
      <c r="M28">
        <f>16307+3270</f>
        <v>19577</v>
      </c>
      <c r="N28">
        <v>11600</v>
      </c>
      <c r="O28">
        <f t="shared" si="2"/>
        <v>-7977</v>
      </c>
      <c r="P28">
        <v>54</v>
      </c>
      <c r="Q28" s="12">
        <v>154275</v>
      </c>
    </row>
    <row r="29" spans="1:17" x14ac:dyDescent="0.45">
      <c r="A29" s="135">
        <v>45278</v>
      </c>
      <c r="B29" t="s">
        <v>1347</v>
      </c>
      <c r="C29" t="s">
        <v>1366</v>
      </c>
      <c r="D29">
        <f t="shared" si="0"/>
        <v>0</v>
      </c>
      <c r="E29">
        <v>1</v>
      </c>
      <c r="F29">
        <v>1</v>
      </c>
      <c r="G29">
        <v>1</v>
      </c>
      <c r="H29">
        <v>0</v>
      </c>
      <c r="I29">
        <f t="shared" si="1"/>
        <v>9</v>
      </c>
      <c r="J29">
        <v>9</v>
      </c>
      <c r="K29">
        <v>5</v>
      </c>
      <c r="L29">
        <v>14</v>
      </c>
      <c r="M29">
        <f>17383+4643</f>
        <v>22026</v>
      </c>
      <c r="N29">
        <f t="shared" ref="N29:N92" si="6">((ROUND((L29*0.39),0))*$AK$6)+((J29-K29)*$AI$6)+(H29*$AG$6)+((ROUND((G29*0.39),0))*$AF$6)</f>
        <v>10612.839760585341</v>
      </c>
      <c r="O29">
        <f t="shared" si="2"/>
        <v>-11413.160239414659</v>
      </c>
      <c r="P29">
        <v>54</v>
      </c>
      <c r="Q29" s="12">
        <v>149937</v>
      </c>
    </row>
    <row r="30" spans="1:17" x14ac:dyDescent="0.45">
      <c r="A30" s="135">
        <v>45278</v>
      </c>
      <c r="B30" t="s">
        <v>1371</v>
      </c>
      <c r="C30" t="s">
        <v>1366</v>
      </c>
      <c r="D30">
        <f t="shared" si="0"/>
        <v>0</v>
      </c>
      <c r="E30">
        <v>1</v>
      </c>
      <c r="F30">
        <v>1</v>
      </c>
      <c r="G30">
        <v>1</v>
      </c>
      <c r="H30">
        <v>0</v>
      </c>
      <c r="I30">
        <f t="shared" si="1"/>
        <v>9</v>
      </c>
      <c r="J30">
        <v>9</v>
      </c>
      <c r="K30">
        <v>5</v>
      </c>
      <c r="L30">
        <v>13</v>
      </c>
      <c r="M30">
        <f>16281+4670</f>
        <v>20951</v>
      </c>
      <c r="N30">
        <v>12134</v>
      </c>
      <c r="O30">
        <f t="shared" si="2"/>
        <v>-8817</v>
      </c>
      <c r="P30">
        <v>76</v>
      </c>
      <c r="Q30" s="12">
        <v>151637</v>
      </c>
    </row>
    <row r="31" spans="1:17" x14ac:dyDescent="0.45">
      <c r="A31" s="135">
        <v>45278</v>
      </c>
      <c r="B31" t="s">
        <v>1372</v>
      </c>
      <c r="C31" t="s">
        <v>1366</v>
      </c>
      <c r="D31">
        <f t="shared" si="0"/>
        <v>0</v>
      </c>
      <c r="E31">
        <v>0</v>
      </c>
      <c r="F31">
        <v>0</v>
      </c>
      <c r="G31">
        <v>1</v>
      </c>
      <c r="H31">
        <v>0</v>
      </c>
      <c r="I31">
        <f t="shared" si="1"/>
        <v>9</v>
      </c>
      <c r="J31">
        <v>9</v>
      </c>
      <c r="K31">
        <v>5</v>
      </c>
      <c r="L31">
        <v>12</v>
      </c>
      <c r="M31">
        <f>14755+2232</f>
        <v>16987</v>
      </c>
      <c r="N31">
        <f t="shared" si="6"/>
        <v>10612.839760585341</v>
      </c>
      <c r="O31">
        <f t="shared" si="2"/>
        <v>-6374.1602394146594</v>
      </c>
      <c r="P31">
        <v>103</v>
      </c>
      <c r="Q31" s="12">
        <v>158658</v>
      </c>
    </row>
    <row r="32" spans="1:17" x14ac:dyDescent="0.45">
      <c r="A32" s="135">
        <v>45278</v>
      </c>
      <c r="B32" t="s">
        <v>1373</v>
      </c>
      <c r="C32" t="s">
        <v>1366</v>
      </c>
      <c r="D32">
        <f t="shared" si="0"/>
        <v>0</v>
      </c>
      <c r="E32">
        <v>0</v>
      </c>
      <c r="F32">
        <v>0</v>
      </c>
      <c r="G32">
        <v>0</v>
      </c>
      <c r="H32">
        <v>0</v>
      </c>
      <c r="I32">
        <f t="shared" si="1"/>
        <v>9</v>
      </c>
      <c r="J32">
        <v>9</v>
      </c>
      <c r="K32">
        <v>5</v>
      </c>
      <c r="L32">
        <v>12</v>
      </c>
      <c r="M32">
        <f>14961+1713</f>
        <v>16674</v>
      </c>
      <c r="N32">
        <v>10828</v>
      </c>
      <c r="O32">
        <f t="shared" si="2"/>
        <v>-5846</v>
      </c>
      <c r="P32">
        <v>92</v>
      </c>
      <c r="Q32" s="12">
        <v>156526</v>
      </c>
    </row>
    <row r="33" spans="1:19" x14ac:dyDescent="0.45">
      <c r="A33" s="135">
        <v>45278</v>
      </c>
      <c r="B33" t="s">
        <v>1375</v>
      </c>
      <c r="C33" t="s">
        <v>1366</v>
      </c>
      <c r="D33">
        <f t="shared" si="0"/>
        <v>54</v>
      </c>
      <c r="E33">
        <v>2</v>
      </c>
      <c r="F33">
        <v>2</v>
      </c>
      <c r="G33">
        <v>5</v>
      </c>
      <c r="H33">
        <v>54</v>
      </c>
      <c r="I33">
        <f>J33</f>
        <v>54</v>
      </c>
      <c r="J33">
        <v>54</v>
      </c>
      <c r="K33">
        <f>ROUND((L33*0.39),0)</f>
        <v>30</v>
      </c>
      <c r="L33">
        <v>78</v>
      </c>
      <c r="M33">
        <f>3886+124613</f>
        <v>128499</v>
      </c>
      <c r="N33">
        <f t="shared" si="6"/>
        <v>124562.35542210049</v>
      </c>
      <c r="O33">
        <f t="shared" si="2"/>
        <v>-3936.6445778995112</v>
      </c>
      <c r="P33">
        <v>1</v>
      </c>
      <c r="Q33" s="12">
        <v>113801</v>
      </c>
      <c r="R33">
        <v>0</v>
      </c>
      <c r="S33">
        <v>0</v>
      </c>
    </row>
    <row r="34" spans="1:19" x14ac:dyDescent="0.45">
      <c r="A34" s="135">
        <v>45278</v>
      </c>
      <c r="B34" t="s">
        <v>1378</v>
      </c>
      <c r="C34" t="s">
        <v>1366</v>
      </c>
      <c r="D34">
        <f t="shared" si="0"/>
        <v>49</v>
      </c>
      <c r="E34">
        <v>3</v>
      </c>
      <c r="F34">
        <v>3</v>
      </c>
      <c r="G34">
        <v>7</v>
      </c>
      <c r="H34">
        <v>49</v>
      </c>
      <c r="I34">
        <f t="shared" si="1"/>
        <v>39</v>
      </c>
      <c r="J34">
        <v>39</v>
      </c>
      <c r="K34">
        <v>22</v>
      </c>
      <c r="L34">
        <v>56</v>
      </c>
      <c r="M34">
        <f>99620-47</f>
        <v>99573</v>
      </c>
      <c r="N34">
        <v>105013</v>
      </c>
      <c r="O34">
        <f t="shared" si="2"/>
        <v>5440</v>
      </c>
      <c r="P34">
        <v>309</v>
      </c>
      <c r="Q34" s="12">
        <v>144307</v>
      </c>
      <c r="R34">
        <v>211</v>
      </c>
      <c r="S34">
        <v>98</v>
      </c>
    </row>
    <row r="35" spans="1:19" x14ac:dyDescent="0.45">
      <c r="A35" s="135">
        <v>45278</v>
      </c>
      <c r="B35" t="s">
        <v>1379</v>
      </c>
      <c r="C35" t="s">
        <v>1366</v>
      </c>
      <c r="D35">
        <f t="shared" si="0"/>
        <v>24</v>
      </c>
      <c r="E35">
        <v>3</v>
      </c>
      <c r="F35">
        <v>3</v>
      </c>
      <c r="G35">
        <v>6</v>
      </c>
      <c r="H35">
        <v>24</v>
      </c>
      <c r="I35">
        <f t="shared" si="1"/>
        <v>39</v>
      </c>
      <c r="J35">
        <v>39</v>
      </c>
      <c r="K35">
        <v>22</v>
      </c>
      <c r="L35">
        <v>57</v>
      </c>
      <c r="M35">
        <f>87048+2287</f>
        <v>89335</v>
      </c>
      <c r="N35">
        <v>78809</v>
      </c>
      <c r="O35">
        <f t="shared" si="2"/>
        <v>-10526</v>
      </c>
      <c r="P35">
        <v>933</v>
      </c>
      <c r="Q35" s="12">
        <v>132255</v>
      </c>
      <c r="R35">
        <v>636</v>
      </c>
      <c r="S35">
        <v>297</v>
      </c>
    </row>
    <row r="36" spans="1:19" x14ac:dyDescent="0.45">
      <c r="A36" s="135">
        <v>45278</v>
      </c>
      <c r="B36" t="s">
        <v>1380</v>
      </c>
      <c r="C36" t="s">
        <v>1366</v>
      </c>
      <c r="D36">
        <f t="shared" si="0"/>
        <v>40</v>
      </c>
      <c r="E36">
        <v>3</v>
      </c>
      <c r="F36">
        <v>3</v>
      </c>
      <c r="G36">
        <v>6</v>
      </c>
      <c r="H36">
        <v>40</v>
      </c>
      <c r="I36">
        <f t="shared" si="1"/>
        <v>37</v>
      </c>
      <c r="J36">
        <v>37</v>
      </c>
      <c r="K36">
        <v>21</v>
      </c>
      <c r="L36">
        <v>54</v>
      </c>
      <c r="M36">
        <f>1844+91580</f>
        <v>93424</v>
      </c>
      <c r="N36">
        <v>92855</v>
      </c>
      <c r="O36">
        <f t="shared" si="2"/>
        <v>-569</v>
      </c>
      <c r="P36">
        <v>597</v>
      </c>
      <c r="Q36" s="12">
        <v>144977</v>
      </c>
      <c r="R36">
        <v>407</v>
      </c>
      <c r="S36">
        <v>190</v>
      </c>
    </row>
    <row r="37" spans="1:19" x14ac:dyDescent="0.45">
      <c r="A37" s="135">
        <v>45278</v>
      </c>
      <c r="B37" t="s">
        <v>1333</v>
      </c>
      <c r="C37" t="s">
        <v>1381</v>
      </c>
      <c r="D37">
        <f>H37</f>
        <v>52</v>
      </c>
      <c r="E37">
        <v>2</v>
      </c>
      <c r="F37">
        <v>2</v>
      </c>
      <c r="G37">
        <v>5</v>
      </c>
      <c r="H37">
        <v>52</v>
      </c>
      <c r="I37">
        <f t="shared" si="1"/>
        <v>52</v>
      </c>
      <c r="J37">
        <v>52</v>
      </c>
      <c r="K37">
        <v>29</v>
      </c>
      <c r="L37">
        <v>75</v>
      </c>
      <c r="M37">
        <v>116375</v>
      </c>
      <c r="N37">
        <v>121547</v>
      </c>
      <c r="O37">
        <f>N37-M37</f>
        <v>5172</v>
      </c>
      <c r="P37">
        <v>-2365</v>
      </c>
      <c r="Q37" s="12">
        <v>156234</v>
      </c>
      <c r="R37">
        <v>-1743</v>
      </c>
      <c r="S37">
        <v>-622</v>
      </c>
    </row>
    <row r="38" spans="1:19" x14ac:dyDescent="0.45">
      <c r="A38" s="135">
        <v>45279</v>
      </c>
      <c r="B38" t="s">
        <v>1337</v>
      </c>
      <c r="C38" t="s">
        <v>1381</v>
      </c>
      <c r="D38">
        <f t="shared" ref="D38:D101" si="7">H38</f>
        <v>38</v>
      </c>
      <c r="E38">
        <v>2</v>
      </c>
      <c r="F38">
        <v>2</v>
      </c>
      <c r="G38">
        <v>4</v>
      </c>
      <c r="H38">
        <v>38</v>
      </c>
      <c r="I38">
        <f t="shared" si="1"/>
        <v>45</v>
      </c>
      <c r="J38">
        <v>45</v>
      </c>
      <c r="K38">
        <v>25</v>
      </c>
      <c r="L38">
        <v>63</v>
      </c>
      <c r="M38">
        <f>96469+1065</f>
        <v>97534</v>
      </c>
      <c r="N38">
        <v>97634</v>
      </c>
      <c r="O38">
        <f>N38-M38</f>
        <v>100</v>
      </c>
      <c r="P38">
        <v>-1942</v>
      </c>
      <c r="Q38" s="12">
        <v>180058</v>
      </c>
      <c r="R38">
        <v>-1455</v>
      </c>
      <c r="S38">
        <v>-487</v>
      </c>
    </row>
    <row r="39" spans="1:19" x14ac:dyDescent="0.45">
      <c r="A39" s="135">
        <v>45279</v>
      </c>
      <c r="B39" t="s">
        <v>1339</v>
      </c>
      <c r="C39" t="s">
        <v>1381</v>
      </c>
      <c r="D39">
        <f t="shared" si="7"/>
        <v>29</v>
      </c>
      <c r="E39">
        <v>3</v>
      </c>
      <c r="F39">
        <v>3</v>
      </c>
      <c r="G39">
        <v>6</v>
      </c>
      <c r="H39">
        <v>29</v>
      </c>
      <c r="I39">
        <f t="shared" si="1"/>
        <v>31</v>
      </c>
      <c r="J39">
        <v>31</v>
      </c>
      <c r="K39">
        <v>17</v>
      </c>
      <c r="L39">
        <v>44</v>
      </c>
      <c r="M39">
        <f>71935+562</f>
        <v>72497</v>
      </c>
      <c r="N39">
        <v>73693</v>
      </c>
      <c r="O39">
        <f t="shared" si="2"/>
        <v>1196</v>
      </c>
      <c r="P39">
        <v>-1458</v>
      </c>
      <c r="Q39" s="12">
        <v>182936</v>
      </c>
      <c r="R39">
        <v>-1125</v>
      </c>
      <c r="S39">
        <v>-333</v>
      </c>
    </row>
    <row r="40" spans="1:19" x14ac:dyDescent="0.45">
      <c r="A40" s="135">
        <v>45279</v>
      </c>
      <c r="B40" t="s">
        <v>1340</v>
      </c>
      <c r="C40" t="s">
        <v>1381</v>
      </c>
      <c r="D40">
        <f t="shared" si="7"/>
        <v>6</v>
      </c>
      <c r="E40">
        <v>2</v>
      </c>
      <c r="F40">
        <v>2</v>
      </c>
      <c r="G40">
        <v>4</v>
      </c>
      <c r="H40">
        <v>6</v>
      </c>
      <c r="I40">
        <f t="shared" si="1"/>
        <v>31</v>
      </c>
      <c r="J40">
        <v>31</v>
      </c>
      <c r="K40">
        <v>17</v>
      </c>
      <c r="L40">
        <v>44</v>
      </c>
      <c r="M40">
        <f>57241+179</f>
        <v>57420</v>
      </c>
      <c r="N40">
        <v>47706</v>
      </c>
      <c r="O40">
        <f t="shared" si="2"/>
        <v>-9714</v>
      </c>
      <c r="P40">
        <v>-836</v>
      </c>
      <c r="Q40" s="12">
        <v>173269</v>
      </c>
      <c r="R40">
        <v>-701</v>
      </c>
      <c r="S40">
        <v>-135</v>
      </c>
    </row>
    <row r="41" spans="1:19" x14ac:dyDescent="0.45">
      <c r="A41" s="135">
        <v>45279</v>
      </c>
      <c r="B41" t="s">
        <v>1341</v>
      </c>
      <c r="C41" t="s">
        <v>1381</v>
      </c>
      <c r="D41">
        <f t="shared" si="7"/>
        <v>1</v>
      </c>
      <c r="E41">
        <v>0</v>
      </c>
      <c r="F41">
        <v>0</v>
      </c>
      <c r="G41">
        <v>0</v>
      </c>
      <c r="H41">
        <v>1</v>
      </c>
      <c r="I41">
        <f t="shared" si="1"/>
        <v>32</v>
      </c>
      <c r="J41">
        <v>32</v>
      </c>
      <c r="K41">
        <v>18</v>
      </c>
      <c r="L41">
        <v>45</v>
      </c>
      <c r="M41">
        <f>51732+103</f>
        <v>51835</v>
      </c>
      <c r="N41">
        <v>40019</v>
      </c>
      <c r="O41">
        <f t="shared" si="2"/>
        <v>-11816</v>
      </c>
      <c r="P41">
        <v>-621</v>
      </c>
      <c r="Q41" s="12">
        <v>169181</v>
      </c>
      <c r="R41">
        <v>-544</v>
      </c>
      <c r="S41">
        <v>-67</v>
      </c>
    </row>
    <row r="42" spans="1:19" x14ac:dyDescent="0.45">
      <c r="A42" s="135">
        <v>45279</v>
      </c>
      <c r="B42" t="s">
        <v>1344</v>
      </c>
      <c r="C42" t="s">
        <v>1381</v>
      </c>
      <c r="D42">
        <f t="shared" si="7"/>
        <v>0</v>
      </c>
      <c r="E42">
        <v>0</v>
      </c>
      <c r="F42">
        <v>0</v>
      </c>
      <c r="G42">
        <v>0</v>
      </c>
      <c r="H42">
        <v>0</v>
      </c>
      <c r="I42">
        <f t="shared" si="1"/>
        <v>31</v>
      </c>
      <c r="J42">
        <v>31</v>
      </c>
      <c r="K42">
        <v>17</v>
      </c>
      <c r="L42">
        <v>42</v>
      </c>
      <c r="M42">
        <f>1504+48782</f>
        <v>50286</v>
      </c>
      <c r="N42">
        <v>37174</v>
      </c>
      <c r="O42">
        <f t="shared" si="2"/>
        <v>-13112</v>
      </c>
      <c r="P42">
        <v>-544</v>
      </c>
      <c r="Q42" s="12">
        <v>165746</v>
      </c>
      <c r="R42">
        <v>-502</v>
      </c>
      <c r="S42">
        <v>-42</v>
      </c>
    </row>
    <row r="43" spans="1:19" x14ac:dyDescent="0.45">
      <c r="A43" s="135">
        <v>45279</v>
      </c>
      <c r="B43" t="s">
        <v>1345</v>
      </c>
      <c r="C43" t="s">
        <v>1381</v>
      </c>
      <c r="D43">
        <f t="shared" si="7"/>
        <v>0</v>
      </c>
      <c r="E43">
        <v>1</v>
      </c>
      <c r="F43">
        <v>1</v>
      </c>
      <c r="G43">
        <v>1</v>
      </c>
      <c r="H43">
        <v>0</v>
      </c>
      <c r="I43">
        <f t="shared" si="1"/>
        <v>22</v>
      </c>
      <c r="J43">
        <v>22</v>
      </c>
      <c r="K43">
        <v>12</v>
      </c>
      <c r="L43">
        <v>31</v>
      </c>
      <c r="M43">
        <f>37067+397</f>
        <v>37464</v>
      </c>
      <c r="N43">
        <v>28028</v>
      </c>
      <c r="O43">
        <f t="shared" si="2"/>
        <v>-9436</v>
      </c>
      <c r="P43">
        <v>-416</v>
      </c>
      <c r="Q43" s="12">
        <v>176334</v>
      </c>
      <c r="R43">
        <v>-414</v>
      </c>
      <c r="S43">
        <v>-1</v>
      </c>
    </row>
    <row r="44" spans="1:19" x14ac:dyDescent="0.45">
      <c r="A44" s="135">
        <v>45279</v>
      </c>
      <c r="B44" t="s">
        <v>1346</v>
      </c>
      <c r="C44" t="s">
        <v>1381</v>
      </c>
      <c r="D44">
        <f t="shared" si="7"/>
        <v>0</v>
      </c>
      <c r="E44">
        <v>1</v>
      </c>
      <c r="F44">
        <v>1</v>
      </c>
      <c r="G44">
        <v>1</v>
      </c>
      <c r="H44">
        <v>0</v>
      </c>
      <c r="I44">
        <f t="shared" si="1"/>
        <v>14</v>
      </c>
      <c r="J44">
        <v>14</v>
      </c>
      <c r="K44">
        <v>8</v>
      </c>
      <c r="L44">
        <v>21</v>
      </c>
      <c r="M44">
        <f>25043+127</f>
        <v>25170</v>
      </c>
      <c r="N44">
        <v>18963</v>
      </c>
      <c r="O44">
        <f t="shared" si="2"/>
        <v>-6207</v>
      </c>
      <c r="P44">
        <v>-91</v>
      </c>
      <c r="Q44" s="12">
        <v>134745</v>
      </c>
      <c r="R44">
        <v>-193</v>
      </c>
      <c r="S44">
        <v>102</v>
      </c>
    </row>
    <row r="45" spans="1:19" x14ac:dyDescent="0.45">
      <c r="A45" s="135">
        <v>45280</v>
      </c>
      <c r="B45" t="s">
        <v>1333</v>
      </c>
      <c r="C45" t="s">
        <v>1382</v>
      </c>
      <c r="D45">
        <f>H45</f>
        <v>52</v>
      </c>
      <c r="E45">
        <v>2</v>
      </c>
      <c r="F45">
        <v>2</v>
      </c>
      <c r="G45">
        <v>5</v>
      </c>
      <c r="H45">
        <v>52</v>
      </c>
      <c r="I45">
        <f t="shared" ref="I45" si="8">J45</f>
        <v>52</v>
      </c>
      <c r="J45">
        <v>52</v>
      </c>
      <c r="K45">
        <v>29</v>
      </c>
      <c r="L45">
        <v>75</v>
      </c>
      <c r="M45">
        <v>116375</v>
      </c>
      <c r="N45">
        <v>121547</v>
      </c>
      <c r="O45">
        <f>N45-M45</f>
        <v>5172</v>
      </c>
      <c r="P45">
        <v>0</v>
      </c>
      <c r="Q45" s="12">
        <v>156234</v>
      </c>
      <c r="R45">
        <v>0</v>
      </c>
      <c r="S45">
        <v>0</v>
      </c>
    </row>
    <row r="46" spans="1:19" x14ac:dyDescent="0.45">
      <c r="A46" s="135">
        <v>45280</v>
      </c>
      <c r="B46" t="s">
        <v>1337</v>
      </c>
      <c r="C46" t="s">
        <v>1382</v>
      </c>
      <c r="D46">
        <f t="shared" si="7"/>
        <v>37</v>
      </c>
      <c r="E46">
        <v>0</v>
      </c>
      <c r="F46">
        <v>0</v>
      </c>
      <c r="G46">
        <v>0</v>
      </c>
      <c r="H46">
        <v>37</v>
      </c>
      <c r="I46">
        <f t="shared" si="1"/>
        <v>49</v>
      </c>
      <c r="J46">
        <v>49</v>
      </c>
      <c r="K46">
        <v>27</v>
      </c>
      <c r="L46">
        <v>68</v>
      </c>
      <c r="M46">
        <f>97929+328</f>
        <v>98257</v>
      </c>
      <c r="N46">
        <v>97808</v>
      </c>
      <c r="O46">
        <f t="shared" si="2"/>
        <v>-449</v>
      </c>
      <c r="P46">
        <v>454</v>
      </c>
      <c r="Q46" s="12">
        <v>141779</v>
      </c>
      <c r="R46">
        <v>309</v>
      </c>
      <c r="S46">
        <v>145</v>
      </c>
    </row>
    <row r="47" spans="1:19" x14ac:dyDescent="0.45">
      <c r="A47" s="135">
        <v>45280</v>
      </c>
      <c r="B47" t="s">
        <v>1339</v>
      </c>
      <c r="C47" t="s">
        <v>1382</v>
      </c>
      <c r="D47">
        <f t="shared" si="7"/>
        <v>35</v>
      </c>
      <c r="E47">
        <v>2</v>
      </c>
      <c r="F47">
        <v>2</v>
      </c>
      <c r="G47">
        <v>5</v>
      </c>
      <c r="H47">
        <v>35</v>
      </c>
      <c r="I47">
        <f t="shared" si="1"/>
        <v>41</v>
      </c>
      <c r="J47">
        <v>41</v>
      </c>
      <c r="K47">
        <v>23</v>
      </c>
      <c r="L47">
        <v>60</v>
      </c>
      <c r="M47">
        <f>148+90650</f>
        <v>90798</v>
      </c>
      <c r="N47">
        <v>91655</v>
      </c>
      <c r="O47">
        <f t="shared" si="2"/>
        <v>857</v>
      </c>
      <c r="P47">
        <v>571</v>
      </c>
      <c r="Q47" s="12">
        <v>146259</v>
      </c>
      <c r="R47">
        <v>389</v>
      </c>
      <c r="S47">
        <v>182</v>
      </c>
    </row>
    <row r="48" spans="1:19" x14ac:dyDescent="0.45">
      <c r="A48" s="135">
        <v>45281</v>
      </c>
      <c r="B48" t="s">
        <v>1340</v>
      </c>
      <c r="C48" t="s">
        <v>1382</v>
      </c>
      <c r="D48">
        <f t="shared" si="7"/>
        <v>27</v>
      </c>
      <c r="E48">
        <v>2</v>
      </c>
      <c r="F48">
        <v>2</v>
      </c>
      <c r="G48">
        <v>4</v>
      </c>
      <c r="H48">
        <v>27</v>
      </c>
      <c r="I48">
        <f t="shared" si="1"/>
        <v>40</v>
      </c>
      <c r="J48">
        <v>40</v>
      </c>
      <c r="K48">
        <v>22</v>
      </c>
      <c r="L48">
        <v>55</v>
      </c>
      <c r="M48">
        <f>82078+527</f>
        <v>82605</v>
      </c>
      <c r="N48">
        <v>79931</v>
      </c>
      <c r="O48">
        <f t="shared" si="2"/>
        <v>-2674</v>
      </c>
      <c r="P48">
        <v>821</v>
      </c>
      <c r="Q48" s="12">
        <v>148279</v>
      </c>
      <c r="R48">
        <v>560</v>
      </c>
      <c r="S48">
        <v>262</v>
      </c>
    </row>
    <row r="49" spans="1:19" x14ac:dyDescent="0.45">
      <c r="A49" s="135">
        <v>45281</v>
      </c>
      <c r="B49" t="s">
        <v>1341</v>
      </c>
      <c r="C49" t="s">
        <v>1382</v>
      </c>
      <c r="D49">
        <f t="shared" si="7"/>
        <v>25</v>
      </c>
      <c r="E49">
        <v>2</v>
      </c>
      <c r="F49">
        <v>2</v>
      </c>
      <c r="G49">
        <v>5</v>
      </c>
      <c r="H49">
        <v>25</v>
      </c>
      <c r="I49">
        <f t="shared" si="1"/>
        <v>27</v>
      </c>
      <c r="J49">
        <v>27</v>
      </c>
      <c r="K49">
        <v>15</v>
      </c>
      <c r="L49">
        <v>39</v>
      </c>
      <c r="M49">
        <f>61377+1235</f>
        <v>62612</v>
      </c>
      <c r="N49">
        <v>62471</v>
      </c>
      <c r="O49">
        <f t="shared" si="2"/>
        <v>-141</v>
      </c>
      <c r="P49">
        <v>1157</v>
      </c>
      <c r="Q49" s="12">
        <v>152234</v>
      </c>
      <c r="R49">
        <v>789</v>
      </c>
      <c r="S49">
        <v>368</v>
      </c>
    </row>
    <row r="50" spans="1:19" x14ac:dyDescent="0.45">
      <c r="A50" s="135">
        <v>45281</v>
      </c>
      <c r="B50" t="s">
        <v>1344</v>
      </c>
      <c r="C50" t="s">
        <v>1382</v>
      </c>
      <c r="D50">
        <f t="shared" si="7"/>
        <v>5</v>
      </c>
      <c r="E50">
        <v>1</v>
      </c>
      <c r="F50">
        <v>1</v>
      </c>
      <c r="G50">
        <v>3</v>
      </c>
      <c r="H50">
        <v>5</v>
      </c>
      <c r="I50">
        <f t="shared" si="1"/>
        <v>23</v>
      </c>
      <c r="J50">
        <v>23</v>
      </c>
      <c r="K50">
        <v>13</v>
      </c>
      <c r="L50">
        <v>33</v>
      </c>
      <c r="M50">
        <f>42820+98</f>
        <v>42918</v>
      </c>
      <c r="N50">
        <v>36163</v>
      </c>
      <c r="O50">
        <f t="shared" si="2"/>
        <v>-6755</v>
      </c>
      <c r="P50">
        <v>1790</v>
      </c>
      <c r="Q50" s="12">
        <v>146416</v>
      </c>
      <c r="R50">
        <v>1220</v>
      </c>
      <c r="S50">
        <v>570</v>
      </c>
    </row>
    <row r="51" spans="1:19" x14ac:dyDescent="0.45">
      <c r="A51" s="135">
        <v>45281</v>
      </c>
      <c r="B51" t="s">
        <v>1345</v>
      </c>
      <c r="C51" t="s">
        <v>1382</v>
      </c>
      <c r="D51">
        <f t="shared" si="7"/>
        <v>1</v>
      </c>
      <c r="E51">
        <v>2</v>
      </c>
      <c r="F51">
        <v>2</v>
      </c>
      <c r="G51">
        <v>4</v>
      </c>
      <c r="H51">
        <v>1</v>
      </c>
      <c r="I51">
        <f t="shared" si="1"/>
        <v>22</v>
      </c>
      <c r="J51">
        <v>22</v>
      </c>
      <c r="K51">
        <v>12</v>
      </c>
      <c r="L51">
        <v>31</v>
      </c>
      <c r="M51">
        <f>40230+4224</f>
        <v>44454</v>
      </c>
      <c r="N51">
        <v>31095</v>
      </c>
      <c r="O51">
        <f t="shared" si="2"/>
        <v>-13359</v>
      </c>
      <c r="P51">
        <v>1963</v>
      </c>
      <c r="Q51" s="12">
        <v>122444</v>
      </c>
      <c r="R51">
        <v>1338</v>
      </c>
      <c r="S51">
        <v>625</v>
      </c>
    </row>
    <row r="52" spans="1:19" x14ac:dyDescent="0.45">
      <c r="A52" s="135">
        <v>45281</v>
      </c>
      <c r="B52" t="s">
        <v>1346</v>
      </c>
      <c r="C52" t="s">
        <v>1382</v>
      </c>
      <c r="D52">
        <f t="shared" si="7"/>
        <v>38</v>
      </c>
      <c r="E52">
        <v>1</v>
      </c>
      <c r="F52">
        <v>1</v>
      </c>
      <c r="G52">
        <v>3</v>
      </c>
      <c r="H52">
        <v>38</v>
      </c>
      <c r="I52">
        <f t="shared" si="1"/>
        <v>23</v>
      </c>
      <c r="J52">
        <v>23</v>
      </c>
      <c r="K52">
        <v>13</v>
      </c>
      <c r="L52">
        <v>34</v>
      </c>
      <c r="M52">
        <f>61725+576</f>
        <v>62301</v>
      </c>
      <c r="N52">
        <v>71857</v>
      </c>
      <c r="O52">
        <f t="shared" si="2"/>
        <v>9556</v>
      </c>
      <c r="P52">
        <v>890</v>
      </c>
      <c r="Q52" s="12">
        <v>172199</v>
      </c>
      <c r="R52" s="12">
        <v>607</v>
      </c>
      <c r="S52">
        <v>283</v>
      </c>
    </row>
    <row r="53" spans="1:19" x14ac:dyDescent="0.45">
      <c r="A53" s="135">
        <v>45281</v>
      </c>
      <c r="B53" t="s">
        <v>1347</v>
      </c>
      <c r="C53" t="s">
        <v>1382</v>
      </c>
    </row>
    <row r="54" spans="1:19" x14ac:dyDescent="0.45">
      <c r="A54" s="135">
        <v>45289</v>
      </c>
      <c r="B54" t="s">
        <v>1383</v>
      </c>
      <c r="C54" t="s">
        <v>1334</v>
      </c>
      <c r="D54">
        <f>H54</f>
        <v>45</v>
      </c>
      <c r="E54">
        <v>2</v>
      </c>
      <c r="F54">
        <v>2</v>
      </c>
      <c r="G54">
        <v>5</v>
      </c>
      <c r="H54">
        <v>45</v>
      </c>
      <c r="I54">
        <f>J54</f>
        <v>44</v>
      </c>
      <c r="J54">
        <v>44</v>
      </c>
      <c r="K54">
        <v>25</v>
      </c>
      <c r="L54">
        <v>65</v>
      </c>
      <c r="M54">
        <v>104461</v>
      </c>
      <c r="N54">
        <v>105160</v>
      </c>
      <c r="O54">
        <f>N54-M54</f>
        <v>699</v>
      </c>
      <c r="P54">
        <v>-1948</v>
      </c>
      <c r="Q54" s="12">
        <v>132398</v>
      </c>
      <c r="R54">
        <v>-1459</v>
      </c>
      <c r="S54">
        <v>-489</v>
      </c>
    </row>
    <row r="55" spans="1:19" x14ac:dyDescent="0.45">
      <c r="A55" s="135">
        <v>45289</v>
      </c>
      <c r="B55" t="s">
        <v>1385</v>
      </c>
      <c r="C55" t="s">
        <v>1334</v>
      </c>
      <c r="D55">
        <f>H55</f>
        <v>55</v>
      </c>
      <c r="E55">
        <v>2</v>
      </c>
      <c r="F55">
        <v>2</v>
      </c>
      <c r="G55">
        <v>4</v>
      </c>
      <c r="H55">
        <v>55</v>
      </c>
      <c r="I55">
        <f>J55</f>
        <v>53</v>
      </c>
      <c r="J55">
        <v>53</v>
      </c>
      <c r="K55">
        <v>30</v>
      </c>
      <c r="L55">
        <v>77</v>
      </c>
      <c r="M55">
        <f>21511+124591</f>
        <v>146102</v>
      </c>
      <c r="N55">
        <v>126081</v>
      </c>
      <c r="O55">
        <f>N55-M55</f>
        <v>-20021</v>
      </c>
      <c r="P55">
        <v>-2452</v>
      </c>
      <c r="Q55" s="12">
        <v>130589</v>
      </c>
      <c r="R55">
        <v>-1803</v>
      </c>
      <c r="S55">
        <v>-649</v>
      </c>
    </row>
    <row r="56" spans="1:19" x14ac:dyDescent="0.45">
      <c r="A56" s="135">
        <v>45289</v>
      </c>
      <c r="B56" t="s">
        <v>1386</v>
      </c>
      <c r="C56" t="s">
        <v>1334</v>
      </c>
      <c r="D56">
        <f t="shared" si="7"/>
        <v>60</v>
      </c>
      <c r="E56">
        <v>2</v>
      </c>
      <c r="F56">
        <v>2</v>
      </c>
      <c r="G56">
        <v>4</v>
      </c>
      <c r="H56">
        <v>60</v>
      </c>
      <c r="I56">
        <f t="shared" si="1"/>
        <v>59</v>
      </c>
      <c r="J56">
        <v>59</v>
      </c>
      <c r="K56">
        <v>33</v>
      </c>
      <c r="L56">
        <v>83</v>
      </c>
      <c r="M56">
        <f>21198+135948</f>
        <v>157146</v>
      </c>
      <c r="N56">
        <v>137275</v>
      </c>
      <c r="O56">
        <f t="shared" si="2"/>
        <v>-19871</v>
      </c>
      <c r="P56">
        <v>-2721</v>
      </c>
      <c r="Q56" s="12">
        <v>135071</v>
      </c>
      <c r="R56">
        <v>-1986</v>
      </c>
      <c r="S56">
        <v>-735</v>
      </c>
    </row>
    <row r="57" spans="1:19" x14ac:dyDescent="0.45">
      <c r="A57" s="135">
        <v>45289</v>
      </c>
      <c r="B57" t="s">
        <v>1387</v>
      </c>
      <c r="C57" t="s">
        <v>1334</v>
      </c>
      <c r="D57">
        <f t="shared" si="7"/>
        <v>63</v>
      </c>
      <c r="E57">
        <v>2</v>
      </c>
      <c r="F57">
        <v>2</v>
      </c>
      <c r="G57">
        <v>4</v>
      </c>
      <c r="H57">
        <v>63</v>
      </c>
      <c r="I57">
        <f t="shared" si="1"/>
        <v>62</v>
      </c>
      <c r="J57">
        <v>62</v>
      </c>
      <c r="K57">
        <v>35</v>
      </c>
      <c r="L57">
        <v>90</v>
      </c>
      <c r="M57">
        <f>21009+144706</f>
        <v>165715</v>
      </c>
      <c r="N57">
        <v>146066</v>
      </c>
      <c r="O57">
        <f t="shared" si="2"/>
        <v>-19649</v>
      </c>
      <c r="P57">
        <v>-2892</v>
      </c>
      <c r="Q57" s="12">
        <v>124339</v>
      </c>
      <c r="R57">
        <v>-2103</v>
      </c>
      <c r="S57">
        <v>-789</v>
      </c>
    </row>
    <row r="58" spans="1:19" x14ac:dyDescent="0.45">
      <c r="A58" s="135">
        <v>45289</v>
      </c>
      <c r="B58" t="s">
        <v>1388</v>
      </c>
      <c r="C58" t="s">
        <v>1334</v>
      </c>
      <c r="D58">
        <f t="shared" si="7"/>
        <v>69</v>
      </c>
      <c r="E58">
        <v>3</v>
      </c>
      <c r="F58">
        <v>3</v>
      </c>
      <c r="G58">
        <v>8</v>
      </c>
      <c r="H58">
        <v>69</v>
      </c>
      <c r="I58">
        <f t="shared" si="1"/>
        <v>65</v>
      </c>
      <c r="J58">
        <v>65</v>
      </c>
      <c r="K58">
        <v>36</v>
      </c>
      <c r="L58">
        <v>93</v>
      </c>
      <c r="M58">
        <f>21056+154215</f>
        <v>175271</v>
      </c>
      <c r="N58">
        <v>157607</v>
      </c>
      <c r="O58">
        <f t="shared" si="2"/>
        <v>-17664</v>
      </c>
      <c r="P58">
        <v>-3144</v>
      </c>
      <c r="Q58" s="12">
        <v>127931</v>
      </c>
      <c r="R58">
        <v>-2275</v>
      </c>
      <c r="S58">
        <v>-869</v>
      </c>
    </row>
    <row r="59" spans="1:19" x14ac:dyDescent="0.45">
      <c r="A59" s="135">
        <v>45289</v>
      </c>
      <c r="B59" t="s">
        <v>1389</v>
      </c>
      <c r="C59" t="s">
        <v>1334</v>
      </c>
      <c r="D59">
        <f t="shared" si="7"/>
        <v>78</v>
      </c>
      <c r="E59">
        <v>3</v>
      </c>
      <c r="F59">
        <v>3</v>
      </c>
      <c r="G59">
        <v>8</v>
      </c>
      <c r="H59">
        <v>78</v>
      </c>
      <c r="I59">
        <f t="shared" si="1"/>
        <v>85</v>
      </c>
      <c r="J59">
        <v>85</v>
      </c>
      <c r="K59">
        <v>47</v>
      </c>
      <c r="L59">
        <v>121</v>
      </c>
      <c r="M59">
        <f>19315+193035</f>
        <v>212350</v>
      </c>
      <c r="N59">
        <v>191452</v>
      </c>
      <c r="O59">
        <f t="shared" si="2"/>
        <v>-20898</v>
      </c>
      <c r="P59">
        <v>-3820</v>
      </c>
      <c r="Q59" s="12">
        <v>123466</v>
      </c>
      <c r="R59">
        <v>-2736</v>
      </c>
      <c r="S59">
        <v>-1084</v>
      </c>
    </row>
    <row r="60" spans="1:19" x14ac:dyDescent="0.45">
      <c r="A60" s="135">
        <v>45289</v>
      </c>
      <c r="B60" t="s">
        <v>1390</v>
      </c>
      <c r="C60" t="s">
        <v>1334</v>
      </c>
      <c r="D60">
        <f t="shared" si="7"/>
        <v>89</v>
      </c>
      <c r="E60">
        <v>4</v>
      </c>
      <c r="F60">
        <v>4</v>
      </c>
      <c r="G60">
        <v>9</v>
      </c>
      <c r="H60">
        <v>89</v>
      </c>
      <c r="I60">
        <f t="shared" si="1"/>
        <v>79</v>
      </c>
      <c r="J60">
        <v>79</v>
      </c>
      <c r="K60">
        <v>44</v>
      </c>
      <c r="L60">
        <v>112</v>
      </c>
      <c r="M60">
        <f>19549+189999</f>
        <v>209548</v>
      </c>
      <c r="N60">
        <v>195654</v>
      </c>
      <c r="O60">
        <f t="shared" si="2"/>
        <v>-13894</v>
      </c>
      <c r="P60">
        <v>-4007</v>
      </c>
      <c r="Q60" s="12">
        <v>133441</v>
      </c>
      <c r="R60">
        <v>-2863</v>
      </c>
      <c r="S60">
        <v>-1144</v>
      </c>
    </row>
    <row r="61" spans="1:19" x14ac:dyDescent="0.45">
      <c r="A61" s="135">
        <v>45289</v>
      </c>
      <c r="B61" t="s">
        <v>1391</v>
      </c>
      <c r="C61" t="s">
        <v>1334</v>
      </c>
      <c r="D61">
        <f t="shared" si="7"/>
        <v>89</v>
      </c>
      <c r="E61">
        <v>4</v>
      </c>
      <c r="F61">
        <v>4</v>
      </c>
      <c r="G61">
        <v>9</v>
      </c>
      <c r="H61">
        <v>89</v>
      </c>
      <c r="I61">
        <f t="shared" si="1"/>
        <v>88</v>
      </c>
      <c r="J61">
        <v>88</v>
      </c>
      <c r="K61">
        <v>49</v>
      </c>
      <c r="L61">
        <v>126</v>
      </c>
      <c r="M61">
        <f>18560+205329</f>
        <v>223889</v>
      </c>
      <c r="N61">
        <v>206874</v>
      </c>
      <c r="O61">
        <f t="shared" si="2"/>
        <v>-17015</v>
      </c>
      <c r="P61">
        <v>-4200</v>
      </c>
      <c r="Q61" s="12">
        <v>131300</v>
      </c>
      <c r="R61">
        <v>-2995</v>
      </c>
      <c r="S61">
        <v>-1205</v>
      </c>
    </row>
    <row r="62" spans="1:19" x14ac:dyDescent="0.45">
      <c r="A62" s="135">
        <v>45289</v>
      </c>
      <c r="B62" t="s">
        <v>1392</v>
      </c>
      <c r="C62" t="s">
        <v>1334</v>
      </c>
      <c r="D62">
        <f t="shared" si="7"/>
        <v>94</v>
      </c>
      <c r="E62">
        <v>4</v>
      </c>
      <c r="F62">
        <v>4</v>
      </c>
      <c r="G62">
        <v>9</v>
      </c>
      <c r="H62">
        <v>94</v>
      </c>
      <c r="I62">
        <f t="shared" si="1"/>
        <v>92</v>
      </c>
      <c r="J62">
        <v>92</v>
      </c>
      <c r="K62">
        <v>51</v>
      </c>
      <c r="L62">
        <v>129</v>
      </c>
      <c r="M62">
        <f>213928+18408</f>
        <v>232336</v>
      </c>
      <c r="N62">
        <v>216457</v>
      </c>
      <c r="O62">
        <f t="shared" si="2"/>
        <v>-15879</v>
      </c>
      <c r="P62">
        <v>-4415</v>
      </c>
      <c r="Q62" s="12">
        <v>131884</v>
      </c>
      <c r="R62">
        <v>-3142</v>
      </c>
      <c r="S62">
        <v>-1274</v>
      </c>
    </row>
    <row r="63" spans="1:19" x14ac:dyDescent="0.45">
      <c r="A63" s="135">
        <v>45289</v>
      </c>
      <c r="B63" t="s">
        <v>1393</v>
      </c>
      <c r="C63" t="s">
        <v>1334</v>
      </c>
      <c r="D63">
        <f t="shared" si="7"/>
        <v>99</v>
      </c>
      <c r="E63">
        <v>4</v>
      </c>
      <c r="F63">
        <v>4</v>
      </c>
      <c r="G63">
        <v>9</v>
      </c>
      <c r="H63">
        <v>99</v>
      </c>
      <c r="I63">
        <f t="shared" si="1"/>
        <v>92</v>
      </c>
      <c r="J63">
        <v>92</v>
      </c>
      <c r="K63">
        <v>51</v>
      </c>
      <c r="L63">
        <v>130</v>
      </c>
      <c r="M63">
        <f>14624+217728</f>
        <v>232352</v>
      </c>
      <c r="N63">
        <v>223357</v>
      </c>
      <c r="O63">
        <f t="shared" si="2"/>
        <v>-8995</v>
      </c>
      <c r="P63">
        <v>-4574</v>
      </c>
      <c r="Q63" s="12">
        <v>138821</v>
      </c>
      <c r="R63">
        <v>-3250</v>
      </c>
      <c r="S63">
        <v>-1324</v>
      </c>
    </row>
    <row r="64" spans="1:19" x14ac:dyDescent="0.45">
      <c r="A64" s="135">
        <v>45289</v>
      </c>
      <c r="B64" t="s">
        <v>1394</v>
      </c>
      <c r="C64" t="s">
        <v>1334</v>
      </c>
      <c r="D64">
        <f t="shared" si="7"/>
        <v>99</v>
      </c>
      <c r="E64">
        <v>4</v>
      </c>
      <c r="F64">
        <v>4</v>
      </c>
      <c r="G64">
        <v>9</v>
      </c>
      <c r="H64">
        <v>99</v>
      </c>
      <c r="I64">
        <f t="shared" si="1"/>
        <v>94</v>
      </c>
      <c r="J64">
        <v>94</v>
      </c>
      <c r="K64">
        <v>52</v>
      </c>
      <c r="L64">
        <v>132</v>
      </c>
      <c r="M64">
        <f>9933+220288</f>
        <v>230221</v>
      </c>
      <c r="N64">
        <f t="shared" si="6"/>
        <v>222026.50017125939</v>
      </c>
      <c r="O64">
        <f t="shared" si="2"/>
        <v>-8194.4998287406052</v>
      </c>
      <c r="P64">
        <v>-4594</v>
      </c>
      <c r="Q64" s="12">
        <v>142099</v>
      </c>
      <c r="R64">
        <v>-3264</v>
      </c>
      <c r="S64">
        <v>-1331</v>
      </c>
    </row>
    <row r="65" spans="1:19" x14ac:dyDescent="0.45">
      <c r="A65" s="135">
        <v>45290</v>
      </c>
      <c r="B65" t="s">
        <v>1396</v>
      </c>
      <c r="C65" t="s">
        <v>1334</v>
      </c>
      <c r="D65">
        <f t="shared" si="7"/>
        <v>97</v>
      </c>
      <c r="E65">
        <v>4</v>
      </c>
      <c r="F65">
        <v>4</v>
      </c>
      <c r="G65">
        <v>10</v>
      </c>
      <c r="H65">
        <v>97</v>
      </c>
      <c r="I65">
        <f t="shared" si="1"/>
        <v>97</v>
      </c>
      <c r="J65">
        <v>97</v>
      </c>
      <c r="K65">
        <v>54</v>
      </c>
      <c r="L65">
        <v>139</v>
      </c>
      <c r="M65">
        <f>8549+225335</f>
        <v>233884</v>
      </c>
      <c r="N65">
        <v>226883</v>
      </c>
      <c r="O65">
        <f t="shared" si="2"/>
        <v>-7001</v>
      </c>
      <c r="P65">
        <v>-4598</v>
      </c>
      <c r="Q65" s="12">
        <v>136839</v>
      </c>
      <c r="R65">
        <v>-3266</v>
      </c>
      <c r="S65">
        <v>-1332</v>
      </c>
    </row>
    <row r="66" spans="1:19" x14ac:dyDescent="0.45">
      <c r="A66" s="135">
        <v>45293</v>
      </c>
      <c r="B66" t="s">
        <v>1383</v>
      </c>
      <c r="C66" t="s">
        <v>1351</v>
      </c>
      <c r="D66">
        <f t="shared" si="7"/>
        <v>31</v>
      </c>
      <c r="E66">
        <v>1</v>
      </c>
      <c r="F66">
        <v>1</v>
      </c>
      <c r="G66">
        <v>3</v>
      </c>
      <c r="H66">
        <v>31</v>
      </c>
      <c r="I66">
        <f t="shared" si="1"/>
        <v>31</v>
      </c>
      <c r="J66">
        <v>31</v>
      </c>
      <c r="K66">
        <v>18</v>
      </c>
      <c r="L66">
        <v>45</v>
      </c>
      <c r="M66">
        <v>69753</v>
      </c>
      <c r="N66">
        <v>72600</v>
      </c>
      <c r="O66">
        <f t="shared" si="2"/>
        <v>2847</v>
      </c>
      <c r="P66">
        <v>-1279</v>
      </c>
      <c r="Q66" s="12">
        <v>136030</v>
      </c>
      <c r="R66">
        <v>-1003</v>
      </c>
      <c r="S66">
        <v>-276</v>
      </c>
    </row>
    <row r="67" spans="1:19" x14ac:dyDescent="0.45">
      <c r="A67" s="135">
        <v>45293</v>
      </c>
      <c r="B67" t="s">
        <v>1385</v>
      </c>
      <c r="C67" t="s">
        <v>1351</v>
      </c>
      <c r="D67">
        <f t="shared" si="7"/>
        <v>39</v>
      </c>
      <c r="E67">
        <v>4</v>
      </c>
      <c r="F67">
        <v>4</v>
      </c>
      <c r="G67">
        <v>9</v>
      </c>
      <c r="H67">
        <v>39</v>
      </c>
      <c r="I67">
        <f t="shared" si="1"/>
        <v>41</v>
      </c>
      <c r="J67">
        <v>41</v>
      </c>
      <c r="K67">
        <v>24</v>
      </c>
      <c r="L67">
        <v>61</v>
      </c>
      <c r="M67">
        <f>1339+94676</f>
        <v>96015</v>
      </c>
      <c r="N67">
        <v>99310</v>
      </c>
      <c r="O67">
        <f t="shared" si="2"/>
        <v>3295</v>
      </c>
      <c r="P67">
        <v>-1739</v>
      </c>
      <c r="Q67" s="12">
        <v>162099</v>
      </c>
      <c r="R67">
        <v>-1316</v>
      </c>
      <c r="S67">
        <v>-423</v>
      </c>
    </row>
    <row r="68" spans="1:19" x14ac:dyDescent="0.45">
      <c r="A68" s="135">
        <v>45293</v>
      </c>
      <c r="B68" t="s">
        <v>1386</v>
      </c>
      <c r="C68" t="s">
        <v>1351</v>
      </c>
      <c r="D68">
        <f t="shared" si="7"/>
        <v>44</v>
      </c>
      <c r="E68">
        <v>4</v>
      </c>
      <c r="F68">
        <v>4</v>
      </c>
      <c r="G68">
        <v>9</v>
      </c>
      <c r="H68">
        <v>44</v>
      </c>
      <c r="I68">
        <f t="shared" ref="I68:I131" si="9">J68</f>
        <v>53</v>
      </c>
      <c r="J68">
        <v>53</v>
      </c>
      <c r="K68">
        <v>31</v>
      </c>
      <c r="L68">
        <v>80</v>
      </c>
      <c r="M68">
        <f>13198+117580</f>
        <v>130778</v>
      </c>
      <c r="N68">
        <v>120180</v>
      </c>
      <c r="O68">
        <f t="shared" ref="O68:O131" si="10">N68-M68</f>
        <v>-10598</v>
      </c>
      <c r="P68">
        <v>-2128</v>
      </c>
      <c r="Q68" s="12">
        <v>139180</v>
      </c>
      <c r="R68">
        <v>-1582</v>
      </c>
      <c r="S68">
        <v>-547</v>
      </c>
    </row>
    <row r="69" spans="1:19" x14ac:dyDescent="0.45">
      <c r="A69" s="135">
        <v>45293</v>
      </c>
      <c r="B69" t="s">
        <v>1387</v>
      </c>
      <c r="C69" t="s">
        <v>1351</v>
      </c>
      <c r="D69">
        <f t="shared" si="7"/>
        <v>46</v>
      </c>
      <c r="E69">
        <v>3</v>
      </c>
      <c r="F69">
        <v>3</v>
      </c>
      <c r="G69">
        <v>6</v>
      </c>
      <c r="H69">
        <v>46</v>
      </c>
      <c r="I69">
        <f t="shared" si="9"/>
        <v>74</v>
      </c>
      <c r="J69">
        <v>74</v>
      </c>
      <c r="K69">
        <v>41</v>
      </c>
      <c r="L69">
        <v>105</v>
      </c>
      <c r="M69">
        <f>30+143471</f>
        <v>143501</v>
      </c>
      <c r="N69">
        <v>142740</v>
      </c>
      <c r="O69">
        <f t="shared" si="10"/>
        <v>-761</v>
      </c>
      <c r="P69">
        <v>-2444</v>
      </c>
      <c r="Q69" s="12">
        <v>148914</v>
      </c>
      <c r="R69">
        <v>-1797</v>
      </c>
      <c r="S69">
        <v>-647</v>
      </c>
    </row>
    <row r="70" spans="1:19" x14ac:dyDescent="0.45">
      <c r="A70" s="135">
        <v>45293</v>
      </c>
      <c r="B70" t="s">
        <v>1388</v>
      </c>
      <c r="C70" t="s">
        <v>1351</v>
      </c>
      <c r="D70">
        <f t="shared" si="7"/>
        <v>86</v>
      </c>
      <c r="E70">
        <v>4</v>
      </c>
      <c r="F70">
        <v>4</v>
      </c>
      <c r="G70">
        <v>9</v>
      </c>
      <c r="H70">
        <v>86</v>
      </c>
      <c r="I70">
        <f t="shared" si="9"/>
        <v>79</v>
      </c>
      <c r="J70">
        <v>79</v>
      </c>
      <c r="K70">
        <v>44</v>
      </c>
      <c r="L70">
        <v>113</v>
      </c>
      <c r="M70">
        <f>50+182312</f>
        <v>182362</v>
      </c>
      <c r="N70">
        <v>193510</v>
      </c>
      <c r="O70">
        <f t="shared" si="10"/>
        <v>11148</v>
      </c>
      <c r="P70">
        <v>-3934</v>
      </c>
      <c r="Q70" s="12">
        <v>162151</v>
      </c>
      <c r="R70">
        <v>-2813</v>
      </c>
      <c r="S70">
        <v>-1121</v>
      </c>
    </row>
    <row r="71" spans="1:19" x14ac:dyDescent="0.45">
      <c r="A71" s="135">
        <v>45293</v>
      </c>
      <c r="B71" t="s">
        <v>1389</v>
      </c>
      <c r="C71" t="s">
        <v>1351</v>
      </c>
      <c r="D71">
        <f t="shared" si="7"/>
        <v>94</v>
      </c>
      <c r="E71">
        <v>4</v>
      </c>
      <c r="F71">
        <v>4</v>
      </c>
      <c r="G71">
        <v>9</v>
      </c>
      <c r="H71">
        <v>94</v>
      </c>
      <c r="I71">
        <f t="shared" si="9"/>
        <v>83</v>
      </c>
      <c r="J71">
        <v>83</v>
      </c>
      <c r="K71">
        <v>46</v>
      </c>
      <c r="L71">
        <v>118</v>
      </c>
      <c r="M71">
        <f>16+192421</f>
        <v>192437</v>
      </c>
      <c r="N71">
        <v>206293</v>
      </c>
      <c r="O71">
        <f t="shared" si="10"/>
        <v>13856</v>
      </c>
      <c r="P71">
        <v>-4224</v>
      </c>
      <c r="Q71" s="12">
        <v>167242</v>
      </c>
      <c r="R71">
        <v>-3010</v>
      </c>
      <c r="S71">
        <v>-1214</v>
      </c>
    </row>
    <row r="72" spans="1:19" x14ac:dyDescent="0.45">
      <c r="A72" s="135">
        <v>45293</v>
      </c>
      <c r="B72" t="s">
        <v>1390</v>
      </c>
      <c r="C72" t="s">
        <v>1351</v>
      </c>
      <c r="D72">
        <f t="shared" si="7"/>
        <v>94</v>
      </c>
      <c r="E72">
        <v>4</v>
      </c>
      <c r="F72">
        <v>4</v>
      </c>
      <c r="G72">
        <v>9</v>
      </c>
      <c r="H72">
        <v>94</v>
      </c>
      <c r="I72">
        <f t="shared" si="9"/>
        <v>85</v>
      </c>
      <c r="J72">
        <v>85</v>
      </c>
      <c r="K72">
        <v>47</v>
      </c>
      <c r="L72">
        <v>119</v>
      </c>
      <c r="M72">
        <f>9+195219</f>
        <v>195228</v>
      </c>
      <c r="N72">
        <v>208946</v>
      </c>
      <c r="O72">
        <f>N72-M72</f>
        <v>13718</v>
      </c>
      <c r="P72">
        <v>-4288</v>
      </c>
      <c r="Q72" s="12">
        <v>167223</v>
      </c>
      <c r="R72">
        <v>-3054</v>
      </c>
      <c r="S72">
        <v>-1234</v>
      </c>
    </row>
    <row r="73" spans="1:19" x14ac:dyDescent="0.45">
      <c r="A73" s="135">
        <v>45293</v>
      </c>
      <c r="B73" t="s">
        <v>1391</v>
      </c>
      <c r="C73" t="s">
        <v>1351</v>
      </c>
      <c r="D73">
        <f t="shared" si="7"/>
        <v>99</v>
      </c>
      <c r="E73">
        <v>3</v>
      </c>
      <c r="F73">
        <v>3</v>
      </c>
      <c r="G73">
        <v>8</v>
      </c>
      <c r="H73">
        <v>99</v>
      </c>
      <c r="I73">
        <f t="shared" si="9"/>
        <v>85</v>
      </c>
      <c r="J73">
        <v>85</v>
      </c>
      <c r="K73">
        <v>47</v>
      </c>
      <c r="L73">
        <v>121</v>
      </c>
      <c r="M73">
        <f>9+193268</f>
        <v>193277</v>
      </c>
      <c r="N73">
        <v>212930</v>
      </c>
      <c r="O73">
        <f t="shared" si="10"/>
        <v>19653</v>
      </c>
      <c r="P73">
        <v>-4185</v>
      </c>
      <c r="Q73" s="12">
        <v>170334</v>
      </c>
      <c r="R73">
        <v>-2984</v>
      </c>
      <c r="S73">
        <v>-1201</v>
      </c>
    </row>
    <row r="74" spans="1:19" x14ac:dyDescent="0.45">
      <c r="A74" s="135">
        <v>45293</v>
      </c>
      <c r="B74" t="s">
        <v>1392</v>
      </c>
      <c r="C74" t="s">
        <v>1351</v>
      </c>
      <c r="D74">
        <f t="shared" si="7"/>
        <v>92</v>
      </c>
      <c r="E74">
        <v>4</v>
      </c>
      <c r="F74">
        <v>4</v>
      </c>
      <c r="G74">
        <v>9</v>
      </c>
      <c r="H74">
        <v>92</v>
      </c>
      <c r="I74">
        <f t="shared" si="9"/>
        <v>88</v>
      </c>
      <c r="J74">
        <v>88</v>
      </c>
      <c r="K74">
        <v>50</v>
      </c>
      <c r="L74">
        <v>129</v>
      </c>
      <c r="M74">
        <v>201706</v>
      </c>
      <c r="N74">
        <v>211497</v>
      </c>
      <c r="O74">
        <f t="shared" si="10"/>
        <v>9791</v>
      </c>
      <c r="P74">
        <v>-4287</v>
      </c>
      <c r="Q74" s="12">
        <v>162000</v>
      </c>
      <c r="R74">
        <v>-3053</v>
      </c>
      <c r="S74">
        <v>-1234</v>
      </c>
    </row>
    <row r="75" spans="1:19" x14ac:dyDescent="0.45">
      <c r="A75" s="135">
        <v>45294</v>
      </c>
      <c r="B75" t="s">
        <v>1383</v>
      </c>
      <c r="C75" t="s">
        <v>1366</v>
      </c>
      <c r="D75">
        <f t="shared" si="7"/>
        <v>0</v>
      </c>
      <c r="I75">
        <f t="shared" si="9"/>
        <v>0</v>
      </c>
      <c r="N75">
        <f t="shared" si="6"/>
        <v>0</v>
      </c>
      <c r="O75">
        <f t="shared" si="10"/>
        <v>0</v>
      </c>
    </row>
    <row r="76" spans="1:19" x14ac:dyDescent="0.45">
      <c r="D76">
        <f t="shared" si="7"/>
        <v>0</v>
      </c>
      <c r="I76">
        <f t="shared" si="9"/>
        <v>0</v>
      </c>
      <c r="N76">
        <f t="shared" si="6"/>
        <v>0</v>
      </c>
      <c r="O76">
        <f t="shared" si="10"/>
        <v>0</v>
      </c>
    </row>
    <row r="77" spans="1:19" x14ac:dyDescent="0.45">
      <c r="D77">
        <f t="shared" si="7"/>
        <v>0</v>
      </c>
      <c r="I77">
        <f t="shared" si="9"/>
        <v>0</v>
      </c>
      <c r="N77">
        <f t="shared" si="6"/>
        <v>0</v>
      </c>
      <c r="O77">
        <f t="shared" si="10"/>
        <v>0</v>
      </c>
    </row>
    <row r="78" spans="1:19" x14ac:dyDescent="0.45">
      <c r="D78">
        <f t="shared" si="7"/>
        <v>0</v>
      </c>
      <c r="I78">
        <f t="shared" si="9"/>
        <v>0</v>
      </c>
      <c r="N78">
        <f t="shared" si="6"/>
        <v>0</v>
      </c>
      <c r="O78">
        <f t="shared" si="10"/>
        <v>0</v>
      </c>
    </row>
    <row r="79" spans="1:19" x14ac:dyDescent="0.45">
      <c r="D79">
        <f t="shared" si="7"/>
        <v>0</v>
      </c>
      <c r="I79">
        <f t="shared" si="9"/>
        <v>0</v>
      </c>
      <c r="N79">
        <f t="shared" si="6"/>
        <v>0</v>
      </c>
      <c r="O79">
        <f t="shared" si="10"/>
        <v>0</v>
      </c>
    </row>
    <row r="80" spans="1:19" x14ac:dyDescent="0.45">
      <c r="D80">
        <f t="shared" si="7"/>
        <v>0</v>
      </c>
      <c r="I80">
        <f t="shared" si="9"/>
        <v>0</v>
      </c>
      <c r="N80">
        <f t="shared" si="6"/>
        <v>0</v>
      </c>
      <c r="O80">
        <f t="shared" si="10"/>
        <v>0</v>
      </c>
    </row>
    <row r="81" spans="4:15" x14ac:dyDescent="0.45">
      <c r="D81">
        <f t="shared" si="7"/>
        <v>0</v>
      </c>
      <c r="I81">
        <f t="shared" si="9"/>
        <v>0</v>
      </c>
      <c r="N81">
        <f t="shared" si="6"/>
        <v>0</v>
      </c>
      <c r="O81">
        <f t="shared" si="10"/>
        <v>0</v>
      </c>
    </row>
    <row r="82" spans="4:15" x14ac:dyDescent="0.45">
      <c r="D82">
        <f t="shared" si="7"/>
        <v>0</v>
      </c>
      <c r="I82">
        <f t="shared" si="9"/>
        <v>0</v>
      </c>
      <c r="N82">
        <f t="shared" si="6"/>
        <v>0</v>
      </c>
      <c r="O82">
        <f t="shared" si="10"/>
        <v>0</v>
      </c>
    </row>
    <row r="83" spans="4:15" x14ac:dyDescent="0.45">
      <c r="D83">
        <f t="shared" si="7"/>
        <v>0</v>
      </c>
      <c r="I83">
        <f t="shared" si="9"/>
        <v>0</v>
      </c>
      <c r="N83">
        <f t="shared" si="6"/>
        <v>0</v>
      </c>
      <c r="O83">
        <f t="shared" si="10"/>
        <v>0</v>
      </c>
    </row>
    <row r="84" spans="4:15" x14ac:dyDescent="0.45">
      <c r="D84">
        <f t="shared" si="7"/>
        <v>0</v>
      </c>
      <c r="I84">
        <f t="shared" si="9"/>
        <v>0</v>
      </c>
      <c r="N84">
        <f t="shared" si="6"/>
        <v>0</v>
      </c>
      <c r="O84">
        <f t="shared" si="10"/>
        <v>0</v>
      </c>
    </row>
    <row r="85" spans="4:15" x14ac:dyDescent="0.45">
      <c r="D85">
        <f t="shared" si="7"/>
        <v>0</v>
      </c>
      <c r="I85">
        <f t="shared" si="9"/>
        <v>0</v>
      </c>
      <c r="N85">
        <f t="shared" si="6"/>
        <v>0</v>
      </c>
      <c r="O85">
        <f t="shared" si="10"/>
        <v>0</v>
      </c>
    </row>
    <row r="86" spans="4:15" x14ac:dyDescent="0.45">
      <c r="D86">
        <f t="shared" si="7"/>
        <v>0</v>
      </c>
      <c r="I86">
        <f t="shared" si="9"/>
        <v>0</v>
      </c>
      <c r="N86">
        <f t="shared" si="6"/>
        <v>0</v>
      </c>
      <c r="O86">
        <f t="shared" si="10"/>
        <v>0</v>
      </c>
    </row>
    <row r="87" spans="4:15" x14ac:dyDescent="0.45">
      <c r="D87">
        <f t="shared" si="7"/>
        <v>0</v>
      </c>
      <c r="I87">
        <f t="shared" si="9"/>
        <v>0</v>
      </c>
      <c r="N87">
        <f t="shared" si="6"/>
        <v>0</v>
      </c>
      <c r="O87">
        <f t="shared" si="10"/>
        <v>0</v>
      </c>
    </row>
    <row r="88" spans="4:15" x14ac:dyDescent="0.45">
      <c r="D88">
        <f t="shared" si="7"/>
        <v>0</v>
      </c>
      <c r="I88">
        <f t="shared" si="9"/>
        <v>0</v>
      </c>
      <c r="N88">
        <f t="shared" si="6"/>
        <v>0</v>
      </c>
      <c r="O88">
        <f t="shared" si="10"/>
        <v>0</v>
      </c>
    </row>
    <row r="89" spans="4:15" x14ac:dyDescent="0.45">
      <c r="D89">
        <f t="shared" si="7"/>
        <v>0</v>
      </c>
      <c r="I89">
        <f t="shared" si="9"/>
        <v>0</v>
      </c>
      <c r="N89">
        <f t="shared" si="6"/>
        <v>0</v>
      </c>
      <c r="O89">
        <f t="shared" si="10"/>
        <v>0</v>
      </c>
    </row>
    <row r="90" spans="4:15" x14ac:dyDescent="0.45">
      <c r="D90">
        <f t="shared" si="7"/>
        <v>0</v>
      </c>
      <c r="I90">
        <f t="shared" si="9"/>
        <v>0</v>
      </c>
      <c r="N90">
        <f t="shared" si="6"/>
        <v>0</v>
      </c>
      <c r="O90">
        <f t="shared" si="10"/>
        <v>0</v>
      </c>
    </row>
    <row r="91" spans="4:15" x14ac:dyDescent="0.45">
      <c r="D91">
        <f t="shared" si="7"/>
        <v>0</v>
      </c>
      <c r="I91">
        <f t="shared" si="9"/>
        <v>0</v>
      </c>
      <c r="N91">
        <f t="shared" si="6"/>
        <v>0</v>
      </c>
      <c r="O91">
        <f t="shared" si="10"/>
        <v>0</v>
      </c>
    </row>
    <row r="92" spans="4:15" x14ac:dyDescent="0.45">
      <c r="D92">
        <f t="shared" si="7"/>
        <v>0</v>
      </c>
      <c r="I92">
        <f t="shared" si="9"/>
        <v>0</v>
      </c>
      <c r="N92">
        <f t="shared" si="6"/>
        <v>0</v>
      </c>
      <c r="O92">
        <f t="shared" si="10"/>
        <v>0</v>
      </c>
    </row>
    <row r="93" spans="4:15" x14ac:dyDescent="0.45">
      <c r="D93">
        <f t="shared" si="7"/>
        <v>0</v>
      </c>
      <c r="I93">
        <f t="shared" si="9"/>
        <v>0</v>
      </c>
      <c r="N93">
        <f t="shared" ref="N93:N156" si="11">((ROUND((L93*0.39),0))*$AK$6)+((J93-K93)*$AI$6)+(H93*$AG$6)+((ROUND((G93*0.39),0))*$AF$6)</f>
        <v>0</v>
      </c>
      <c r="O93">
        <f t="shared" si="10"/>
        <v>0</v>
      </c>
    </row>
    <row r="94" spans="4:15" x14ac:dyDescent="0.45">
      <c r="D94">
        <f t="shared" si="7"/>
        <v>0</v>
      </c>
      <c r="I94">
        <f t="shared" si="9"/>
        <v>0</v>
      </c>
      <c r="N94">
        <f t="shared" si="11"/>
        <v>0</v>
      </c>
      <c r="O94">
        <f t="shared" si="10"/>
        <v>0</v>
      </c>
    </row>
    <row r="95" spans="4:15" x14ac:dyDescent="0.45">
      <c r="D95">
        <f t="shared" si="7"/>
        <v>0</v>
      </c>
      <c r="I95">
        <f t="shared" si="9"/>
        <v>0</v>
      </c>
      <c r="N95">
        <f t="shared" si="11"/>
        <v>0</v>
      </c>
      <c r="O95">
        <f t="shared" si="10"/>
        <v>0</v>
      </c>
    </row>
    <row r="96" spans="4:15" x14ac:dyDescent="0.45">
      <c r="D96">
        <f t="shared" si="7"/>
        <v>0</v>
      </c>
      <c r="I96">
        <f t="shared" si="9"/>
        <v>0</v>
      </c>
      <c r="N96">
        <f t="shared" si="11"/>
        <v>0</v>
      </c>
      <c r="O96">
        <f t="shared" si="10"/>
        <v>0</v>
      </c>
    </row>
    <row r="97" spans="4:15" x14ac:dyDescent="0.45">
      <c r="D97">
        <f t="shared" si="7"/>
        <v>0</v>
      </c>
      <c r="I97">
        <f t="shared" si="9"/>
        <v>0</v>
      </c>
      <c r="N97">
        <f t="shared" si="11"/>
        <v>0</v>
      </c>
      <c r="O97">
        <f t="shared" si="10"/>
        <v>0</v>
      </c>
    </row>
    <row r="98" spans="4:15" x14ac:dyDescent="0.45">
      <c r="D98">
        <f t="shared" si="7"/>
        <v>0</v>
      </c>
      <c r="I98">
        <f t="shared" si="9"/>
        <v>0</v>
      </c>
      <c r="N98">
        <f t="shared" si="11"/>
        <v>0</v>
      </c>
      <c r="O98">
        <f t="shared" si="10"/>
        <v>0</v>
      </c>
    </row>
    <row r="99" spans="4:15" x14ac:dyDescent="0.45">
      <c r="D99">
        <f t="shared" si="7"/>
        <v>0</v>
      </c>
      <c r="I99">
        <f t="shared" si="9"/>
        <v>0</v>
      </c>
      <c r="N99">
        <f t="shared" si="11"/>
        <v>0</v>
      </c>
      <c r="O99">
        <f t="shared" si="10"/>
        <v>0</v>
      </c>
    </row>
    <row r="100" spans="4:15" x14ac:dyDescent="0.45">
      <c r="D100">
        <f t="shared" si="7"/>
        <v>0</v>
      </c>
      <c r="I100">
        <f t="shared" si="9"/>
        <v>0</v>
      </c>
      <c r="N100">
        <f t="shared" si="11"/>
        <v>0</v>
      </c>
      <c r="O100">
        <f t="shared" si="10"/>
        <v>0</v>
      </c>
    </row>
    <row r="101" spans="4:15" x14ac:dyDescent="0.45">
      <c r="D101">
        <f t="shared" si="7"/>
        <v>0</v>
      </c>
      <c r="I101">
        <f t="shared" si="9"/>
        <v>0</v>
      </c>
      <c r="N101">
        <f t="shared" si="11"/>
        <v>0</v>
      </c>
      <c r="O101">
        <f t="shared" si="10"/>
        <v>0</v>
      </c>
    </row>
    <row r="102" spans="4:15" x14ac:dyDescent="0.45">
      <c r="D102">
        <f t="shared" ref="D102:D165" si="12">H102</f>
        <v>0</v>
      </c>
      <c r="I102">
        <f t="shared" si="9"/>
        <v>0</v>
      </c>
      <c r="N102">
        <f t="shared" si="11"/>
        <v>0</v>
      </c>
      <c r="O102">
        <f t="shared" si="10"/>
        <v>0</v>
      </c>
    </row>
    <row r="103" spans="4:15" x14ac:dyDescent="0.45">
      <c r="D103">
        <f t="shared" si="12"/>
        <v>0</v>
      </c>
      <c r="I103">
        <f t="shared" si="9"/>
        <v>0</v>
      </c>
      <c r="N103">
        <f t="shared" si="11"/>
        <v>0</v>
      </c>
      <c r="O103">
        <f t="shared" si="10"/>
        <v>0</v>
      </c>
    </row>
    <row r="104" spans="4:15" x14ac:dyDescent="0.45">
      <c r="D104">
        <f t="shared" si="12"/>
        <v>0</v>
      </c>
      <c r="I104">
        <f t="shared" si="9"/>
        <v>0</v>
      </c>
      <c r="N104">
        <f t="shared" si="11"/>
        <v>0</v>
      </c>
      <c r="O104">
        <f t="shared" si="10"/>
        <v>0</v>
      </c>
    </row>
    <row r="105" spans="4:15" x14ac:dyDescent="0.45">
      <c r="D105">
        <f t="shared" si="12"/>
        <v>0</v>
      </c>
      <c r="I105">
        <f t="shared" si="9"/>
        <v>0</v>
      </c>
      <c r="N105">
        <f t="shared" si="11"/>
        <v>0</v>
      </c>
      <c r="O105">
        <f t="shared" si="10"/>
        <v>0</v>
      </c>
    </row>
    <row r="106" spans="4:15" x14ac:dyDescent="0.45">
      <c r="D106">
        <f t="shared" si="12"/>
        <v>0</v>
      </c>
      <c r="I106">
        <f t="shared" si="9"/>
        <v>0</v>
      </c>
      <c r="N106">
        <f t="shared" si="11"/>
        <v>0</v>
      </c>
      <c r="O106">
        <f t="shared" si="10"/>
        <v>0</v>
      </c>
    </row>
    <row r="107" spans="4:15" x14ac:dyDescent="0.45">
      <c r="D107">
        <f t="shared" si="12"/>
        <v>0</v>
      </c>
      <c r="I107">
        <f t="shared" si="9"/>
        <v>0</v>
      </c>
      <c r="N107">
        <f t="shared" si="11"/>
        <v>0</v>
      </c>
      <c r="O107">
        <f t="shared" si="10"/>
        <v>0</v>
      </c>
    </row>
    <row r="108" spans="4:15" x14ac:dyDescent="0.45">
      <c r="D108">
        <f t="shared" si="12"/>
        <v>0</v>
      </c>
      <c r="I108">
        <f t="shared" si="9"/>
        <v>0</v>
      </c>
      <c r="N108">
        <f t="shared" si="11"/>
        <v>0</v>
      </c>
      <c r="O108">
        <f t="shared" si="10"/>
        <v>0</v>
      </c>
    </row>
    <row r="109" spans="4:15" x14ac:dyDescent="0.45">
      <c r="D109">
        <f t="shared" si="12"/>
        <v>0</v>
      </c>
      <c r="I109">
        <f t="shared" si="9"/>
        <v>0</v>
      </c>
      <c r="N109">
        <f t="shared" si="11"/>
        <v>0</v>
      </c>
      <c r="O109">
        <f t="shared" si="10"/>
        <v>0</v>
      </c>
    </row>
    <row r="110" spans="4:15" x14ac:dyDescent="0.45">
      <c r="D110">
        <f t="shared" si="12"/>
        <v>0</v>
      </c>
      <c r="I110">
        <f t="shared" si="9"/>
        <v>0</v>
      </c>
      <c r="N110">
        <f t="shared" si="11"/>
        <v>0</v>
      </c>
      <c r="O110">
        <f t="shared" si="10"/>
        <v>0</v>
      </c>
    </row>
    <row r="111" spans="4:15" x14ac:dyDescent="0.45">
      <c r="D111">
        <f t="shared" si="12"/>
        <v>0</v>
      </c>
      <c r="I111">
        <f t="shared" si="9"/>
        <v>0</v>
      </c>
      <c r="N111">
        <f t="shared" si="11"/>
        <v>0</v>
      </c>
      <c r="O111">
        <f t="shared" si="10"/>
        <v>0</v>
      </c>
    </row>
    <row r="112" spans="4:15" x14ac:dyDescent="0.45">
      <c r="D112">
        <f t="shared" si="12"/>
        <v>0</v>
      </c>
      <c r="I112">
        <f t="shared" si="9"/>
        <v>0</v>
      </c>
      <c r="N112">
        <f t="shared" si="11"/>
        <v>0</v>
      </c>
      <c r="O112">
        <f t="shared" si="10"/>
        <v>0</v>
      </c>
    </row>
    <row r="113" spans="4:15" x14ac:dyDescent="0.45">
      <c r="D113">
        <f t="shared" si="12"/>
        <v>0</v>
      </c>
      <c r="I113">
        <f t="shared" si="9"/>
        <v>0</v>
      </c>
      <c r="N113">
        <f t="shared" si="11"/>
        <v>0</v>
      </c>
      <c r="O113">
        <f t="shared" si="10"/>
        <v>0</v>
      </c>
    </row>
    <row r="114" spans="4:15" x14ac:dyDescent="0.45">
      <c r="D114">
        <f t="shared" si="12"/>
        <v>0</v>
      </c>
      <c r="I114">
        <f t="shared" si="9"/>
        <v>0</v>
      </c>
      <c r="N114">
        <f t="shared" si="11"/>
        <v>0</v>
      </c>
      <c r="O114">
        <f t="shared" si="10"/>
        <v>0</v>
      </c>
    </row>
    <row r="115" spans="4:15" x14ac:dyDescent="0.45">
      <c r="D115">
        <f t="shared" si="12"/>
        <v>0</v>
      </c>
      <c r="I115">
        <f t="shared" si="9"/>
        <v>0</v>
      </c>
      <c r="N115">
        <f t="shared" si="11"/>
        <v>0</v>
      </c>
      <c r="O115">
        <f t="shared" si="10"/>
        <v>0</v>
      </c>
    </row>
    <row r="116" spans="4:15" x14ac:dyDescent="0.45">
      <c r="D116">
        <f t="shared" si="12"/>
        <v>0</v>
      </c>
      <c r="I116">
        <f t="shared" si="9"/>
        <v>0</v>
      </c>
      <c r="N116">
        <f t="shared" si="11"/>
        <v>0</v>
      </c>
      <c r="O116">
        <f t="shared" si="10"/>
        <v>0</v>
      </c>
    </row>
    <row r="117" spans="4:15" x14ac:dyDescent="0.45">
      <c r="D117">
        <f t="shared" si="12"/>
        <v>0</v>
      </c>
      <c r="I117">
        <f t="shared" si="9"/>
        <v>0</v>
      </c>
      <c r="N117">
        <f t="shared" si="11"/>
        <v>0</v>
      </c>
      <c r="O117">
        <f t="shared" si="10"/>
        <v>0</v>
      </c>
    </row>
    <row r="118" spans="4:15" x14ac:dyDescent="0.45">
      <c r="D118">
        <f t="shared" si="12"/>
        <v>0</v>
      </c>
      <c r="I118">
        <f t="shared" si="9"/>
        <v>0</v>
      </c>
      <c r="N118">
        <f t="shared" si="11"/>
        <v>0</v>
      </c>
      <c r="O118">
        <f t="shared" si="10"/>
        <v>0</v>
      </c>
    </row>
    <row r="119" spans="4:15" x14ac:dyDescent="0.45">
      <c r="D119">
        <f t="shared" si="12"/>
        <v>0</v>
      </c>
      <c r="I119">
        <f t="shared" si="9"/>
        <v>0</v>
      </c>
      <c r="N119">
        <f t="shared" si="11"/>
        <v>0</v>
      </c>
      <c r="O119">
        <f t="shared" si="10"/>
        <v>0</v>
      </c>
    </row>
    <row r="120" spans="4:15" x14ac:dyDescent="0.45">
      <c r="D120">
        <f t="shared" si="12"/>
        <v>0</v>
      </c>
      <c r="I120">
        <f t="shared" si="9"/>
        <v>0</v>
      </c>
      <c r="N120">
        <f t="shared" si="11"/>
        <v>0</v>
      </c>
      <c r="O120">
        <f t="shared" si="10"/>
        <v>0</v>
      </c>
    </row>
    <row r="121" spans="4:15" x14ac:dyDescent="0.45">
      <c r="D121">
        <f t="shared" si="12"/>
        <v>0</v>
      </c>
      <c r="I121">
        <f t="shared" si="9"/>
        <v>0</v>
      </c>
      <c r="N121">
        <f t="shared" si="11"/>
        <v>0</v>
      </c>
      <c r="O121">
        <f t="shared" si="10"/>
        <v>0</v>
      </c>
    </row>
    <row r="122" spans="4:15" x14ac:dyDescent="0.45">
      <c r="D122">
        <f t="shared" si="12"/>
        <v>0</v>
      </c>
      <c r="I122">
        <f t="shared" si="9"/>
        <v>0</v>
      </c>
      <c r="N122">
        <f t="shared" si="11"/>
        <v>0</v>
      </c>
      <c r="O122">
        <f t="shared" si="10"/>
        <v>0</v>
      </c>
    </row>
    <row r="123" spans="4:15" x14ac:dyDescent="0.45">
      <c r="D123">
        <f t="shared" si="12"/>
        <v>0</v>
      </c>
      <c r="I123">
        <f t="shared" si="9"/>
        <v>0</v>
      </c>
      <c r="N123">
        <f t="shared" si="11"/>
        <v>0</v>
      </c>
      <c r="O123">
        <f t="shared" si="10"/>
        <v>0</v>
      </c>
    </row>
    <row r="124" spans="4:15" x14ac:dyDescent="0.45">
      <c r="D124">
        <f t="shared" si="12"/>
        <v>0</v>
      </c>
      <c r="I124">
        <f t="shared" si="9"/>
        <v>0</v>
      </c>
      <c r="N124">
        <f t="shared" si="11"/>
        <v>0</v>
      </c>
      <c r="O124">
        <f t="shared" si="10"/>
        <v>0</v>
      </c>
    </row>
    <row r="125" spans="4:15" x14ac:dyDescent="0.45">
      <c r="D125">
        <f t="shared" si="12"/>
        <v>0</v>
      </c>
      <c r="I125">
        <f t="shared" si="9"/>
        <v>0</v>
      </c>
      <c r="N125">
        <f t="shared" si="11"/>
        <v>0</v>
      </c>
      <c r="O125">
        <f t="shared" si="10"/>
        <v>0</v>
      </c>
    </row>
    <row r="126" spans="4:15" x14ac:dyDescent="0.45">
      <c r="D126">
        <f t="shared" si="12"/>
        <v>0</v>
      </c>
      <c r="I126">
        <f t="shared" si="9"/>
        <v>0</v>
      </c>
      <c r="N126">
        <f t="shared" si="11"/>
        <v>0</v>
      </c>
      <c r="O126">
        <f t="shared" si="10"/>
        <v>0</v>
      </c>
    </row>
    <row r="127" spans="4:15" x14ac:dyDescent="0.45">
      <c r="D127">
        <f t="shared" si="12"/>
        <v>0</v>
      </c>
      <c r="I127">
        <f t="shared" si="9"/>
        <v>0</v>
      </c>
      <c r="N127">
        <f t="shared" si="11"/>
        <v>0</v>
      </c>
      <c r="O127">
        <f t="shared" si="10"/>
        <v>0</v>
      </c>
    </row>
    <row r="128" spans="4:15" x14ac:dyDescent="0.45">
      <c r="D128">
        <f t="shared" si="12"/>
        <v>0</v>
      </c>
      <c r="I128">
        <f t="shared" si="9"/>
        <v>0</v>
      </c>
      <c r="N128">
        <f t="shared" si="11"/>
        <v>0</v>
      </c>
      <c r="O128">
        <f t="shared" si="10"/>
        <v>0</v>
      </c>
    </row>
    <row r="129" spans="4:15" x14ac:dyDescent="0.45">
      <c r="D129">
        <f t="shared" si="12"/>
        <v>0</v>
      </c>
      <c r="I129">
        <f t="shared" si="9"/>
        <v>0</v>
      </c>
      <c r="N129">
        <f t="shared" si="11"/>
        <v>0</v>
      </c>
      <c r="O129">
        <f t="shared" si="10"/>
        <v>0</v>
      </c>
    </row>
    <row r="130" spans="4:15" x14ac:dyDescent="0.45">
      <c r="D130">
        <f t="shared" si="12"/>
        <v>0</v>
      </c>
      <c r="I130">
        <f t="shared" si="9"/>
        <v>0</v>
      </c>
      <c r="N130">
        <f t="shared" si="11"/>
        <v>0</v>
      </c>
      <c r="O130">
        <f t="shared" si="10"/>
        <v>0</v>
      </c>
    </row>
    <row r="131" spans="4:15" x14ac:dyDescent="0.45">
      <c r="D131">
        <f t="shared" si="12"/>
        <v>0</v>
      </c>
      <c r="I131">
        <f t="shared" si="9"/>
        <v>0</v>
      </c>
      <c r="N131">
        <f t="shared" si="11"/>
        <v>0</v>
      </c>
      <c r="O131">
        <f t="shared" si="10"/>
        <v>0</v>
      </c>
    </row>
    <row r="132" spans="4:15" x14ac:dyDescent="0.45">
      <c r="D132">
        <f t="shared" si="12"/>
        <v>0</v>
      </c>
      <c r="I132">
        <f t="shared" ref="I132:I195" si="13">J132</f>
        <v>0</v>
      </c>
      <c r="N132">
        <f t="shared" si="11"/>
        <v>0</v>
      </c>
      <c r="O132">
        <f t="shared" ref="O132:O195" si="14">N132-M132</f>
        <v>0</v>
      </c>
    </row>
    <row r="133" spans="4:15" x14ac:dyDescent="0.45">
      <c r="D133">
        <f t="shared" si="12"/>
        <v>0</v>
      </c>
      <c r="I133">
        <f t="shared" si="13"/>
        <v>0</v>
      </c>
      <c r="N133">
        <f t="shared" si="11"/>
        <v>0</v>
      </c>
      <c r="O133">
        <f t="shared" si="14"/>
        <v>0</v>
      </c>
    </row>
    <row r="134" spans="4:15" x14ac:dyDescent="0.45">
      <c r="D134">
        <f t="shared" si="12"/>
        <v>0</v>
      </c>
      <c r="I134">
        <f t="shared" si="13"/>
        <v>0</v>
      </c>
      <c r="N134">
        <f t="shared" si="11"/>
        <v>0</v>
      </c>
      <c r="O134">
        <f t="shared" si="14"/>
        <v>0</v>
      </c>
    </row>
    <row r="135" spans="4:15" x14ac:dyDescent="0.45">
      <c r="D135">
        <f t="shared" si="12"/>
        <v>0</v>
      </c>
      <c r="I135">
        <f t="shared" si="13"/>
        <v>0</v>
      </c>
      <c r="N135">
        <f t="shared" si="11"/>
        <v>0</v>
      </c>
      <c r="O135">
        <f t="shared" si="14"/>
        <v>0</v>
      </c>
    </row>
    <row r="136" spans="4:15" x14ac:dyDescent="0.45">
      <c r="D136">
        <f t="shared" si="12"/>
        <v>0</v>
      </c>
      <c r="I136">
        <f t="shared" si="13"/>
        <v>0</v>
      </c>
      <c r="N136">
        <f t="shared" si="11"/>
        <v>0</v>
      </c>
      <c r="O136">
        <f t="shared" si="14"/>
        <v>0</v>
      </c>
    </row>
    <row r="137" spans="4:15" x14ac:dyDescent="0.45">
      <c r="D137">
        <f t="shared" si="12"/>
        <v>0</v>
      </c>
      <c r="I137">
        <f t="shared" si="13"/>
        <v>0</v>
      </c>
      <c r="N137">
        <f t="shared" si="11"/>
        <v>0</v>
      </c>
      <c r="O137">
        <f t="shared" si="14"/>
        <v>0</v>
      </c>
    </row>
    <row r="138" spans="4:15" x14ac:dyDescent="0.45">
      <c r="D138">
        <f t="shared" si="12"/>
        <v>0</v>
      </c>
      <c r="I138">
        <f t="shared" si="13"/>
        <v>0</v>
      </c>
      <c r="N138">
        <f t="shared" si="11"/>
        <v>0</v>
      </c>
      <c r="O138">
        <f t="shared" si="14"/>
        <v>0</v>
      </c>
    </row>
    <row r="139" spans="4:15" x14ac:dyDescent="0.45">
      <c r="D139">
        <f t="shared" si="12"/>
        <v>0</v>
      </c>
      <c r="I139">
        <f t="shared" si="13"/>
        <v>0</v>
      </c>
      <c r="N139">
        <f t="shared" si="11"/>
        <v>0</v>
      </c>
      <c r="O139">
        <f t="shared" si="14"/>
        <v>0</v>
      </c>
    </row>
    <row r="140" spans="4:15" x14ac:dyDescent="0.45">
      <c r="D140">
        <f t="shared" si="12"/>
        <v>0</v>
      </c>
      <c r="I140">
        <f t="shared" si="13"/>
        <v>0</v>
      </c>
      <c r="N140">
        <f t="shared" si="11"/>
        <v>0</v>
      </c>
      <c r="O140">
        <f t="shared" si="14"/>
        <v>0</v>
      </c>
    </row>
    <row r="141" spans="4:15" x14ac:dyDescent="0.45">
      <c r="D141">
        <f t="shared" si="12"/>
        <v>0</v>
      </c>
      <c r="I141">
        <f t="shared" si="13"/>
        <v>0</v>
      </c>
      <c r="N141">
        <f t="shared" si="11"/>
        <v>0</v>
      </c>
      <c r="O141">
        <f t="shared" si="14"/>
        <v>0</v>
      </c>
    </row>
    <row r="142" spans="4:15" x14ac:dyDescent="0.45">
      <c r="D142">
        <f t="shared" si="12"/>
        <v>0</v>
      </c>
      <c r="I142">
        <f t="shared" si="13"/>
        <v>0</v>
      </c>
      <c r="N142">
        <f t="shared" si="11"/>
        <v>0</v>
      </c>
      <c r="O142">
        <f t="shared" si="14"/>
        <v>0</v>
      </c>
    </row>
    <row r="143" spans="4:15" x14ac:dyDescent="0.45">
      <c r="D143">
        <f t="shared" si="12"/>
        <v>0</v>
      </c>
      <c r="I143">
        <f t="shared" si="13"/>
        <v>0</v>
      </c>
      <c r="N143">
        <f t="shared" si="11"/>
        <v>0</v>
      </c>
      <c r="O143">
        <f t="shared" si="14"/>
        <v>0</v>
      </c>
    </row>
    <row r="144" spans="4:15" x14ac:dyDescent="0.45">
      <c r="D144">
        <f t="shared" si="12"/>
        <v>0</v>
      </c>
      <c r="I144">
        <f t="shared" si="13"/>
        <v>0</v>
      </c>
      <c r="N144">
        <f t="shared" si="11"/>
        <v>0</v>
      </c>
      <c r="O144">
        <f t="shared" si="14"/>
        <v>0</v>
      </c>
    </row>
    <row r="145" spans="4:15" x14ac:dyDescent="0.45">
      <c r="D145">
        <f t="shared" si="12"/>
        <v>0</v>
      </c>
      <c r="I145">
        <f t="shared" si="13"/>
        <v>0</v>
      </c>
      <c r="N145">
        <f t="shared" si="11"/>
        <v>0</v>
      </c>
      <c r="O145">
        <f t="shared" si="14"/>
        <v>0</v>
      </c>
    </row>
    <row r="146" spans="4:15" x14ac:dyDescent="0.45">
      <c r="D146">
        <f t="shared" si="12"/>
        <v>0</v>
      </c>
      <c r="I146">
        <f t="shared" si="13"/>
        <v>0</v>
      </c>
      <c r="N146">
        <f t="shared" si="11"/>
        <v>0</v>
      </c>
      <c r="O146">
        <f t="shared" si="14"/>
        <v>0</v>
      </c>
    </row>
    <row r="147" spans="4:15" x14ac:dyDescent="0.45">
      <c r="D147">
        <f t="shared" si="12"/>
        <v>0</v>
      </c>
      <c r="I147">
        <f t="shared" si="13"/>
        <v>0</v>
      </c>
      <c r="N147">
        <f t="shared" si="11"/>
        <v>0</v>
      </c>
      <c r="O147">
        <f t="shared" si="14"/>
        <v>0</v>
      </c>
    </row>
    <row r="148" spans="4:15" x14ac:dyDescent="0.45">
      <c r="D148">
        <f t="shared" si="12"/>
        <v>0</v>
      </c>
      <c r="I148">
        <f t="shared" si="13"/>
        <v>0</v>
      </c>
      <c r="N148">
        <f t="shared" si="11"/>
        <v>0</v>
      </c>
      <c r="O148">
        <f t="shared" si="14"/>
        <v>0</v>
      </c>
    </row>
    <row r="149" spans="4:15" x14ac:dyDescent="0.45">
      <c r="D149">
        <f t="shared" si="12"/>
        <v>0</v>
      </c>
      <c r="I149">
        <f t="shared" si="13"/>
        <v>0</v>
      </c>
      <c r="N149">
        <f t="shared" si="11"/>
        <v>0</v>
      </c>
      <c r="O149">
        <f t="shared" si="14"/>
        <v>0</v>
      </c>
    </row>
    <row r="150" spans="4:15" x14ac:dyDescent="0.45">
      <c r="D150">
        <f t="shared" si="12"/>
        <v>0</v>
      </c>
      <c r="I150">
        <f t="shared" si="13"/>
        <v>0</v>
      </c>
      <c r="N150">
        <f t="shared" si="11"/>
        <v>0</v>
      </c>
      <c r="O150">
        <f t="shared" si="14"/>
        <v>0</v>
      </c>
    </row>
    <row r="151" spans="4:15" x14ac:dyDescent="0.45">
      <c r="D151">
        <f t="shared" si="12"/>
        <v>0</v>
      </c>
      <c r="I151">
        <f t="shared" si="13"/>
        <v>0</v>
      </c>
      <c r="N151">
        <f t="shared" si="11"/>
        <v>0</v>
      </c>
      <c r="O151">
        <f t="shared" si="14"/>
        <v>0</v>
      </c>
    </row>
    <row r="152" spans="4:15" x14ac:dyDescent="0.45">
      <c r="D152">
        <f t="shared" si="12"/>
        <v>0</v>
      </c>
      <c r="I152">
        <f t="shared" si="13"/>
        <v>0</v>
      </c>
      <c r="N152">
        <f t="shared" si="11"/>
        <v>0</v>
      </c>
      <c r="O152">
        <f t="shared" si="14"/>
        <v>0</v>
      </c>
    </row>
    <row r="153" spans="4:15" x14ac:dyDescent="0.45">
      <c r="D153">
        <f t="shared" si="12"/>
        <v>0</v>
      </c>
      <c r="I153">
        <f t="shared" si="13"/>
        <v>0</v>
      </c>
      <c r="N153">
        <f t="shared" si="11"/>
        <v>0</v>
      </c>
      <c r="O153">
        <f t="shared" si="14"/>
        <v>0</v>
      </c>
    </row>
    <row r="154" spans="4:15" x14ac:dyDescent="0.45">
      <c r="D154">
        <f t="shared" si="12"/>
        <v>0</v>
      </c>
      <c r="I154">
        <f t="shared" si="13"/>
        <v>0</v>
      </c>
      <c r="N154">
        <f t="shared" si="11"/>
        <v>0</v>
      </c>
      <c r="O154">
        <f t="shared" si="14"/>
        <v>0</v>
      </c>
    </row>
    <row r="155" spans="4:15" x14ac:dyDescent="0.45">
      <c r="D155">
        <f t="shared" si="12"/>
        <v>0</v>
      </c>
      <c r="I155">
        <f t="shared" si="13"/>
        <v>0</v>
      </c>
      <c r="N155">
        <f t="shared" si="11"/>
        <v>0</v>
      </c>
      <c r="O155">
        <f t="shared" si="14"/>
        <v>0</v>
      </c>
    </row>
    <row r="156" spans="4:15" x14ac:dyDescent="0.45">
      <c r="D156">
        <f t="shared" si="12"/>
        <v>0</v>
      </c>
      <c r="I156">
        <f t="shared" si="13"/>
        <v>0</v>
      </c>
      <c r="N156">
        <f t="shared" si="11"/>
        <v>0</v>
      </c>
      <c r="O156">
        <f t="shared" si="14"/>
        <v>0</v>
      </c>
    </row>
    <row r="157" spans="4:15" x14ac:dyDescent="0.45">
      <c r="D157">
        <f t="shared" si="12"/>
        <v>0</v>
      </c>
      <c r="I157">
        <f t="shared" si="13"/>
        <v>0</v>
      </c>
      <c r="N157">
        <f t="shared" ref="N157:N220" si="15">((ROUND((L157*0.39),0))*$AK$6)+((J157-K157)*$AI$6)+(H157*$AG$6)+((ROUND((G157*0.39),0))*$AF$6)</f>
        <v>0</v>
      </c>
      <c r="O157">
        <f t="shared" si="14"/>
        <v>0</v>
      </c>
    </row>
    <row r="158" spans="4:15" x14ac:dyDescent="0.45">
      <c r="D158">
        <f t="shared" si="12"/>
        <v>0</v>
      </c>
      <c r="I158">
        <f t="shared" si="13"/>
        <v>0</v>
      </c>
      <c r="N158">
        <f t="shared" si="15"/>
        <v>0</v>
      </c>
      <c r="O158">
        <f t="shared" si="14"/>
        <v>0</v>
      </c>
    </row>
    <row r="159" spans="4:15" x14ac:dyDescent="0.45">
      <c r="D159">
        <f t="shared" si="12"/>
        <v>0</v>
      </c>
      <c r="I159">
        <f t="shared" si="13"/>
        <v>0</v>
      </c>
      <c r="N159">
        <f t="shared" si="15"/>
        <v>0</v>
      </c>
      <c r="O159">
        <f t="shared" si="14"/>
        <v>0</v>
      </c>
    </row>
    <row r="160" spans="4:15" x14ac:dyDescent="0.45">
      <c r="D160">
        <f t="shared" si="12"/>
        <v>0</v>
      </c>
      <c r="I160">
        <f t="shared" si="13"/>
        <v>0</v>
      </c>
      <c r="N160">
        <f t="shared" si="15"/>
        <v>0</v>
      </c>
      <c r="O160">
        <f t="shared" si="14"/>
        <v>0</v>
      </c>
    </row>
    <row r="161" spans="4:15" x14ac:dyDescent="0.45">
      <c r="D161">
        <f t="shared" si="12"/>
        <v>0</v>
      </c>
      <c r="I161">
        <f t="shared" si="13"/>
        <v>0</v>
      </c>
      <c r="N161">
        <f t="shared" si="15"/>
        <v>0</v>
      </c>
      <c r="O161">
        <f t="shared" si="14"/>
        <v>0</v>
      </c>
    </row>
    <row r="162" spans="4:15" x14ac:dyDescent="0.45">
      <c r="D162">
        <f t="shared" si="12"/>
        <v>0</v>
      </c>
      <c r="I162">
        <f t="shared" si="13"/>
        <v>0</v>
      </c>
      <c r="N162">
        <f t="shared" si="15"/>
        <v>0</v>
      </c>
      <c r="O162">
        <f t="shared" si="14"/>
        <v>0</v>
      </c>
    </row>
    <row r="163" spans="4:15" x14ac:dyDescent="0.45">
      <c r="D163">
        <f t="shared" si="12"/>
        <v>0</v>
      </c>
      <c r="I163">
        <f t="shared" si="13"/>
        <v>0</v>
      </c>
      <c r="N163">
        <f t="shared" si="15"/>
        <v>0</v>
      </c>
      <c r="O163">
        <f t="shared" si="14"/>
        <v>0</v>
      </c>
    </row>
    <row r="164" spans="4:15" x14ac:dyDescent="0.45">
      <c r="D164">
        <f t="shared" si="12"/>
        <v>0</v>
      </c>
      <c r="I164">
        <f t="shared" si="13"/>
        <v>0</v>
      </c>
      <c r="N164">
        <f t="shared" si="15"/>
        <v>0</v>
      </c>
      <c r="O164">
        <f t="shared" si="14"/>
        <v>0</v>
      </c>
    </row>
    <row r="165" spans="4:15" x14ac:dyDescent="0.45">
      <c r="D165">
        <f t="shared" si="12"/>
        <v>0</v>
      </c>
      <c r="I165">
        <f t="shared" si="13"/>
        <v>0</v>
      </c>
      <c r="N165">
        <f t="shared" si="15"/>
        <v>0</v>
      </c>
      <c r="O165">
        <f t="shared" si="14"/>
        <v>0</v>
      </c>
    </row>
    <row r="166" spans="4:15" x14ac:dyDescent="0.45">
      <c r="D166">
        <f t="shared" ref="D166:D220" si="16">H166</f>
        <v>0</v>
      </c>
      <c r="I166">
        <f t="shared" si="13"/>
        <v>0</v>
      </c>
      <c r="N166">
        <f t="shared" si="15"/>
        <v>0</v>
      </c>
      <c r="O166">
        <f t="shared" si="14"/>
        <v>0</v>
      </c>
    </row>
    <row r="167" spans="4:15" x14ac:dyDescent="0.45">
      <c r="D167">
        <f t="shared" si="16"/>
        <v>0</v>
      </c>
      <c r="I167">
        <f t="shared" si="13"/>
        <v>0</v>
      </c>
      <c r="N167">
        <f t="shared" si="15"/>
        <v>0</v>
      </c>
      <c r="O167">
        <f t="shared" si="14"/>
        <v>0</v>
      </c>
    </row>
    <row r="168" spans="4:15" x14ac:dyDescent="0.45">
      <c r="D168">
        <f t="shared" si="16"/>
        <v>0</v>
      </c>
      <c r="I168">
        <f t="shared" si="13"/>
        <v>0</v>
      </c>
      <c r="N168">
        <f t="shared" si="15"/>
        <v>0</v>
      </c>
      <c r="O168">
        <f t="shared" si="14"/>
        <v>0</v>
      </c>
    </row>
    <row r="169" spans="4:15" x14ac:dyDescent="0.45">
      <c r="D169">
        <f t="shared" si="16"/>
        <v>0</v>
      </c>
      <c r="I169">
        <f t="shared" si="13"/>
        <v>0</v>
      </c>
      <c r="N169">
        <f t="shared" si="15"/>
        <v>0</v>
      </c>
      <c r="O169">
        <f t="shared" si="14"/>
        <v>0</v>
      </c>
    </row>
    <row r="170" spans="4:15" x14ac:dyDescent="0.45">
      <c r="D170">
        <f t="shared" si="16"/>
        <v>0</v>
      </c>
      <c r="I170">
        <f t="shared" si="13"/>
        <v>0</v>
      </c>
      <c r="N170">
        <f t="shared" si="15"/>
        <v>0</v>
      </c>
      <c r="O170">
        <f t="shared" si="14"/>
        <v>0</v>
      </c>
    </row>
    <row r="171" spans="4:15" x14ac:dyDescent="0.45">
      <c r="D171">
        <f t="shared" si="16"/>
        <v>0</v>
      </c>
      <c r="I171">
        <f t="shared" si="13"/>
        <v>0</v>
      </c>
      <c r="N171">
        <f t="shared" si="15"/>
        <v>0</v>
      </c>
      <c r="O171">
        <f t="shared" si="14"/>
        <v>0</v>
      </c>
    </row>
    <row r="172" spans="4:15" x14ac:dyDescent="0.45">
      <c r="D172">
        <f t="shared" si="16"/>
        <v>0</v>
      </c>
      <c r="I172">
        <f t="shared" si="13"/>
        <v>0</v>
      </c>
      <c r="N172">
        <f t="shared" si="15"/>
        <v>0</v>
      </c>
      <c r="O172">
        <f t="shared" si="14"/>
        <v>0</v>
      </c>
    </row>
    <row r="173" spans="4:15" x14ac:dyDescent="0.45">
      <c r="D173">
        <f t="shared" si="16"/>
        <v>0</v>
      </c>
      <c r="I173">
        <f t="shared" si="13"/>
        <v>0</v>
      </c>
      <c r="N173">
        <f t="shared" si="15"/>
        <v>0</v>
      </c>
      <c r="O173">
        <f t="shared" si="14"/>
        <v>0</v>
      </c>
    </row>
    <row r="174" spans="4:15" x14ac:dyDescent="0.45">
      <c r="D174">
        <f t="shared" si="16"/>
        <v>0</v>
      </c>
      <c r="I174">
        <f t="shared" si="13"/>
        <v>0</v>
      </c>
      <c r="N174">
        <f t="shared" si="15"/>
        <v>0</v>
      </c>
      <c r="O174">
        <f t="shared" si="14"/>
        <v>0</v>
      </c>
    </row>
    <row r="175" spans="4:15" x14ac:dyDescent="0.45">
      <c r="D175">
        <f t="shared" si="16"/>
        <v>0</v>
      </c>
      <c r="I175">
        <f t="shared" si="13"/>
        <v>0</v>
      </c>
      <c r="N175">
        <f t="shared" si="15"/>
        <v>0</v>
      </c>
      <c r="O175">
        <f t="shared" si="14"/>
        <v>0</v>
      </c>
    </row>
    <row r="176" spans="4:15" x14ac:dyDescent="0.45">
      <c r="D176">
        <f t="shared" si="16"/>
        <v>0</v>
      </c>
      <c r="I176">
        <f t="shared" si="13"/>
        <v>0</v>
      </c>
      <c r="N176">
        <f t="shared" si="15"/>
        <v>0</v>
      </c>
      <c r="O176">
        <f t="shared" si="14"/>
        <v>0</v>
      </c>
    </row>
    <row r="177" spans="4:15" x14ac:dyDescent="0.45">
      <c r="D177">
        <f t="shared" si="16"/>
        <v>0</v>
      </c>
      <c r="I177">
        <f t="shared" si="13"/>
        <v>0</v>
      </c>
      <c r="N177">
        <f t="shared" si="15"/>
        <v>0</v>
      </c>
      <c r="O177">
        <f t="shared" si="14"/>
        <v>0</v>
      </c>
    </row>
    <row r="178" spans="4:15" x14ac:dyDescent="0.45">
      <c r="D178">
        <f t="shared" si="16"/>
        <v>0</v>
      </c>
      <c r="I178">
        <f t="shared" si="13"/>
        <v>0</v>
      </c>
      <c r="N178">
        <f t="shared" si="15"/>
        <v>0</v>
      </c>
      <c r="O178">
        <f t="shared" si="14"/>
        <v>0</v>
      </c>
    </row>
    <row r="179" spans="4:15" x14ac:dyDescent="0.45">
      <c r="D179">
        <f t="shared" si="16"/>
        <v>0</v>
      </c>
      <c r="I179">
        <f t="shared" si="13"/>
        <v>0</v>
      </c>
      <c r="N179">
        <f t="shared" si="15"/>
        <v>0</v>
      </c>
      <c r="O179">
        <f t="shared" si="14"/>
        <v>0</v>
      </c>
    </row>
    <row r="180" spans="4:15" x14ac:dyDescent="0.45">
      <c r="D180">
        <f t="shared" si="16"/>
        <v>0</v>
      </c>
      <c r="I180">
        <f t="shared" si="13"/>
        <v>0</v>
      </c>
      <c r="N180">
        <f t="shared" si="15"/>
        <v>0</v>
      </c>
      <c r="O180">
        <f t="shared" si="14"/>
        <v>0</v>
      </c>
    </row>
    <row r="181" spans="4:15" x14ac:dyDescent="0.45">
      <c r="D181">
        <f t="shared" si="16"/>
        <v>0</v>
      </c>
      <c r="I181">
        <f t="shared" si="13"/>
        <v>0</v>
      </c>
      <c r="N181">
        <f t="shared" si="15"/>
        <v>0</v>
      </c>
      <c r="O181">
        <f t="shared" si="14"/>
        <v>0</v>
      </c>
    </row>
    <row r="182" spans="4:15" x14ac:dyDescent="0.45">
      <c r="D182">
        <f t="shared" si="16"/>
        <v>0</v>
      </c>
      <c r="I182">
        <f t="shared" si="13"/>
        <v>0</v>
      </c>
      <c r="N182">
        <f t="shared" si="15"/>
        <v>0</v>
      </c>
      <c r="O182">
        <f t="shared" si="14"/>
        <v>0</v>
      </c>
    </row>
    <row r="183" spans="4:15" x14ac:dyDescent="0.45">
      <c r="D183">
        <f t="shared" si="16"/>
        <v>0</v>
      </c>
      <c r="I183">
        <f t="shared" si="13"/>
        <v>0</v>
      </c>
      <c r="N183">
        <f t="shared" si="15"/>
        <v>0</v>
      </c>
      <c r="O183">
        <f t="shared" si="14"/>
        <v>0</v>
      </c>
    </row>
    <row r="184" spans="4:15" x14ac:dyDescent="0.45">
      <c r="D184">
        <f t="shared" si="16"/>
        <v>0</v>
      </c>
      <c r="I184">
        <f t="shared" si="13"/>
        <v>0</v>
      </c>
      <c r="N184">
        <f t="shared" si="15"/>
        <v>0</v>
      </c>
      <c r="O184">
        <f t="shared" si="14"/>
        <v>0</v>
      </c>
    </row>
    <row r="185" spans="4:15" x14ac:dyDescent="0.45">
      <c r="D185">
        <f t="shared" si="16"/>
        <v>0</v>
      </c>
      <c r="I185">
        <f t="shared" si="13"/>
        <v>0</v>
      </c>
      <c r="N185">
        <f t="shared" si="15"/>
        <v>0</v>
      </c>
      <c r="O185">
        <f t="shared" si="14"/>
        <v>0</v>
      </c>
    </row>
    <row r="186" spans="4:15" x14ac:dyDescent="0.45">
      <c r="D186">
        <f t="shared" si="16"/>
        <v>0</v>
      </c>
      <c r="I186">
        <f t="shared" si="13"/>
        <v>0</v>
      </c>
      <c r="N186">
        <f t="shared" si="15"/>
        <v>0</v>
      </c>
      <c r="O186">
        <f t="shared" si="14"/>
        <v>0</v>
      </c>
    </row>
    <row r="187" spans="4:15" x14ac:dyDescent="0.45">
      <c r="D187">
        <f t="shared" si="16"/>
        <v>0</v>
      </c>
      <c r="I187">
        <f t="shared" si="13"/>
        <v>0</v>
      </c>
      <c r="N187">
        <f t="shared" si="15"/>
        <v>0</v>
      </c>
      <c r="O187">
        <f t="shared" si="14"/>
        <v>0</v>
      </c>
    </row>
    <row r="188" spans="4:15" x14ac:dyDescent="0.45">
      <c r="D188">
        <f t="shared" si="16"/>
        <v>0</v>
      </c>
      <c r="I188">
        <f t="shared" si="13"/>
        <v>0</v>
      </c>
      <c r="N188">
        <f t="shared" si="15"/>
        <v>0</v>
      </c>
      <c r="O188">
        <f t="shared" si="14"/>
        <v>0</v>
      </c>
    </row>
    <row r="189" spans="4:15" x14ac:dyDescent="0.45">
      <c r="D189">
        <f t="shared" si="16"/>
        <v>0</v>
      </c>
      <c r="I189">
        <f t="shared" si="13"/>
        <v>0</v>
      </c>
      <c r="N189">
        <f t="shared" si="15"/>
        <v>0</v>
      </c>
      <c r="O189">
        <f t="shared" si="14"/>
        <v>0</v>
      </c>
    </row>
    <row r="190" spans="4:15" x14ac:dyDescent="0.45">
      <c r="D190">
        <f t="shared" si="16"/>
        <v>0</v>
      </c>
      <c r="I190">
        <f t="shared" si="13"/>
        <v>0</v>
      </c>
      <c r="N190">
        <f t="shared" si="15"/>
        <v>0</v>
      </c>
      <c r="O190">
        <f t="shared" si="14"/>
        <v>0</v>
      </c>
    </row>
    <row r="191" spans="4:15" x14ac:dyDescent="0.45">
      <c r="D191">
        <f t="shared" si="16"/>
        <v>0</v>
      </c>
      <c r="I191">
        <f t="shared" si="13"/>
        <v>0</v>
      </c>
      <c r="N191">
        <f t="shared" si="15"/>
        <v>0</v>
      </c>
      <c r="O191">
        <f t="shared" si="14"/>
        <v>0</v>
      </c>
    </row>
    <row r="192" spans="4:15" x14ac:dyDescent="0.45">
      <c r="D192">
        <f t="shared" si="16"/>
        <v>0</v>
      </c>
      <c r="I192">
        <f t="shared" si="13"/>
        <v>0</v>
      </c>
      <c r="N192">
        <f t="shared" si="15"/>
        <v>0</v>
      </c>
      <c r="O192">
        <f t="shared" si="14"/>
        <v>0</v>
      </c>
    </row>
    <row r="193" spans="4:15" x14ac:dyDescent="0.45">
      <c r="D193">
        <f t="shared" si="16"/>
        <v>0</v>
      </c>
      <c r="I193">
        <f t="shared" si="13"/>
        <v>0</v>
      </c>
      <c r="N193">
        <f t="shared" si="15"/>
        <v>0</v>
      </c>
      <c r="O193">
        <f t="shared" si="14"/>
        <v>0</v>
      </c>
    </row>
    <row r="194" spans="4:15" x14ac:dyDescent="0.45">
      <c r="D194">
        <f t="shared" si="16"/>
        <v>0</v>
      </c>
      <c r="I194">
        <f t="shared" si="13"/>
        <v>0</v>
      </c>
      <c r="N194">
        <f t="shared" si="15"/>
        <v>0</v>
      </c>
      <c r="O194">
        <f t="shared" si="14"/>
        <v>0</v>
      </c>
    </row>
    <row r="195" spans="4:15" x14ac:dyDescent="0.45">
      <c r="D195">
        <f t="shared" si="16"/>
        <v>0</v>
      </c>
      <c r="I195">
        <f t="shared" si="13"/>
        <v>0</v>
      </c>
      <c r="N195">
        <f t="shared" si="15"/>
        <v>0</v>
      </c>
      <c r="O195">
        <f t="shared" si="14"/>
        <v>0</v>
      </c>
    </row>
    <row r="196" spans="4:15" x14ac:dyDescent="0.45">
      <c r="D196">
        <f t="shared" si="16"/>
        <v>0</v>
      </c>
      <c r="I196">
        <f t="shared" ref="I196:I220" si="17">J196</f>
        <v>0</v>
      </c>
      <c r="N196">
        <f t="shared" si="15"/>
        <v>0</v>
      </c>
      <c r="O196">
        <f t="shared" ref="O196:O235" si="18">N196-M196</f>
        <v>0</v>
      </c>
    </row>
    <row r="197" spans="4:15" x14ac:dyDescent="0.45">
      <c r="D197">
        <f t="shared" si="16"/>
        <v>0</v>
      </c>
      <c r="I197">
        <f t="shared" si="17"/>
        <v>0</v>
      </c>
      <c r="N197">
        <f t="shared" si="15"/>
        <v>0</v>
      </c>
      <c r="O197">
        <f t="shared" si="18"/>
        <v>0</v>
      </c>
    </row>
    <row r="198" spans="4:15" x14ac:dyDescent="0.45">
      <c r="D198">
        <f t="shared" si="16"/>
        <v>0</v>
      </c>
      <c r="I198">
        <f t="shared" si="17"/>
        <v>0</v>
      </c>
      <c r="N198">
        <f t="shared" si="15"/>
        <v>0</v>
      </c>
      <c r="O198">
        <f t="shared" si="18"/>
        <v>0</v>
      </c>
    </row>
    <row r="199" spans="4:15" x14ac:dyDescent="0.45">
      <c r="D199">
        <f t="shared" si="16"/>
        <v>0</v>
      </c>
      <c r="I199">
        <f t="shared" si="17"/>
        <v>0</v>
      </c>
      <c r="N199">
        <f t="shared" si="15"/>
        <v>0</v>
      </c>
      <c r="O199">
        <f t="shared" si="18"/>
        <v>0</v>
      </c>
    </row>
    <row r="200" spans="4:15" x14ac:dyDescent="0.45">
      <c r="D200">
        <f t="shared" si="16"/>
        <v>0</v>
      </c>
      <c r="I200">
        <f t="shared" si="17"/>
        <v>0</v>
      </c>
      <c r="N200">
        <f t="shared" si="15"/>
        <v>0</v>
      </c>
      <c r="O200">
        <f t="shared" si="18"/>
        <v>0</v>
      </c>
    </row>
    <row r="201" spans="4:15" x14ac:dyDescent="0.45">
      <c r="D201">
        <f t="shared" si="16"/>
        <v>0</v>
      </c>
      <c r="I201">
        <f t="shared" si="17"/>
        <v>0</v>
      </c>
      <c r="N201">
        <f t="shared" si="15"/>
        <v>0</v>
      </c>
      <c r="O201">
        <f t="shared" si="18"/>
        <v>0</v>
      </c>
    </row>
    <row r="202" spans="4:15" x14ac:dyDescent="0.45">
      <c r="D202">
        <f t="shared" si="16"/>
        <v>0</v>
      </c>
      <c r="I202">
        <f t="shared" si="17"/>
        <v>0</v>
      </c>
      <c r="N202">
        <f t="shared" si="15"/>
        <v>0</v>
      </c>
      <c r="O202">
        <f t="shared" si="18"/>
        <v>0</v>
      </c>
    </row>
    <row r="203" spans="4:15" x14ac:dyDescent="0.45">
      <c r="D203">
        <f t="shared" si="16"/>
        <v>0</v>
      </c>
      <c r="I203">
        <f t="shared" si="17"/>
        <v>0</v>
      </c>
      <c r="N203">
        <f t="shared" si="15"/>
        <v>0</v>
      </c>
      <c r="O203">
        <f t="shared" si="18"/>
        <v>0</v>
      </c>
    </row>
    <row r="204" spans="4:15" x14ac:dyDescent="0.45">
      <c r="D204">
        <f t="shared" si="16"/>
        <v>0</v>
      </c>
      <c r="I204">
        <f t="shared" si="17"/>
        <v>0</v>
      </c>
      <c r="N204">
        <f t="shared" si="15"/>
        <v>0</v>
      </c>
      <c r="O204">
        <f t="shared" si="18"/>
        <v>0</v>
      </c>
    </row>
    <row r="205" spans="4:15" x14ac:dyDescent="0.45">
      <c r="D205">
        <f t="shared" si="16"/>
        <v>0</v>
      </c>
      <c r="I205">
        <f t="shared" si="17"/>
        <v>0</v>
      </c>
      <c r="N205">
        <f t="shared" si="15"/>
        <v>0</v>
      </c>
      <c r="O205">
        <f t="shared" si="18"/>
        <v>0</v>
      </c>
    </row>
    <row r="206" spans="4:15" x14ac:dyDescent="0.45">
      <c r="D206">
        <f t="shared" si="16"/>
        <v>0</v>
      </c>
      <c r="I206">
        <f t="shared" si="17"/>
        <v>0</v>
      </c>
      <c r="N206">
        <f t="shared" si="15"/>
        <v>0</v>
      </c>
      <c r="O206">
        <f t="shared" si="18"/>
        <v>0</v>
      </c>
    </row>
    <row r="207" spans="4:15" x14ac:dyDescent="0.45">
      <c r="D207">
        <f t="shared" si="16"/>
        <v>0</v>
      </c>
      <c r="I207">
        <f t="shared" si="17"/>
        <v>0</v>
      </c>
      <c r="N207">
        <f t="shared" si="15"/>
        <v>0</v>
      </c>
      <c r="O207">
        <f t="shared" si="18"/>
        <v>0</v>
      </c>
    </row>
    <row r="208" spans="4:15" x14ac:dyDescent="0.45">
      <c r="D208">
        <f t="shared" si="16"/>
        <v>0</v>
      </c>
      <c r="I208">
        <f t="shared" si="17"/>
        <v>0</v>
      </c>
      <c r="N208">
        <f t="shared" si="15"/>
        <v>0</v>
      </c>
      <c r="O208">
        <f t="shared" si="18"/>
        <v>0</v>
      </c>
    </row>
    <row r="209" spans="4:15" x14ac:dyDescent="0.45">
      <c r="D209">
        <f t="shared" si="16"/>
        <v>0</v>
      </c>
      <c r="I209">
        <f t="shared" si="17"/>
        <v>0</v>
      </c>
      <c r="N209">
        <f t="shared" si="15"/>
        <v>0</v>
      </c>
      <c r="O209">
        <f t="shared" si="18"/>
        <v>0</v>
      </c>
    </row>
    <row r="210" spans="4:15" x14ac:dyDescent="0.45">
      <c r="D210">
        <f t="shared" si="16"/>
        <v>0</v>
      </c>
      <c r="I210">
        <f t="shared" si="17"/>
        <v>0</v>
      </c>
      <c r="N210">
        <f t="shared" si="15"/>
        <v>0</v>
      </c>
      <c r="O210">
        <f t="shared" si="18"/>
        <v>0</v>
      </c>
    </row>
    <row r="211" spans="4:15" x14ac:dyDescent="0.45">
      <c r="D211">
        <f t="shared" si="16"/>
        <v>0</v>
      </c>
      <c r="I211">
        <f t="shared" si="17"/>
        <v>0</v>
      </c>
      <c r="N211">
        <f t="shared" si="15"/>
        <v>0</v>
      </c>
      <c r="O211">
        <f t="shared" si="18"/>
        <v>0</v>
      </c>
    </row>
    <row r="212" spans="4:15" x14ac:dyDescent="0.45">
      <c r="D212">
        <f t="shared" si="16"/>
        <v>0</v>
      </c>
      <c r="I212">
        <f t="shared" si="17"/>
        <v>0</v>
      </c>
      <c r="N212">
        <f t="shared" si="15"/>
        <v>0</v>
      </c>
      <c r="O212">
        <f t="shared" si="18"/>
        <v>0</v>
      </c>
    </row>
    <row r="213" spans="4:15" x14ac:dyDescent="0.45">
      <c r="D213">
        <f t="shared" si="16"/>
        <v>0</v>
      </c>
      <c r="I213">
        <f t="shared" si="17"/>
        <v>0</v>
      </c>
      <c r="N213">
        <f t="shared" si="15"/>
        <v>0</v>
      </c>
      <c r="O213">
        <f t="shared" si="18"/>
        <v>0</v>
      </c>
    </row>
    <row r="214" spans="4:15" x14ac:dyDescent="0.45">
      <c r="D214">
        <f t="shared" si="16"/>
        <v>0</v>
      </c>
      <c r="I214">
        <f t="shared" si="17"/>
        <v>0</v>
      </c>
      <c r="N214">
        <f t="shared" si="15"/>
        <v>0</v>
      </c>
      <c r="O214">
        <f t="shared" si="18"/>
        <v>0</v>
      </c>
    </row>
    <row r="215" spans="4:15" x14ac:dyDescent="0.45">
      <c r="D215">
        <f t="shared" si="16"/>
        <v>0</v>
      </c>
      <c r="I215">
        <f t="shared" si="17"/>
        <v>0</v>
      </c>
      <c r="N215">
        <f t="shared" si="15"/>
        <v>0</v>
      </c>
      <c r="O215">
        <f t="shared" si="18"/>
        <v>0</v>
      </c>
    </row>
    <row r="216" spans="4:15" x14ac:dyDescent="0.45">
      <c r="D216">
        <f t="shared" si="16"/>
        <v>0</v>
      </c>
      <c r="I216">
        <f t="shared" si="17"/>
        <v>0</v>
      </c>
      <c r="N216">
        <f t="shared" si="15"/>
        <v>0</v>
      </c>
      <c r="O216">
        <f t="shared" si="18"/>
        <v>0</v>
      </c>
    </row>
    <row r="217" spans="4:15" x14ac:dyDescent="0.45">
      <c r="D217">
        <f t="shared" si="16"/>
        <v>0</v>
      </c>
      <c r="I217">
        <f t="shared" si="17"/>
        <v>0</v>
      </c>
      <c r="N217">
        <f t="shared" si="15"/>
        <v>0</v>
      </c>
      <c r="O217">
        <f t="shared" si="18"/>
        <v>0</v>
      </c>
    </row>
    <row r="218" spans="4:15" x14ac:dyDescent="0.45">
      <c r="D218">
        <f t="shared" si="16"/>
        <v>0</v>
      </c>
      <c r="I218">
        <f t="shared" si="17"/>
        <v>0</v>
      </c>
      <c r="N218">
        <f t="shared" si="15"/>
        <v>0</v>
      </c>
      <c r="O218">
        <f t="shared" si="18"/>
        <v>0</v>
      </c>
    </row>
    <row r="219" spans="4:15" x14ac:dyDescent="0.45">
      <c r="D219">
        <f t="shared" si="16"/>
        <v>0</v>
      </c>
      <c r="I219">
        <f t="shared" si="17"/>
        <v>0</v>
      </c>
      <c r="N219">
        <f t="shared" si="15"/>
        <v>0</v>
      </c>
      <c r="O219">
        <f t="shared" si="18"/>
        <v>0</v>
      </c>
    </row>
    <row r="220" spans="4:15" x14ac:dyDescent="0.45">
      <c r="D220">
        <f t="shared" si="16"/>
        <v>0</v>
      </c>
      <c r="I220">
        <f t="shared" si="17"/>
        <v>0</v>
      </c>
      <c r="N220">
        <f t="shared" si="15"/>
        <v>0</v>
      </c>
      <c r="O220">
        <f t="shared" si="18"/>
        <v>0</v>
      </c>
    </row>
    <row r="221" spans="4:15" x14ac:dyDescent="0.45">
      <c r="N221">
        <f t="shared" ref="N221:N235" si="19">((ROUND((L221*0.39),0))*$AK$6)+((J221-K221)*$AI$6)+(H221*$AG$6)+((ROUND((G221*0.39),0))*$AF$6)</f>
        <v>0</v>
      </c>
      <c r="O221">
        <f t="shared" si="18"/>
        <v>0</v>
      </c>
    </row>
    <row r="222" spans="4:15" x14ac:dyDescent="0.45">
      <c r="N222">
        <f t="shared" si="19"/>
        <v>0</v>
      </c>
      <c r="O222">
        <f t="shared" si="18"/>
        <v>0</v>
      </c>
    </row>
    <row r="223" spans="4:15" x14ac:dyDescent="0.45">
      <c r="N223">
        <f t="shared" si="19"/>
        <v>0</v>
      </c>
      <c r="O223">
        <f t="shared" si="18"/>
        <v>0</v>
      </c>
    </row>
    <row r="224" spans="4:15" x14ac:dyDescent="0.45">
      <c r="N224">
        <f t="shared" si="19"/>
        <v>0</v>
      </c>
      <c r="O224">
        <f t="shared" si="18"/>
        <v>0</v>
      </c>
    </row>
    <row r="225" spans="14:15" x14ac:dyDescent="0.45">
      <c r="N225">
        <f t="shared" si="19"/>
        <v>0</v>
      </c>
      <c r="O225">
        <f t="shared" si="18"/>
        <v>0</v>
      </c>
    </row>
    <row r="226" spans="14:15" x14ac:dyDescent="0.45">
      <c r="N226">
        <f t="shared" si="19"/>
        <v>0</v>
      </c>
      <c r="O226">
        <f t="shared" si="18"/>
        <v>0</v>
      </c>
    </row>
    <row r="227" spans="14:15" x14ac:dyDescent="0.45">
      <c r="N227">
        <f t="shared" si="19"/>
        <v>0</v>
      </c>
      <c r="O227">
        <f t="shared" si="18"/>
        <v>0</v>
      </c>
    </row>
    <row r="228" spans="14:15" x14ac:dyDescent="0.45">
      <c r="N228">
        <f t="shared" si="19"/>
        <v>0</v>
      </c>
      <c r="O228">
        <f t="shared" si="18"/>
        <v>0</v>
      </c>
    </row>
    <row r="229" spans="14:15" x14ac:dyDescent="0.45">
      <c r="N229">
        <f t="shared" si="19"/>
        <v>0</v>
      </c>
      <c r="O229">
        <f t="shared" si="18"/>
        <v>0</v>
      </c>
    </row>
    <row r="230" spans="14:15" x14ac:dyDescent="0.45">
      <c r="N230">
        <f t="shared" si="19"/>
        <v>0</v>
      </c>
      <c r="O230">
        <f t="shared" si="18"/>
        <v>0</v>
      </c>
    </row>
    <row r="231" spans="14:15" x14ac:dyDescent="0.45">
      <c r="N231">
        <f t="shared" si="19"/>
        <v>0</v>
      </c>
      <c r="O231">
        <f t="shared" si="18"/>
        <v>0</v>
      </c>
    </row>
    <row r="232" spans="14:15" x14ac:dyDescent="0.45">
      <c r="N232">
        <f t="shared" si="19"/>
        <v>0</v>
      </c>
      <c r="O232">
        <f t="shared" si="18"/>
        <v>0</v>
      </c>
    </row>
    <row r="233" spans="14:15" x14ac:dyDescent="0.45">
      <c r="N233">
        <f t="shared" si="19"/>
        <v>0</v>
      </c>
      <c r="O233">
        <f t="shared" si="18"/>
        <v>0</v>
      </c>
    </row>
    <row r="234" spans="14:15" x14ac:dyDescent="0.45">
      <c r="N234">
        <f t="shared" si="19"/>
        <v>0</v>
      </c>
      <c r="O234">
        <f t="shared" si="18"/>
        <v>0</v>
      </c>
    </row>
    <row r="235" spans="14:15" x14ac:dyDescent="0.45">
      <c r="N235">
        <f t="shared" si="19"/>
        <v>0</v>
      </c>
      <c r="O235">
        <f t="shared" si="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08C96-7B82-4076-9789-83FF0149EF5A}">
  <dimension ref="A3:AC178"/>
  <sheetViews>
    <sheetView tabSelected="1" topLeftCell="A10" zoomScale="80" zoomScaleNormal="80" workbookViewId="0">
      <pane xSplit="4" topLeftCell="E1" activePane="topRight" state="frozen"/>
      <selection pane="topRight" activeCell="E14" sqref="E14:G14"/>
    </sheetView>
  </sheetViews>
  <sheetFormatPr defaultRowHeight="14.25" x14ac:dyDescent="0.45"/>
  <cols>
    <col min="1" max="1" width="26" customWidth="1"/>
    <col min="2" max="2" width="10.9296875" customWidth="1"/>
    <col min="3" max="3" width="17" style="12" customWidth="1"/>
    <col min="4" max="4" width="10.3984375" customWidth="1"/>
    <col min="5" max="5" width="13.265625" customWidth="1"/>
    <col min="6" max="6" width="14.59765625" customWidth="1"/>
    <col min="7" max="7" width="12.3984375" customWidth="1"/>
    <col min="8" max="8" width="15.9296875" customWidth="1"/>
    <col min="9" max="9" width="15.59765625" customWidth="1"/>
    <col min="10" max="10" width="25.59765625" customWidth="1"/>
    <col min="11" max="11" width="14.1328125" customWidth="1"/>
    <col min="12" max="12" width="11" customWidth="1"/>
    <col min="13" max="13" width="11.86328125" customWidth="1"/>
    <col min="14" max="14" width="14.86328125" customWidth="1"/>
    <col min="15" max="15" width="16.3984375" customWidth="1"/>
    <col min="16" max="16" width="14.19921875" customWidth="1"/>
    <col min="17" max="17" width="13.73046875" customWidth="1"/>
    <col min="18" max="19" width="12.1328125" customWidth="1"/>
    <col min="20" max="20" width="13" customWidth="1"/>
    <col min="21" max="21" width="11.86328125" bestFit="1" customWidth="1"/>
    <col min="22" max="22" width="11.59765625" bestFit="1" customWidth="1"/>
    <col min="23" max="23" width="14.1328125" customWidth="1"/>
    <col min="24" max="24" width="17.73046875" customWidth="1"/>
    <col min="25" max="25" width="15.46484375" customWidth="1"/>
    <col min="26" max="26" width="12.1328125" bestFit="1" customWidth="1"/>
  </cols>
  <sheetData>
    <row r="3" spans="1:27" s="6" customFormat="1" x14ac:dyDescent="0.45">
      <c r="A3" s="6" t="s">
        <v>10</v>
      </c>
      <c r="B3" s="6" t="s">
        <v>21</v>
      </c>
      <c r="C3" s="112" t="s">
        <v>11</v>
      </c>
      <c r="D3" s="6" t="s">
        <v>107</v>
      </c>
      <c r="E3" s="138" t="s">
        <v>101</v>
      </c>
      <c r="F3" s="138"/>
      <c r="G3" s="138"/>
      <c r="H3" s="138" t="s">
        <v>103</v>
      </c>
      <c r="I3" s="138"/>
      <c r="J3" s="138" t="s">
        <v>102</v>
      </c>
      <c r="K3" s="138"/>
      <c r="L3" s="138" t="s">
        <v>104</v>
      </c>
      <c r="M3" s="138"/>
      <c r="N3" s="138" t="s">
        <v>105</v>
      </c>
      <c r="O3" s="138"/>
      <c r="P3" s="138" t="s">
        <v>106</v>
      </c>
      <c r="Q3" s="138"/>
      <c r="R3" s="144" t="s">
        <v>117</v>
      </c>
      <c r="S3" s="144"/>
      <c r="T3" s="144"/>
      <c r="U3" s="144"/>
      <c r="V3" s="138" t="s">
        <v>118</v>
      </c>
      <c r="W3" s="138"/>
      <c r="X3" s="144" t="s">
        <v>322</v>
      </c>
      <c r="Y3" s="144"/>
    </row>
    <row r="4" spans="1:27" x14ac:dyDescent="0.45">
      <c r="A4" s="140" t="s">
        <v>13</v>
      </c>
      <c r="B4" t="s">
        <v>22</v>
      </c>
      <c r="C4" s="12" t="s">
        <v>14</v>
      </c>
      <c r="D4" s="2" t="s">
        <v>39</v>
      </c>
      <c r="E4" s="142">
        <v>0</v>
      </c>
      <c r="F4" s="142"/>
      <c r="G4" s="142"/>
      <c r="H4" s="141">
        <v>0</v>
      </c>
      <c r="I4" s="141"/>
      <c r="J4" s="141">
        <v>0</v>
      </c>
      <c r="K4" s="141"/>
      <c r="L4" s="141">
        <v>0</v>
      </c>
      <c r="M4" s="141"/>
      <c r="N4" s="139">
        <v>0</v>
      </c>
      <c r="O4" s="139"/>
      <c r="P4" s="141">
        <v>0</v>
      </c>
      <c r="Q4" s="141"/>
      <c r="R4" s="141">
        <f>I102</f>
        <v>247.05800000000005</v>
      </c>
      <c r="S4" s="141"/>
      <c r="T4" s="141"/>
      <c r="U4" s="141"/>
      <c r="V4" s="142">
        <v>183</v>
      </c>
      <c r="W4" s="142"/>
      <c r="X4" s="141">
        <v>71.2</v>
      </c>
      <c r="Y4" s="141"/>
    </row>
    <row r="5" spans="1:27" x14ac:dyDescent="0.45">
      <c r="A5" s="140"/>
      <c r="C5" s="12" t="s">
        <v>555</v>
      </c>
      <c r="D5" s="2" t="s">
        <v>47</v>
      </c>
      <c r="E5" s="143">
        <v>0.19</v>
      </c>
      <c r="F5" s="143"/>
      <c r="G5" s="143"/>
      <c r="H5" s="139">
        <v>0.19</v>
      </c>
      <c r="I5" s="139"/>
      <c r="J5" s="139">
        <v>0.19</v>
      </c>
      <c r="K5" s="139"/>
      <c r="L5" s="139">
        <v>0.19</v>
      </c>
      <c r="M5" s="139"/>
      <c r="N5" s="139">
        <v>0.19</v>
      </c>
      <c r="O5" s="139"/>
      <c r="P5" s="139">
        <v>0.19</v>
      </c>
      <c r="Q5" s="139"/>
      <c r="R5" s="139">
        <v>0.19</v>
      </c>
      <c r="S5" s="139"/>
      <c r="T5" s="139"/>
      <c r="U5" s="139"/>
      <c r="V5" s="143">
        <v>0.19</v>
      </c>
      <c r="W5" s="143"/>
      <c r="X5" s="139">
        <v>0.19</v>
      </c>
      <c r="Y5" s="139"/>
      <c r="Z5" s="55"/>
    </row>
    <row r="6" spans="1:27" x14ac:dyDescent="0.45">
      <c r="A6" s="140"/>
      <c r="B6" s="140" t="s">
        <v>23</v>
      </c>
      <c r="C6" s="12" t="s">
        <v>15</v>
      </c>
      <c r="D6" s="2" t="s">
        <v>40</v>
      </c>
      <c r="E6" s="142">
        <f>'Financial data Palopuro Baselin'!E22</f>
        <v>257.82354876768227</v>
      </c>
      <c r="F6" s="142"/>
      <c r="G6" s="142"/>
      <c r="H6" s="141">
        <f>'Financial data Palopuro Baselin'!F22</f>
        <v>259.02666425934581</v>
      </c>
      <c r="I6" s="141"/>
      <c r="J6" s="141">
        <f>'Financial data Palopuro Baselin'!G22</f>
        <v>258.95826416843016</v>
      </c>
      <c r="K6" s="141"/>
      <c r="L6" s="141">
        <f>'Financial data Palopuro Baselin'!I22</f>
        <v>257.99303390243904</v>
      </c>
      <c r="M6" s="141"/>
      <c r="N6" s="141">
        <f>'Financial data Palopuro Baselin'!J22-N7</f>
        <v>209.53049771816197</v>
      </c>
      <c r="O6" s="141"/>
      <c r="P6" s="141">
        <f>'Financial data Palopuro Baselin'!H22</f>
        <v>257.8911348593478</v>
      </c>
      <c r="Q6" s="141"/>
      <c r="R6" s="141">
        <f>'Financial data Palopuro Baselin'!L22</f>
        <v>123.7795035290867</v>
      </c>
      <c r="S6" s="141"/>
      <c r="T6" s="141"/>
      <c r="U6" s="141"/>
      <c r="V6" s="142">
        <f>'Financial data Palopuro Baselin'!M22</f>
        <v>48.304992547269556</v>
      </c>
      <c r="W6" s="142"/>
      <c r="X6" s="141">
        <f>'Financial data Palopuro Baselin'!K22</f>
        <v>389.47650709874159</v>
      </c>
      <c r="Y6" s="141"/>
    </row>
    <row r="7" spans="1:27" x14ac:dyDescent="0.45">
      <c r="A7" s="140"/>
      <c r="B7" s="140"/>
      <c r="C7" s="12" t="s">
        <v>16</v>
      </c>
      <c r="D7" s="2" t="s">
        <v>40</v>
      </c>
      <c r="E7" s="142">
        <v>0</v>
      </c>
      <c r="F7" s="142"/>
      <c r="G7" s="142"/>
      <c r="H7" s="141">
        <v>0</v>
      </c>
      <c r="I7" s="141"/>
      <c r="J7" s="141">
        <v>0</v>
      </c>
      <c r="K7" s="141"/>
      <c r="L7" s="141">
        <v>0</v>
      </c>
      <c r="M7" s="141"/>
      <c r="N7" s="139">
        <f>'Financial data Palopuro Baselin'!D49</f>
        <v>111.11111111111111</v>
      </c>
      <c r="O7" s="139"/>
      <c r="P7" s="141">
        <v>0</v>
      </c>
      <c r="Q7" s="141"/>
      <c r="R7" s="141">
        <v>0</v>
      </c>
      <c r="S7" s="141"/>
      <c r="T7" s="141"/>
      <c r="U7" s="141"/>
      <c r="V7" s="142">
        <v>0</v>
      </c>
      <c r="W7" s="142"/>
      <c r="X7" s="141">
        <v>0</v>
      </c>
      <c r="Y7" s="141"/>
    </row>
    <row r="8" spans="1:27" x14ac:dyDescent="0.45">
      <c r="A8" s="140"/>
      <c r="B8" s="140"/>
      <c r="C8" s="12" t="s">
        <v>17</v>
      </c>
      <c r="D8" s="2" t="s">
        <v>40</v>
      </c>
      <c r="E8" s="142">
        <f>J67</f>
        <v>552.41595070458231</v>
      </c>
      <c r="F8" s="142"/>
      <c r="G8" s="142"/>
      <c r="H8" s="141">
        <f>J68</f>
        <v>552.4159507045822</v>
      </c>
      <c r="I8" s="141"/>
      <c r="J8" s="141">
        <f>J67</f>
        <v>552.41595070458231</v>
      </c>
      <c r="K8" s="141"/>
      <c r="L8" s="141">
        <f>J71</f>
        <v>669.1695551108678</v>
      </c>
      <c r="M8" s="141"/>
      <c r="N8" s="141">
        <f>J71</f>
        <v>669.1695551108678</v>
      </c>
      <c r="O8" s="141"/>
      <c r="P8" s="141">
        <f>J72</f>
        <v>669.16955511086769</v>
      </c>
      <c r="Q8" s="141"/>
      <c r="R8" s="141">
        <f>J73</f>
        <v>552.41595070458243</v>
      </c>
      <c r="S8" s="141"/>
      <c r="T8" s="141"/>
      <c r="U8" s="141"/>
      <c r="V8" s="142">
        <f>J74</f>
        <v>484.42324895801562</v>
      </c>
      <c r="W8" s="142"/>
      <c r="X8" s="141">
        <f>J75</f>
        <v>669.1695551108678</v>
      </c>
      <c r="Y8" s="141"/>
      <c r="AA8" s="59">
        <f>SUM(E21:Y21,)</f>
        <v>99.999999999999972</v>
      </c>
    </row>
    <row r="9" spans="1:27" ht="28.5" x14ac:dyDescent="0.45">
      <c r="A9" s="140"/>
      <c r="B9" s="140"/>
      <c r="C9" s="12" t="s">
        <v>18</v>
      </c>
      <c r="D9" s="2" t="s">
        <v>41</v>
      </c>
      <c r="E9" s="142">
        <f>'Financial data Palopuro Baselin'!D38</f>
        <v>2.815964523281596</v>
      </c>
      <c r="F9" s="142"/>
      <c r="G9" s="142"/>
      <c r="H9" s="141">
        <v>2.815964523281596</v>
      </c>
      <c r="I9" s="141"/>
      <c r="J9" s="141">
        <v>2.815964523281596</v>
      </c>
      <c r="K9" s="141"/>
      <c r="L9" s="141">
        <v>2.815964523281596</v>
      </c>
      <c r="M9" s="141"/>
      <c r="N9" s="139">
        <f>'Financial data Palopuro Baselin'!J18</f>
        <v>2.5432372505543235</v>
      </c>
      <c r="O9" s="139"/>
      <c r="P9" s="141">
        <v>2.815964523281596</v>
      </c>
      <c r="Q9" s="141"/>
      <c r="R9" s="141">
        <f>'Financial data Palopuro Baselin'!L18</f>
        <v>1.407982261640798</v>
      </c>
      <c r="S9" s="141"/>
      <c r="T9" s="141"/>
      <c r="U9" s="141"/>
      <c r="V9" s="142">
        <f>'Financial data Palopuro Baselin'!M17</f>
        <v>0.82601626016260155</v>
      </c>
      <c r="W9" s="142"/>
      <c r="X9" s="141">
        <f>'Financial data Palopuro Baselin'!K18</f>
        <v>2.815964523281596</v>
      </c>
      <c r="Y9" s="141"/>
    </row>
    <row r="10" spans="1:27" ht="28.5" x14ac:dyDescent="0.45">
      <c r="A10" s="140"/>
      <c r="B10" s="140"/>
      <c r="C10" s="12" t="s">
        <v>19</v>
      </c>
      <c r="D10" s="2" t="s">
        <v>41</v>
      </c>
      <c r="E10" s="142">
        <f>'Financial data Palopuro Baselin'!D39</f>
        <v>1.3141167775314115</v>
      </c>
      <c r="F10" s="142"/>
      <c r="G10" s="142"/>
      <c r="H10" s="141">
        <v>1.3141167775314115</v>
      </c>
      <c r="I10" s="141"/>
      <c r="J10" s="141">
        <v>1.3141167775314115</v>
      </c>
      <c r="K10" s="141"/>
      <c r="L10" s="141">
        <v>1.3141167775314115</v>
      </c>
      <c r="M10" s="141"/>
      <c r="N10" s="139">
        <f>'Financial data Palopuro Baselin'!J19</f>
        <v>1.1868440502586843</v>
      </c>
      <c r="O10" s="139"/>
      <c r="P10" s="141">
        <v>1.3141167775314115</v>
      </c>
      <c r="Q10" s="141"/>
      <c r="R10" s="141">
        <f>'Financial data Palopuro Baselin'!L19</f>
        <v>0.65705838876570577</v>
      </c>
      <c r="S10" s="141"/>
      <c r="T10" s="141"/>
      <c r="U10" s="141"/>
      <c r="V10" s="142">
        <f>'Financial data Palopuro Baselin'!M18</f>
        <v>0.56319290465631922</v>
      </c>
      <c r="W10" s="142"/>
      <c r="X10" s="141">
        <f>'Financial data Palopuro Baselin'!K19</f>
        <v>1.3141167775314115</v>
      </c>
      <c r="Y10" s="141"/>
    </row>
    <row r="11" spans="1:27" x14ac:dyDescent="0.45">
      <c r="A11" s="140"/>
      <c r="B11" s="140"/>
      <c r="C11" s="12" t="s">
        <v>109</v>
      </c>
      <c r="D11" s="2" t="s">
        <v>108</v>
      </c>
      <c r="E11" s="142">
        <v>57.14</v>
      </c>
      <c r="F11" s="142"/>
      <c r="G11" s="142"/>
      <c r="H11" s="141">
        <v>15.13</v>
      </c>
      <c r="I11" s="141"/>
      <c r="J11" s="139">
        <v>15.79</v>
      </c>
      <c r="K11" s="139"/>
      <c r="L11" s="139">
        <v>0</v>
      </c>
      <c r="M11" s="139"/>
      <c r="N11" s="139">
        <v>32.92</v>
      </c>
      <c r="O11" s="139"/>
      <c r="P11" s="139">
        <v>49.43</v>
      </c>
      <c r="Q11" s="139"/>
      <c r="R11" s="139">
        <v>121.81</v>
      </c>
      <c r="S11" s="139"/>
      <c r="T11" s="139"/>
      <c r="U11" s="139"/>
      <c r="V11" s="143">
        <f>12.74+13.33</f>
        <v>26.07</v>
      </c>
      <c r="W11" s="143"/>
      <c r="X11" s="141">
        <v>41.11</v>
      </c>
      <c r="Y11" s="141"/>
    </row>
    <row r="12" spans="1:27" x14ac:dyDescent="0.45">
      <c r="A12" s="140"/>
      <c r="C12" s="12" t="s">
        <v>110</v>
      </c>
      <c r="D12" s="2" t="s">
        <v>39</v>
      </c>
      <c r="E12" s="142">
        <v>2000</v>
      </c>
      <c r="F12" s="142"/>
      <c r="G12" s="142"/>
      <c r="H12" s="141">
        <v>2000</v>
      </c>
      <c r="I12" s="141"/>
      <c r="J12" s="141">
        <v>2500</v>
      </c>
      <c r="K12" s="141"/>
      <c r="L12" s="141">
        <v>1200</v>
      </c>
      <c r="M12" s="141"/>
      <c r="N12" s="139">
        <v>850</v>
      </c>
      <c r="O12" s="139"/>
      <c r="P12" s="141">
        <v>1000</v>
      </c>
      <c r="Q12" s="141"/>
      <c r="R12" s="141">
        <v>18000</v>
      </c>
      <c r="S12" s="141"/>
      <c r="T12" s="141"/>
      <c r="U12" s="141"/>
      <c r="V12" s="143">
        <f>(B161*100)/V28</f>
        <v>8571.4285714285706</v>
      </c>
      <c r="W12" s="143"/>
      <c r="X12" s="141">
        <v>1800</v>
      </c>
      <c r="Y12" s="141"/>
    </row>
    <row r="13" spans="1:27" ht="28.5" x14ac:dyDescent="0.45">
      <c r="A13" s="140"/>
      <c r="C13" s="12" t="s">
        <v>568</v>
      </c>
      <c r="D13" s="2" t="s">
        <v>42</v>
      </c>
      <c r="E13" s="143">
        <f>(E12*E11)*(E28/100)</f>
        <v>98280.8</v>
      </c>
      <c r="F13" s="143"/>
      <c r="G13" s="143"/>
      <c r="H13" s="139">
        <f>(H12*H11)*H28/100</f>
        <v>26023.599999999999</v>
      </c>
      <c r="I13" s="139"/>
      <c r="J13" s="139">
        <f>(J12*J11)*(J28/100)</f>
        <v>33948.5</v>
      </c>
      <c r="K13" s="139"/>
      <c r="L13" s="145">
        <f>(L12)*(L28/100)</f>
        <v>1104</v>
      </c>
      <c r="M13" s="145"/>
      <c r="N13" s="139">
        <f>(N12*N11)*(N28/100)</f>
        <v>25743.440000000002</v>
      </c>
      <c r="O13" s="139"/>
      <c r="P13" s="139">
        <f>(P12*P11)*(P28/100)</f>
        <v>42509.8</v>
      </c>
      <c r="Q13" s="139"/>
      <c r="R13" s="139">
        <f>(R12*R11)*(R28/100)</f>
        <v>478771.76880000002</v>
      </c>
      <c r="S13" s="139"/>
      <c r="T13" s="139"/>
      <c r="U13" s="139"/>
      <c r="V13" s="143">
        <f>(V12*V11)*V28/100</f>
        <v>46926</v>
      </c>
      <c r="W13" s="143"/>
      <c r="X13" s="139">
        <f>(X12*X11)*X28/100</f>
        <v>64008.27</v>
      </c>
      <c r="Y13" s="139"/>
    </row>
    <row r="14" spans="1:27" x14ac:dyDescent="0.45">
      <c r="A14" s="140"/>
      <c r="C14" s="12" t="s">
        <v>556</v>
      </c>
      <c r="D14" s="2" t="s">
        <v>47</v>
      </c>
      <c r="E14" s="143">
        <v>0.5</v>
      </c>
      <c r="F14" s="143"/>
      <c r="G14" s="143"/>
      <c r="H14" s="139">
        <v>0.45</v>
      </c>
      <c r="I14" s="139"/>
      <c r="J14" s="139">
        <v>0.4</v>
      </c>
      <c r="K14" s="139"/>
      <c r="L14" s="139">
        <v>0.35</v>
      </c>
      <c r="M14" s="139"/>
      <c r="N14" s="139">
        <v>0.24</v>
      </c>
      <c r="O14" s="139"/>
      <c r="P14" s="139">
        <v>0.3</v>
      </c>
      <c r="Q14" s="139"/>
      <c r="R14" s="139">
        <v>0.7</v>
      </c>
      <c r="S14" s="139"/>
      <c r="T14" s="139"/>
      <c r="U14" s="139"/>
      <c r="V14" s="146" t="s">
        <v>47</v>
      </c>
      <c r="W14" s="146"/>
      <c r="X14" s="139">
        <v>0.5</v>
      </c>
      <c r="Y14" s="139"/>
    </row>
    <row r="15" spans="1:27" x14ac:dyDescent="0.45">
      <c r="A15" s="140"/>
      <c r="E15" s="54" t="s">
        <v>557</v>
      </c>
      <c r="F15" s="54" t="s">
        <v>558</v>
      </c>
      <c r="G15" s="54" t="s">
        <v>124</v>
      </c>
      <c r="H15" t="s">
        <v>111</v>
      </c>
      <c r="I15" t="s">
        <v>128</v>
      </c>
      <c r="J15" t="s">
        <v>112</v>
      </c>
      <c r="K15" t="s">
        <v>130</v>
      </c>
      <c r="L15" t="s">
        <v>113</v>
      </c>
      <c r="M15" t="s">
        <v>131</v>
      </c>
      <c r="N15" t="s">
        <v>114</v>
      </c>
      <c r="O15" t="s">
        <v>561</v>
      </c>
      <c r="P15" t="s">
        <v>115</v>
      </c>
      <c r="Q15" t="s">
        <v>116</v>
      </c>
      <c r="R15" t="s">
        <v>61</v>
      </c>
      <c r="S15" t="s">
        <v>911</v>
      </c>
      <c r="T15" t="s">
        <v>239</v>
      </c>
      <c r="U15" t="s">
        <v>240</v>
      </c>
      <c r="V15" s="54" t="s">
        <v>61</v>
      </c>
      <c r="W15" s="54" t="s">
        <v>119</v>
      </c>
      <c r="X15" t="s">
        <v>323</v>
      </c>
      <c r="Y15" t="s">
        <v>324</v>
      </c>
    </row>
    <row r="16" spans="1:27" s="6" customFormat="1" ht="28.5" x14ac:dyDescent="0.45">
      <c r="A16" s="5" t="s">
        <v>20</v>
      </c>
      <c r="B16" s="5" t="s">
        <v>24</v>
      </c>
      <c r="C16" s="112" t="s">
        <v>25</v>
      </c>
      <c r="D16" s="7" t="s">
        <v>42</v>
      </c>
      <c r="E16" s="56">
        <v>0</v>
      </c>
      <c r="F16" s="56"/>
      <c r="G16" s="61">
        <f>G17</f>
        <v>68796.56</v>
      </c>
      <c r="H16" s="6">
        <v>0</v>
      </c>
      <c r="I16" s="53">
        <f>I17</f>
        <v>22264.635555555553</v>
      </c>
      <c r="J16" s="6">
        <v>0</v>
      </c>
      <c r="K16" s="53">
        <f>K17</f>
        <v>35645.924999999996</v>
      </c>
      <c r="L16" s="6">
        <v>0</v>
      </c>
      <c r="M16" s="53">
        <f>M17</f>
        <v>1435.2000000000003</v>
      </c>
      <c r="N16" s="6">
        <v>0</v>
      </c>
      <c r="O16" s="6">
        <v>0</v>
      </c>
      <c r="P16" s="6">
        <v>0</v>
      </c>
      <c r="Q16" s="53">
        <f>Q17</f>
        <v>69432.67333333334</v>
      </c>
      <c r="R16" s="53">
        <f>R17</f>
        <v>205187.9009142858</v>
      </c>
      <c r="S16" s="53">
        <v>0</v>
      </c>
      <c r="T16" s="6">
        <v>0</v>
      </c>
      <c r="U16" s="6">
        <v>0</v>
      </c>
      <c r="V16" s="53">
        <f>V17</f>
        <v>46926</v>
      </c>
      <c r="W16" s="56">
        <v>0</v>
      </c>
      <c r="X16" s="6">
        <v>0</v>
      </c>
      <c r="Y16" s="53">
        <f>Y17</f>
        <v>44805.788999999997</v>
      </c>
    </row>
    <row r="17" spans="1:29" ht="42.75" x14ac:dyDescent="0.45">
      <c r="A17" s="3"/>
      <c r="B17" s="3"/>
      <c r="C17" s="12" t="s">
        <v>435</v>
      </c>
      <c r="D17" s="2" t="s">
        <v>42</v>
      </c>
      <c r="E17" s="57">
        <f>E13*0.2</f>
        <v>19656.160000000003</v>
      </c>
      <c r="F17" s="57">
        <f>(E13*0.8)</f>
        <v>78624.640000000014</v>
      </c>
      <c r="G17" s="57">
        <f>(((1-E14)*(E13))/E14)*0.7</f>
        <v>68796.56</v>
      </c>
      <c r="H17" s="58">
        <f>(H13)</f>
        <v>26023.599999999999</v>
      </c>
      <c r="I17" s="58">
        <f>(((1-H14)*(H13))/H14)*0.7</f>
        <v>22264.635555555553</v>
      </c>
      <c r="J17" s="58">
        <f>J13</f>
        <v>33948.5</v>
      </c>
      <c r="K17" s="58">
        <f>(((1-J14)*(J13))/J14)*0.7</f>
        <v>35645.924999999996</v>
      </c>
      <c r="L17" s="58">
        <f>L13</f>
        <v>1104</v>
      </c>
      <c r="M17" s="58">
        <f>(((1-L14)*(L13))/L14)*0.7</f>
        <v>1435.2000000000003</v>
      </c>
      <c r="N17">
        <f>N13*N14</f>
        <v>6178.4256000000005</v>
      </c>
      <c r="O17">
        <f>N17*0.65</f>
        <v>4015.9766400000003</v>
      </c>
      <c r="P17">
        <f>(P12*P11)*(P28/100)</f>
        <v>42509.8</v>
      </c>
      <c r="Q17">
        <f>(((1-P14)*P13)/P14)*0.7</f>
        <v>69432.67333333334</v>
      </c>
      <c r="R17">
        <f>(((1-R14)*R13)/R14)</f>
        <v>205187.9009142858</v>
      </c>
      <c r="S17">
        <f>B118*R11</f>
        <v>767403</v>
      </c>
      <c r="T17">
        <f>B139*R11</f>
        <v>778365.9</v>
      </c>
      <c r="U17">
        <f>B154*R11</f>
        <v>767403</v>
      </c>
      <c r="V17" s="54">
        <f>V13</f>
        <v>46926</v>
      </c>
      <c r="W17" s="54">
        <v>0</v>
      </c>
      <c r="X17">
        <f>X13</f>
        <v>64008.27</v>
      </c>
      <c r="Y17">
        <f>(((1-X14)*X13)/X14)*0.7</f>
        <v>44805.788999999997</v>
      </c>
    </row>
    <row r="18" spans="1:29" x14ac:dyDescent="0.45">
      <c r="A18" s="3"/>
      <c r="B18" s="3"/>
      <c r="C18" s="12" t="s">
        <v>571</v>
      </c>
      <c r="D18" s="2" t="s">
        <v>572</v>
      </c>
      <c r="E18" s="57">
        <f t="shared" ref="E18" si="0">(E19*100)/E28</f>
        <v>400.00000000000006</v>
      </c>
      <c r="F18" s="57">
        <f t="shared" ref="F18:K18" si="1">(F19*100)/F28</f>
        <v>1600.0000000000002</v>
      </c>
      <c r="G18" s="57">
        <f>(G19*100)/G28</f>
        <v>1349.7757847533633</v>
      </c>
      <c r="H18" s="58">
        <f t="shared" si="1"/>
        <v>1999.9999999999998</v>
      </c>
      <c r="I18" s="58">
        <f t="shared" si="1"/>
        <v>1617.0940170940169</v>
      </c>
      <c r="J18" s="58">
        <f>(J19*100)/J28</f>
        <v>2500</v>
      </c>
      <c r="K18" s="58">
        <f t="shared" si="1"/>
        <v>2453.804347826087</v>
      </c>
      <c r="L18" s="58">
        <f t="shared" ref="L18:M18" si="2">(L19*100)/L28</f>
        <v>1200</v>
      </c>
      <c r="M18" s="58">
        <f t="shared" si="2"/>
        <v>1558.3061889250819</v>
      </c>
      <c r="N18" s="58">
        <f t="shared" ref="N18:T18" si="3">(N19*100)/N28</f>
        <v>204</v>
      </c>
      <c r="O18" s="58">
        <f t="shared" si="3"/>
        <v>133.61664841182915</v>
      </c>
      <c r="P18" s="58">
        <f t="shared" si="3"/>
        <v>1000.0000000000001</v>
      </c>
      <c r="Q18" s="58">
        <f t="shared" si="3"/>
        <v>1610.8562691131501</v>
      </c>
      <c r="R18" s="58">
        <f>(R19*100)/R28</f>
        <v>7714.2857142857183</v>
      </c>
      <c r="S18" s="58">
        <v>18000</v>
      </c>
      <c r="T18" s="58">
        <f t="shared" si="3"/>
        <v>18000</v>
      </c>
      <c r="U18" s="58">
        <f t="shared" ref="U18" si="4">(U19*100)/U28</f>
        <v>18000</v>
      </c>
      <c r="V18" s="57">
        <f>(V19*100)/V28</f>
        <v>8571.4285714285706</v>
      </c>
      <c r="W18" s="57"/>
      <c r="X18" s="58">
        <f>(X19*100)/X28</f>
        <v>1800</v>
      </c>
      <c r="Y18" s="58">
        <f>(Y19*100)/Y28</f>
        <v>1227.3648648648648</v>
      </c>
    </row>
    <row r="19" spans="1:29" x14ac:dyDescent="0.45">
      <c r="A19" s="3"/>
      <c r="B19" s="3"/>
      <c r="C19" s="12" t="s">
        <v>559</v>
      </c>
      <c r="D19" s="2" t="s">
        <v>560</v>
      </c>
      <c r="E19" s="57">
        <f>E17/$E$11</f>
        <v>344.00000000000006</v>
      </c>
      <c r="F19" s="57">
        <f>F17/$E$11</f>
        <v>1376.0000000000002</v>
      </c>
      <c r="G19" s="57">
        <f>G17/$E$11</f>
        <v>1204</v>
      </c>
      <c r="H19" s="58">
        <f>H17/$H$11</f>
        <v>1719.9999999999998</v>
      </c>
      <c r="I19" s="58">
        <f>I17/$H$11</f>
        <v>1471.5555555555552</v>
      </c>
      <c r="J19" s="58">
        <f>J17/$J$11</f>
        <v>2150</v>
      </c>
      <c r="K19" s="58">
        <f>K17/$J$11</f>
        <v>2257.5</v>
      </c>
      <c r="L19" s="58">
        <f>L17/1</f>
        <v>1104</v>
      </c>
      <c r="M19" s="58">
        <f>M17/1</f>
        <v>1435.2000000000003</v>
      </c>
      <c r="N19" s="58">
        <f>N17/$N$11</f>
        <v>187.68</v>
      </c>
      <c r="O19" s="58">
        <f>O17/$N$11</f>
        <v>121.992</v>
      </c>
      <c r="P19" s="58">
        <f>P17/$P$11</f>
        <v>860.00000000000011</v>
      </c>
      <c r="Q19" s="58">
        <f>Q17/$P$11</f>
        <v>1404.6666666666667</v>
      </c>
      <c r="R19" s="58">
        <f>R17/R11</f>
        <v>1684.4914285714292</v>
      </c>
      <c r="S19" s="59">
        <f>S17/$R$11</f>
        <v>6300</v>
      </c>
      <c r="T19" s="59">
        <f>T17/$R$11</f>
        <v>6390</v>
      </c>
      <c r="U19" s="60">
        <f>U17/$R$11</f>
        <v>6300</v>
      </c>
      <c r="V19" s="57">
        <f>V17/V11</f>
        <v>1800</v>
      </c>
      <c r="W19" s="57" t="s">
        <v>47</v>
      </c>
      <c r="X19" s="58">
        <f>X17/$X$11</f>
        <v>1557</v>
      </c>
      <c r="Y19" s="58">
        <f>Y17/$X$11</f>
        <v>1089.8999999999999</v>
      </c>
    </row>
    <row r="20" spans="1:29" ht="57" x14ac:dyDescent="0.45">
      <c r="A20" s="3"/>
      <c r="B20" s="3"/>
      <c r="C20" s="12" t="s">
        <v>1405</v>
      </c>
      <c r="D20" s="2"/>
      <c r="E20" s="179">
        <f>E19/(E19/(SUM($E$19:$G$19)))</f>
        <v>2924</v>
      </c>
      <c r="F20" s="179">
        <f>F19/(F19/(SUM($E$19:$G$19)))</f>
        <v>2924</v>
      </c>
      <c r="G20" s="179">
        <f t="shared" ref="E20:G20" si="5">G19/(G19/(SUM($E$19:$G$19)))</f>
        <v>2924</v>
      </c>
      <c r="H20" s="179">
        <f>H19/(H19/(SUM($H$19:$I$19)))</f>
        <v>3191.5555555555547</v>
      </c>
      <c r="I20" s="179">
        <f t="shared" ref="I20:J20" si="6">I19/(I19/(SUM($H$19:$I$19)))</f>
        <v>3191.5555555555547</v>
      </c>
      <c r="J20" s="179">
        <f>J19/(J19/(SUM($J$19:$K$19)))</f>
        <v>4407.5</v>
      </c>
      <c r="K20" s="179">
        <f>K19/(K19/(SUM($J$19:$K$19)))</f>
        <v>4407.5</v>
      </c>
      <c r="L20" s="58">
        <v>0</v>
      </c>
      <c r="M20" s="58">
        <v>0</v>
      </c>
      <c r="N20" s="179">
        <f>N19/(N19/(SUM($N$19:$O$19)))</f>
        <v>309.67200000000003</v>
      </c>
      <c r="O20" s="179">
        <f>O19/(O19/(SUM($N$19:$O$19)))</f>
        <v>309.67200000000003</v>
      </c>
      <c r="P20" s="179">
        <f>P19/(P19/(SUM($P$19:$Q$19)))</f>
        <v>2264.666666666667</v>
      </c>
      <c r="Q20" s="179">
        <f>Q19/(Q19/(SUM($P$19:$Q$19)))</f>
        <v>2264.666666666667</v>
      </c>
      <c r="R20" s="58">
        <v>0</v>
      </c>
      <c r="S20" s="59">
        <v>0</v>
      </c>
      <c r="T20" s="59">
        <v>0</v>
      </c>
      <c r="U20" s="60">
        <v>0</v>
      </c>
      <c r="V20" s="57">
        <v>0</v>
      </c>
      <c r="W20" s="57">
        <v>0</v>
      </c>
      <c r="X20" s="179">
        <f>X19/(X19/(SUM($P$19:$Q$19)))</f>
        <v>2264.666666666667</v>
      </c>
      <c r="Y20" s="179">
        <f>Y19/(Y19/(SUM($P$19:$Q$19)))</f>
        <v>2264.666666666667</v>
      </c>
    </row>
    <row r="21" spans="1:29" ht="28.5" x14ac:dyDescent="0.45">
      <c r="A21" s="3"/>
      <c r="B21" s="3"/>
      <c r="C21" s="12" t="s">
        <v>1404</v>
      </c>
      <c r="D21" s="2"/>
      <c r="E21" s="178">
        <f>(E17/(SUM($E$17:$K$17,$N$17:$Q$17,$X$17:$Y$17)))*100</f>
        <v>3.8099908142267198</v>
      </c>
      <c r="F21" s="178">
        <f t="shared" ref="F21:K21" si="7">(F17/(SUM($E$17:$K$17,$N$17:$Q$17,$X$17:$Y$17)))*100</f>
        <v>15.239963256906879</v>
      </c>
      <c r="G21" s="178">
        <f t="shared" si="7"/>
        <v>13.334967849793516</v>
      </c>
      <c r="H21" s="178">
        <f t="shared" si="7"/>
        <v>5.0442037993743662</v>
      </c>
      <c r="I21" s="178">
        <f t="shared" si="7"/>
        <v>4.3155965839091799</v>
      </c>
      <c r="J21" s="178">
        <f t="shared" si="7"/>
        <v>6.5803022134931641</v>
      </c>
      <c r="K21" s="178">
        <f t="shared" si="7"/>
        <v>6.9093173241678212</v>
      </c>
      <c r="L21" s="178">
        <v>0</v>
      </c>
      <c r="M21" s="178">
        <v>0</v>
      </c>
      <c r="N21" s="178">
        <f t="shared" ref="N21:Q21" si="8">(N17/(SUM($E$17:$K$17,$N$17:$Q$17,$X$17:$Y$17)))*100</f>
        <v>1.1975759651113547</v>
      </c>
      <c r="O21" s="178">
        <f t="shared" si="8"/>
        <v>0.77842437732238057</v>
      </c>
      <c r="P21" s="178">
        <f t="shared" si="8"/>
        <v>8.2397552479535676</v>
      </c>
      <c r="Q21" s="178">
        <f>(Q17/(SUM($E$17:$K$17,$N$17:$Q$17,$X$17:$Y$17)))*100</f>
        <v>13.458266904990829</v>
      </c>
      <c r="R21" s="178">
        <v>0</v>
      </c>
      <c r="S21" s="178">
        <v>0</v>
      </c>
      <c r="T21" s="178">
        <v>0</v>
      </c>
      <c r="U21" s="178">
        <v>0</v>
      </c>
      <c r="V21" s="178">
        <v>0</v>
      </c>
      <c r="W21" s="178">
        <v>0</v>
      </c>
      <c r="X21" s="178">
        <f t="shared" ref="X21:Y21" si="9">(X17/(SUM($E$17:$K$17,$N$17:$Q$17,$X$17:$Y$17)))*100</f>
        <v>12.406844507500125</v>
      </c>
      <c r="Y21" s="178">
        <f t="shared" si="9"/>
        <v>8.6847911552500872</v>
      </c>
      <c r="Z21" s="178"/>
      <c r="AA21" s="178"/>
      <c r="AB21" s="178"/>
      <c r="AC21" s="178"/>
    </row>
    <row r="22" spans="1:29" ht="28.5" x14ac:dyDescent="0.45">
      <c r="A22" s="3"/>
      <c r="B22" s="3"/>
      <c r="C22" s="12" t="s">
        <v>26</v>
      </c>
      <c r="D22" s="2" t="s">
        <v>42</v>
      </c>
      <c r="E22" s="54">
        <v>0</v>
      </c>
      <c r="F22" s="54"/>
      <c r="G22" s="54">
        <v>0</v>
      </c>
      <c r="H22">
        <v>0</v>
      </c>
      <c r="I22">
        <v>0</v>
      </c>
      <c r="J22">
        <v>0</v>
      </c>
      <c r="K22">
        <v>0</v>
      </c>
      <c r="L22">
        <v>0</v>
      </c>
      <c r="M22">
        <v>0</v>
      </c>
      <c r="N22">
        <v>0</v>
      </c>
      <c r="O22">
        <v>0</v>
      </c>
      <c r="P22">
        <v>0</v>
      </c>
      <c r="Q22">
        <v>0</v>
      </c>
      <c r="R22">
        <v>0</v>
      </c>
      <c r="S22">
        <v>0</v>
      </c>
      <c r="T22">
        <v>0</v>
      </c>
      <c r="U22">
        <v>0</v>
      </c>
      <c r="V22" s="54">
        <v>0</v>
      </c>
      <c r="W22" s="54">
        <v>0</v>
      </c>
      <c r="X22">
        <v>0</v>
      </c>
      <c r="Y22">
        <v>0</v>
      </c>
    </row>
    <row r="23" spans="1:29" x14ac:dyDescent="0.45">
      <c r="A23" s="3"/>
      <c r="B23" s="3"/>
      <c r="C23" s="12" t="s">
        <v>27</v>
      </c>
      <c r="D23" s="2" t="s">
        <v>42</v>
      </c>
      <c r="E23" s="54">
        <v>0</v>
      </c>
      <c r="F23" s="54"/>
      <c r="G23" s="54">
        <v>0</v>
      </c>
      <c r="H23">
        <v>0</v>
      </c>
      <c r="I23">
        <v>0</v>
      </c>
      <c r="J23">
        <v>0</v>
      </c>
      <c r="K23">
        <v>0</v>
      </c>
      <c r="L23">
        <v>0</v>
      </c>
      <c r="M23">
        <v>0</v>
      </c>
      <c r="N23">
        <v>0</v>
      </c>
      <c r="O23">
        <v>0</v>
      </c>
      <c r="P23">
        <v>0</v>
      </c>
      <c r="Q23">
        <v>0</v>
      </c>
      <c r="R23">
        <v>0</v>
      </c>
      <c r="S23">
        <v>0</v>
      </c>
      <c r="T23">
        <v>0</v>
      </c>
      <c r="U23">
        <v>0</v>
      </c>
      <c r="V23" s="54">
        <v>0</v>
      </c>
      <c r="W23" s="54">
        <v>0</v>
      </c>
      <c r="X23">
        <v>0</v>
      </c>
      <c r="Y23">
        <v>0</v>
      </c>
    </row>
    <row r="24" spans="1:29" ht="28.5" x14ac:dyDescent="0.45">
      <c r="A24" s="3"/>
      <c r="B24" s="3"/>
      <c r="C24" s="12" t="s">
        <v>28</v>
      </c>
      <c r="D24" s="2" t="s">
        <v>42</v>
      </c>
      <c r="E24" s="54">
        <v>0</v>
      </c>
      <c r="F24" s="54"/>
      <c r="G24" s="54">
        <v>0</v>
      </c>
      <c r="H24">
        <v>0</v>
      </c>
      <c r="I24">
        <v>0</v>
      </c>
      <c r="J24">
        <v>0</v>
      </c>
      <c r="K24">
        <v>0</v>
      </c>
      <c r="L24">
        <v>0</v>
      </c>
      <c r="M24">
        <v>0</v>
      </c>
      <c r="N24">
        <v>0</v>
      </c>
      <c r="O24">
        <v>0</v>
      </c>
      <c r="P24">
        <v>0</v>
      </c>
      <c r="Q24">
        <v>0</v>
      </c>
      <c r="R24">
        <v>0</v>
      </c>
      <c r="S24">
        <v>1</v>
      </c>
      <c r="T24">
        <v>1</v>
      </c>
      <c r="U24">
        <v>1</v>
      </c>
      <c r="V24" s="54">
        <v>0</v>
      </c>
      <c r="W24" s="54">
        <v>0</v>
      </c>
      <c r="X24">
        <v>0</v>
      </c>
      <c r="Y24">
        <v>0</v>
      </c>
    </row>
    <row r="25" spans="1:29" x14ac:dyDescent="0.45">
      <c r="A25" s="3"/>
      <c r="B25" s="3"/>
      <c r="C25" s="12" t="s">
        <v>29</v>
      </c>
      <c r="D25" s="2" t="s">
        <v>43</v>
      </c>
      <c r="E25" s="54" t="s">
        <v>64</v>
      </c>
      <c r="F25" s="54"/>
      <c r="G25" s="54" t="s">
        <v>236</v>
      </c>
      <c r="H25" t="s">
        <v>64</v>
      </c>
      <c r="I25" t="s">
        <v>236</v>
      </c>
      <c r="J25" t="s">
        <v>64</v>
      </c>
      <c r="K25" t="s">
        <v>64</v>
      </c>
      <c r="L25" t="s">
        <v>64</v>
      </c>
      <c r="M25" t="s">
        <v>64</v>
      </c>
      <c r="N25" t="s">
        <v>64</v>
      </c>
      <c r="O25" t="s">
        <v>64</v>
      </c>
      <c r="P25" t="s">
        <v>64</v>
      </c>
      <c r="Q25" t="s">
        <v>64</v>
      </c>
      <c r="R25" t="s">
        <v>236</v>
      </c>
      <c r="S25" t="s">
        <v>236</v>
      </c>
      <c r="T25">
        <v>6300</v>
      </c>
      <c r="U25" t="s">
        <v>236</v>
      </c>
      <c r="V25" s="54" t="s">
        <v>236</v>
      </c>
      <c r="W25" s="54" t="s">
        <v>236</v>
      </c>
      <c r="X25" t="s">
        <v>64</v>
      </c>
      <c r="Y25" t="s">
        <v>236</v>
      </c>
    </row>
    <row r="26" spans="1:29" x14ac:dyDescent="0.45">
      <c r="A26" s="3"/>
      <c r="B26" s="3" t="s">
        <v>30</v>
      </c>
      <c r="C26" s="12" t="s">
        <v>31</v>
      </c>
      <c r="D26" s="2" t="s">
        <v>44</v>
      </c>
      <c r="E26" s="54">
        <f>((398.53+277.04)/2)/1000</f>
        <v>0.33778499999999995</v>
      </c>
      <c r="F26" s="54">
        <f>((395.1+273.26)/2)/1000</f>
        <v>0.33418000000000003</v>
      </c>
      <c r="G26" s="54">
        <v>0</v>
      </c>
      <c r="H26">
        <f>((321.39+386.78)/2)/1000</f>
        <v>0.35408499999999998</v>
      </c>
      <c r="I26">
        <v>0</v>
      </c>
      <c r="J26">
        <f>((263.68+357.7)/2)/1000</f>
        <v>0.31069000000000002</v>
      </c>
      <c r="K26">
        <v>0</v>
      </c>
      <c r="L26">
        <v>0.73099999999999998</v>
      </c>
      <c r="M26">
        <v>0</v>
      </c>
      <c r="N26">
        <v>0.8</v>
      </c>
      <c r="O26">
        <v>0</v>
      </c>
      <c r="P26">
        <v>0.86</v>
      </c>
      <c r="Q26">
        <v>0</v>
      </c>
      <c r="R26">
        <v>0</v>
      </c>
      <c r="S26">
        <v>0</v>
      </c>
      <c r="T26">
        <v>0</v>
      </c>
      <c r="U26">
        <v>0</v>
      </c>
      <c r="V26" s="54">
        <v>0</v>
      </c>
      <c r="W26" s="54">
        <v>0</v>
      </c>
      <c r="X26">
        <v>0.33250000000000002</v>
      </c>
      <c r="Y26">
        <v>0</v>
      </c>
    </row>
    <row r="27" spans="1:29" x14ac:dyDescent="0.45">
      <c r="A27" s="3"/>
      <c r="B27" s="3"/>
      <c r="C27" s="12" t="s">
        <v>1226</v>
      </c>
      <c r="D27" s="2" t="s">
        <v>1227</v>
      </c>
      <c r="E27" s="54">
        <f>(E26*E18)/E19</f>
        <v>0.39277325581395345</v>
      </c>
      <c r="F27" s="54">
        <f>(F26*F18)/F19</f>
        <v>0.38858139534883723</v>
      </c>
      <c r="G27" s="54">
        <f>(G26*G18)/G19</f>
        <v>0</v>
      </c>
      <c r="H27" s="54">
        <f>(H26*H18)/H19</f>
        <v>0.41172674418604649</v>
      </c>
      <c r="I27" s="54">
        <f>(I26*I18)/I19</f>
        <v>0</v>
      </c>
      <c r="J27" s="54">
        <f>(J26*J18)/J19</f>
        <v>0.36126744186046511</v>
      </c>
      <c r="K27" s="54">
        <f>(K26*K18)/K19</f>
        <v>0</v>
      </c>
      <c r="L27" s="54">
        <f>(L26*L18)/L19</f>
        <v>0.79456521739130426</v>
      </c>
      <c r="M27" s="54">
        <f>(M26*M18)/M19</f>
        <v>0</v>
      </c>
      <c r="N27" s="54">
        <f>(N26*N18)/N19</f>
        <v>0.86956521739130443</v>
      </c>
      <c r="O27" s="54">
        <f>(O26*O18)/O19</f>
        <v>0</v>
      </c>
      <c r="P27" s="54">
        <f>(P26*P18)/P19</f>
        <v>1</v>
      </c>
      <c r="Q27" s="54">
        <f>(Q26*Q18)/Q19</f>
        <v>0</v>
      </c>
      <c r="R27" s="54">
        <f>(R26*R18)/R19</f>
        <v>0</v>
      </c>
      <c r="S27" s="54">
        <f>(S26*S18)/S19</f>
        <v>0</v>
      </c>
      <c r="T27" s="54">
        <f>(T26*T18)/T19</f>
        <v>0</v>
      </c>
      <c r="U27" s="54">
        <f>(U26*U18)/U19</f>
        <v>0</v>
      </c>
      <c r="V27" s="54">
        <f>(V26*V18)/V19</f>
        <v>0</v>
      </c>
      <c r="W27" s="54">
        <v>0</v>
      </c>
      <c r="X27" s="54">
        <f>(X26*X18)/X19</f>
        <v>0.38439306358381503</v>
      </c>
      <c r="Y27" s="54">
        <f>(Y26*Y18)/Y19</f>
        <v>0</v>
      </c>
    </row>
    <row r="28" spans="1:29" x14ac:dyDescent="0.45">
      <c r="A28" s="3"/>
      <c r="B28" s="3"/>
      <c r="C28" s="12" t="s">
        <v>32</v>
      </c>
      <c r="D28" s="2" t="s">
        <v>45</v>
      </c>
      <c r="E28" s="54">
        <v>86</v>
      </c>
      <c r="F28" s="54">
        <v>86</v>
      </c>
      <c r="G28" s="54">
        <v>89.2</v>
      </c>
      <c r="H28">
        <v>86</v>
      </c>
      <c r="I28">
        <v>91</v>
      </c>
      <c r="J28">
        <v>86</v>
      </c>
      <c r="K28">
        <v>92</v>
      </c>
      <c r="L28">
        <v>92</v>
      </c>
      <c r="M28">
        <v>92.1</v>
      </c>
      <c r="N28">
        <v>92</v>
      </c>
      <c r="O28">
        <v>91.3</v>
      </c>
      <c r="P28">
        <v>86</v>
      </c>
      <c r="Q28">
        <v>87.2</v>
      </c>
      <c r="R28">
        <f>(J102/R12)*100</f>
        <v>21.835999999999999</v>
      </c>
      <c r="S28">
        <f>(B118/B117)*100</f>
        <v>35</v>
      </c>
      <c r="T28">
        <f>(B139/B138)*100</f>
        <v>35.5</v>
      </c>
      <c r="U28">
        <f>(B154/B153)*100</f>
        <v>35</v>
      </c>
      <c r="V28" s="54">
        <v>21</v>
      </c>
      <c r="W28" s="54" t="s">
        <v>47</v>
      </c>
      <c r="X28">
        <v>86.5</v>
      </c>
      <c r="Y28">
        <v>88.8</v>
      </c>
    </row>
    <row r="29" spans="1:29" x14ac:dyDescent="0.45">
      <c r="A29" s="3"/>
      <c r="B29" s="3"/>
      <c r="C29" s="12" t="s">
        <v>33</v>
      </c>
      <c r="D29" s="2" t="s">
        <v>46</v>
      </c>
      <c r="E29" s="54">
        <v>3.1</v>
      </c>
      <c r="F29" s="54">
        <v>3.1</v>
      </c>
      <c r="G29" s="54">
        <v>8.2200000000000006</v>
      </c>
      <c r="H29">
        <v>2</v>
      </c>
      <c r="I29">
        <v>9</v>
      </c>
      <c r="J29">
        <v>2.2000000000000002</v>
      </c>
      <c r="K29">
        <v>7.7</v>
      </c>
      <c r="L29">
        <v>5</v>
      </c>
      <c r="M29">
        <v>7</v>
      </c>
      <c r="N29">
        <v>5.5</v>
      </c>
      <c r="O29">
        <v>7.2</v>
      </c>
      <c r="P29">
        <v>3.5</v>
      </c>
      <c r="Q29">
        <v>7.2</v>
      </c>
      <c r="R29">
        <f>(K102/J102)*100</f>
        <v>9.6048818464920309</v>
      </c>
      <c r="S29">
        <f>(B119/B118)*100</f>
        <v>8.9500000000000011</v>
      </c>
      <c r="T29">
        <f>(B140/B139)*100</f>
        <v>12.391971830985916</v>
      </c>
      <c r="U29">
        <f>(B155/B154)*100</f>
        <v>7.42</v>
      </c>
      <c r="V29" s="54">
        <v>7</v>
      </c>
      <c r="W29" s="54" t="s">
        <v>47</v>
      </c>
      <c r="X29">
        <v>3.5</v>
      </c>
      <c r="Y29">
        <v>9.8000000000000007</v>
      </c>
    </row>
    <row r="30" spans="1:29" x14ac:dyDescent="0.45">
      <c r="A30" s="3"/>
      <c r="B30" s="3"/>
      <c r="C30" s="12" t="s">
        <v>34</v>
      </c>
      <c r="D30" s="2" t="s">
        <v>46</v>
      </c>
      <c r="E30" s="54">
        <f t="shared" ref="E30:Q30" si="10">(E40/6.25)/10</f>
        <v>1.92</v>
      </c>
      <c r="F30" s="54">
        <f t="shared" si="10"/>
        <v>1.92</v>
      </c>
      <c r="G30" s="54">
        <f t="shared" si="10"/>
        <v>1.456</v>
      </c>
      <c r="H30">
        <f t="shared" si="10"/>
        <v>2.1920000000000002</v>
      </c>
      <c r="I30">
        <f t="shared" si="10"/>
        <v>0.8640000000000001</v>
      </c>
      <c r="J30">
        <f t="shared" si="10"/>
        <v>1.7600000000000002</v>
      </c>
      <c r="K30">
        <f t="shared" si="10"/>
        <v>0.65599999999999992</v>
      </c>
      <c r="L30">
        <f t="shared" si="10"/>
        <v>3.84</v>
      </c>
      <c r="M30">
        <f t="shared" si="10"/>
        <v>0.91199999999999992</v>
      </c>
      <c r="N30">
        <f t="shared" si="10"/>
        <v>4.16</v>
      </c>
      <c r="O30">
        <f t="shared" si="10"/>
        <v>5.1040000000000001</v>
      </c>
      <c r="P30">
        <f t="shared" si="10"/>
        <v>2.08</v>
      </c>
      <c r="Q30">
        <f t="shared" si="10"/>
        <v>0.73599999999999999</v>
      </c>
      <c r="R30">
        <f>O102</f>
        <v>30.335999999999999</v>
      </c>
      <c r="S30">
        <f>B123</f>
        <v>28.88</v>
      </c>
      <c r="T30">
        <f>B144</f>
        <v>24.544</v>
      </c>
      <c r="U30">
        <f>B159</f>
        <v>6.6079999999999997</v>
      </c>
      <c r="V30" s="54">
        <f>(V40/10)/6.25</f>
        <v>2.16</v>
      </c>
      <c r="W30" s="54" t="s">
        <v>47</v>
      </c>
      <c r="X30">
        <f>(X40/10)/6.25</f>
        <v>0.38239999999999996</v>
      </c>
      <c r="Y30">
        <f>(Y40/10)/6.25</f>
        <v>1.3119999999999998</v>
      </c>
    </row>
    <row r="31" spans="1:29" x14ac:dyDescent="0.45">
      <c r="A31" s="3"/>
      <c r="B31" s="3"/>
      <c r="C31" s="12" t="s">
        <v>35</v>
      </c>
      <c r="D31" s="2" t="s">
        <v>46</v>
      </c>
      <c r="E31" s="54">
        <v>0.3</v>
      </c>
      <c r="F31" s="54">
        <v>1.3</v>
      </c>
      <c r="G31" s="54">
        <v>0.22</v>
      </c>
      <c r="H31">
        <v>0.7</v>
      </c>
      <c r="I31">
        <v>0.9</v>
      </c>
      <c r="J31">
        <v>0.31</v>
      </c>
      <c r="K31">
        <v>0.1</v>
      </c>
      <c r="L31">
        <v>0.63</v>
      </c>
      <c r="M31">
        <v>0.09</v>
      </c>
      <c r="N31">
        <v>0.81</v>
      </c>
      <c r="O31">
        <v>1.05</v>
      </c>
      <c r="P31">
        <v>0.33</v>
      </c>
      <c r="Q31" t="s">
        <v>47</v>
      </c>
      <c r="R31" t="s">
        <v>47</v>
      </c>
      <c r="S31" t="s">
        <v>47</v>
      </c>
      <c r="T31" t="s">
        <v>47</v>
      </c>
      <c r="U31" t="s">
        <v>47</v>
      </c>
      <c r="V31" s="54">
        <v>0.41</v>
      </c>
      <c r="W31" s="54" t="s">
        <v>47</v>
      </c>
      <c r="X31">
        <v>0.45</v>
      </c>
      <c r="Y31">
        <v>0.11</v>
      </c>
    </row>
    <row r="32" spans="1:29" ht="28.5" x14ac:dyDescent="0.45">
      <c r="A32" s="3"/>
      <c r="B32" s="3"/>
      <c r="C32" s="12" t="s">
        <v>129</v>
      </c>
      <c r="D32" s="1" t="s">
        <v>47</v>
      </c>
      <c r="E32" s="54" t="s">
        <v>47</v>
      </c>
      <c r="F32" s="54" t="s">
        <v>47</v>
      </c>
      <c r="G32" s="54">
        <v>0.35</v>
      </c>
      <c r="H32" t="s">
        <v>47</v>
      </c>
      <c r="I32">
        <v>0.35</v>
      </c>
      <c r="J32" t="s">
        <v>47</v>
      </c>
      <c r="K32">
        <v>0.35</v>
      </c>
      <c r="L32" t="s">
        <v>47</v>
      </c>
      <c r="M32">
        <v>0.35</v>
      </c>
      <c r="N32" t="s">
        <v>47</v>
      </c>
      <c r="O32">
        <v>0.22</v>
      </c>
      <c r="P32" t="s">
        <v>47</v>
      </c>
      <c r="Q32">
        <v>0.35</v>
      </c>
      <c r="R32" t="s">
        <v>47</v>
      </c>
      <c r="S32">
        <v>0.22</v>
      </c>
      <c r="T32">
        <v>0.22</v>
      </c>
      <c r="U32">
        <v>0.22</v>
      </c>
      <c r="V32" s="54" t="s">
        <v>47</v>
      </c>
      <c r="W32" s="54" t="s">
        <v>47</v>
      </c>
      <c r="X32" t="s">
        <v>47</v>
      </c>
      <c r="Y32">
        <v>0.35</v>
      </c>
    </row>
    <row r="33" spans="1:25" ht="28.5" x14ac:dyDescent="0.45">
      <c r="A33" s="3"/>
      <c r="B33" s="3"/>
      <c r="C33" s="12" t="s">
        <v>50</v>
      </c>
      <c r="D33" s="1" t="s">
        <v>47</v>
      </c>
      <c r="E33" s="54" t="s">
        <v>47</v>
      </c>
      <c r="F33" s="54" t="s">
        <v>47</v>
      </c>
      <c r="G33" s="54">
        <v>0.6</v>
      </c>
      <c r="H33" t="s">
        <v>47</v>
      </c>
      <c r="I33">
        <v>0.6</v>
      </c>
      <c r="J33" t="s">
        <v>47</v>
      </c>
      <c r="K33">
        <v>0.6</v>
      </c>
      <c r="L33" t="s">
        <v>47</v>
      </c>
      <c r="M33">
        <v>0.6</v>
      </c>
      <c r="N33" t="s">
        <v>47</v>
      </c>
      <c r="O33">
        <v>0.6</v>
      </c>
      <c r="P33" t="s">
        <v>47</v>
      </c>
      <c r="Q33">
        <v>0.6</v>
      </c>
      <c r="R33">
        <v>0.6</v>
      </c>
      <c r="S33">
        <v>0.6</v>
      </c>
      <c r="T33">
        <v>0.6</v>
      </c>
      <c r="U33">
        <v>0.6</v>
      </c>
      <c r="V33" s="54" t="s">
        <v>47</v>
      </c>
      <c r="W33" s="54" t="s">
        <v>47</v>
      </c>
      <c r="X33" t="s">
        <v>47</v>
      </c>
      <c r="Y33">
        <v>0.6</v>
      </c>
    </row>
    <row r="34" spans="1:25" ht="28.5" x14ac:dyDescent="0.45">
      <c r="A34" s="3"/>
      <c r="B34" s="3"/>
      <c r="C34" s="12" t="s">
        <v>815</v>
      </c>
      <c r="D34" s="1" t="s">
        <v>816</v>
      </c>
      <c r="E34" s="54"/>
      <c r="F34" s="54"/>
      <c r="G34" s="54">
        <f>G17/(SUM(E17:F17))</f>
        <v>0.69999999999999984</v>
      </c>
      <c r="I34">
        <f>I17/H17</f>
        <v>0.85555555555555551</v>
      </c>
      <c r="K34">
        <f>K17/J17</f>
        <v>1.0499999999999998</v>
      </c>
      <c r="M34">
        <f>M17/L17</f>
        <v>1.3000000000000003</v>
      </c>
      <c r="O34">
        <f>O17/N17</f>
        <v>0.65</v>
      </c>
      <c r="Q34">
        <f>Q17/P17</f>
        <v>1.6333333333333333</v>
      </c>
      <c r="R34" t="s">
        <v>47</v>
      </c>
      <c r="S34">
        <f>$R$17/S17</f>
        <v>0.26737959183673482</v>
      </c>
      <c r="T34">
        <f>$R$17/T17</f>
        <v>0.26361368209255542</v>
      </c>
      <c r="U34">
        <f>$R$17/U17</f>
        <v>0.26737959183673482</v>
      </c>
      <c r="V34" s="54"/>
      <c r="W34">
        <f>W17/V17</f>
        <v>0</v>
      </c>
      <c r="Y34">
        <f>Y17/X17</f>
        <v>0.7</v>
      </c>
    </row>
    <row r="35" spans="1:25" ht="42.75" x14ac:dyDescent="0.45">
      <c r="A35" s="3"/>
      <c r="B35" s="3"/>
      <c r="C35" s="12" t="s">
        <v>570</v>
      </c>
      <c r="D35" s="1" t="s">
        <v>569</v>
      </c>
      <c r="E35" s="54">
        <v>1570</v>
      </c>
      <c r="F35" s="54">
        <v>1570</v>
      </c>
      <c r="G35" s="54">
        <v>2470</v>
      </c>
      <c r="H35">
        <v>1640</v>
      </c>
      <c r="I35">
        <v>2350</v>
      </c>
      <c r="J35">
        <v>1500</v>
      </c>
      <c r="K35">
        <v>2520</v>
      </c>
      <c r="L35">
        <v>975</v>
      </c>
      <c r="M35">
        <v>975</v>
      </c>
      <c r="N35">
        <v>660</v>
      </c>
      <c r="O35" t="s">
        <v>47</v>
      </c>
      <c r="R35">
        <f>(1400+1175)/2</f>
        <v>1287.5</v>
      </c>
      <c r="V35" s="54">
        <v>1400</v>
      </c>
      <c r="W35" s="54"/>
      <c r="X35">
        <v>1000</v>
      </c>
      <c r="Y35" t="s">
        <v>47</v>
      </c>
    </row>
    <row r="36" spans="1:25" ht="28.5" x14ac:dyDescent="0.45">
      <c r="A36" s="3"/>
      <c r="B36" s="3" t="s">
        <v>36</v>
      </c>
      <c r="C36" s="12" t="s">
        <v>126</v>
      </c>
      <c r="D36" s="2" t="s">
        <v>127</v>
      </c>
      <c r="E36">
        <f>((120/(E41/10)/100)*$E$47)</f>
        <v>10.13263699130335</v>
      </c>
      <c r="F36">
        <f t="shared" ref="F36:V36" si="11">((120/(F41/10)/100)*$E$47)</f>
        <v>10.13263699130335</v>
      </c>
      <c r="G36">
        <f>((120/(G41/10)/100)*$E$47)</f>
        <v>5.7478491846939592</v>
      </c>
      <c r="H36">
        <f t="shared" si="11"/>
        <v>23.642819646374488</v>
      </c>
      <c r="I36">
        <f t="shared" si="11"/>
        <v>6.543215769291832</v>
      </c>
      <c r="J36">
        <f t="shared" si="11"/>
        <v>17.732114734780865</v>
      </c>
      <c r="K36">
        <f t="shared" si="11"/>
        <v>45.525326661825069</v>
      </c>
      <c r="L36">
        <f t="shared" si="11"/>
        <v>18.665383931348281</v>
      </c>
      <c r="M36">
        <f t="shared" si="11"/>
        <v>4.7795457506147887</v>
      </c>
      <c r="N36">
        <f t="shared" si="11"/>
        <v>10.912070606018995</v>
      </c>
      <c r="O36">
        <f t="shared" si="11"/>
        <v>7.7602252668625225</v>
      </c>
      <c r="P36">
        <f t="shared" si="11"/>
        <v>7.3883811394920276</v>
      </c>
      <c r="Q36">
        <f t="shared" si="11"/>
        <v>4.8581136259673601</v>
      </c>
      <c r="R36">
        <f t="shared" si="11"/>
        <v>7.1340282777033828</v>
      </c>
      <c r="S36">
        <f>((120/(S41/10)/100)*$E$47)</f>
        <v>7.5810665817789076</v>
      </c>
      <c r="T36">
        <f t="shared" si="11"/>
        <v>6.6798611276326776</v>
      </c>
      <c r="U36">
        <f t="shared" si="11"/>
        <v>6.1045235337915011</v>
      </c>
      <c r="V36">
        <f t="shared" si="11"/>
        <v>5.5412858546190202</v>
      </c>
      <c r="W36" t="s">
        <v>47</v>
      </c>
      <c r="X36">
        <f>((120/(X41/10)/100)*$E$47)</f>
        <v>24.974809485606855</v>
      </c>
      <c r="Y36">
        <f>((120/(Y41/10)/100)*$E$47)</f>
        <v>6.4597867886269098</v>
      </c>
    </row>
    <row r="37" spans="1:25" x14ac:dyDescent="0.45">
      <c r="A37" s="3"/>
      <c r="B37" s="3"/>
      <c r="C37" s="12" t="s">
        <v>37</v>
      </c>
      <c r="D37" s="1" t="s">
        <v>47</v>
      </c>
      <c r="E37">
        <v>0.09</v>
      </c>
      <c r="F37">
        <v>0.09</v>
      </c>
      <c r="G37">
        <v>4.3</v>
      </c>
      <c r="H37">
        <v>-0.16</v>
      </c>
      <c r="I37">
        <v>4.3</v>
      </c>
      <c r="J37">
        <v>-0.16</v>
      </c>
      <c r="K37">
        <v>4.3</v>
      </c>
      <c r="L37">
        <v>0.36</v>
      </c>
      <c r="M37">
        <v>4.3</v>
      </c>
      <c r="N37">
        <v>0.46</v>
      </c>
      <c r="O37" t="s">
        <v>47</v>
      </c>
      <c r="P37" t="s">
        <v>47</v>
      </c>
      <c r="Q37" t="s">
        <v>47</v>
      </c>
      <c r="R37" t="s">
        <v>47</v>
      </c>
      <c r="S37" t="s">
        <v>47</v>
      </c>
      <c r="T37" t="s">
        <v>47</v>
      </c>
      <c r="U37" t="s">
        <v>47</v>
      </c>
      <c r="V37" t="s">
        <v>47</v>
      </c>
      <c r="W37" t="s">
        <v>47</v>
      </c>
      <c r="X37">
        <v>4.3</v>
      </c>
      <c r="Y37">
        <v>1.66</v>
      </c>
    </row>
    <row r="38" spans="1:25" ht="0.75" hidden="1" customHeight="1" x14ac:dyDescent="0.45">
      <c r="A38" s="3"/>
      <c r="B38" s="3"/>
      <c r="C38" s="12" t="s">
        <v>38</v>
      </c>
      <c r="D38" s="2" t="s">
        <v>48</v>
      </c>
    </row>
    <row r="39" spans="1:25" ht="28.5" x14ac:dyDescent="0.45">
      <c r="C39" s="12" t="s">
        <v>122</v>
      </c>
      <c r="D39" s="2" t="s">
        <v>123</v>
      </c>
      <c r="E39">
        <v>10.4</v>
      </c>
      <c r="F39">
        <v>10.4</v>
      </c>
      <c r="G39">
        <v>8.3000000000000007</v>
      </c>
      <c r="H39">
        <v>12.8</v>
      </c>
      <c r="I39">
        <v>7.8</v>
      </c>
      <c r="J39">
        <v>13.6</v>
      </c>
      <c r="K39">
        <v>6.6</v>
      </c>
      <c r="L39">
        <v>19.8</v>
      </c>
      <c r="M39">
        <v>5.5</v>
      </c>
      <c r="N39">
        <v>15.6</v>
      </c>
      <c r="O39">
        <v>9</v>
      </c>
      <c r="P39">
        <v>10.1</v>
      </c>
      <c r="Q39">
        <v>4.9000000000000004</v>
      </c>
      <c r="R39">
        <f>(L102/J102)</f>
        <v>9.984795750137387</v>
      </c>
      <c r="S39">
        <f>(B120/B118)</f>
        <v>11.209</v>
      </c>
      <c r="T39">
        <f>B141/B139</f>
        <v>9.8763380281690125</v>
      </c>
      <c r="U39">
        <f>B156/B154</f>
        <v>9.5850000000000009</v>
      </c>
      <c r="V39">
        <v>10.199999999999999</v>
      </c>
      <c r="W39" t="s">
        <v>47</v>
      </c>
      <c r="X39">
        <v>13.4</v>
      </c>
      <c r="Y39">
        <v>7.9</v>
      </c>
    </row>
    <row r="40" spans="1:25" x14ac:dyDescent="0.45">
      <c r="C40" s="12" t="s">
        <v>120</v>
      </c>
      <c r="D40" s="2" t="s">
        <v>48</v>
      </c>
      <c r="E40">
        <v>120</v>
      </c>
      <c r="F40">
        <v>120</v>
      </c>
      <c r="G40">
        <v>91</v>
      </c>
      <c r="H40">
        <v>137</v>
      </c>
      <c r="I40">
        <v>54</v>
      </c>
      <c r="J40">
        <v>110</v>
      </c>
      <c r="K40">
        <v>41</v>
      </c>
      <c r="L40">
        <v>240</v>
      </c>
      <c r="M40">
        <v>57</v>
      </c>
      <c r="N40">
        <v>260</v>
      </c>
      <c r="O40">
        <v>319</v>
      </c>
      <c r="P40">
        <v>130</v>
      </c>
      <c r="Q40">
        <v>46</v>
      </c>
      <c r="R40">
        <f>M102/J102</f>
        <v>174.50256457226598</v>
      </c>
      <c r="S40">
        <f>B121/B118</f>
        <v>178.4</v>
      </c>
      <c r="T40">
        <f>B142/B139</f>
        <v>154.08732394366197</v>
      </c>
      <c r="U40">
        <f>B157/B154</f>
        <v>127.5</v>
      </c>
      <c r="V40">
        <v>135</v>
      </c>
      <c r="W40" t="s">
        <v>47</v>
      </c>
      <c r="X40">
        <v>23.9</v>
      </c>
      <c r="Y40">
        <v>82</v>
      </c>
    </row>
    <row r="41" spans="1:25" ht="28.5" x14ac:dyDescent="0.45">
      <c r="C41" s="12" t="s">
        <v>121</v>
      </c>
      <c r="D41" s="2" t="s">
        <v>48</v>
      </c>
      <c r="E41">
        <v>350</v>
      </c>
      <c r="F41">
        <v>350</v>
      </c>
      <c r="G41">
        <v>617</v>
      </c>
      <c r="H41">
        <v>150</v>
      </c>
      <c r="I41">
        <v>542</v>
      </c>
      <c r="J41">
        <v>200</v>
      </c>
      <c r="K41">
        <v>77.900000000000006</v>
      </c>
      <c r="L41">
        <v>190</v>
      </c>
      <c r="M41">
        <v>742</v>
      </c>
      <c r="N41">
        <v>325</v>
      </c>
      <c r="O41">
        <v>457</v>
      </c>
      <c r="P41">
        <v>480</v>
      </c>
      <c r="Q41">
        <v>730</v>
      </c>
      <c r="R41">
        <f>N102/J102</f>
        <v>497.11366550650297</v>
      </c>
      <c r="S41">
        <f>B122/B118</f>
        <v>467.8</v>
      </c>
      <c r="T41">
        <f>B143/B139</f>
        <v>530.912676056338</v>
      </c>
      <c r="U41">
        <f>B158/B154</f>
        <v>580.95000000000005</v>
      </c>
      <c r="V41">
        <v>640</v>
      </c>
      <c r="W41" t="s">
        <v>47</v>
      </c>
      <c r="X41">
        <v>142</v>
      </c>
      <c r="Y41">
        <v>549</v>
      </c>
    </row>
    <row r="42" spans="1:25" s="6" customFormat="1" x14ac:dyDescent="0.45">
      <c r="A42" s="5" t="s">
        <v>49</v>
      </c>
      <c r="B42" s="5" t="s">
        <v>51</v>
      </c>
      <c r="C42" s="112" t="s">
        <v>52</v>
      </c>
      <c r="D42" s="7" t="s">
        <v>55</v>
      </c>
      <c r="E42" s="6" t="s">
        <v>139</v>
      </c>
    </row>
    <row r="43" spans="1:25" ht="42.75" x14ac:dyDescent="0.45">
      <c r="A43" s="3"/>
      <c r="B43" s="3"/>
      <c r="C43" s="12" t="s">
        <v>53</v>
      </c>
      <c r="D43" s="4" t="s">
        <v>57</v>
      </c>
      <c r="E43" t="s">
        <v>64</v>
      </c>
    </row>
    <row r="44" spans="1:25" x14ac:dyDescent="0.45">
      <c r="A44" s="3"/>
      <c r="B44" s="3"/>
      <c r="C44" s="12" t="s">
        <v>54</v>
      </c>
      <c r="D44" s="2" t="s">
        <v>56</v>
      </c>
      <c r="E44">
        <v>1200</v>
      </c>
    </row>
    <row r="46" spans="1:25" ht="14.65" thickBot="1" x14ac:dyDescent="0.5"/>
    <row r="47" spans="1:25" ht="28.5" x14ac:dyDescent="0.45">
      <c r="C47" s="101" t="s">
        <v>906</v>
      </c>
      <c r="D47" s="44" t="s">
        <v>62</v>
      </c>
      <c r="E47" s="45">
        <f>Eco!E36</f>
        <v>295.53524557968109</v>
      </c>
    </row>
    <row r="48" spans="1:25" ht="14.65" thickBot="1" x14ac:dyDescent="0.5">
      <c r="C48" s="51" t="s">
        <v>125</v>
      </c>
      <c r="D48" s="41" t="s">
        <v>95</v>
      </c>
      <c r="E48" s="43">
        <v>0.7</v>
      </c>
    </row>
    <row r="50" spans="1:10" x14ac:dyDescent="0.45">
      <c r="A50" t="s">
        <v>905</v>
      </c>
    </row>
    <row r="51" spans="1:10" x14ac:dyDescent="0.45">
      <c r="B51" s="11"/>
    </row>
    <row r="52" spans="1:10" ht="14.65" thickBot="1" x14ac:dyDescent="0.5"/>
    <row r="53" spans="1:10" x14ac:dyDescent="0.45">
      <c r="A53" s="69" t="s">
        <v>404</v>
      </c>
      <c r="B53" s="44"/>
      <c r="C53" s="49"/>
      <c r="D53" s="44"/>
      <c r="E53" s="44"/>
      <c r="F53" s="44"/>
      <c r="G53" s="44"/>
      <c r="H53" s="44"/>
      <c r="I53" s="44"/>
      <c r="J53" s="45"/>
    </row>
    <row r="54" spans="1:10" x14ac:dyDescent="0.45">
      <c r="A54" s="36" t="s">
        <v>410</v>
      </c>
      <c r="B54" t="s">
        <v>424</v>
      </c>
      <c r="J54" s="35"/>
    </row>
    <row r="55" spans="1:10" x14ac:dyDescent="0.45">
      <c r="A55" s="36" t="s">
        <v>411</v>
      </c>
      <c r="B55" s="54">
        <v>54035.63</v>
      </c>
      <c r="J55" s="35"/>
    </row>
    <row r="56" spans="1:10" x14ac:dyDescent="0.45">
      <c r="A56" s="36" t="s">
        <v>412</v>
      </c>
      <c r="B56" s="54">
        <v>884</v>
      </c>
      <c r="J56" s="35"/>
    </row>
    <row r="57" spans="1:10" x14ac:dyDescent="0.45">
      <c r="A57" s="36" t="s">
        <v>413</v>
      </c>
      <c r="B57" s="54">
        <v>14414.4</v>
      </c>
      <c r="J57" s="35"/>
    </row>
    <row r="58" spans="1:10" x14ac:dyDescent="0.45">
      <c r="A58" s="36" t="s">
        <v>414</v>
      </c>
      <c r="B58" s="54">
        <v>0</v>
      </c>
      <c r="J58" s="35"/>
    </row>
    <row r="59" spans="1:10" x14ac:dyDescent="0.45">
      <c r="A59" s="36" t="s">
        <v>415</v>
      </c>
      <c r="B59" s="54">
        <v>77465.63</v>
      </c>
      <c r="J59" s="35"/>
    </row>
    <row r="60" spans="1:10" x14ac:dyDescent="0.45">
      <c r="A60" s="36" t="s">
        <v>416</v>
      </c>
      <c r="B60" s="54">
        <v>24408.7</v>
      </c>
      <c r="J60" s="35"/>
    </row>
    <row r="61" spans="1:10" x14ac:dyDescent="0.45">
      <c r="A61" s="36" t="s">
        <v>417</v>
      </c>
      <c r="B61" s="54">
        <v>58225.599999999999</v>
      </c>
      <c r="J61" s="35"/>
    </row>
    <row r="62" spans="1:10" x14ac:dyDescent="0.45">
      <c r="A62" s="36" t="s">
        <v>425</v>
      </c>
      <c r="B62">
        <f>SUM(B55:B61)</f>
        <v>229433.96000000002</v>
      </c>
      <c r="J62" s="35"/>
    </row>
    <row r="63" spans="1:10" x14ac:dyDescent="0.45">
      <c r="A63" s="36"/>
      <c r="J63" s="35"/>
    </row>
    <row r="64" spans="1:10" x14ac:dyDescent="0.45">
      <c r="A64" s="36"/>
      <c r="J64" s="35"/>
    </row>
    <row r="65" spans="1:10" s="12" customFormat="1" ht="99.75" x14ac:dyDescent="0.45">
      <c r="A65" s="62" t="s">
        <v>426</v>
      </c>
      <c r="J65" s="52"/>
    </row>
    <row r="66" spans="1:10" ht="64.5" customHeight="1" x14ac:dyDescent="0.45">
      <c r="A66" s="62" t="s">
        <v>405</v>
      </c>
      <c r="B66" s="12" t="s">
        <v>408</v>
      </c>
      <c r="C66" s="12" t="s">
        <v>433</v>
      </c>
      <c r="D66" s="12" t="s">
        <v>432</v>
      </c>
      <c r="E66" s="12" t="s">
        <v>427</v>
      </c>
      <c r="F66" s="12" t="s">
        <v>431</v>
      </c>
      <c r="G66" s="12" t="s">
        <v>430</v>
      </c>
      <c r="H66" s="12" t="s">
        <v>428</v>
      </c>
      <c r="I66" s="12" t="s">
        <v>409</v>
      </c>
      <c r="J66" s="52" t="s">
        <v>434</v>
      </c>
    </row>
    <row r="67" spans="1:10" x14ac:dyDescent="0.45">
      <c r="A67" s="63" t="s">
        <v>101</v>
      </c>
      <c r="B67">
        <f>E11</f>
        <v>57.14</v>
      </c>
      <c r="C67" s="12">
        <f>($B$55/SUM($B$67:$B$80))*B67</f>
        <v>7846.8941196502974</v>
      </c>
      <c r="D67">
        <f>($B$56/SUM($B$67:$B$80))*B67</f>
        <v>128.37186133983934</v>
      </c>
      <c r="E67">
        <v>0</v>
      </c>
      <c r="F67">
        <f t="shared" ref="F67:F80" si="12">($B$59/SUM($B$67:$B$80))*B67</f>
        <v>11249.3293133069</v>
      </c>
      <c r="G67">
        <f t="shared" ref="G67:G73" si="13">(((SUM($B$67:$B$73,$B$75,$B$78:$B$79))/(SUM($B$67:$B$73,$B$75:$B$79)))*$B$60)/(SUM($B$67:$B$73,$B$75,$B$78:$B$79))*B67</f>
        <v>3885.1029777988242</v>
      </c>
      <c r="H67">
        <f t="shared" ref="H67:H80" si="14">($B$61/SUM($B$67:$B$80))*B67</f>
        <v>8455.3491511639713</v>
      </c>
      <c r="I67">
        <f t="shared" ref="I67:I80" si="15">SUM(C67:H67)</f>
        <v>31565.047423259835</v>
      </c>
      <c r="J67" s="35">
        <f>I67/B67</f>
        <v>552.41595070458231</v>
      </c>
    </row>
    <row r="68" spans="1:10" x14ac:dyDescent="0.45">
      <c r="A68" s="63" t="s">
        <v>163</v>
      </c>
      <c r="B68">
        <f>H11</f>
        <v>15.13</v>
      </c>
      <c r="C68" s="12">
        <f>($B$55/SUM($B$67:$B$80))*B68</f>
        <v>2077.7652787943471</v>
      </c>
      <c r="D68">
        <f t="shared" ref="D68:D80" si="16">($B$56/SUM($B$67:$B$80))*B68</f>
        <v>33.991359154213676</v>
      </c>
      <c r="E68">
        <v>0</v>
      </c>
      <c r="F68">
        <f t="shared" si="12"/>
        <v>2978.6901034360067</v>
      </c>
      <c r="G68">
        <f t="shared" si="13"/>
        <v>1028.7295774255549</v>
      </c>
      <c r="H68">
        <f t="shared" si="14"/>
        <v>2238.8770153502078</v>
      </c>
      <c r="I68">
        <f t="shared" si="15"/>
        <v>8358.0533341603295</v>
      </c>
      <c r="J68" s="35">
        <f>I68/B68</f>
        <v>552.4159507045822</v>
      </c>
    </row>
    <row r="69" spans="1:10" x14ac:dyDescent="0.45">
      <c r="A69" s="63" t="s">
        <v>102</v>
      </c>
      <c r="B69">
        <f>J11</f>
        <v>15.79</v>
      </c>
      <c r="C69" s="12">
        <f t="shared" ref="C69:C80" si="17">($B$55/SUM($B$67:$B$80))*B69</f>
        <v>2168.4014376842524</v>
      </c>
      <c r="D69">
        <f t="shared" si="16"/>
        <v>35.474128291145661</v>
      </c>
      <c r="E69">
        <v>0</v>
      </c>
      <c r="F69">
        <f t="shared" si="12"/>
        <v>3108.6263538172202</v>
      </c>
      <c r="G69">
        <f>(((SUM($B$67:$B$73,$B$75,$B$78:$B$79))/(SUM($B$67:$B$73,$B$75:$B$79)))*$B$60)/(SUM($B$67:$B$73,$B$75,$B$78:$B$79))*B69</f>
        <v>1073.604760578289</v>
      </c>
      <c r="H69">
        <f t="shared" si="14"/>
        <v>2336.5411812544467</v>
      </c>
      <c r="I69">
        <f t="shared" si="15"/>
        <v>8722.6478616253535</v>
      </c>
      <c r="J69" s="35">
        <f>I69/B69</f>
        <v>552.41595070458231</v>
      </c>
    </row>
    <row r="70" spans="1:10" x14ac:dyDescent="0.45">
      <c r="A70" s="63" t="s">
        <v>104</v>
      </c>
      <c r="B70">
        <f>L11</f>
        <v>0</v>
      </c>
      <c r="C70" s="12">
        <f t="shared" si="17"/>
        <v>0</v>
      </c>
      <c r="D70">
        <f t="shared" si="16"/>
        <v>0</v>
      </c>
      <c r="E70">
        <v>0</v>
      </c>
      <c r="F70">
        <f t="shared" si="12"/>
        <v>0</v>
      </c>
      <c r="G70">
        <f t="shared" si="13"/>
        <v>0</v>
      </c>
      <c r="H70">
        <f t="shared" si="14"/>
        <v>0</v>
      </c>
      <c r="I70">
        <f t="shared" si="15"/>
        <v>0</v>
      </c>
      <c r="J70" s="35">
        <v>0</v>
      </c>
    </row>
    <row r="71" spans="1:10" x14ac:dyDescent="0.45">
      <c r="A71" s="63" t="s">
        <v>105</v>
      </c>
      <c r="B71">
        <f>N11</f>
        <v>32.92</v>
      </c>
      <c r="C71" s="12">
        <f t="shared" si="17"/>
        <v>4520.8217434177077</v>
      </c>
      <c r="D71">
        <f t="shared" si="16"/>
        <v>73.958727254244167</v>
      </c>
      <c r="E71">
        <f>($B$57/SUM($B$70:$B$71,$B$72,$B$75))*B71</f>
        <v>3843.5286570549165</v>
      </c>
      <c r="F71">
        <f t="shared" si="12"/>
        <v>6481.0626705296327</v>
      </c>
      <c r="G71">
        <f t="shared" si="13"/>
        <v>2238.3197414969777</v>
      </c>
      <c r="H71">
        <f t="shared" si="14"/>
        <v>4871.3702144962881</v>
      </c>
      <c r="I71">
        <f t="shared" si="15"/>
        <v>22029.061754249768</v>
      </c>
      <c r="J71" s="35">
        <f t="shared" ref="J71:J80" si="18">I71/B71</f>
        <v>669.1695551108678</v>
      </c>
    </row>
    <row r="72" spans="1:10" x14ac:dyDescent="0.45">
      <c r="A72" s="63" t="s">
        <v>106</v>
      </c>
      <c r="B72">
        <f>P11</f>
        <v>49.43</v>
      </c>
      <c r="C72" s="12">
        <f t="shared" si="17"/>
        <v>6788.0989908000383</v>
      </c>
      <c r="D72">
        <f t="shared" si="16"/>
        <v>111.05042187658836</v>
      </c>
      <c r="E72">
        <f>($B$57/SUM($B$70:$B$71,$B$72,$B$75))*B72</f>
        <v>5771.1306658026888</v>
      </c>
      <c r="F72">
        <f t="shared" si="12"/>
        <v>9731.4376611263579</v>
      </c>
      <c r="G72">
        <f t="shared" si="13"/>
        <v>3360.8792473327944</v>
      </c>
      <c r="H72">
        <f t="shared" si="14"/>
        <v>7314.4541221917234</v>
      </c>
      <c r="I72">
        <f t="shared" si="15"/>
        <v>33077.051109130189</v>
      </c>
      <c r="J72" s="35">
        <f t="shared" si="18"/>
        <v>669.16955511086769</v>
      </c>
    </row>
    <row r="73" spans="1:10" x14ac:dyDescent="0.45">
      <c r="A73" s="63" t="s">
        <v>406</v>
      </c>
      <c r="B73">
        <f>R11</f>
        <v>121.81</v>
      </c>
      <c r="C73" s="12">
        <f t="shared" si="17"/>
        <v>16727.864415726333</v>
      </c>
      <c r="D73">
        <f t="shared" si="16"/>
        <v>273.66077056013006</v>
      </c>
      <c r="E73">
        <v>0</v>
      </c>
      <c r="F73">
        <f t="shared" si="12"/>
        <v>23981.113119599468</v>
      </c>
      <c r="G73">
        <f t="shared" si="13"/>
        <v>8282.1909997492967</v>
      </c>
      <c r="H73">
        <f t="shared" si="14"/>
        <v>18024.957649689943</v>
      </c>
      <c r="I73">
        <f t="shared" si="15"/>
        <v>67289.78695532518</v>
      </c>
      <c r="J73" s="35">
        <f t="shared" si="18"/>
        <v>552.41595070458243</v>
      </c>
    </row>
    <row r="74" spans="1:10" x14ac:dyDescent="0.45">
      <c r="A74" s="63" t="s">
        <v>407</v>
      </c>
      <c r="B74">
        <f>V11</f>
        <v>26.07</v>
      </c>
      <c r="C74" s="12">
        <f t="shared" si="17"/>
        <v>3580.1282761512643</v>
      </c>
      <c r="D74">
        <f t="shared" si="16"/>
        <v>58.569380908813649</v>
      </c>
      <c r="E74">
        <v>0</v>
      </c>
      <c r="F74">
        <f t="shared" si="12"/>
        <v>5132.4818900579439</v>
      </c>
      <c r="G74">
        <v>0</v>
      </c>
      <c r="H74">
        <f t="shared" si="14"/>
        <v>3857.7345532174431</v>
      </c>
      <c r="I74">
        <f t="shared" si="15"/>
        <v>12628.914100335467</v>
      </c>
      <c r="J74" s="35">
        <f t="shared" si="18"/>
        <v>484.42324895801562</v>
      </c>
    </row>
    <row r="75" spans="1:10" x14ac:dyDescent="0.45">
      <c r="A75" s="63" t="s">
        <v>322</v>
      </c>
      <c r="B75">
        <f>X11</f>
        <v>41.11</v>
      </c>
      <c r="C75" s="12">
        <f t="shared" si="17"/>
        <v>5645.5340787333516</v>
      </c>
      <c r="D75">
        <f t="shared" si="16"/>
        <v>92.358544271627508</v>
      </c>
      <c r="E75">
        <f>($B$57/SUM($B$70:$B$71,$B$72,$B$75))*B75</f>
        <v>4799.7406771423939</v>
      </c>
      <c r="F75">
        <f t="shared" si="12"/>
        <v>8093.4534138965118</v>
      </c>
      <c r="G75">
        <f>(((SUM($B$67:$B$73,$B$75,$B$78:$B$79))/(SUM($B$67:$B$73,$B$75:$B$79)))*$B$60)/(SUM($B$67:$B$73,$B$75,$B$78:$B$79))*B75</f>
        <v>2795.1799688013593</v>
      </c>
      <c r="H75">
        <f t="shared" si="14"/>
        <v>6083.2937277625279</v>
      </c>
      <c r="I75">
        <f t="shared" si="15"/>
        <v>27509.560410607774</v>
      </c>
      <c r="J75" s="35">
        <f t="shared" si="18"/>
        <v>669.1695551108678</v>
      </c>
    </row>
    <row r="76" spans="1:10" x14ac:dyDescent="0.45">
      <c r="A76" s="64" t="s">
        <v>418</v>
      </c>
      <c r="B76">
        <v>17.75</v>
      </c>
      <c r="C76" s="12">
        <f t="shared" si="17"/>
        <v>2437.5633640845776</v>
      </c>
      <c r="D76">
        <f t="shared" si="16"/>
        <v>39.877503303852791</v>
      </c>
      <c r="E76">
        <v>0</v>
      </c>
      <c r="F76">
        <f t="shared" si="12"/>
        <v>3494.4976428280975</v>
      </c>
      <c r="G76">
        <f>((((SUM($B$76:$B$77))/(SUM($B$67:$B$73,$B$75:$B$79)))*$B$60))/(SUM($B$76:$B$77))*B76</f>
        <v>1206.8704560015599</v>
      </c>
      <c r="H76">
        <f t="shared" si="14"/>
        <v>2626.5741587882476</v>
      </c>
      <c r="I76">
        <f t="shared" si="15"/>
        <v>9805.3831250063358</v>
      </c>
      <c r="J76" s="35">
        <f t="shared" si="18"/>
        <v>552.41595070458231</v>
      </c>
    </row>
    <row r="77" spans="1:10" x14ac:dyDescent="0.45">
      <c r="A77" s="64" t="s">
        <v>419</v>
      </c>
      <c r="B77">
        <v>0.11</v>
      </c>
      <c r="C77" s="12">
        <f t="shared" si="17"/>
        <v>15.106026481650904</v>
      </c>
      <c r="D77">
        <f t="shared" si="16"/>
        <v>0.24712818948866516</v>
      </c>
      <c r="E77">
        <v>0</v>
      </c>
      <c r="F77">
        <f t="shared" si="12"/>
        <v>21.656041730202293</v>
      </c>
      <c r="G77">
        <f>((((SUM($B$76:$B$77))/(SUM($B$67:$B$73,$B$75:$B$79)))*$B$60))/(SUM($B$76:$B$77))*B77</f>
        <v>7.479197192122343</v>
      </c>
      <c r="H77">
        <f t="shared" si="14"/>
        <v>16.277360984039845</v>
      </c>
      <c r="I77">
        <f t="shared" si="15"/>
        <v>60.765754577504048</v>
      </c>
      <c r="J77" s="35">
        <f t="shared" si="18"/>
        <v>552.4159507045822</v>
      </c>
    </row>
    <row r="78" spans="1:10" x14ac:dyDescent="0.45">
      <c r="A78" s="64" t="s">
        <v>420</v>
      </c>
      <c r="B78">
        <v>0.16</v>
      </c>
      <c r="C78" s="12">
        <f t="shared" si="17"/>
        <v>21.972402155128588</v>
      </c>
      <c r="D78">
        <f t="shared" si="16"/>
        <v>0.3594591847107857</v>
      </c>
      <c r="E78">
        <v>0</v>
      </c>
      <c r="F78">
        <f t="shared" si="12"/>
        <v>31.499697062112428</v>
      </c>
      <c r="G78">
        <f>(((SUM($B$67:$B$73,$B$75,$B$78:$B$79))/(SUM($B$67:$B$73,$B$75:$B$79)))*$B$60)/(SUM($B$67:$B$73,$B$75,$B$78:$B$79))*B78</f>
        <v>10.87883227945068</v>
      </c>
      <c r="H78">
        <f t="shared" si="14"/>
        <v>23.676161431330684</v>
      </c>
      <c r="I78">
        <f t="shared" si="15"/>
        <v>88.38655211273317</v>
      </c>
      <c r="J78" s="35">
        <f t="shared" si="18"/>
        <v>552.41595070458231</v>
      </c>
    </row>
    <row r="79" spans="1:10" x14ac:dyDescent="0.45">
      <c r="A79" s="64" t="s">
        <v>421</v>
      </c>
      <c r="B79">
        <v>7.64</v>
      </c>
      <c r="C79" s="12">
        <f t="shared" si="17"/>
        <v>1049.1822029073901</v>
      </c>
      <c r="D79">
        <f t="shared" si="16"/>
        <v>17.164176069940016</v>
      </c>
      <c r="E79">
        <v>0</v>
      </c>
      <c r="F79">
        <f t="shared" si="12"/>
        <v>1504.1105347158684</v>
      </c>
      <c r="G79">
        <f>(((SUM($B$67:$B$73,$B$75,$B$78:$B$79))/(SUM($B$67:$B$73,$B$75:$B$79)))*$B$60)/(SUM($B$67:$B$73,$B$75,$B$78:$B$79))*B79</f>
        <v>519.46424134376991</v>
      </c>
      <c r="H79">
        <f t="shared" si="14"/>
        <v>1130.5367083460401</v>
      </c>
      <c r="I79">
        <f t="shared" si="15"/>
        <v>4220.4578633830088</v>
      </c>
      <c r="J79" s="35">
        <f t="shared" si="18"/>
        <v>552.41595070458231</v>
      </c>
    </row>
    <row r="80" spans="1:10" x14ac:dyDescent="0.45">
      <c r="A80" s="64" t="s">
        <v>422</v>
      </c>
      <c r="B80">
        <v>8.42</v>
      </c>
      <c r="C80" s="12">
        <f t="shared" si="17"/>
        <v>1156.2976634136419</v>
      </c>
      <c r="D80">
        <f t="shared" si="16"/>
        <v>18.916539595405098</v>
      </c>
      <c r="E80">
        <v>0</v>
      </c>
      <c r="F80">
        <f t="shared" si="12"/>
        <v>1657.6715578936664</v>
      </c>
      <c r="G80">
        <v>0</v>
      </c>
      <c r="H80">
        <f t="shared" si="14"/>
        <v>1245.9579953237771</v>
      </c>
      <c r="I80">
        <f t="shared" si="15"/>
        <v>4078.8437562264908</v>
      </c>
      <c r="J80" s="35">
        <f t="shared" si="18"/>
        <v>484.42324895801556</v>
      </c>
    </row>
    <row r="81" spans="1:15" x14ac:dyDescent="0.45">
      <c r="A81" s="65" t="s">
        <v>423</v>
      </c>
      <c r="B81">
        <v>1.49</v>
      </c>
      <c r="C81" s="12">
        <v>0</v>
      </c>
      <c r="D81">
        <v>0</v>
      </c>
      <c r="E81">
        <v>0</v>
      </c>
      <c r="F81">
        <v>0</v>
      </c>
      <c r="G81">
        <v>0</v>
      </c>
      <c r="H81">
        <v>0</v>
      </c>
      <c r="I81">
        <v>0</v>
      </c>
      <c r="J81" s="35">
        <v>0</v>
      </c>
    </row>
    <row r="82" spans="1:15" ht="14.65" thickBot="1" x14ac:dyDescent="0.5">
      <c r="A82" s="66" t="s">
        <v>429</v>
      </c>
      <c r="B82" s="67">
        <f>SUM(B67:B81)</f>
        <v>394.97000000000008</v>
      </c>
      <c r="C82" s="124">
        <f>SUM(C67:C81)</f>
        <v>54035.629999999976</v>
      </c>
      <c r="D82" s="67">
        <f t="shared" ref="D82:F82" si="19">SUM(D67:D81)</f>
        <v>883.99999999999966</v>
      </c>
      <c r="E82" s="67">
        <f t="shared" si="19"/>
        <v>14414.4</v>
      </c>
      <c r="F82" s="67">
        <f t="shared" si="19"/>
        <v>77465.62999999999</v>
      </c>
      <c r="G82" s="67">
        <f>SUM(G67:G81)</f>
        <v>24408.699999999997</v>
      </c>
      <c r="H82" s="67">
        <f>SUM(H67:H81)</f>
        <v>58225.599999999977</v>
      </c>
      <c r="I82" s="67">
        <f>SUM(I67:I81)</f>
        <v>229433.95999999996</v>
      </c>
      <c r="J82" s="68"/>
    </row>
    <row r="83" spans="1:15" x14ac:dyDescent="0.45">
      <c r="B83">
        <f>B82-B76-B77-B78</f>
        <v>376.95000000000005</v>
      </c>
    </row>
    <row r="88" spans="1:15" ht="14.65" thickBot="1" x14ac:dyDescent="0.5"/>
    <row r="89" spans="1:15" x14ac:dyDescent="0.45">
      <c r="A89" s="48" t="s">
        <v>907</v>
      </c>
      <c r="B89" s="44"/>
      <c r="C89" s="49"/>
      <c r="D89" s="44"/>
      <c r="E89" s="44"/>
      <c r="F89" s="44"/>
      <c r="G89" s="44"/>
      <c r="H89" s="44"/>
      <c r="I89" s="44"/>
      <c r="J89" s="44"/>
      <c r="K89" s="44"/>
      <c r="L89" s="44"/>
      <c r="M89" s="44"/>
      <c r="N89" s="44"/>
      <c r="O89" s="45"/>
    </row>
    <row r="90" spans="1:15" x14ac:dyDescent="0.45">
      <c r="A90" s="70" t="s">
        <v>155</v>
      </c>
      <c r="B90" s="88"/>
      <c r="C90" s="113"/>
      <c r="D90" s="88"/>
      <c r="E90" s="88"/>
      <c r="F90" s="88"/>
      <c r="G90" s="88"/>
      <c r="H90" s="88"/>
      <c r="I90" s="88"/>
      <c r="J90" s="88"/>
      <c r="K90" s="88"/>
      <c r="L90" s="88"/>
      <c r="M90" s="88"/>
      <c r="N90" s="88"/>
      <c r="O90" s="71"/>
    </row>
    <row r="91" spans="1:15" s="12" customFormat="1" ht="57" x14ac:dyDescent="0.45">
      <c r="A91" s="62" t="s">
        <v>132</v>
      </c>
      <c r="B91" s="12" t="s">
        <v>133</v>
      </c>
      <c r="C91" s="12" t="s">
        <v>150</v>
      </c>
      <c r="D91" s="12" t="s">
        <v>151</v>
      </c>
      <c r="E91" s="12" t="s">
        <v>152</v>
      </c>
      <c r="F91" s="12" t="s">
        <v>153</v>
      </c>
      <c r="G91" s="12" t="s">
        <v>154</v>
      </c>
      <c r="H91" s="12" t="s">
        <v>158</v>
      </c>
      <c r="I91" s="12" t="s">
        <v>167</v>
      </c>
      <c r="J91" s="12" t="s">
        <v>237</v>
      </c>
      <c r="K91" s="12" t="s">
        <v>238</v>
      </c>
      <c r="L91" s="12" t="s">
        <v>245</v>
      </c>
      <c r="M91" s="12" t="s">
        <v>246</v>
      </c>
      <c r="N91" s="12" t="s">
        <v>247</v>
      </c>
      <c r="O91" s="52" t="s">
        <v>292</v>
      </c>
    </row>
    <row r="92" spans="1:15" x14ac:dyDescent="0.45">
      <c r="A92" s="62" t="s">
        <v>140</v>
      </c>
      <c r="B92">
        <v>25</v>
      </c>
      <c r="C92" s="12">
        <v>88</v>
      </c>
      <c r="D92">
        <v>27</v>
      </c>
      <c r="E92">
        <v>9.3000000000000007</v>
      </c>
      <c r="F92">
        <v>622</v>
      </c>
      <c r="G92">
        <v>138</v>
      </c>
      <c r="H92">
        <v>8</v>
      </c>
      <c r="I92">
        <v>0</v>
      </c>
      <c r="J92">
        <f>((B92/100)*$R$12)*D92/100</f>
        <v>1215</v>
      </c>
      <c r="K92">
        <f>(J92*(H92*10))/1000</f>
        <v>97.2</v>
      </c>
      <c r="L92">
        <f>J92*E92</f>
        <v>11299.5</v>
      </c>
      <c r="M92">
        <f>(G92*J92)</f>
        <v>167670</v>
      </c>
      <c r="N92">
        <f>F92*J92</f>
        <v>755730</v>
      </c>
      <c r="O92" s="35">
        <f>((M92/6.25)/J92)/10</f>
        <v>2.2080000000000002</v>
      </c>
    </row>
    <row r="93" spans="1:15" x14ac:dyDescent="0.45">
      <c r="A93" s="62" t="s">
        <v>141</v>
      </c>
      <c r="B93">
        <v>18</v>
      </c>
      <c r="C93" s="12">
        <v>96</v>
      </c>
      <c r="D93">
        <v>20.7</v>
      </c>
      <c r="E93">
        <v>9.5</v>
      </c>
      <c r="F93">
        <v>599</v>
      </c>
      <c r="G93">
        <v>163</v>
      </c>
      <c r="H93">
        <v>9.6999999999999993</v>
      </c>
      <c r="I93">
        <v>0</v>
      </c>
      <c r="J93">
        <f t="shared" ref="J93:J101" si="20">((B93/100)*$R$12)*D93/100</f>
        <v>670.68</v>
      </c>
      <c r="K93">
        <f t="shared" ref="K93:K101" si="21">(J93*(H93*10))/1000</f>
        <v>65.055959999999999</v>
      </c>
      <c r="L93">
        <f t="shared" ref="L93:L101" si="22">J93*E93</f>
        <v>6371.4599999999991</v>
      </c>
      <c r="M93">
        <f t="shared" ref="M93:M101" si="23">(G93*J93)</f>
        <v>109320.84</v>
      </c>
      <c r="N93">
        <f t="shared" ref="N93:N100" si="24">F93*J93</f>
        <v>401737.31999999995</v>
      </c>
      <c r="O93" s="35">
        <f t="shared" ref="O93:O100" si="25">((M93/6.25)/J93)/10</f>
        <v>2.6080000000000001</v>
      </c>
    </row>
    <row r="94" spans="1:15" ht="28.5" x14ac:dyDescent="0.45">
      <c r="A94" s="62" t="s">
        <v>142</v>
      </c>
      <c r="B94">
        <v>10</v>
      </c>
      <c r="C94" s="12">
        <v>93</v>
      </c>
      <c r="D94">
        <v>19</v>
      </c>
      <c r="E94">
        <v>11.3</v>
      </c>
      <c r="F94">
        <v>350</v>
      </c>
      <c r="G94">
        <v>210</v>
      </c>
      <c r="H94">
        <v>11</v>
      </c>
      <c r="I94">
        <v>0</v>
      </c>
      <c r="J94">
        <f t="shared" si="20"/>
        <v>342</v>
      </c>
      <c r="K94">
        <f t="shared" si="21"/>
        <v>37.619999999999997</v>
      </c>
      <c r="L94">
        <f t="shared" si="22"/>
        <v>3864.6000000000004</v>
      </c>
      <c r="M94">
        <f t="shared" si="23"/>
        <v>71820</v>
      </c>
      <c r="N94">
        <f t="shared" si="24"/>
        <v>119700</v>
      </c>
      <c r="O94" s="35">
        <f t="shared" si="25"/>
        <v>3.3600000000000003</v>
      </c>
    </row>
    <row r="95" spans="1:15" ht="28.5" x14ac:dyDescent="0.45">
      <c r="A95" s="62" t="s">
        <v>143</v>
      </c>
      <c r="B95">
        <v>15</v>
      </c>
      <c r="C95" s="12">
        <v>95</v>
      </c>
      <c r="D95">
        <v>19</v>
      </c>
      <c r="E95">
        <v>11.3</v>
      </c>
      <c r="F95">
        <v>350</v>
      </c>
      <c r="G95">
        <v>210</v>
      </c>
      <c r="H95">
        <v>11</v>
      </c>
      <c r="I95">
        <v>0</v>
      </c>
      <c r="J95">
        <f t="shared" si="20"/>
        <v>513</v>
      </c>
      <c r="K95">
        <f t="shared" si="21"/>
        <v>56.43</v>
      </c>
      <c r="L95">
        <f t="shared" si="22"/>
        <v>5796.9000000000005</v>
      </c>
      <c r="M95">
        <f t="shared" si="23"/>
        <v>107730</v>
      </c>
      <c r="N95">
        <f t="shared" si="24"/>
        <v>179550</v>
      </c>
      <c r="O95" s="35">
        <f t="shared" si="25"/>
        <v>3.3600000000000003</v>
      </c>
    </row>
    <row r="96" spans="1:15" ht="28.5" x14ac:dyDescent="0.45">
      <c r="A96" s="62" t="s">
        <v>144</v>
      </c>
      <c r="B96">
        <v>5</v>
      </c>
      <c r="C96" s="12">
        <v>96</v>
      </c>
      <c r="D96">
        <v>20</v>
      </c>
      <c r="E96">
        <v>11.2</v>
      </c>
      <c r="F96">
        <v>570</v>
      </c>
      <c r="G96">
        <v>165</v>
      </c>
      <c r="H96">
        <v>8</v>
      </c>
      <c r="I96">
        <v>0</v>
      </c>
      <c r="J96">
        <f t="shared" si="20"/>
        <v>180</v>
      </c>
      <c r="K96">
        <f t="shared" si="21"/>
        <v>14.4</v>
      </c>
      <c r="L96">
        <f t="shared" si="22"/>
        <v>2015.9999999999998</v>
      </c>
      <c r="M96">
        <f t="shared" si="23"/>
        <v>29700</v>
      </c>
      <c r="N96">
        <f t="shared" si="24"/>
        <v>102600</v>
      </c>
      <c r="O96" s="35">
        <f t="shared" si="25"/>
        <v>2.6399999999999997</v>
      </c>
    </row>
    <row r="97" spans="1:15" x14ac:dyDescent="0.45">
      <c r="A97" s="62" t="s">
        <v>145</v>
      </c>
      <c r="B97">
        <v>10</v>
      </c>
      <c r="C97" s="12">
        <v>89</v>
      </c>
      <c r="D97">
        <v>23</v>
      </c>
      <c r="E97">
        <v>9.3000000000000007</v>
      </c>
      <c r="F97">
        <v>410</v>
      </c>
      <c r="G97">
        <v>190</v>
      </c>
      <c r="H97">
        <v>10</v>
      </c>
      <c r="I97">
        <f>0.021*(J97*10)+7</f>
        <v>93.940000000000012</v>
      </c>
      <c r="J97">
        <f t="shared" si="20"/>
        <v>414</v>
      </c>
      <c r="K97">
        <f t="shared" si="21"/>
        <v>41.4</v>
      </c>
      <c r="L97">
        <f t="shared" si="22"/>
        <v>3850.2000000000003</v>
      </c>
      <c r="M97">
        <f t="shared" si="23"/>
        <v>78660</v>
      </c>
      <c r="N97">
        <f t="shared" si="24"/>
        <v>169740</v>
      </c>
      <c r="O97" s="35">
        <f t="shared" si="25"/>
        <v>3.04</v>
      </c>
    </row>
    <row r="98" spans="1:15" ht="28.5" x14ac:dyDescent="0.45">
      <c r="A98" s="62" t="s">
        <v>146</v>
      </c>
      <c r="B98">
        <v>5</v>
      </c>
      <c r="C98" s="12">
        <v>88</v>
      </c>
      <c r="D98">
        <v>23</v>
      </c>
      <c r="E98">
        <v>9.3000000000000007</v>
      </c>
      <c r="F98">
        <v>410</v>
      </c>
      <c r="G98">
        <v>190</v>
      </c>
      <c r="H98">
        <v>10</v>
      </c>
      <c r="I98">
        <f>0.021*(J98*10)+7</f>
        <v>50.470000000000006</v>
      </c>
      <c r="J98">
        <f t="shared" si="20"/>
        <v>207</v>
      </c>
      <c r="K98">
        <f t="shared" si="21"/>
        <v>20.7</v>
      </c>
      <c r="L98">
        <f t="shared" si="22"/>
        <v>1925.1000000000001</v>
      </c>
      <c r="M98">
        <f t="shared" si="23"/>
        <v>39330</v>
      </c>
      <c r="N98">
        <f t="shared" si="24"/>
        <v>84870</v>
      </c>
      <c r="O98" s="35">
        <f t="shared" si="25"/>
        <v>3.04</v>
      </c>
    </row>
    <row r="99" spans="1:15" x14ac:dyDescent="0.45">
      <c r="A99" s="62" t="s">
        <v>147</v>
      </c>
      <c r="B99">
        <v>7</v>
      </c>
      <c r="C99" s="12">
        <f>(95+81)/2</f>
        <v>88</v>
      </c>
      <c r="D99">
        <v>18</v>
      </c>
      <c r="E99">
        <v>10.6</v>
      </c>
      <c r="F99">
        <v>360</v>
      </c>
      <c r="G99">
        <v>210</v>
      </c>
      <c r="H99">
        <v>11.5</v>
      </c>
      <c r="I99">
        <f>0.021*(J99*10)+7</f>
        <v>54.628000000000014</v>
      </c>
      <c r="J99">
        <f t="shared" si="20"/>
        <v>226.80000000000004</v>
      </c>
      <c r="K99">
        <f t="shared" si="21"/>
        <v>26.082000000000004</v>
      </c>
      <c r="L99">
        <f t="shared" si="22"/>
        <v>2404.0800000000004</v>
      </c>
      <c r="M99">
        <f t="shared" si="23"/>
        <v>47628.000000000007</v>
      </c>
      <c r="N99">
        <f t="shared" si="24"/>
        <v>81648.000000000015</v>
      </c>
      <c r="O99" s="35">
        <f t="shared" si="25"/>
        <v>3.3600000000000003</v>
      </c>
    </row>
    <row r="100" spans="1:15" ht="28.5" x14ac:dyDescent="0.45">
      <c r="A100" s="62" t="s">
        <v>148</v>
      </c>
      <c r="B100">
        <v>3</v>
      </c>
      <c r="C100" s="12">
        <v>92</v>
      </c>
      <c r="D100">
        <v>18</v>
      </c>
      <c r="E100">
        <v>10.6</v>
      </c>
      <c r="F100">
        <v>360</v>
      </c>
      <c r="G100">
        <v>210</v>
      </c>
      <c r="H100">
        <v>11.5</v>
      </c>
      <c r="I100">
        <f t="shared" ref="I100:I101" si="26">0.021*(J100*10)+7</f>
        <v>27.412000000000003</v>
      </c>
      <c r="J100">
        <f t="shared" si="20"/>
        <v>97.2</v>
      </c>
      <c r="K100">
        <f t="shared" si="21"/>
        <v>11.178000000000001</v>
      </c>
      <c r="L100">
        <f t="shared" si="22"/>
        <v>1030.32</v>
      </c>
      <c r="M100">
        <f t="shared" si="23"/>
        <v>20412</v>
      </c>
      <c r="N100">
        <f t="shared" si="24"/>
        <v>34992</v>
      </c>
      <c r="O100" s="35">
        <f t="shared" si="25"/>
        <v>3.3600000000000003</v>
      </c>
    </row>
    <row r="101" spans="1:15" ht="28.5" x14ac:dyDescent="0.45">
      <c r="A101" s="62" t="s">
        <v>149</v>
      </c>
      <c r="B101">
        <v>2</v>
      </c>
      <c r="C101" s="12">
        <v>86</v>
      </c>
      <c r="D101">
        <v>18</v>
      </c>
      <c r="E101">
        <v>10.6</v>
      </c>
      <c r="F101">
        <v>360</v>
      </c>
      <c r="G101">
        <v>210</v>
      </c>
      <c r="H101">
        <v>11.5</v>
      </c>
      <c r="I101">
        <f t="shared" si="26"/>
        <v>20.608000000000001</v>
      </c>
      <c r="J101">
        <f t="shared" si="20"/>
        <v>64.8</v>
      </c>
      <c r="K101">
        <f t="shared" si="21"/>
        <v>7.452</v>
      </c>
      <c r="L101">
        <f t="shared" si="22"/>
        <v>686.88</v>
      </c>
      <c r="M101">
        <f t="shared" si="23"/>
        <v>13608</v>
      </c>
      <c r="N101">
        <f>F101*J101</f>
        <v>23328</v>
      </c>
      <c r="O101" s="35">
        <f>((M101/6.25)/J101)/10</f>
        <v>3.3600000000000003</v>
      </c>
    </row>
    <row r="102" spans="1:15" ht="71.650000000000006" thickBot="1" x14ac:dyDescent="0.5">
      <c r="A102" s="51" t="s">
        <v>162</v>
      </c>
      <c r="B102" s="41"/>
      <c r="C102" s="83"/>
      <c r="D102" s="41"/>
      <c r="E102" s="41"/>
      <c r="F102" s="41"/>
      <c r="G102" s="41"/>
      <c r="H102" s="41"/>
      <c r="I102" s="41">
        <f>SUM(I97:I101)</f>
        <v>247.05800000000005</v>
      </c>
      <c r="J102" s="41">
        <f>SUM(J92:J101)</f>
        <v>3930.48</v>
      </c>
      <c r="K102" s="41">
        <f t="shared" ref="K102:O102" si="27">SUM(K92:K101)</f>
        <v>377.51795999999996</v>
      </c>
      <c r="L102" s="41">
        <f t="shared" si="27"/>
        <v>39245.039999999994</v>
      </c>
      <c r="M102" s="41">
        <f t="shared" si="27"/>
        <v>685878.84</v>
      </c>
      <c r="N102" s="41">
        <f t="shared" si="27"/>
        <v>1953895.3199999998</v>
      </c>
      <c r="O102" s="43">
        <f t="shared" si="27"/>
        <v>30.335999999999999</v>
      </c>
    </row>
    <row r="103" spans="1:15" ht="14.65" thickBot="1" x14ac:dyDescent="0.5"/>
    <row r="104" spans="1:15" s="12" customFormat="1" x14ac:dyDescent="0.45">
      <c r="A104" s="72" t="s">
        <v>908</v>
      </c>
      <c r="B104" s="77"/>
      <c r="C104" s="77"/>
      <c r="D104" s="77"/>
      <c r="E104" s="77"/>
      <c r="F104" s="77"/>
      <c r="G104" s="77"/>
      <c r="H104" s="77"/>
      <c r="I104" s="77"/>
      <c r="J104" s="77"/>
      <c r="K104" s="77"/>
      <c r="L104" s="77"/>
      <c r="M104" s="77"/>
      <c r="N104" s="78"/>
    </row>
    <row r="105" spans="1:15" ht="71.25" x14ac:dyDescent="0.45">
      <c r="A105" s="62" t="s">
        <v>909</v>
      </c>
      <c r="B105" s="12" t="s">
        <v>133</v>
      </c>
      <c r="C105" s="12" t="s">
        <v>151</v>
      </c>
      <c r="D105" s="12" t="s">
        <v>152</v>
      </c>
      <c r="E105" s="12" t="s">
        <v>153</v>
      </c>
      <c r="F105" s="12" t="s">
        <v>154</v>
      </c>
      <c r="G105" s="12" t="s">
        <v>158</v>
      </c>
      <c r="H105" s="12" t="s">
        <v>241</v>
      </c>
      <c r="I105" s="12" t="s">
        <v>242</v>
      </c>
      <c r="J105" s="12" t="s">
        <v>245</v>
      </c>
      <c r="K105" s="12" t="s">
        <v>246</v>
      </c>
      <c r="L105" s="12" t="s">
        <v>247</v>
      </c>
      <c r="M105" s="12" t="s">
        <v>910</v>
      </c>
      <c r="N105" s="52" t="s">
        <v>293</v>
      </c>
    </row>
    <row r="106" spans="1:15" x14ac:dyDescent="0.45">
      <c r="A106" s="62" t="s">
        <v>140</v>
      </c>
      <c r="B106">
        <v>25</v>
      </c>
      <c r="C106" s="12">
        <v>35</v>
      </c>
      <c r="D106">
        <v>11.5</v>
      </c>
      <c r="E106">
        <v>520</v>
      </c>
      <c r="F106">
        <v>170</v>
      </c>
      <c r="G106">
        <v>8.5</v>
      </c>
      <c r="H106">
        <f>((($B$117)*(B106/100))*(C106/100))</f>
        <v>1575</v>
      </c>
      <c r="I106">
        <f>((G106*10)*H106)/1000</f>
        <v>133.875</v>
      </c>
      <c r="J106">
        <f>H106*D106</f>
        <v>18112.5</v>
      </c>
      <c r="K106">
        <f>F106*H106</f>
        <v>267750</v>
      </c>
      <c r="L106">
        <f>H106*E106</f>
        <v>819000</v>
      </c>
      <c r="M106">
        <f>((K106/6.25)/H106)/10</f>
        <v>2.7199999999999998</v>
      </c>
      <c r="N106" s="35"/>
    </row>
    <row r="107" spans="1:15" ht="57" x14ac:dyDescent="0.45">
      <c r="A107" s="62" t="s">
        <v>157</v>
      </c>
      <c r="B107">
        <v>18</v>
      </c>
      <c r="C107" s="12">
        <v>35</v>
      </c>
      <c r="D107">
        <v>11.5</v>
      </c>
      <c r="E107">
        <v>520</v>
      </c>
      <c r="F107">
        <v>170</v>
      </c>
      <c r="G107">
        <v>8.5</v>
      </c>
      <c r="H107">
        <f t="shared" ref="H107:H115" si="28">((($B$117)*(B107/100))*(C107/100))</f>
        <v>1134</v>
      </c>
      <c r="I107">
        <f t="shared" ref="I107:I115" si="29">((G107*10)*H107)/1000</f>
        <v>96.39</v>
      </c>
      <c r="J107">
        <f t="shared" ref="J107:J115" si="30">H107*D107</f>
        <v>13041</v>
      </c>
      <c r="K107">
        <f t="shared" ref="K107:K115" si="31">F107*H107</f>
        <v>192780</v>
      </c>
      <c r="L107">
        <f t="shared" ref="L107:L115" si="32">H107*E107</f>
        <v>589680</v>
      </c>
      <c r="M107">
        <f t="shared" ref="M107:M115" si="33">((K107/6.25)/H107)/10</f>
        <v>2.7199999999999998</v>
      </c>
      <c r="N107" s="35"/>
    </row>
    <row r="108" spans="1:15" ht="28.5" x14ac:dyDescent="0.45">
      <c r="A108" s="62" t="s">
        <v>142</v>
      </c>
      <c r="B108">
        <v>10</v>
      </c>
      <c r="C108" s="12">
        <v>35</v>
      </c>
      <c r="D108">
        <v>11.5</v>
      </c>
      <c r="E108">
        <v>520</v>
      </c>
      <c r="F108">
        <v>170</v>
      </c>
      <c r="G108">
        <v>8.5</v>
      </c>
      <c r="H108">
        <f t="shared" si="28"/>
        <v>630</v>
      </c>
      <c r="I108">
        <f t="shared" si="29"/>
        <v>53.55</v>
      </c>
      <c r="J108">
        <f t="shared" si="30"/>
        <v>7245</v>
      </c>
      <c r="K108">
        <f t="shared" si="31"/>
        <v>107100</v>
      </c>
      <c r="L108">
        <f t="shared" si="32"/>
        <v>327600</v>
      </c>
      <c r="M108">
        <f t="shared" si="33"/>
        <v>2.7199999999999998</v>
      </c>
      <c r="N108" s="35"/>
    </row>
    <row r="109" spans="1:15" ht="28.5" x14ac:dyDescent="0.45">
      <c r="A109" s="62" t="s">
        <v>143</v>
      </c>
      <c r="B109">
        <v>15</v>
      </c>
      <c r="C109" s="12">
        <v>35</v>
      </c>
      <c r="D109">
        <v>11.5</v>
      </c>
      <c r="E109">
        <v>520</v>
      </c>
      <c r="F109">
        <v>170</v>
      </c>
      <c r="G109">
        <v>8.5</v>
      </c>
      <c r="H109">
        <f t="shared" si="28"/>
        <v>944.99999999999989</v>
      </c>
      <c r="I109">
        <f t="shared" si="29"/>
        <v>80.324999999999989</v>
      </c>
      <c r="J109">
        <f t="shared" si="30"/>
        <v>10867.499999999998</v>
      </c>
      <c r="K109">
        <f t="shared" si="31"/>
        <v>160649.99999999997</v>
      </c>
      <c r="L109">
        <f t="shared" si="32"/>
        <v>491399.99999999994</v>
      </c>
      <c r="M109">
        <f t="shared" si="33"/>
        <v>2.7199999999999998</v>
      </c>
      <c r="N109" s="35"/>
    </row>
    <row r="110" spans="1:15" ht="28.5" x14ac:dyDescent="0.45">
      <c r="A110" s="62" t="s">
        <v>144</v>
      </c>
      <c r="B110">
        <v>5</v>
      </c>
      <c r="C110" s="12">
        <v>35</v>
      </c>
      <c r="D110">
        <v>11.5</v>
      </c>
      <c r="E110">
        <v>520</v>
      </c>
      <c r="F110">
        <v>170</v>
      </c>
      <c r="G110">
        <v>8.5</v>
      </c>
      <c r="H110">
        <f t="shared" si="28"/>
        <v>315</v>
      </c>
      <c r="I110">
        <f t="shared" si="29"/>
        <v>26.774999999999999</v>
      </c>
      <c r="J110">
        <f t="shared" si="30"/>
        <v>3622.5</v>
      </c>
      <c r="K110">
        <f t="shared" si="31"/>
        <v>53550</v>
      </c>
      <c r="L110">
        <f t="shared" si="32"/>
        <v>163800</v>
      </c>
      <c r="M110">
        <f t="shared" si="33"/>
        <v>2.7199999999999998</v>
      </c>
      <c r="N110" s="35"/>
    </row>
    <row r="111" spans="1:15" x14ac:dyDescent="0.45">
      <c r="A111" s="62" t="s">
        <v>145</v>
      </c>
      <c r="B111">
        <v>10</v>
      </c>
      <c r="C111" s="12">
        <v>35</v>
      </c>
      <c r="D111">
        <v>10.199999999999999</v>
      </c>
      <c r="E111">
        <v>340</v>
      </c>
      <c r="F111">
        <v>230</v>
      </c>
      <c r="G111">
        <v>11.5</v>
      </c>
      <c r="H111">
        <f t="shared" si="28"/>
        <v>630</v>
      </c>
      <c r="I111">
        <f t="shared" si="29"/>
        <v>72.45</v>
      </c>
      <c r="J111">
        <f t="shared" si="30"/>
        <v>6426</v>
      </c>
      <c r="K111">
        <f t="shared" si="31"/>
        <v>144900</v>
      </c>
      <c r="L111">
        <f t="shared" si="32"/>
        <v>214200</v>
      </c>
      <c r="M111">
        <f t="shared" si="33"/>
        <v>3.6799999999999997</v>
      </c>
      <c r="N111" s="35"/>
    </row>
    <row r="112" spans="1:15" ht="28.5" x14ac:dyDescent="0.45">
      <c r="A112" s="62" t="s">
        <v>146</v>
      </c>
      <c r="B112">
        <v>5</v>
      </c>
      <c r="C112" s="12">
        <v>35</v>
      </c>
      <c r="D112">
        <v>10.199999999999999</v>
      </c>
      <c r="E112">
        <v>340</v>
      </c>
      <c r="F112">
        <v>230</v>
      </c>
      <c r="G112">
        <v>11.5</v>
      </c>
      <c r="H112">
        <f t="shared" si="28"/>
        <v>315</v>
      </c>
      <c r="I112">
        <f t="shared" si="29"/>
        <v>36.225000000000001</v>
      </c>
      <c r="J112">
        <f t="shared" si="30"/>
        <v>3213</v>
      </c>
      <c r="K112">
        <f t="shared" si="31"/>
        <v>72450</v>
      </c>
      <c r="L112">
        <f t="shared" si="32"/>
        <v>107100</v>
      </c>
      <c r="M112">
        <f t="shared" si="33"/>
        <v>3.6799999999999997</v>
      </c>
      <c r="N112" s="35"/>
    </row>
    <row r="113" spans="1:14" x14ac:dyDescent="0.45">
      <c r="A113" s="62" t="s">
        <v>147</v>
      </c>
      <c r="B113">
        <v>7</v>
      </c>
      <c r="C113" s="12">
        <v>35</v>
      </c>
      <c r="D113">
        <v>10.7</v>
      </c>
      <c r="E113">
        <v>310</v>
      </c>
      <c r="F113">
        <v>165</v>
      </c>
      <c r="G113">
        <v>8.5</v>
      </c>
      <c r="H113">
        <f t="shared" si="28"/>
        <v>441.00000000000006</v>
      </c>
      <c r="I113">
        <f t="shared" si="29"/>
        <v>37.485000000000007</v>
      </c>
      <c r="J113">
        <f t="shared" si="30"/>
        <v>4718.7000000000007</v>
      </c>
      <c r="K113">
        <f t="shared" si="31"/>
        <v>72765.000000000015</v>
      </c>
      <c r="L113">
        <f t="shared" si="32"/>
        <v>136710.00000000003</v>
      </c>
      <c r="M113">
        <f t="shared" si="33"/>
        <v>2.6399999999999997</v>
      </c>
      <c r="N113" s="35"/>
    </row>
    <row r="114" spans="1:14" ht="28.5" x14ac:dyDescent="0.45">
      <c r="A114" s="62" t="s">
        <v>148</v>
      </c>
      <c r="B114">
        <v>3</v>
      </c>
      <c r="C114" s="12">
        <v>35</v>
      </c>
      <c r="D114">
        <v>10.7</v>
      </c>
      <c r="E114">
        <v>310</v>
      </c>
      <c r="F114">
        <v>165</v>
      </c>
      <c r="G114">
        <v>8.5</v>
      </c>
      <c r="H114">
        <f t="shared" si="28"/>
        <v>189</v>
      </c>
      <c r="I114">
        <f t="shared" si="29"/>
        <v>16.065000000000001</v>
      </c>
      <c r="J114">
        <f t="shared" si="30"/>
        <v>2022.3</v>
      </c>
      <c r="K114">
        <f t="shared" si="31"/>
        <v>31185</v>
      </c>
      <c r="L114">
        <f t="shared" si="32"/>
        <v>58590</v>
      </c>
      <c r="M114">
        <f t="shared" si="33"/>
        <v>2.64</v>
      </c>
      <c r="N114" s="35"/>
    </row>
    <row r="115" spans="1:14" ht="28.5" x14ac:dyDescent="0.45">
      <c r="A115" s="62" t="s">
        <v>149</v>
      </c>
      <c r="B115">
        <v>2</v>
      </c>
      <c r="C115" s="12">
        <v>35</v>
      </c>
      <c r="D115">
        <v>10.7</v>
      </c>
      <c r="E115">
        <v>310</v>
      </c>
      <c r="F115">
        <v>165</v>
      </c>
      <c r="G115">
        <v>8.5</v>
      </c>
      <c r="H115">
        <f t="shared" si="28"/>
        <v>125.99999999999999</v>
      </c>
      <c r="I115">
        <f t="shared" si="29"/>
        <v>10.709999999999997</v>
      </c>
      <c r="J115">
        <f t="shared" si="30"/>
        <v>1348.1999999999998</v>
      </c>
      <c r="K115">
        <f t="shared" si="31"/>
        <v>20789.999999999996</v>
      </c>
      <c r="L115">
        <f t="shared" si="32"/>
        <v>39059.999999999993</v>
      </c>
      <c r="M115">
        <f t="shared" si="33"/>
        <v>2.6399999999999997</v>
      </c>
      <c r="N115" s="35"/>
    </row>
    <row r="116" spans="1:14" x14ac:dyDescent="0.45">
      <c r="A116" s="75" t="s">
        <v>462</v>
      </c>
      <c r="N116" s="35"/>
    </row>
    <row r="117" spans="1:14" x14ac:dyDescent="0.45">
      <c r="A117" s="62" t="s">
        <v>460</v>
      </c>
      <c r="B117">
        <v>18000</v>
      </c>
      <c r="N117" s="35"/>
    </row>
    <row r="118" spans="1:14" ht="28.5" x14ac:dyDescent="0.45">
      <c r="A118" s="62" t="s">
        <v>461</v>
      </c>
      <c r="B118">
        <f>SUM(H106:H115)</f>
        <v>6300</v>
      </c>
      <c r="N118" s="35"/>
    </row>
    <row r="119" spans="1:14" x14ac:dyDescent="0.45">
      <c r="A119" s="62" t="s">
        <v>242</v>
      </c>
      <c r="B119">
        <f>SUM(I106:I115)</f>
        <v>563.85</v>
      </c>
      <c r="N119" s="35"/>
    </row>
    <row r="120" spans="1:14" x14ac:dyDescent="0.45">
      <c r="A120" s="62" t="s">
        <v>245</v>
      </c>
      <c r="B120">
        <f>SUM(J106:J115)</f>
        <v>70616.7</v>
      </c>
      <c r="N120" s="35"/>
    </row>
    <row r="121" spans="1:14" x14ac:dyDescent="0.45">
      <c r="A121" s="62" t="s">
        <v>246</v>
      </c>
      <c r="B121">
        <f>SUM(K106:K115)</f>
        <v>1123920</v>
      </c>
      <c r="N121" s="35"/>
    </row>
    <row r="122" spans="1:14" x14ac:dyDescent="0.45">
      <c r="A122" s="62" t="s">
        <v>247</v>
      </c>
      <c r="B122">
        <f>SUM(L106:L115)</f>
        <v>2947140</v>
      </c>
      <c r="N122" s="35"/>
    </row>
    <row r="123" spans="1:14" ht="16.149999999999999" customHeight="1" thickBot="1" x14ac:dyDescent="0.5">
      <c r="A123" s="51" t="s">
        <v>292</v>
      </c>
      <c r="B123" s="41">
        <f>SUM(M106:M115)</f>
        <v>28.88</v>
      </c>
      <c r="C123" s="83"/>
      <c r="D123" s="41"/>
      <c r="E123" s="41"/>
      <c r="F123" s="41"/>
      <c r="G123" s="41"/>
      <c r="H123" s="41"/>
      <c r="I123" s="41"/>
      <c r="J123" s="41"/>
      <c r="K123" s="41"/>
      <c r="L123" s="41"/>
      <c r="M123" s="41"/>
      <c r="N123" s="43"/>
    </row>
    <row r="124" spans="1:14" ht="28.9" customHeight="1" thickBot="1" x14ac:dyDescent="0.5"/>
    <row r="125" spans="1:14" x14ac:dyDescent="0.45">
      <c r="A125" s="72" t="s">
        <v>235</v>
      </c>
      <c r="B125" s="73"/>
      <c r="C125" s="77"/>
      <c r="D125" s="73"/>
      <c r="E125" s="73"/>
      <c r="F125" s="73"/>
      <c r="G125" s="73"/>
      <c r="H125" s="73"/>
      <c r="I125" s="73"/>
      <c r="J125" s="73"/>
      <c r="K125" s="73"/>
      <c r="L125" s="73"/>
      <c r="M125" s="74"/>
    </row>
    <row r="126" spans="1:14" s="12" customFormat="1" ht="28.5" x14ac:dyDescent="0.45">
      <c r="A126" s="62" t="s">
        <v>132</v>
      </c>
      <c r="B126" s="12" t="s">
        <v>133</v>
      </c>
      <c r="C126" s="12" t="s">
        <v>151</v>
      </c>
      <c r="D126" s="12" t="s">
        <v>152</v>
      </c>
      <c r="E126" s="12" t="s">
        <v>153</v>
      </c>
      <c r="F126" s="12" t="s">
        <v>154</v>
      </c>
      <c r="G126" s="12" t="s">
        <v>158</v>
      </c>
      <c r="H126" s="12" t="s">
        <v>241</v>
      </c>
      <c r="I126" s="12" t="s">
        <v>242</v>
      </c>
      <c r="J126" s="12" t="s">
        <v>245</v>
      </c>
      <c r="K126" s="12" t="s">
        <v>246</v>
      </c>
      <c r="L126" s="12" t="s">
        <v>247</v>
      </c>
      <c r="M126" s="52" t="s">
        <v>292</v>
      </c>
    </row>
    <row r="127" spans="1:14" x14ac:dyDescent="0.45">
      <c r="A127" s="62" t="s">
        <v>140</v>
      </c>
      <c r="B127">
        <v>25</v>
      </c>
      <c r="C127" s="12">
        <v>30.8</v>
      </c>
      <c r="D127">
        <v>8.9</v>
      </c>
      <c r="E127">
        <v>562</v>
      </c>
      <c r="F127">
        <v>139</v>
      </c>
      <c r="G127">
        <v>8.1999999999999993</v>
      </c>
      <c r="H127">
        <f t="shared" ref="H127:H136" si="34">((($B$138)*(B127/100))*(C127/100))</f>
        <v>1386</v>
      </c>
      <c r="I127">
        <f>(H127*(G127*10))/1000</f>
        <v>113.652</v>
      </c>
      <c r="J127">
        <f>H127*D127</f>
        <v>12335.4</v>
      </c>
      <c r="K127">
        <f t="shared" ref="K127:K136" si="35">F127*H127</f>
        <v>192654</v>
      </c>
      <c r="L127">
        <f>E127*H127</f>
        <v>778932</v>
      </c>
      <c r="M127" s="35">
        <f>((K127/6.25)/H127)/10</f>
        <v>2.2239999999999998</v>
      </c>
    </row>
    <row r="128" spans="1:14" ht="57" x14ac:dyDescent="0.45">
      <c r="A128" s="62" t="s">
        <v>157</v>
      </c>
      <c r="B128">
        <v>18</v>
      </c>
      <c r="C128" s="12">
        <v>45</v>
      </c>
      <c r="D128">
        <v>10.6</v>
      </c>
      <c r="E128">
        <v>580</v>
      </c>
      <c r="F128">
        <v>153</v>
      </c>
      <c r="G128">
        <v>7.5</v>
      </c>
      <c r="H128">
        <f t="shared" si="34"/>
        <v>1458</v>
      </c>
      <c r="I128">
        <f t="shared" ref="I128:I136" si="36">(H128*(G128*10))/1000</f>
        <v>109.35</v>
      </c>
      <c r="J128">
        <f t="shared" ref="J128:J136" si="37">H128*D128</f>
        <v>15454.8</v>
      </c>
      <c r="K128">
        <f t="shared" si="35"/>
        <v>223074</v>
      </c>
      <c r="L128">
        <f t="shared" ref="L128:L136" si="38">E128*H128</f>
        <v>845640</v>
      </c>
      <c r="M128" s="35">
        <f t="shared" ref="M128:M136" si="39">((K128/6.25)/H128)/10</f>
        <v>2.4479999999999995</v>
      </c>
    </row>
    <row r="129" spans="1:13" ht="28.5" x14ac:dyDescent="0.45">
      <c r="A129" s="62" t="s">
        <v>142</v>
      </c>
      <c r="B129">
        <v>10</v>
      </c>
      <c r="C129" s="12">
        <v>34</v>
      </c>
      <c r="D129">
        <v>10.6</v>
      </c>
      <c r="E129">
        <v>500</v>
      </c>
      <c r="F129">
        <v>161</v>
      </c>
      <c r="G129">
        <v>11.3</v>
      </c>
      <c r="H129">
        <f t="shared" si="34"/>
        <v>612</v>
      </c>
      <c r="I129">
        <f t="shared" si="36"/>
        <v>69.156000000000006</v>
      </c>
      <c r="J129">
        <f t="shared" si="37"/>
        <v>6487.2</v>
      </c>
      <c r="K129">
        <f t="shared" si="35"/>
        <v>98532</v>
      </c>
      <c r="L129">
        <f t="shared" si="38"/>
        <v>306000</v>
      </c>
      <c r="M129" s="35">
        <f t="shared" si="39"/>
        <v>2.5760000000000001</v>
      </c>
    </row>
    <row r="130" spans="1:13" ht="28.5" x14ac:dyDescent="0.45">
      <c r="A130" s="62" t="s">
        <v>143</v>
      </c>
      <c r="B130">
        <v>15</v>
      </c>
      <c r="C130" s="12">
        <v>34</v>
      </c>
      <c r="D130">
        <v>10.6</v>
      </c>
      <c r="E130">
        <v>500</v>
      </c>
      <c r="F130">
        <v>161</v>
      </c>
      <c r="G130">
        <v>11.3</v>
      </c>
      <c r="H130">
        <f t="shared" si="34"/>
        <v>918.00000000000011</v>
      </c>
      <c r="I130">
        <f t="shared" si="36"/>
        <v>103.73400000000001</v>
      </c>
      <c r="J130">
        <f t="shared" si="37"/>
        <v>9730.8000000000011</v>
      </c>
      <c r="K130">
        <f t="shared" si="35"/>
        <v>147798.00000000003</v>
      </c>
      <c r="L130">
        <f t="shared" si="38"/>
        <v>459000.00000000006</v>
      </c>
      <c r="M130" s="35">
        <f t="shared" si="39"/>
        <v>2.5760000000000001</v>
      </c>
    </row>
    <row r="131" spans="1:13" ht="28.5" x14ac:dyDescent="0.45">
      <c r="A131" s="62" t="s">
        <v>144</v>
      </c>
      <c r="B131">
        <v>5</v>
      </c>
      <c r="C131" s="12">
        <v>35</v>
      </c>
      <c r="D131">
        <v>10.6</v>
      </c>
      <c r="E131">
        <v>580</v>
      </c>
      <c r="F131">
        <v>145</v>
      </c>
      <c r="G131">
        <v>75</v>
      </c>
      <c r="H131">
        <f t="shared" si="34"/>
        <v>315</v>
      </c>
      <c r="I131">
        <f t="shared" si="36"/>
        <v>236.25</v>
      </c>
      <c r="J131">
        <f t="shared" si="37"/>
        <v>3339</v>
      </c>
      <c r="K131">
        <f t="shared" si="35"/>
        <v>45675</v>
      </c>
      <c r="L131">
        <f t="shared" si="38"/>
        <v>182700</v>
      </c>
      <c r="M131" s="35">
        <f t="shared" si="39"/>
        <v>2.3199999999999998</v>
      </c>
    </row>
    <row r="132" spans="1:13" x14ac:dyDescent="0.45">
      <c r="A132" s="62" t="s">
        <v>145</v>
      </c>
      <c r="B132">
        <v>10</v>
      </c>
      <c r="C132" s="12">
        <v>35</v>
      </c>
      <c r="D132">
        <v>9</v>
      </c>
      <c r="E132">
        <v>420</v>
      </c>
      <c r="F132">
        <v>185</v>
      </c>
      <c r="G132">
        <v>10.5</v>
      </c>
      <c r="H132">
        <f t="shared" si="34"/>
        <v>630</v>
      </c>
      <c r="I132">
        <f t="shared" si="36"/>
        <v>66.150000000000006</v>
      </c>
      <c r="J132">
        <f t="shared" si="37"/>
        <v>5670</v>
      </c>
      <c r="K132">
        <f t="shared" si="35"/>
        <v>116550</v>
      </c>
      <c r="L132">
        <f t="shared" si="38"/>
        <v>264600</v>
      </c>
      <c r="M132" s="35">
        <f t="shared" si="39"/>
        <v>2.96</v>
      </c>
    </row>
    <row r="133" spans="1:13" ht="28.5" x14ac:dyDescent="0.45">
      <c r="A133" s="62" t="s">
        <v>146</v>
      </c>
      <c r="B133">
        <v>5</v>
      </c>
      <c r="C133" s="12">
        <v>35</v>
      </c>
      <c r="D133">
        <v>9</v>
      </c>
      <c r="E133">
        <v>420</v>
      </c>
      <c r="F133">
        <v>185</v>
      </c>
      <c r="G133">
        <v>10.5</v>
      </c>
      <c r="H133">
        <f t="shared" si="34"/>
        <v>315</v>
      </c>
      <c r="I133">
        <f t="shared" si="36"/>
        <v>33.075000000000003</v>
      </c>
      <c r="J133">
        <f t="shared" si="37"/>
        <v>2835</v>
      </c>
      <c r="K133">
        <f t="shared" si="35"/>
        <v>58275</v>
      </c>
      <c r="L133">
        <f t="shared" si="38"/>
        <v>132300</v>
      </c>
      <c r="M133" s="35">
        <f t="shared" si="39"/>
        <v>2.96</v>
      </c>
    </row>
    <row r="134" spans="1:13" x14ac:dyDescent="0.45">
      <c r="A134" s="62" t="s">
        <v>147</v>
      </c>
      <c r="B134">
        <v>7</v>
      </c>
      <c r="C134" s="12">
        <v>35</v>
      </c>
      <c r="D134">
        <v>9.6</v>
      </c>
      <c r="E134">
        <v>560</v>
      </c>
      <c r="F134">
        <v>135</v>
      </c>
      <c r="G134">
        <v>8</v>
      </c>
      <c r="H134">
        <f t="shared" si="34"/>
        <v>441.00000000000006</v>
      </c>
      <c r="I134">
        <f t="shared" si="36"/>
        <v>35.280000000000008</v>
      </c>
      <c r="J134">
        <f t="shared" si="37"/>
        <v>4233.6000000000004</v>
      </c>
      <c r="K134">
        <f t="shared" si="35"/>
        <v>59535.000000000007</v>
      </c>
      <c r="L134">
        <f t="shared" si="38"/>
        <v>246960.00000000003</v>
      </c>
      <c r="M134" s="35">
        <f t="shared" si="39"/>
        <v>2.1599999999999997</v>
      </c>
    </row>
    <row r="135" spans="1:13" ht="28.5" x14ac:dyDescent="0.45">
      <c r="A135" s="62" t="s">
        <v>148</v>
      </c>
      <c r="B135">
        <v>3</v>
      </c>
      <c r="C135" s="12">
        <v>35</v>
      </c>
      <c r="D135">
        <v>9.6</v>
      </c>
      <c r="E135">
        <v>560</v>
      </c>
      <c r="F135">
        <v>135</v>
      </c>
      <c r="G135">
        <v>8</v>
      </c>
      <c r="H135">
        <f t="shared" si="34"/>
        <v>189</v>
      </c>
      <c r="I135">
        <f t="shared" si="36"/>
        <v>15.12</v>
      </c>
      <c r="J135">
        <f t="shared" si="37"/>
        <v>1814.3999999999999</v>
      </c>
      <c r="K135">
        <f t="shared" si="35"/>
        <v>25515</v>
      </c>
      <c r="L135">
        <f t="shared" si="38"/>
        <v>105840</v>
      </c>
      <c r="M135" s="35">
        <f t="shared" si="39"/>
        <v>2.16</v>
      </c>
    </row>
    <row r="136" spans="1:13" ht="28.5" x14ac:dyDescent="0.45">
      <c r="A136" s="62" t="s">
        <v>149</v>
      </c>
      <c r="B136">
        <v>2</v>
      </c>
      <c r="C136" s="12">
        <v>35</v>
      </c>
      <c r="D136">
        <v>9.6</v>
      </c>
      <c r="E136">
        <v>560</v>
      </c>
      <c r="F136">
        <v>135</v>
      </c>
      <c r="G136">
        <v>8</v>
      </c>
      <c r="H136">
        <f t="shared" si="34"/>
        <v>125.99999999999999</v>
      </c>
      <c r="I136">
        <f t="shared" si="36"/>
        <v>10.079999999999998</v>
      </c>
      <c r="J136">
        <f t="shared" si="37"/>
        <v>1209.5999999999999</v>
      </c>
      <c r="K136">
        <f t="shared" si="35"/>
        <v>17009.999999999996</v>
      </c>
      <c r="L136">
        <f t="shared" si="38"/>
        <v>70559.999999999985</v>
      </c>
      <c r="M136" s="35">
        <f t="shared" si="39"/>
        <v>2.1599999999999997</v>
      </c>
    </row>
    <row r="137" spans="1:13" x14ac:dyDescent="0.45">
      <c r="A137" s="75" t="s">
        <v>462</v>
      </c>
      <c r="M137" s="35"/>
    </row>
    <row r="138" spans="1:13" x14ac:dyDescent="0.45">
      <c r="A138" s="62" t="s">
        <v>460</v>
      </c>
      <c r="B138">
        <v>18000</v>
      </c>
      <c r="M138" s="35"/>
    </row>
    <row r="139" spans="1:13" ht="33" customHeight="1" x14ac:dyDescent="0.45">
      <c r="A139" s="62" t="s">
        <v>461</v>
      </c>
      <c r="B139">
        <f>SUM(H127:H136)</f>
        <v>6390</v>
      </c>
      <c r="M139" s="35"/>
    </row>
    <row r="140" spans="1:13" x14ac:dyDescent="0.45">
      <c r="A140" s="62" t="s">
        <v>242</v>
      </c>
      <c r="B140">
        <f>SUM(I127:I136)</f>
        <v>791.84700000000009</v>
      </c>
      <c r="M140" s="35"/>
    </row>
    <row r="141" spans="1:13" x14ac:dyDescent="0.45">
      <c r="A141" s="62" t="s">
        <v>463</v>
      </c>
      <c r="B141">
        <f>SUM(J127:J136)</f>
        <v>63109.799999999996</v>
      </c>
      <c r="M141" s="35"/>
    </row>
    <row r="142" spans="1:13" x14ac:dyDescent="0.45">
      <c r="A142" s="62" t="s">
        <v>246</v>
      </c>
      <c r="B142">
        <f>SUM(K127:K136)</f>
        <v>984618</v>
      </c>
      <c r="M142" s="35"/>
    </row>
    <row r="143" spans="1:13" x14ac:dyDescent="0.45">
      <c r="A143" s="62" t="s">
        <v>247</v>
      </c>
      <c r="B143">
        <f>SUM(L127:L136)</f>
        <v>3392532</v>
      </c>
      <c r="M143" s="35"/>
    </row>
    <row r="144" spans="1:13" ht="14.65" thickBot="1" x14ac:dyDescent="0.5">
      <c r="A144" s="51" t="s">
        <v>292</v>
      </c>
      <c r="B144" s="41">
        <f>SUM(M127:M136)</f>
        <v>24.544</v>
      </c>
      <c r="C144" s="83"/>
      <c r="D144" s="41"/>
      <c r="E144" s="41"/>
      <c r="F144" s="41"/>
      <c r="G144" s="41"/>
      <c r="H144" s="41"/>
      <c r="I144" s="41"/>
      <c r="J144" s="41"/>
      <c r="K144" s="41"/>
      <c r="L144" s="41"/>
      <c r="M144" s="43"/>
    </row>
    <row r="145" spans="1:13" ht="14.65" thickBot="1" x14ac:dyDescent="0.5">
      <c r="A145" s="12"/>
    </row>
    <row r="146" spans="1:13" x14ac:dyDescent="0.45">
      <c r="A146" s="72" t="s">
        <v>156</v>
      </c>
      <c r="B146" s="73"/>
      <c r="C146" s="77"/>
      <c r="D146" s="73"/>
      <c r="E146" s="73"/>
      <c r="F146" s="73"/>
      <c r="G146" s="73"/>
      <c r="H146" s="73"/>
      <c r="I146" s="73"/>
      <c r="J146" s="73"/>
      <c r="K146" s="73"/>
      <c r="L146" s="73"/>
      <c r="M146" s="74"/>
    </row>
    <row r="147" spans="1:13" ht="42.75" x14ac:dyDescent="0.45">
      <c r="A147" s="62"/>
      <c r="B147" s="12" t="s">
        <v>133</v>
      </c>
      <c r="C147" s="12" t="s">
        <v>151</v>
      </c>
      <c r="D147" s="12" t="s">
        <v>152</v>
      </c>
      <c r="E147" s="12" t="s">
        <v>153</v>
      </c>
      <c r="F147" s="12" t="s">
        <v>154</v>
      </c>
      <c r="G147" s="12" t="s">
        <v>158</v>
      </c>
      <c r="H147" s="12" t="s">
        <v>243</v>
      </c>
      <c r="I147" s="12" t="s">
        <v>244</v>
      </c>
      <c r="J147" s="12" t="s">
        <v>245</v>
      </c>
      <c r="K147" s="12" t="s">
        <v>246</v>
      </c>
      <c r="L147" s="12" t="s">
        <v>247</v>
      </c>
      <c r="M147" s="52" t="s">
        <v>292</v>
      </c>
    </row>
    <row r="148" spans="1:13" x14ac:dyDescent="0.45">
      <c r="A148" s="36" t="s">
        <v>159</v>
      </c>
      <c r="B148">
        <f>SUM(B92:B96)</f>
        <v>73</v>
      </c>
      <c r="C148" s="12">
        <v>35</v>
      </c>
      <c r="D148">
        <v>9.6</v>
      </c>
      <c r="E148">
        <v>600</v>
      </c>
      <c r="F148">
        <v>120</v>
      </c>
      <c r="G148">
        <v>7</v>
      </c>
      <c r="H148">
        <f>($B$138*(B148/100))*C148/100</f>
        <v>4599</v>
      </c>
      <c r="I148">
        <f>(H148*(G148*10))/1000</f>
        <v>321.93</v>
      </c>
      <c r="J148">
        <f>H148*D148</f>
        <v>44150.400000000001</v>
      </c>
      <c r="K148">
        <f>F148*H148</f>
        <v>551880</v>
      </c>
      <c r="L148">
        <f>E148*H148</f>
        <v>2759400</v>
      </c>
      <c r="M148" s="35">
        <f>((K148/6.25)/H148)/10</f>
        <v>1.92</v>
      </c>
    </row>
    <row r="149" spans="1:13" x14ac:dyDescent="0.45">
      <c r="A149" s="36" t="s">
        <v>160</v>
      </c>
      <c r="B149">
        <f>SUM(B97:B98)</f>
        <v>15</v>
      </c>
      <c r="C149" s="12">
        <v>35</v>
      </c>
      <c r="D149">
        <v>9.5</v>
      </c>
      <c r="E149">
        <v>505</v>
      </c>
      <c r="F149">
        <v>158</v>
      </c>
      <c r="G149">
        <v>9</v>
      </c>
      <c r="H149">
        <f>($B$138*(B149/100))*C149/100</f>
        <v>945</v>
      </c>
      <c r="I149">
        <f>(H149*(G149*10))/1000</f>
        <v>85.05</v>
      </c>
      <c r="J149">
        <f>H149*D149</f>
        <v>8977.5</v>
      </c>
      <c r="K149">
        <f>F149*H149</f>
        <v>149310</v>
      </c>
      <c r="L149">
        <f>E149*H149</f>
        <v>477225</v>
      </c>
      <c r="M149" s="35">
        <f t="shared" ref="M149:M150" si="40">((K149/6.25)/H149)/10</f>
        <v>2.5279999999999996</v>
      </c>
    </row>
    <row r="150" spans="1:13" x14ac:dyDescent="0.45">
      <c r="A150" s="36" t="s">
        <v>161</v>
      </c>
      <c r="B150">
        <f>SUM(B99:B101)</f>
        <v>12</v>
      </c>
      <c r="C150" s="12">
        <v>35</v>
      </c>
      <c r="D150">
        <v>9.6</v>
      </c>
      <c r="E150">
        <v>560</v>
      </c>
      <c r="F150">
        <v>135</v>
      </c>
      <c r="G150">
        <v>8</v>
      </c>
      <c r="H150">
        <f>($B$138*(B150/100))*C150/100</f>
        <v>756</v>
      </c>
      <c r="I150">
        <f t="shared" ref="I150" si="41">(H150*(G150*10))/1000</f>
        <v>60.48</v>
      </c>
      <c r="J150">
        <f>H150*D150</f>
        <v>7257.5999999999995</v>
      </c>
      <c r="K150">
        <f>F150*H150</f>
        <v>102060</v>
      </c>
      <c r="L150">
        <f>E150*H150</f>
        <v>423360</v>
      </c>
      <c r="M150" s="35">
        <f t="shared" si="40"/>
        <v>2.16</v>
      </c>
    </row>
    <row r="151" spans="1:13" x14ac:dyDescent="0.45">
      <c r="A151" s="36"/>
      <c r="M151" s="35"/>
    </row>
    <row r="152" spans="1:13" x14ac:dyDescent="0.45">
      <c r="A152" s="76" t="s">
        <v>462</v>
      </c>
      <c r="M152" s="35"/>
    </row>
    <row r="153" spans="1:13" x14ac:dyDescent="0.45">
      <c r="A153" s="36" t="s">
        <v>460</v>
      </c>
      <c r="B153">
        <f>B138</f>
        <v>18000</v>
      </c>
      <c r="M153" s="35"/>
    </row>
    <row r="154" spans="1:13" x14ac:dyDescent="0.45">
      <c r="A154" s="36" t="s">
        <v>461</v>
      </c>
      <c r="B154">
        <f>SUM(H148:H150)</f>
        <v>6300</v>
      </c>
      <c r="M154" s="35"/>
    </row>
    <row r="155" spans="1:13" x14ac:dyDescent="0.45">
      <c r="A155" s="36" t="s">
        <v>242</v>
      </c>
      <c r="B155">
        <f>SUM(I148:I150)</f>
        <v>467.46000000000004</v>
      </c>
      <c r="M155" s="35"/>
    </row>
    <row r="156" spans="1:13" x14ac:dyDescent="0.45">
      <c r="A156" s="36" t="s">
        <v>463</v>
      </c>
      <c r="B156">
        <f>SUM(J148:J150)</f>
        <v>60385.5</v>
      </c>
      <c r="M156" s="35"/>
    </row>
    <row r="157" spans="1:13" x14ac:dyDescent="0.45">
      <c r="A157" s="36" t="s">
        <v>246</v>
      </c>
      <c r="B157">
        <f>SUM(K148:K150)</f>
        <v>803250</v>
      </c>
      <c r="M157" s="35"/>
    </row>
    <row r="158" spans="1:13" x14ac:dyDescent="0.45">
      <c r="A158" s="36" t="s">
        <v>247</v>
      </c>
      <c r="B158">
        <f>SUM(L148:L150)</f>
        <v>3659985</v>
      </c>
      <c r="M158" s="35"/>
    </row>
    <row r="159" spans="1:13" x14ac:dyDescent="0.45">
      <c r="A159" s="36" t="s">
        <v>292</v>
      </c>
      <c r="B159">
        <f>SUM(M148:M150)</f>
        <v>6.6079999999999997</v>
      </c>
      <c r="M159" s="35"/>
    </row>
    <row r="160" spans="1:13" x14ac:dyDescent="0.45">
      <c r="A160" s="36"/>
      <c r="M160" s="35"/>
    </row>
    <row r="161" spans="1:13" ht="14.65" thickBot="1" x14ac:dyDescent="0.5">
      <c r="A161" s="40" t="s">
        <v>464</v>
      </c>
      <c r="B161" s="41">
        <v>1800</v>
      </c>
      <c r="C161" s="83"/>
      <c r="D161" s="41"/>
      <c r="E161" s="41"/>
      <c r="F161" s="41"/>
      <c r="G161" s="41"/>
      <c r="H161" s="41"/>
      <c r="I161" s="41"/>
      <c r="J161" s="41"/>
      <c r="K161" s="41"/>
      <c r="L161" s="41"/>
      <c r="M161" s="43"/>
    </row>
    <row r="162" spans="1:13" ht="14.65" thickBot="1" x14ac:dyDescent="0.5"/>
    <row r="163" spans="1:13" ht="42.75" x14ac:dyDescent="0.45">
      <c r="A163" s="89"/>
      <c r="B163" s="90" t="s">
        <v>841</v>
      </c>
      <c r="C163" s="90"/>
      <c r="D163" s="91"/>
      <c r="E163" s="91"/>
      <c r="F163" s="91"/>
      <c r="G163" s="91"/>
      <c r="H163" s="91"/>
      <c r="I163" s="92"/>
    </row>
    <row r="164" spans="1:13" ht="28.5" x14ac:dyDescent="0.45">
      <c r="A164" s="36" t="s">
        <v>847</v>
      </c>
      <c r="B164" s="12" t="s">
        <v>848</v>
      </c>
      <c r="C164" s="12" t="s">
        <v>853</v>
      </c>
      <c r="D164" s="12" t="s">
        <v>854</v>
      </c>
      <c r="E164" s="12" t="s">
        <v>842</v>
      </c>
      <c r="F164" s="12" t="s">
        <v>843</v>
      </c>
      <c r="G164" s="12" t="s">
        <v>844</v>
      </c>
      <c r="H164" s="12" t="s">
        <v>845</v>
      </c>
      <c r="I164" s="52" t="s">
        <v>856</v>
      </c>
    </row>
    <row r="165" spans="1:13" x14ac:dyDescent="0.45">
      <c r="A165" s="36" t="s">
        <v>104</v>
      </c>
      <c r="B165" s="12" t="s">
        <v>849</v>
      </c>
      <c r="C165" s="12">
        <v>42</v>
      </c>
      <c r="D165">
        <f>Baseline_crop_data!L12</f>
        <v>1200</v>
      </c>
      <c r="E165">
        <v>884</v>
      </c>
      <c r="F165">
        <v>0</v>
      </c>
      <c r="G165">
        <v>0</v>
      </c>
      <c r="H165">
        <v>0</v>
      </c>
      <c r="I165" s="35">
        <v>42</v>
      </c>
    </row>
    <row r="166" spans="1:13" x14ac:dyDescent="0.45">
      <c r="A166" s="36" t="s">
        <v>322</v>
      </c>
      <c r="B166" s="12" t="s">
        <v>850</v>
      </c>
      <c r="C166" s="12">
        <v>100</v>
      </c>
      <c r="D166">
        <f>Baseline_crop_data!X12</f>
        <v>1800</v>
      </c>
      <c r="E166">
        <v>81</v>
      </c>
      <c r="F166">
        <v>14.4</v>
      </c>
      <c r="G166">
        <v>5.7</v>
      </c>
      <c r="H166">
        <v>5.42</v>
      </c>
      <c r="I166" s="35">
        <v>0.4</v>
      </c>
    </row>
    <row r="167" spans="1:13" x14ac:dyDescent="0.45">
      <c r="A167" s="36" t="s">
        <v>101</v>
      </c>
      <c r="B167" s="12" t="s">
        <v>851</v>
      </c>
      <c r="C167" s="12">
        <v>86</v>
      </c>
      <c r="D167">
        <f>Baseline_crop_data!E12</f>
        <v>2000</v>
      </c>
      <c r="E167">
        <v>382</v>
      </c>
      <c r="F167">
        <v>68.7</v>
      </c>
      <c r="G167">
        <v>10.4</v>
      </c>
      <c r="H167">
        <v>13.5</v>
      </c>
      <c r="I167" s="35">
        <v>5.89</v>
      </c>
    </row>
    <row r="168" spans="1:13" x14ac:dyDescent="0.45">
      <c r="A168" s="36" t="s">
        <v>105</v>
      </c>
      <c r="B168" s="12" t="s">
        <v>855</v>
      </c>
      <c r="C168" s="12">
        <v>100</v>
      </c>
      <c r="D168">
        <f>Baseline_crop_data!N12</f>
        <v>850</v>
      </c>
      <c r="E168">
        <f>(H168*4)+(F168*4)+(I168*9)</f>
        <v>525</v>
      </c>
      <c r="F168">
        <v>25</v>
      </c>
      <c r="G168">
        <v>28</v>
      </c>
      <c r="H168">
        <v>27.5</v>
      </c>
      <c r="I168" s="35">
        <v>35</v>
      </c>
    </row>
    <row r="169" spans="1:13" ht="28.5" x14ac:dyDescent="0.45">
      <c r="A169" s="36" t="s">
        <v>846</v>
      </c>
      <c r="B169" s="12" t="s">
        <v>1234</v>
      </c>
      <c r="C169" s="12">
        <v>100</v>
      </c>
      <c r="D169">
        <f>Baseline_crop_data!H12</f>
        <v>2000</v>
      </c>
      <c r="E169">
        <v>370</v>
      </c>
      <c r="F169">
        <v>71.2</v>
      </c>
      <c r="G169">
        <v>10.6</v>
      </c>
      <c r="H169">
        <v>15.1</v>
      </c>
      <c r="I169" s="35">
        <v>2.73</v>
      </c>
    </row>
    <row r="170" spans="1:13" x14ac:dyDescent="0.45">
      <c r="A170" s="36" t="s">
        <v>102</v>
      </c>
      <c r="B170" s="12" t="s">
        <v>852</v>
      </c>
      <c r="C170" s="12">
        <v>100</v>
      </c>
      <c r="D170">
        <f>Baseline_crop_data!J12</f>
        <v>2500</v>
      </c>
      <c r="E170">
        <v>349</v>
      </c>
      <c r="F170">
        <v>75.400000000000006</v>
      </c>
      <c r="G170">
        <v>11.8</v>
      </c>
      <c r="H170">
        <v>10.9</v>
      </c>
      <c r="I170" s="35">
        <v>1.52</v>
      </c>
    </row>
    <row r="178" spans="3:3" x14ac:dyDescent="0.45">
      <c r="C178" s="12" t="s">
        <v>1235</v>
      </c>
    </row>
  </sheetData>
  <mergeCells count="110">
    <mergeCell ref="A4:A15"/>
    <mergeCell ref="X14:Y14"/>
    <mergeCell ref="E13:G13"/>
    <mergeCell ref="H13:I13"/>
    <mergeCell ref="J13:K13"/>
    <mergeCell ref="L13:M13"/>
    <mergeCell ref="N13:O13"/>
    <mergeCell ref="P13:Q13"/>
    <mergeCell ref="R13:U13"/>
    <mergeCell ref="V13:W13"/>
    <mergeCell ref="X13:Y13"/>
    <mergeCell ref="H14:I14"/>
    <mergeCell ref="J14:K14"/>
    <mergeCell ref="E14:G14"/>
    <mergeCell ref="X8:Y8"/>
    <mergeCell ref="X9:Y9"/>
    <mergeCell ref="X10:Y10"/>
    <mergeCell ref="X11:Y11"/>
    <mergeCell ref="X12:Y12"/>
    <mergeCell ref="V14:W14"/>
    <mergeCell ref="R14:U14"/>
    <mergeCell ref="R8:U8"/>
    <mergeCell ref="R9:U9"/>
    <mergeCell ref="R10:U10"/>
    <mergeCell ref="X3:Y3"/>
    <mergeCell ref="X4:Y4"/>
    <mergeCell ref="X5:Y5"/>
    <mergeCell ref="X6:Y6"/>
    <mergeCell ref="X7:Y7"/>
    <mergeCell ref="V9:W9"/>
    <mergeCell ref="V10:W10"/>
    <mergeCell ref="V11:W11"/>
    <mergeCell ref="V12:W12"/>
    <mergeCell ref="V3:W3"/>
    <mergeCell ref="V4:W4"/>
    <mergeCell ref="V5:W5"/>
    <mergeCell ref="V6:W6"/>
    <mergeCell ref="V7:W7"/>
    <mergeCell ref="V8:W8"/>
    <mergeCell ref="R12:U12"/>
    <mergeCell ref="R4:U4"/>
    <mergeCell ref="R5:U5"/>
    <mergeCell ref="R6:U6"/>
    <mergeCell ref="R7:U7"/>
    <mergeCell ref="N14:O14"/>
    <mergeCell ref="P3:Q3"/>
    <mergeCell ref="P4:Q4"/>
    <mergeCell ref="P5:Q5"/>
    <mergeCell ref="P6:Q6"/>
    <mergeCell ref="P7:Q7"/>
    <mergeCell ref="P8:Q8"/>
    <mergeCell ref="P9:Q9"/>
    <mergeCell ref="P10:Q10"/>
    <mergeCell ref="P11:Q11"/>
    <mergeCell ref="P12:Q12"/>
    <mergeCell ref="P14:Q14"/>
    <mergeCell ref="N8:O8"/>
    <mergeCell ref="N9:O9"/>
    <mergeCell ref="N10:O10"/>
    <mergeCell ref="N11:O11"/>
    <mergeCell ref="N12:O12"/>
    <mergeCell ref="N3:O3"/>
    <mergeCell ref="R3:U3"/>
    <mergeCell ref="L12:M12"/>
    <mergeCell ref="L14:M14"/>
    <mergeCell ref="J8:K8"/>
    <mergeCell ref="J9:K9"/>
    <mergeCell ref="J10:K10"/>
    <mergeCell ref="J11:K11"/>
    <mergeCell ref="J12:K12"/>
    <mergeCell ref="N4:O4"/>
    <mergeCell ref="J3:K3"/>
    <mergeCell ref="L3:M3"/>
    <mergeCell ref="L4:M4"/>
    <mergeCell ref="L5:M5"/>
    <mergeCell ref="L6:M6"/>
    <mergeCell ref="L7:M7"/>
    <mergeCell ref="N5:O5"/>
    <mergeCell ref="N6:O6"/>
    <mergeCell ref="N7:O7"/>
    <mergeCell ref="L8:M8"/>
    <mergeCell ref="L9:M9"/>
    <mergeCell ref="L10:M10"/>
    <mergeCell ref="L11:M11"/>
    <mergeCell ref="E12:G12"/>
    <mergeCell ref="H4:I4"/>
    <mergeCell ref="H5:I5"/>
    <mergeCell ref="H6:I6"/>
    <mergeCell ref="H7:I7"/>
    <mergeCell ref="H8:I8"/>
    <mergeCell ref="H9:I9"/>
    <mergeCell ref="H10:I10"/>
    <mergeCell ref="H11:I11"/>
    <mergeCell ref="H12:I12"/>
    <mergeCell ref="E3:G3"/>
    <mergeCell ref="H3:I3"/>
    <mergeCell ref="R11:U11"/>
    <mergeCell ref="B6:B11"/>
    <mergeCell ref="J4:K4"/>
    <mergeCell ref="J5:K5"/>
    <mergeCell ref="J6:K6"/>
    <mergeCell ref="J7:K7"/>
    <mergeCell ref="E4:G4"/>
    <mergeCell ref="E5:G5"/>
    <mergeCell ref="E6:G6"/>
    <mergeCell ref="E7:G7"/>
    <mergeCell ref="E8:G8"/>
    <mergeCell ref="E9:G9"/>
    <mergeCell ref="E10:G10"/>
    <mergeCell ref="E11:G1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B38B4-02B7-4247-951E-D7942893707A}">
  <dimension ref="B2:F26"/>
  <sheetViews>
    <sheetView topLeftCell="A12" workbookViewId="0">
      <selection activeCell="F29" sqref="F29"/>
    </sheetView>
  </sheetViews>
  <sheetFormatPr defaultRowHeight="14.25" x14ac:dyDescent="0.45"/>
  <cols>
    <col min="2" max="2" width="11.59765625" customWidth="1"/>
    <col min="3" max="3" width="22" bestFit="1" customWidth="1"/>
    <col min="6" max="6" width="40.3984375" customWidth="1"/>
  </cols>
  <sheetData>
    <row r="2" spans="2:6" ht="14.65" thickBot="1" x14ac:dyDescent="0.5"/>
    <row r="3" spans="2:6" x14ac:dyDescent="0.45">
      <c r="B3" s="48" t="s">
        <v>437</v>
      </c>
      <c r="C3" s="44" t="s">
        <v>553</v>
      </c>
      <c r="D3" s="44" t="s">
        <v>107</v>
      </c>
      <c r="E3" s="44" t="s">
        <v>175</v>
      </c>
      <c r="F3" s="45" t="s">
        <v>180</v>
      </c>
    </row>
    <row r="4" spans="2:6" x14ac:dyDescent="0.45">
      <c r="B4" s="36" t="s">
        <v>523</v>
      </c>
      <c r="C4" t="s">
        <v>524</v>
      </c>
      <c r="D4" t="s">
        <v>47</v>
      </c>
      <c r="E4" t="s">
        <v>554</v>
      </c>
      <c r="F4" s="35"/>
    </row>
    <row r="5" spans="2:6" x14ac:dyDescent="0.45">
      <c r="B5" s="36"/>
      <c r="C5" t="s">
        <v>525</v>
      </c>
      <c r="D5" t="s">
        <v>67</v>
      </c>
      <c r="E5">
        <v>7.5</v>
      </c>
      <c r="F5" s="35"/>
    </row>
    <row r="6" spans="2:6" x14ac:dyDescent="0.45">
      <c r="B6" s="36"/>
      <c r="C6" t="s">
        <v>526</v>
      </c>
      <c r="D6" t="s">
        <v>67</v>
      </c>
      <c r="E6">
        <v>1</v>
      </c>
      <c r="F6" s="35"/>
    </row>
    <row r="7" spans="2:6" x14ac:dyDescent="0.45">
      <c r="B7" s="36"/>
      <c r="C7" t="s">
        <v>527</v>
      </c>
      <c r="D7" t="s">
        <v>528</v>
      </c>
      <c r="E7">
        <v>0.18</v>
      </c>
      <c r="F7" s="35"/>
    </row>
    <row r="8" spans="2:6" x14ac:dyDescent="0.45">
      <c r="B8" s="36"/>
      <c r="C8" t="s">
        <v>529</v>
      </c>
      <c r="D8" t="s">
        <v>531</v>
      </c>
      <c r="E8">
        <v>1100</v>
      </c>
      <c r="F8" s="35"/>
    </row>
    <row r="9" spans="2:6" x14ac:dyDescent="0.45">
      <c r="B9" s="36"/>
      <c r="C9" t="s">
        <v>530</v>
      </c>
      <c r="D9" t="s">
        <v>47</v>
      </c>
      <c r="E9">
        <v>0.8</v>
      </c>
      <c r="F9" s="35"/>
    </row>
    <row r="10" spans="2:6" x14ac:dyDescent="0.45">
      <c r="B10" s="36"/>
      <c r="C10" t="s">
        <v>532</v>
      </c>
      <c r="D10" t="s">
        <v>47</v>
      </c>
      <c r="E10">
        <v>6.1</v>
      </c>
      <c r="F10" s="35"/>
    </row>
    <row r="11" spans="2:6" x14ac:dyDescent="0.45">
      <c r="B11" s="36"/>
      <c r="C11" t="s">
        <v>533</v>
      </c>
      <c r="D11" t="s">
        <v>39</v>
      </c>
      <c r="E11" t="s">
        <v>47</v>
      </c>
      <c r="F11" s="35"/>
    </row>
    <row r="12" spans="2:6" x14ac:dyDescent="0.45">
      <c r="B12" s="36"/>
      <c r="C12" t="s">
        <v>534</v>
      </c>
      <c r="D12" t="s">
        <v>39</v>
      </c>
      <c r="E12" t="s">
        <v>47</v>
      </c>
      <c r="F12" s="35"/>
    </row>
    <row r="13" spans="2:6" x14ac:dyDescent="0.45">
      <c r="B13" s="36"/>
      <c r="C13" t="s">
        <v>535</v>
      </c>
      <c r="D13" t="s">
        <v>39</v>
      </c>
      <c r="E13">
        <v>0</v>
      </c>
      <c r="F13" s="35"/>
    </row>
    <row r="14" spans="2:6" x14ac:dyDescent="0.45">
      <c r="B14" s="36" t="s">
        <v>536</v>
      </c>
      <c r="C14" t="s">
        <v>537</v>
      </c>
      <c r="D14" t="s">
        <v>39</v>
      </c>
      <c r="E14">
        <v>3</v>
      </c>
      <c r="F14" s="35"/>
    </row>
    <row r="15" spans="2:6" x14ac:dyDescent="0.45">
      <c r="B15" s="36"/>
      <c r="C15" t="s">
        <v>538</v>
      </c>
      <c r="D15" t="s">
        <v>39</v>
      </c>
      <c r="E15">
        <v>7.4999999999999997E-2</v>
      </c>
      <c r="F15" s="35"/>
    </row>
    <row r="16" spans="2:6" x14ac:dyDescent="0.45">
      <c r="B16" s="36"/>
      <c r="C16" t="s">
        <v>539</v>
      </c>
      <c r="D16" t="s">
        <v>39</v>
      </c>
      <c r="E16" t="s">
        <v>47</v>
      </c>
      <c r="F16" s="35"/>
    </row>
    <row r="17" spans="2:6" x14ac:dyDescent="0.45">
      <c r="B17" s="36"/>
      <c r="C17" t="s">
        <v>540</v>
      </c>
      <c r="D17" s="11" t="s">
        <v>541</v>
      </c>
      <c r="E17">
        <v>10</v>
      </c>
      <c r="F17" s="35"/>
    </row>
    <row r="18" spans="2:6" x14ac:dyDescent="0.45">
      <c r="B18" s="36"/>
      <c r="C18" t="s">
        <v>542</v>
      </c>
      <c r="D18" s="11" t="s">
        <v>544</v>
      </c>
      <c r="E18">
        <v>245</v>
      </c>
      <c r="F18" s="35"/>
    </row>
    <row r="19" spans="2:6" ht="29.65" customHeight="1" x14ac:dyDescent="0.45">
      <c r="B19" s="36"/>
      <c r="C19" t="s">
        <v>543</v>
      </c>
      <c r="D19" s="11" t="s">
        <v>545</v>
      </c>
      <c r="E19">
        <v>0</v>
      </c>
      <c r="F19" s="35"/>
    </row>
    <row r="20" spans="2:6" ht="85.15" customHeight="1" x14ac:dyDescent="0.45">
      <c r="B20" s="36" t="s">
        <v>546</v>
      </c>
      <c r="C20" t="s">
        <v>547</v>
      </c>
      <c r="D20" s="11" t="s">
        <v>548</v>
      </c>
      <c r="E20">
        <v>2.6599999999999999E-2</v>
      </c>
      <c r="F20" s="52" t="s">
        <v>964</v>
      </c>
    </row>
    <row r="21" spans="2:6" x14ac:dyDescent="0.45">
      <c r="B21" s="36"/>
      <c r="C21" t="s">
        <v>549</v>
      </c>
      <c r="D21" s="11" t="s">
        <v>67</v>
      </c>
      <c r="E21">
        <v>7.5</v>
      </c>
      <c r="F21" s="35"/>
    </row>
    <row r="22" spans="2:6" x14ac:dyDescent="0.45">
      <c r="B22" s="36"/>
      <c r="C22" t="s">
        <v>550</v>
      </c>
      <c r="D22" s="11" t="s">
        <v>67</v>
      </c>
      <c r="E22" t="s">
        <v>47</v>
      </c>
      <c r="F22" s="35"/>
    </row>
    <row r="23" spans="2:6" x14ac:dyDescent="0.45">
      <c r="B23" s="36"/>
      <c r="C23" t="s">
        <v>551</v>
      </c>
      <c r="D23" s="11" t="s">
        <v>67</v>
      </c>
      <c r="E23" t="s">
        <v>47</v>
      </c>
      <c r="F23" s="35"/>
    </row>
    <row r="24" spans="2:6" ht="14.65" thickBot="1" x14ac:dyDescent="0.5">
      <c r="B24" s="40"/>
      <c r="C24" s="41" t="s">
        <v>552</v>
      </c>
      <c r="D24" s="79" t="s">
        <v>67</v>
      </c>
      <c r="E24" s="41" t="s">
        <v>47</v>
      </c>
      <c r="F24" s="43"/>
    </row>
    <row r="26" spans="2:6" x14ac:dyDescent="0.45">
      <c r="B26" t="s">
        <v>1363</v>
      </c>
      <c r="C26" t="s">
        <v>1364</v>
      </c>
      <c r="D26" t="s">
        <v>1365</v>
      </c>
      <c r="E26">
        <f>(SUM(Baseline_crop_data!E11:Q11))*137.5</f>
        <v>23431.375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F8461-E12D-4637-8B05-AEAE040646C1}">
  <dimension ref="C2:T26"/>
  <sheetViews>
    <sheetView zoomScale="75" zoomScaleNormal="85" workbookViewId="0">
      <selection activeCell="D11" sqref="D11"/>
    </sheetView>
  </sheetViews>
  <sheetFormatPr defaultRowHeight="14.25" x14ac:dyDescent="0.45"/>
  <cols>
    <col min="1" max="1" width="20.73046875" customWidth="1"/>
    <col min="2" max="2" width="14.59765625" customWidth="1"/>
    <col min="3" max="3" width="37.59765625" customWidth="1"/>
    <col min="4" max="4" width="31.265625" customWidth="1"/>
    <col min="5" max="5" width="11.73046875" customWidth="1"/>
    <col min="6" max="6" width="30.86328125" customWidth="1"/>
    <col min="7" max="7" width="21.73046875" bestFit="1" customWidth="1"/>
    <col min="8" max="8" width="35.06640625" customWidth="1"/>
    <col min="9" max="9" width="29.3984375" customWidth="1"/>
    <col min="10" max="10" width="19.1328125" customWidth="1"/>
    <col min="11" max="11" width="21.59765625" customWidth="1"/>
    <col min="12" max="12" width="21.265625" customWidth="1"/>
    <col min="13" max="13" width="24.73046875" customWidth="1"/>
    <col min="14" max="14" width="15.59765625" customWidth="1"/>
    <col min="15" max="15" width="21.1328125" customWidth="1"/>
    <col min="16" max="16" width="16.1328125" customWidth="1"/>
    <col min="17" max="17" width="14.265625" customWidth="1"/>
    <col min="18" max="18" width="13.265625" customWidth="1"/>
    <col min="19" max="19" width="20.59765625" customWidth="1"/>
    <col min="20" max="20" width="12.1328125" customWidth="1"/>
    <col min="21" max="21" width="13" customWidth="1"/>
    <col min="22" max="22" width="11.73046875" customWidth="1"/>
    <col min="23" max="23" width="14.265625" customWidth="1"/>
    <col min="24" max="24" width="15.1328125" customWidth="1"/>
    <col min="25" max="25" width="12.265625" bestFit="1" customWidth="1"/>
    <col min="26" max="26" width="15.1328125" customWidth="1"/>
    <col min="27" max="27" width="10.86328125" customWidth="1"/>
  </cols>
  <sheetData>
    <row r="2" spans="3:20" ht="14.65" thickBot="1" x14ac:dyDescent="0.5"/>
    <row r="3" spans="3:20" s="12" customFormat="1" ht="85.5" x14ac:dyDescent="0.45">
      <c r="C3" s="101" t="s">
        <v>134</v>
      </c>
      <c r="D3" s="49" t="s">
        <v>164</v>
      </c>
      <c r="E3" s="49" t="s">
        <v>954</v>
      </c>
      <c r="F3" s="49" t="s">
        <v>953</v>
      </c>
      <c r="G3" s="49" t="s">
        <v>135</v>
      </c>
      <c r="H3" s="49" t="s">
        <v>165</v>
      </c>
      <c r="I3" s="49" t="s">
        <v>136</v>
      </c>
      <c r="J3" s="49" t="s">
        <v>137</v>
      </c>
      <c r="K3" s="49" t="s">
        <v>138</v>
      </c>
      <c r="L3" s="49" t="s">
        <v>813</v>
      </c>
      <c r="M3" s="49" t="s">
        <v>814</v>
      </c>
      <c r="N3" s="49" t="s">
        <v>166</v>
      </c>
      <c r="O3" s="50" t="s">
        <v>377</v>
      </c>
      <c r="S3" s="101" t="s">
        <v>1205</v>
      </c>
      <c r="T3" s="125">
        <f>'Suckler cow system'!I3</f>
        <v>90</v>
      </c>
    </row>
    <row r="4" spans="3:20" ht="30" customHeight="1" x14ac:dyDescent="0.45">
      <c r="C4" s="36" t="s">
        <v>119</v>
      </c>
      <c r="D4">
        <v>2350</v>
      </c>
      <c r="E4">
        <v>0</v>
      </c>
      <c r="F4">
        <f>D4/(SUM(D4:D6))</f>
        <v>0.685131195335277</v>
      </c>
      <c r="G4">
        <v>32</v>
      </c>
      <c r="H4">
        <f>D4*(G4/100)</f>
        <v>752</v>
      </c>
      <c r="I4">
        <v>7</v>
      </c>
      <c r="J4">
        <v>1.1000000000000001</v>
      </c>
      <c r="K4">
        <v>0.7</v>
      </c>
      <c r="L4">
        <f>(I4*D4)/H4</f>
        <v>21.875</v>
      </c>
      <c r="M4">
        <f>(K4*D4)/H4</f>
        <v>2.1875</v>
      </c>
      <c r="N4">
        <v>224096</v>
      </c>
      <c r="O4" s="35" t="s">
        <v>378</v>
      </c>
      <c r="S4" s="62" t="s">
        <v>1201</v>
      </c>
      <c r="T4" s="120">
        <f>'Suckler cow system'!U3</f>
        <v>90</v>
      </c>
    </row>
    <row r="5" spans="3:20" ht="28.9" customHeight="1" x14ac:dyDescent="0.45">
      <c r="C5" s="36" t="s">
        <v>98</v>
      </c>
      <c r="D5">
        <v>1000</v>
      </c>
      <c r="E5">
        <f>D5/(SUM(D5:D6))</f>
        <v>0.92592592592592593</v>
      </c>
      <c r="F5">
        <f>D5/(SUM(D4:D6))</f>
        <v>0.29154518950437319</v>
      </c>
      <c r="G5">
        <v>30</v>
      </c>
      <c r="H5">
        <f>D5*(G5/100)</f>
        <v>300</v>
      </c>
      <c r="I5">
        <v>3.4</v>
      </c>
      <c r="J5">
        <v>0.5</v>
      </c>
      <c r="K5">
        <v>0.8</v>
      </c>
      <c r="L5">
        <f>(I5*D5)/H5</f>
        <v>11.333333333333334</v>
      </c>
      <c r="M5">
        <f>(K5*D5)/H5</f>
        <v>2.6666666666666665</v>
      </c>
      <c r="N5">
        <v>36000</v>
      </c>
      <c r="O5" s="35" t="s">
        <v>378</v>
      </c>
      <c r="S5" s="62" t="s">
        <v>1204</v>
      </c>
      <c r="T5" s="120">
        <f>'Suckler cow system'!N3</f>
        <v>90</v>
      </c>
    </row>
    <row r="6" spans="3:20" ht="30.4" customHeight="1" x14ac:dyDescent="0.45">
      <c r="C6" s="36" t="s">
        <v>99</v>
      </c>
      <c r="D6">
        <v>80</v>
      </c>
      <c r="E6">
        <f>D6/(SUM($D$5,$D$6))</f>
        <v>7.407407407407407E-2</v>
      </c>
      <c r="F6">
        <f>D6/(SUM(D4:D6))</f>
        <v>2.3323615160349854E-2</v>
      </c>
      <c r="G6">
        <v>31</v>
      </c>
      <c r="H6">
        <f>D6*(G6/100)</f>
        <v>24.8</v>
      </c>
      <c r="I6">
        <v>14.02</v>
      </c>
      <c r="J6">
        <v>3.47</v>
      </c>
      <c r="K6">
        <v>6.3</v>
      </c>
      <c r="L6">
        <f>(I6*D6)/H6</f>
        <v>45.225806451612897</v>
      </c>
      <c r="M6">
        <f>(K6*D6)/H6</f>
        <v>20.322580645161288</v>
      </c>
      <c r="N6" s="102">
        <v>8003.46</v>
      </c>
      <c r="O6" s="35" t="s">
        <v>378</v>
      </c>
      <c r="S6" s="62" t="s">
        <v>1202</v>
      </c>
      <c r="T6" s="120">
        <f>'Suckler cow system'!J3</f>
        <v>4</v>
      </c>
    </row>
    <row r="7" spans="3:20" ht="32.25" customHeight="1" thickBot="1" x14ac:dyDescent="0.5">
      <c r="C7" s="40" t="s">
        <v>912</v>
      </c>
      <c r="D7" s="41">
        <f>(2804/3435)*(SUM(D4:D6))</f>
        <v>2799.9184861717613</v>
      </c>
      <c r="E7" s="41">
        <v>0</v>
      </c>
      <c r="F7" s="41">
        <v>0</v>
      </c>
      <c r="G7" s="41">
        <v>29</v>
      </c>
      <c r="H7" s="41">
        <f>(G7/100)*D7</f>
        <v>811.9763609898107</v>
      </c>
      <c r="I7" s="41">
        <v>8.4</v>
      </c>
      <c r="J7" s="41">
        <v>1.6</v>
      </c>
      <c r="K7" s="41">
        <v>1</v>
      </c>
      <c r="L7" s="41">
        <v>29.3</v>
      </c>
      <c r="M7" s="41"/>
      <c r="N7" s="41"/>
      <c r="O7" s="43" t="s">
        <v>378</v>
      </c>
      <c r="S7" s="62" t="s">
        <v>1203</v>
      </c>
      <c r="T7" s="120">
        <f>'Suckler cow system'!K3</f>
        <v>4</v>
      </c>
    </row>
    <row r="8" spans="3:20" ht="28.5" customHeight="1" thickBot="1" x14ac:dyDescent="0.5">
      <c r="E8">
        <f>E6+E5</f>
        <v>1</v>
      </c>
      <c r="S8" s="62" t="s">
        <v>1039</v>
      </c>
      <c r="T8" s="120">
        <f>'Suckler cow system'!M3</f>
        <v>9</v>
      </c>
    </row>
    <row r="9" spans="3:20" ht="42" customHeight="1" x14ac:dyDescent="0.45">
      <c r="C9" s="48" t="s">
        <v>901</v>
      </c>
      <c r="D9" s="44" t="s">
        <v>902</v>
      </c>
      <c r="E9" s="44" t="s">
        <v>903</v>
      </c>
      <c r="F9" s="49" t="s">
        <v>999</v>
      </c>
      <c r="G9" s="49" t="s">
        <v>904</v>
      </c>
      <c r="H9" s="49" t="s">
        <v>1245</v>
      </c>
      <c r="I9" s="49" t="s">
        <v>1244</v>
      </c>
      <c r="J9" s="49" t="s">
        <v>1247</v>
      </c>
      <c r="K9" s="50" t="s">
        <v>1395</v>
      </c>
      <c r="S9" s="62" t="s">
        <v>1206</v>
      </c>
      <c r="T9" s="120">
        <f>'Suckler cow system'!V3</f>
        <v>90</v>
      </c>
    </row>
    <row r="10" spans="3:20" ht="13.9" customHeight="1" thickBot="1" x14ac:dyDescent="0.5">
      <c r="C10" s="40"/>
      <c r="D10" s="41">
        <v>170</v>
      </c>
      <c r="E10" s="41">
        <v>29.3</v>
      </c>
      <c r="F10" s="41">
        <f>(H7*1000)/(SUM(Baseline_crop_data!E11:Q11))</f>
        <v>4764.8398626243215</v>
      </c>
      <c r="G10" s="126">
        <f>(F10/1000)*(E10)</f>
        <v>139.60980797489262</v>
      </c>
      <c r="H10" s="41">
        <f>(((((SUM(D4:D6))/D7)*(SUM(D5:D6)))*(G7/100))/(SUM(Baseline_crop_data!E11:Q11)))*1000</f>
        <v>2251.5179259285792</v>
      </c>
      <c r="I10" s="41">
        <f>((D10/I7)*1000)*(G7/100)</f>
        <v>5869.0476190476184</v>
      </c>
      <c r="J10" s="41">
        <f>'Financial data Palopuro Baselin'!D45/F10</f>
        <v>2.8857213246253652E-2</v>
      </c>
      <c r="K10" s="43">
        <f>(I10*SUM(Baseline_crop_data!E11:Q11))</f>
        <v>1000144.4047619046</v>
      </c>
      <c r="S10" s="62" t="s">
        <v>1207</v>
      </c>
      <c r="T10" s="120">
        <f>'Suckler cow system'!W3</f>
        <v>50</v>
      </c>
    </row>
    <row r="11" spans="3:20" ht="28.5" x14ac:dyDescent="0.45">
      <c r="C11" s="12" t="s">
        <v>1246</v>
      </c>
      <c r="D11">
        <v>811976.38439999998</v>
      </c>
      <c r="S11" s="62" t="s">
        <v>1208</v>
      </c>
      <c r="T11" s="120">
        <f>'Suckler cow system'!X3</f>
        <v>129</v>
      </c>
    </row>
    <row r="12" spans="3:20" ht="45" customHeight="1" x14ac:dyDescent="0.45">
      <c r="C12" t="s">
        <v>1240</v>
      </c>
      <c r="S12" s="62" t="s">
        <v>1209</v>
      </c>
      <c r="T12" s="52">
        <f>T3*'Suckler cow system'!I61</f>
        <v>492.47999999999996</v>
      </c>
    </row>
    <row r="13" spans="3:20" ht="43.5" customHeight="1" thickBot="1" x14ac:dyDescent="0.5">
      <c r="S13" s="62" t="s">
        <v>1210</v>
      </c>
      <c r="T13" s="52">
        <f>T4*'Suckler cow system'!U61</f>
        <v>578.88</v>
      </c>
    </row>
    <row r="14" spans="3:20" ht="73.150000000000006" customHeight="1" x14ac:dyDescent="0.45">
      <c r="C14" s="48"/>
      <c r="D14" s="49" t="s">
        <v>1349</v>
      </c>
      <c r="E14" s="44" t="s">
        <v>135</v>
      </c>
      <c r="F14" s="49" t="s">
        <v>563</v>
      </c>
      <c r="G14" s="44" t="s">
        <v>379</v>
      </c>
      <c r="H14" s="44" t="s">
        <v>137</v>
      </c>
      <c r="I14" s="44" t="s">
        <v>138</v>
      </c>
      <c r="J14" s="49" t="s">
        <v>564</v>
      </c>
      <c r="K14" s="44" t="s">
        <v>810</v>
      </c>
      <c r="L14" s="49" t="s">
        <v>629</v>
      </c>
      <c r="M14" s="49" t="s">
        <v>914</v>
      </c>
      <c r="N14" s="49" t="s">
        <v>913</v>
      </c>
      <c r="O14" s="49" t="s">
        <v>565</v>
      </c>
      <c r="P14" s="49" t="s">
        <v>566</v>
      </c>
      <c r="Q14" s="50" t="s">
        <v>567</v>
      </c>
      <c r="S14" s="62" t="s">
        <v>1211</v>
      </c>
      <c r="T14" s="52">
        <f>T5*'Suckler cow system'!N61</f>
        <v>1341</v>
      </c>
    </row>
    <row r="15" spans="3:20" ht="34.15" customHeight="1" x14ac:dyDescent="0.45">
      <c r="C15" s="62" t="s">
        <v>1239</v>
      </c>
      <c r="D15">
        <f>(('Suckler cow system'!X61*(365*0.525))+(1.2*(365)))/1000</f>
        <v>4.7878875000000001</v>
      </c>
      <c r="E15">
        <f>(3091.13/13300)*100</f>
        <v>23.241578947368421</v>
      </c>
      <c r="F15">
        <f>D15*(E15/100)</f>
        <v>1.1127806532236844</v>
      </c>
      <c r="G15">
        <v>5.47</v>
      </c>
      <c r="H15">
        <v>0.87</v>
      </c>
      <c r="I15">
        <v>0.69</v>
      </c>
      <c r="J15">
        <v>9.26</v>
      </c>
      <c r="K15">
        <f>(193.97/1000)*100</f>
        <v>19.397000000000002</v>
      </c>
      <c r="L15">
        <v>193.97</v>
      </c>
      <c r="M15">
        <v>65</v>
      </c>
      <c r="N15">
        <v>200</v>
      </c>
      <c r="O15">
        <f>((L15*D15)/1000)*N15</f>
        <v>185.741307675</v>
      </c>
      <c r="P15">
        <f>O15*34</f>
        <v>6315.2044609499999</v>
      </c>
      <c r="Q15" s="35">
        <f>P15*0.277777778</f>
        <v>1754.2234627783787</v>
      </c>
      <c r="S15" s="62" t="s">
        <v>1212</v>
      </c>
      <c r="T15" s="52">
        <f>T6*'Suckler cow system'!J61</f>
        <v>62</v>
      </c>
    </row>
    <row r="16" spans="3:20" ht="47.25" customHeight="1" x14ac:dyDescent="0.45">
      <c r="C16" s="62" t="s">
        <v>1238</v>
      </c>
      <c r="D16">
        <f>(((AVERAGE('Suckler cow system'!V61,'Suckler cow system'!W61))*(365*0.525))+(1.2*365))/1000</f>
        <v>4.0405500000000005</v>
      </c>
      <c r="E16">
        <f>(4026.05/9820)*100</f>
        <v>40.998472505091655</v>
      </c>
      <c r="F16">
        <f t="shared" ref="F16:F18" si="0">D16*(E16/100)</f>
        <v>1.6565637808044811</v>
      </c>
      <c r="G16">
        <v>6.44</v>
      </c>
      <c r="H16">
        <v>0.9</v>
      </c>
      <c r="I16">
        <v>1.06</v>
      </c>
      <c r="J16">
        <v>12.17</v>
      </c>
      <c r="K16">
        <v>34.817999999999998</v>
      </c>
      <c r="L16">
        <v>348.18</v>
      </c>
      <c r="M16">
        <v>65</v>
      </c>
      <c r="N16">
        <v>200</v>
      </c>
      <c r="O16">
        <f t="shared" ref="O16:O18" si="1">((L16*D16)/1000)*N16</f>
        <v>281.36773980000004</v>
      </c>
      <c r="P16">
        <f t="shared" ref="P16:P18" si="2">O16*34</f>
        <v>9566.5031532000012</v>
      </c>
      <c r="Q16" s="35">
        <f t="shared" ref="Q16:Q18" si="3">P16*0.277777778</f>
        <v>2657.3619891258895</v>
      </c>
      <c r="S16" s="62" t="s">
        <v>1213</v>
      </c>
      <c r="T16" s="52">
        <f>T7*'Suckler cow system'!K61</f>
        <v>95.313679559187577</v>
      </c>
    </row>
    <row r="17" spans="3:20" ht="28.5" x14ac:dyDescent="0.45">
      <c r="C17" s="62" t="s">
        <v>1237</v>
      </c>
      <c r="D17">
        <f>(((AVERAGE('Suckler cow system'!J61,'Suckler cow system'!K61,'Suckler cow system'!L61))*(365*0.525))+((1.2*365)))/1000</f>
        <v>4.9020590664281247</v>
      </c>
      <c r="E17">
        <v>25.140999999999998</v>
      </c>
      <c r="F17">
        <f>D17*(E17/100)</f>
        <v>1.2324266698906947</v>
      </c>
      <c r="G17">
        <v>6.75</v>
      </c>
      <c r="H17">
        <v>1.2</v>
      </c>
      <c r="I17">
        <v>1.25</v>
      </c>
      <c r="J17">
        <v>10.29</v>
      </c>
      <c r="K17">
        <v>20.608000000000001</v>
      </c>
      <c r="L17">
        <f>K17*10</f>
        <v>206.08</v>
      </c>
      <c r="M17">
        <v>65</v>
      </c>
      <c r="N17">
        <v>200</v>
      </c>
      <c r="O17">
        <f t="shared" si="1"/>
        <v>202.04326648190158</v>
      </c>
      <c r="P17">
        <f t="shared" si="2"/>
        <v>6869.4710603846543</v>
      </c>
      <c r="Q17" s="35">
        <f t="shared" si="3"/>
        <v>1908.1864071889529</v>
      </c>
      <c r="S17" s="62" t="s">
        <v>1214</v>
      </c>
      <c r="T17" s="52">
        <f>T8*'Suckler cow system'!M61</f>
        <v>280.39830982554287</v>
      </c>
    </row>
    <row r="18" spans="3:20" ht="28.5" x14ac:dyDescent="0.45">
      <c r="C18" s="62" t="s">
        <v>1236</v>
      </c>
      <c r="D18">
        <f>(((AVERAGE('Suckler cow system'!I61,'Suckler cow system'!U61))*(365*0.525))+(1.2*365))/1000</f>
        <v>1.578552</v>
      </c>
      <c r="E18">
        <v>33.886000000000003</v>
      </c>
      <c r="F18">
        <f t="shared" si="0"/>
        <v>0.5349081307200001</v>
      </c>
      <c r="G18">
        <v>6.36</v>
      </c>
      <c r="H18">
        <v>0.97</v>
      </c>
      <c r="I18">
        <v>1.06</v>
      </c>
      <c r="J18">
        <v>10.98</v>
      </c>
      <c r="K18">
        <v>28.391999999999999</v>
      </c>
      <c r="L18">
        <f>K18*10</f>
        <v>283.92</v>
      </c>
      <c r="M18">
        <v>65</v>
      </c>
      <c r="N18">
        <v>200</v>
      </c>
      <c r="O18">
        <f t="shared" si="1"/>
        <v>89.636496768000001</v>
      </c>
      <c r="P18">
        <f t="shared" si="2"/>
        <v>3047.6408901119999</v>
      </c>
      <c r="Q18" s="35">
        <f t="shared" si="3"/>
        <v>846.56691459725346</v>
      </c>
      <c r="S18" s="62" t="s">
        <v>1215</v>
      </c>
      <c r="T18" s="52">
        <f>T9*'Suckler cow system'!V61</f>
        <v>1341</v>
      </c>
    </row>
    <row r="19" spans="3:20" ht="28.9" thickBot="1" x14ac:dyDescent="0.5">
      <c r="C19" s="51" t="s">
        <v>883</v>
      </c>
      <c r="D19" s="41">
        <f>AVERAGE(D15:D18)</f>
        <v>3.8272621416070312</v>
      </c>
      <c r="E19" s="41">
        <f t="shared" ref="E19:Q19" si="4">AVERAGE(E15:E18)</f>
        <v>30.816762863115017</v>
      </c>
      <c r="F19" s="41">
        <f t="shared" si="4"/>
        <v>1.1341698086597152</v>
      </c>
      <c r="G19" s="41">
        <f t="shared" si="4"/>
        <v>6.2549999999999999</v>
      </c>
      <c r="H19" s="41">
        <f t="shared" si="4"/>
        <v>0.98499999999999988</v>
      </c>
      <c r="I19" s="41">
        <f t="shared" si="4"/>
        <v>1.0150000000000001</v>
      </c>
      <c r="J19" s="41">
        <f t="shared" si="4"/>
        <v>10.675000000000001</v>
      </c>
      <c r="K19" s="41">
        <f t="shared" si="4"/>
        <v>25.803750000000001</v>
      </c>
      <c r="L19" s="41">
        <f t="shared" si="4"/>
        <v>258.03750000000002</v>
      </c>
      <c r="M19" s="41">
        <f t="shared" si="4"/>
        <v>65</v>
      </c>
      <c r="N19" s="41">
        <f t="shared" si="4"/>
        <v>200</v>
      </c>
      <c r="O19" s="41">
        <f t="shared" si="4"/>
        <v>189.69720268122541</v>
      </c>
      <c r="P19" s="41">
        <f t="shared" si="4"/>
        <v>6449.7048911616639</v>
      </c>
      <c r="Q19" s="43">
        <f t="shared" si="4"/>
        <v>1791.5846934226186</v>
      </c>
      <c r="S19" s="62" t="s">
        <v>1216</v>
      </c>
      <c r="T19" s="52">
        <f>T10*'Suckler cow system'!W61</f>
        <v>1135</v>
      </c>
    </row>
    <row r="20" spans="3:20" ht="28.5" x14ac:dyDescent="0.45">
      <c r="C20" s="12" t="s">
        <v>1348</v>
      </c>
      <c r="D20">
        <f>(D15*T11)+(D16*(T9+T10+T5))+(D17*(T8+T7+T6))+(D18*(T3+T4))</f>
        <v>1914.4383516292783</v>
      </c>
      <c r="E20">
        <f>E19</f>
        <v>30.816762863115017</v>
      </c>
      <c r="F20">
        <f>D20*(E20/100)</f>
        <v>589.96792698212266</v>
      </c>
      <c r="S20" s="62" t="s">
        <v>1217</v>
      </c>
      <c r="T20" s="52">
        <f>T11*'Suckler cow system'!X61</f>
        <v>2928.2999999999997</v>
      </c>
    </row>
    <row r="21" spans="3:20" ht="28.5" x14ac:dyDescent="0.45">
      <c r="S21" s="62" t="s">
        <v>393</v>
      </c>
      <c r="T21" s="35">
        <f>100-T22</f>
        <v>52.5</v>
      </c>
    </row>
    <row r="22" spans="3:20" ht="28.5" x14ac:dyDescent="0.45">
      <c r="S22" s="62" t="s">
        <v>394</v>
      </c>
      <c r="T22" s="35">
        <f>(5.7/12)*100</f>
        <v>47.5</v>
      </c>
    </row>
    <row r="23" spans="3:20" ht="28.5" x14ac:dyDescent="0.45">
      <c r="S23" s="62" t="s">
        <v>1219</v>
      </c>
      <c r="T23" s="35">
        <f>(SUM(T12:T20))*365</f>
        <v>3012845.7761254264</v>
      </c>
    </row>
    <row r="24" spans="3:20" x14ac:dyDescent="0.45">
      <c r="S24" s="62" t="s">
        <v>395</v>
      </c>
      <c r="T24" s="35">
        <f>Eco!E51</f>
        <v>0.67419564735855741</v>
      </c>
    </row>
    <row r="25" spans="3:20" ht="42.75" x14ac:dyDescent="0.45">
      <c r="S25" s="62" t="s">
        <v>915</v>
      </c>
      <c r="T25" s="35">
        <v>1.2</v>
      </c>
    </row>
    <row r="26" spans="3:20" ht="43.15" thickBot="1" x14ac:dyDescent="0.5">
      <c r="S26" s="51" t="s">
        <v>562</v>
      </c>
      <c r="T26" s="43">
        <f>1.2</f>
        <v>1.2</v>
      </c>
    </row>
  </sheetData>
  <phoneticPr fontId="4" type="noConversion"/>
  <pageMargins left="0.7" right="0.7" top="0.75" bottom="0.75" header="0.3" footer="0.3"/>
  <pageSetup paperSize="9" orientation="portrait" horizont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4CAF7-405F-4992-B8CB-536D9D9E7F39}">
  <dimension ref="A1:AC198"/>
  <sheetViews>
    <sheetView topLeftCell="A42" zoomScale="80" zoomScaleNormal="80" workbookViewId="0">
      <selection activeCell="B192" sqref="B192"/>
    </sheetView>
  </sheetViews>
  <sheetFormatPr defaultRowHeight="14.25" x14ac:dyDescent="0.45"/>
  <cols>
    <col min="1" max="1" width="14" customWidth="1"/>
    <col min="2" max="2" width="47.9296875" customWidth="1"/>
    <col min="3" max="3" width="17.86328125" customWidth="1"/>
    <col min="4" max="4" width="30.59765625" customWidth="1"/>
    <col min="5" max="5" width="26.265625" customWidth="1"/>
    <col min="9" max="9" width="15.86328125" customWidth="1"/>
    <col min="10" max="10" width="22.73046875" customWidth="1"/>
    <col min="11" max="11" width="14.3984375" customWidth="1"/>
    <col min="12" max="12" width="14.73046875" customWidth="1"/>
    <col min="13" max="13" width="11.59765625" customWidth="1"/>
    <col min="14" max="14" width="11.265625" customWidth="1"/>
    <col min="15" max="15" width="12.86328125" customWidth="1"/>
    <col min="16" max="18" width="10.86328125" customWidth="1"/>
    <col min="19" max="19" width="7.3984375" customWidth="1"/>
    <col min="20" max="21" width="13" customWidth="1"/>
    <col min="22" max="22" width="18" customWidth="1"/>
    <col min="23" max="23" width="11.3984375" customWidth="1"/>
    <col min="24" max="24" width="10.3984375" customWidth="1"/>
    <col min="28" max="28" width="17.86328125" customWidth="1"/>
    <col min="29" max="29" width="14.73046875" customWidth="1"/>
    <col min="30" max="30" width="10.86328125" customWidth="1"/>
    <col min="31" max="31" width="11.265625" customWidth="1"/>
    <col min="32" max="32" width="10.73046875" customWidth="1"/>
    <col min="33" max="33" width="10.3984375" customWidth="1"/>
    <col min="34" max="34" width="10.265625" customWidth="1"/>
    <col min="38" max="38" width="11.73046875" customWidth="1"/>
    <col min="39" max="39" width="8.73046875" bestFit="1" customWidth="1"/>
    <col min="40" max="40" width="11" customWidth="1"/>
    <col min="41" max="41" width="10.73046875" customWidth="1"/>
    <col min="42" max="42" width="10" customWidth="1"/>
  </cols>
  <sheetData>
    <row r="1" spans="1:29" ht="14.65" thickBot="1" x14ac:dyDescent="0.5"/>
    <row r="2" spans="1:29" x14ac:dyDescent="0.45">
      <c r="A2" s="48"/>
      <c r="B2" s="44"/>
      <c r="C2" s="157" t="s">
        <v>58</v>
      </c>
      <c r="D2" s="44" t="s">
        <v>917</v>
      </c>
      <c r="E2" s="44">
        <v>767403</v>
      </c>
      <c r="F2" s="45"/>
    </row>
    <row r="3" spans="1:29" x14ac:dyDescent="0.45">
      <c r="A3" s="36"/>
      <c r="C3" s="149"/>
      <c r="D3" t="s">
        <v>919</v>
      </c>
      <c r="E3">
        <v>300000</v>
      </c>
      <c r="F3" s="35"/>
    </row>
    <row r="4" spans="1:29" ht="14.65" thickBot="1" x14ac:dyDescent="0.5">
      <c r="A4" s="36"/>
      <c r="C4" s="149"/>
      <c r="D4" t="s">
        <v>920</v>
      </c>
      <c r="E4">
        <v>24800</v>
      </c>
      <c r="F4" s="35"/>
    </row>
    <row r="5" spans="1:29" ht="14.65" thickBot="1" x14ac:dyDescent="0.5">
      <c r="A5" s="36"/>
      <c r="F5" s="35"/>
      <c r="I5" s="48"/>
      <c r="J5" s="44" t="s">
        <v>860</v>
      </c>
      <c r="K5" s="44"/>
      <c r="L5" s="44"/>
      <c r="M5" s="44"/>
      <c r="N5" s="44"/>
      <c r="O5" s="44"/>
      <c r="P5" s="45"/>
    </row>
    <row r="6" spans="1:29" x14ac:dyDescent="0.45">
      <c r="A6" s="36"/>
      <c r="C6" s="3" t="s">
        <v>60</v>
      </c>
      <c r="D6" t="s">
        <v>918</v>
      </c>
      <c r="E6">
        <f>(Baseline_biogas_production!D7)*1000</f>
        <v>2799918.4861717611</v>
      </c>
      <c r="F6" s="35"/>
      <c r="I6" s="36"/>
      <c r="J6" t="s">
        <v>678</v>
      </c>
      <c r="K6" s="152" t="s">
        <v>858</v>
      </c>
      <c r="L6" s="152"/>
      <c r="M6" s="152"/>
      <c r="N6" s="152"/>
      <c r="O6" s="152"/>
      <c r="P6" s="153"/>
      <c r="T6" s="154" t="s">
        <v>857</v>
      </c>
      <c r="U6" s="155"/>
      <c r="V6" s="155"/>
      <c r="W6" s="155"/>
      <c r="X6" s="155"/>
      <c r="Y6" s="155"/>
      <c r="Z6" s="156"/>
      <c r="AB6" s="2"/>
      <c r="AC6" s="2"/>
    </row>
    <row r="7" spans="1:29" ht="42.75" x14ac:dyDescent="0.45">
      <c r="A7" s="36"/>
      <c r="C7" s="3"/>
      <c r="F7" s="35"/>
      <c r="I7" s="36" t="s">
        <v>861</v>
      </c>
      <c r="J7" t="s">
        <v>862</v>
      </c>
      <c r="K7" s="12" t="s">
        <v>77</v>
      </c>
      <c r="L7" s="12" t="s">
        <v>885</v>
      </c>
      <c r="M7" s="12" t="s">
        <v>884</v>
      </c>
      <c r="N7" s="80" t="s">
        <v>916</v>
      </c>
      <c r="O7" s="80" t="s">
        <v>878</v>
      </c>
      <c r="P7" s="81" t="s">
        <v>84</v>
      </c>
      <c r="T7" s="62" t="s">
        <v>180</v>
      </c>
      <c r="U7" s="12" t="s">
        <v>862</v>
      </c>
      <c r="V7" s="12" t="s">
        <v>77</v>
      </c>
      <c r="W7" s="12" t="s">
        <v>79</v>
      </c>
      <c r="X7" s="12" t="s">
        <v>78</v>
      </c>
      <c r="Y7" s="12" t="s">
        <v>80</v>
      </c>
      <c r="Z7" s="52" t="s">
        <v>86</v>
      </c>
    </row>
    <row r="8" spans="1:29" x14ac:dyDescent="0.45">
      <c r="A8" s="161" t="s">
        <v>68</v>
      </c>
      <c r="B8" s="145"/>
      <c r="C8" s="140" t="s">
        <v>93</v>
      </c>
      <c r="D8" t="s">
        <v>92</v>
      </c>
      <c r="E8" t="s">
        <v>94</v>
      </c>
      <c r="F8" s="35">
        <v>359.4</v>
      </c>
      <c r="I8" s="36" t="s">
        <v>863</v>
      </c>
      <c r="J8" t="s">
        <v>99</v>
      </c>
      <c r="K8">
        <v>0</v>
      </c>
      <c r="L8">
        <v>3.2197999999999997E-2</v>
      </c>
      <c r="M8">
        <f>9533/1000000</f>
        <v>9.5329999999999998E-3</v>
      </c>
      <c r="N8">
        <f>(32198-12164)/32198</f>
        <v>0.62221255978632217</v>
      </c>
      <c r="O8">
        <f>((9533-1249)/9533)</f>
        <v>0.86898143291723484</v>
      </c>
      <c r="P8" s="35">
        <f>(0.5-((4-1.5*(L8/M8))/8))</f>
        <v>0.63328700304206442</v>
      </c>
      <c r="T8" s="36" t="s">
        <v>866</v>
      </c>
      <c r="U8" t="s">
        <v>864</v>
      </c>
      <c r="V8">
        <v>0.23</v>
      </c>
      <c r="W8">
        <f>25/1000000</f>
        <v>2.5000000000000001E-5</v>
      </c>
      <c r="X8" t="s">
        <v>47</v>
      </c>
      <c r="Y8" t="s">
        <v>47</v>
      </c>
      <c r="Z8" s="35" t="s">
        <v>47</v>
      </c>
    </row>
    <row r="9" spans="1:29" x14ac:dyDescent="0.45">
      <c r="A9" s="161"/>
      <c r="B9" s="145"/>
      <c r="C9" s="140"/>
      <c r="D9" t="s">
        <v>96</v>
      </c>
      <c r="E9" t="s">
        <v>95</v>
      </c>
      <c r="F9" s="35"/>
      <c r="I9" s="36" t="s">
        <v>863</v>
      </c>
      <c r="J9" t="s">
        <v>99</v>
      </c>
      <c r="K9">
        <v>0</v>
      </c>
      <c r="L9">
        <f>33700/1000000</f>
        <v>3.3700000000000001E-2</v>
      </c>
      <c r="M9">
        <f>12288/1000000</f>
        <v>1.2288E-2</v>
      </c>
      <c r="N9">
        <f>(33700-5075)/33700</f>
        <v>0.84940652818991103</v>
      </c>
      <c r="O9">
        <f>(((12288-1914)/12288))</f>
        <v>0.84423828125</v>
      </c>
      <c r="P9" s="35">
        <f t="shared" ref="P9:P11" si="0">(0.5-((4-1.5*(L9/M9))/8))</f>
        <v>0.51422119140625</v>
      </c>
      <c r="T9" s="36" t="s">
        <v>867</v>
      </c>
      <c r="U9" t="s">
        <v>865</v>
      </c>
      <c r="V9">
        <f>MEDIAN(7,24)/100</f>
        <v>0.155</v>
      </c>
      <c r="W9" t="s">
        <v>47</v>
      </c>
      <c r="X9" t="s">
        <v>47</v>
      </c>
      <c r="Y9" t="s">
        <v>47</v>
      </c>
      <c r="Z9" s="35">
        <f>(MEDIAN(25,59))/80</f>
        <v>0.52500000000000002</v>
      </c>
    </row>
    <row r="10" spans="1:29" x14ac:dyDescent="0.45">
      <c r="A10" s="161"/>
      <c r="B10" s="140" t="s">
        <v>69</v>
      </c>
      <c r="C10" s="149" t="s">
        <v>859</v>
      </c>
      <c r="D10" t="s">
        <v>70</v>
      </c>
      <c r="E10" t="s">
        <v>169</v>
      </c>
      <c r="F10" s="35">
        <f>Eco!E15</f>
        <v>4877.9284226394657</v>
      </c>
      <c r="I10" s="36" t="s">
        <v>876</v>
      </c>
      <c r="J10" t="s">
        <v>877</v>
      </c>
      <c r="K10">
        <v>0</v>
      </c>
      <c r="L10">
        <f>0.28</f>
        <v>0.28000000000000003</v>
      </c>
      <c r="M10">
        <f>0.14285</f>
        <v>0.14285</v>
      </c>
      <c r="N10">
        <v>0.65210000000000001</v>
      </c>
      <c r="O10">
        <v>0.51280000000000003</v>
      </c>
      <c r="P10" s="82">
        <f>(0.5-((4-1.5*(L10/M10))/8))</f>
        <v>0.36751837591879599</v>
      </c>
      <c r="T10" s="36" t="s">
        <v>869</v>
      </c>
      <c r="U10" t="s">
        <v>868</v>
      </c>
      <c r="V10">
        <f>310/1000000</f>
        <v>3.1E-4</v>
      </c>
      <c r="W10">
        <f>25/1000000</f>
        <v>2.5000000000000001E-5</v>
      </c>
      <c r="X10" t="s">
        <v>47</v>
      </c>
      <c r="Y10" t="s">
        <v>47</v>
      </c>
      <c r="Z10" s="35" t="s">
        <v>47</v>
      </c>
    </row>
    <row r="11" spans="1:29" x14ac:dyDescent="0.45">
      <c r="A11" s="161"/>
      <c r="B11" s="140"/>
      <c r="C11" s="149"/>
      <c r="D11" t="s">
        <v>63</v>
      </c>
      <c r="E11" s="2" t="s">
        <v>168</v>
      </c>
      <c r="F11" s="35">
        <f>(817/5449)*F10</f>
        <v>731.37594444786987</v>
      </c>
      <c r="I11" s="36" t="s">
        <v>880</v>
      </c>
      <c r="J11" t="s">
        <v>879</v>
      </c>
      <c r="K11">
        <v>0</v>
      </c>
      <c r="L11">
        <f>160.86/1000</f>
        <v>0.16086</v>
      </c>
      <c r="M11">
        <f>38.48/1000</f>
        <v>3.848E-2</v>
      </c>
      <c r="N11">
        <v>0.51129999999999998</v>
      </c>
      <c r="O11">
        <v>0.68389999999999995</v>
      </c>
      <c r="P11" s="35">
        <f t="shared" si="0"/>
        <v>0.78381626819126815</v>
      </c>
      <c r="T11" s="36" t="s">
        <v>872</v>
      </c>
      <c r="U11" t="s">
        <v>871</v>
      </c>
      <c r="V11">
        <v>0.1</v>
      </c>
      <c r="W11" t="s">
        <v>47</v>
      </c>
      <c r="X11" t="s">
        <v>47</v>
      </c>
      <c r="Y11" t="s">
        <v>47</v>
      </c>
      <c r="Z11" s="35">
        <f>(MEDIAN(5,6,7,8,9,10,18))/100</f>
        <v>0.08</v>
      </c>
    </row>
    <row r="12" spans="1:29" x14ac:dyDescent="0.45">
      <c r="A12" s="161"/>
      <c r="B12" s="140"/>
      <c r="C12" s="149"/>
      <c r="D12" t="s">
        <v>33</v>
      </c>
      <c r="E12" s="2" t="s">
        <v>168</v>
      </c>
      <c r="F12" s="35"/>
      <c r="I12" s="36" t="s">
        <v>881</v>
      </c>
      <c r="J12" t="s">
        <v>882</v>
      </c>
      <c r="K12">
        <v>0.01</v>
      </c>
      <c r="L12">
        <v>0</v>
      </c>
      <c r="M12">
        <v>0</v>
      </c>
      <c r="N12">
        <v>0</v>
      </c>
      <c r="O12">
        <v>0</v>
      </c>
      <c r="P12" s="35">
        <v>0</v>
      </c>
      <c r="T12" s="36" t="s">
        <v>870</v>
      </c>
      <c r="U12" t="s">
        <v>871</v>
      </c>
      <c r="V12">
        <v>0.3</v>
      </c>
      <c r="W12" t="s">
        <v>47</v>
      </c>
      <c r="X12" t="s">
        <v>47</v>
      </c>
      <c r="Y12" t="s">
        <v>47</v>
      </c>
      <c r="Z12" s="35" t="s">
        <v>47</v>
      </c>
    </row>
    <row r="13" spans="1:29" ht="18.399999999999999" customHeight="1" x14ac:dyDescent="0.45">
      <c r="A13" s="161"/>
      <c r="B13" s="140"/>
      <c r="C13" s="149"/>
      <c r="D13" t="s">
        <v>71</v>
      </c>
      <c r="E13" s="2" t="s">
        <v>168</v>
      </c>
      <c r="F13" s="35">
        <f>Eco!E16</f>
        <v>18.967924917696863</v>
      </c>
      <c r="I13" s="36"/>
      <c r="P13" s="35"/>
      <c r="T13" s="36" t="s">
        <v>874</v>
      </c>
      <c r="U13" s="12" t="s">
        <v>873</v>
      </c>
      <c r="V13" t="s">
        <v>47</v>
      </c>
      <c r="W13">
        <v>4.8000000000000001E-2</v>
      </c>
      <c r="X13" t="s">
        <v>47</v>
      </c>
      <c r="Y13" t="s">
        <v>47</v>
      </c>
      <c r="Z13" s="35" t="s">
        <v>47</v>
      </c>
    </row>
    <row r="14" spans="1:29" ht="14.65" thickBot="1" x14ac:dyDescent="0.5">
      <c r="A14" s="161"/>
      <c r="B14" s="140"/>
      <c r="C14" s="149"/>
      <c r="D14" t="s">
        <v>72</v>
      </c>
      <c r="E14" s="2" t="s">
        <v>168</v>
      </c>
      <c r="F14" s="35">
        <v>6.21</v>
      </c>
      <c r="I14" s="40" t="s">
        <v>883</v>
      </c>
      <c r="J14" s="41"/>
      <c r="K14" s="41">
        <v>0.01</v>
      </c>
      <c r="L14" s="41">
        <f>AVERAGE(L8:L11)</f>
        <v>0.12668950000000001</v>
      </c>
      <c r="M14" s="41">
        <f>AVERAGE(M8:M11)</f>
        <v>5.0787750000000007E-2</v>
      </c>
      <c r="N14" s="41">
        <f>AVERAGE(N8:N9,N10:N11)</f>
        <v>0.6587547719940583</v>
      </c>
      <c r="O14" s="41">
        <f>AVERAGE(O8:O11)</f>
        <v>0.72747992854180865</v>
      </c>
      <c r="P14" s="43">
        <f>AVERAGE(P8:P9,P11)</f>
        <v>0.64377482087986093</v>
      </c>
      <c r="T14" s="40" t="s">
        <v>875</v>
      </c>
      <c r="U14" s="41"/>
      <c r="V14" s="41">
        <f>AVERAGE(V8:V12)</f>
        <v>0.15706199999999998</v>
      </c>
      <c r="W14" s="41">
        <f>AVERAGE(W8,W10,W13)</f>
        <v>1.6016666666666669E-2</v>
      </c>
      <c r="X14" s="41" t="s">
        <v>47</v>
      </c>
      <c r="Y14" s="41" t="s">
        <v>47</v>
      </c>
      <c r="Z14" s="43">
        <f>AVERAGE(Z9,Z11)</f>
        <v>0.30249999999999999</v>
      </c>
    </row>
    <row r="15" spans="1:29" x14ac:dyDescent="0.45">
      <c r="A15" s="161"/>
      <c r="B15" s="140"/>
      <c r="C15" s="149"/>
      <c r="D15" t="s">
        <v>73</v>
      </c>
      <c r="E15" s="2" t="s">
        <v>168</v>
      </c>
      <c r="F15" s="35">
        <v>14.1</v>
      </c>
    </row>
    <row r="16" spans="1:29" x14ac:dyDescent="0.45">
      <c r="A16" s="161"/>
      <c r="B16" s="140"/>
      <c r="C16" s="149"/>
      <c r="D16" t="s">
        <v>74</v>
      </c>
      <c r="E16" s="1" t="s">
        <v>47</v>
      </c>
      <c r="F16" s="35"/>
    </row>
    <row r="17" spans="1:6" x14ac:dyDescent="0.45">
      <c r="A17" s="161"/>
      <c r="B17" s="140"/>
      <c r="C17" s="140" t="s">
        <v>59</v>
      </c>
      <c r="D17" t="s">
        <v>70</v>
      </c>
      <c r="E17" t="s">
        <v>169</v>
      </c>
      <c r="F17" s="35">
        <f>Eco!E68</f>
        <v>1.2</v>
      </c>
    </row>
    <row r="18" spans="1:6" x14ac:dyDescent="0.45">
      <c r="A18" s="161"/>
      <c r="B18" s="140"/>
      <c r="C18" s="140"/>
      <c r="D18" t="s">
        <v>63</v>
      </c>
      <c r="E18" s="1" t="s">
        <v>47</v>
      </c>
      <c r="F18" s="35">
        <f>Baseline_crop_data!I28</f>
        <v>91</v>
      </c>
    </row>
    <row r="19" spans="1:6" x14ac:dyDescent="0.45">
      <c r="A19" s="161"/>
      <c r="B19" s="140"/>
      <c r="C19" s="140"/>
      <c r="D19" t="s">
        <v>33</v>
      </c>
      <c r="E19" s="1" t="s">
        <v>47</v>
      </c>
      <c r="F19" s="35">
        <f>Baseline_crop_data!I29</f>
        <v>9</v>
      </c>
    </row>
    <row r="20" spans="1:6" x14ac:dyDescent="0.45">
      <c r="A20" s="161"/>
      <c r="B20" s="140"/>
      <c r="C20" s="140"/>
      <c r="D20" t="s">
        <v>71</v>
      </c>
      <c r="E20" s="1" t="s">
        <v>47</v>
      </c>
      <c r="F20" s="35">
        <f>Baseline_crop_data!I30</f>
        <v>0.8640000000000001</v>
      </c>
    </row>
    <row r="21" spans="1:6" x14ac:dyDescent="0.45">
      <c r="A21" s="161"/>
      <c r="B21" s="140"/>
      <c r="C21" s="140"/>
      <c r="D21" t="s">
        <v>72</v>
      </c>
      <c r="E21" s="1" t="s">
        <v>47</v>
      </c>
      <c r="F21" s="35">
        <f>Baseline_crop_data!I31</f>
        <v>0.9</v>
      </c>
    </row>
    <row r="22" spans="1:6" x14ac:dyDescent="0.45">
      <c r="A22" s="161"/>
      <c r="B22" s="140"/>
      <c r="C22" s="140"/>
      <c r="D22" t="s">
        <v>73</v>
      </c>
      <c r="E22" s="1" t="s">
        <v>47</v>
      </c>
      <c r="F22" s="35">
        <v>0</v>
      </c>
    </row>
    <row r="23" spans="1:6" x14ac:dyDescent="0.45">
      <c r="A23" s="161"/>
      <c r="B23" s="140"/>
      <c r="C23" s="140"/>
      <c r="D23" t="s">
        <v>74</v>
      </c>
      <c r="E23" s="1" t="s">
        <v>47</v>
      </c>
      <c r="F23" s="35">
        <v>0</v>
      </c>
    </row>
    <row r="24" spans="1:6" x14ac:dyDescent="0.45">
      <c r="A24" s="161"/>
      <c r="B24" s="140"/>
      <c r="C24" s="140" t="s">
        <v>170</v>
      </c>
      <c r="D24" t="s">
        <v>75</v>
      </c>
      <c r="E24" s="1" t="s">
        <v>47</v>
      </c>
      <c r="F24" s="35">
        <v>0.25</v>
      </c>
    </row>
    <row r="25" spans="1:6" x14ac:dyDescent="0.45">
      <c r="A25" s="161"/>
      <c r="B25" s="140"/>
      <c r="C25" s="140"/>
      <c r="D25" t="s">
        <v>76</v>
      </c>
      <c r="E25" s="1" t="s">
        <v>47</v>
      </c>
      <c r="F25" s="35"/>
    </row>
    <row r="26" spans="1:6" x14ac:dyDescent="0.45">
      <c r="A26" s="161"/>
      <c r="B26" s="140"/>
      <c r="C26" s="140"/>
      <c r="D26" t="s">
        <v>77</v>
      </c>
      <c r="E26" s="1" t="s">
        <v>47</v>
      </c>
      <c r="F26" s="35">
        <v>0.45</v>
      </c>
    </row>
    <row r="27" spans="1:6" x14ac:dyDescent="0.45">
      <c r="A27" s="161"/>
      <c r="B27" s="140"/>
      <c r="C27" s="140"/>
      <c r="D27" t="s">
        <v>79</v>
      </c>
      <c r="E27" s="1" t="s">
        <v>47</v>
      </c>
      <c r="F27" s="35">
        <f>D84/100</f>
        <v>7.058823529411765E-3</v>
      </c>
    </row>
    <row r="28" spans="1:6" x14ac:dyDescent="0.45">
      <c r="A28" s="161"/>
      <c r="B28" s="140"/>
      <c r="C28" s="140"/>
      <c r="D28" t="s">
        <v>78</v>
      </c>
      <c r="E28" s="1" t="s">
        <v>47</v>
      </c>
      <c r="F28" s="35"/>
    </row>
    <row r="29" spans="1:6" x14ac:dyDescent="0.45">
      <c r="A29" s="161"/>
      <c r="B29" s="140"/>
      <c r="C29" s="140"/>
      <c r="D29" t="s">
        <v>80</v>
      </c>
      <c r="E29" s="1" t="s">
        <v>47</v>
      </c>
      <c r="F29" s="35"/>
    </row>
    <row r="30" spans="1:6" x14ac:dyDescent="0.45">
      <c r="A30" s="161"/>
      <c r="B30" s="140"/>
      <c r="C30" s="140"/>
      <c r="D30" t="s">
        <v>81</v>
      </c>
      <c r="E30" s="1" t="s">
        <v>47</v>
      </c>
      <c r="F30" s="35"/>
    </row>
    <row r="31" spans="1:6" x14ac:dyDescent="0.45">
      <c r="A31" s="161"/>
      <c r="B31" s="140"/>
      <c r="C31" s="140"/>
      <c r="D31" t="s">
        <v>82</v>
      </c>
      <c r="E31" s="1" t="s">
        <v>47</v>
      </c>
      <c r="F31" s="35"/>
    </row>
    <row r="32" spans="1:6" x14ac:dyDescent="0.45">
      <c r="A32" s="161"/>
      <c r="B32" s="140"/>
      <c r="C32" s="140"/>
      <c r="D32" t="s">
        <v>83</v>
      </c>
      <c r="E32" s="1" t="s">
        <v>47</v>
      </c>
      <c r="F32" s="35"/>
    </row>
    <row r="33" spans="1:6" x14ac:dyDescent="0.45">
      <c r="A33" s="161"/>
      <c r="B33" s="140"/>
      <c r="C33" s="140"/>
      <c r="D33" t="s">
        <v>84</v>
      </c>
      <c r="E33" s="1" t="s">
        <v>47</v>
      </c>
      <c r="F33" s="35"/>
    </row>
    <row r="34" spans="1:6" x14ac:dyDescent="0.45">
      <c r="A34" s="161"/>
      <c r="B34" s="140"/>
      <c r="C34" s="140"/>
      <c r="D34" t="s">
        <v>85</v>
      </c>
      <c r="E34" s="1" t="s">
        <v>47</v>
      </c>
      <c r="F34" s="35"/>
    </row>
    <row r="35" spans="1:6" x14ac:dyDescent="0.45">
      <c r="A35" s="161"/>
      <c r="B35" s="140"/>
      <c r="C35" s="140"/>
      <c r="D35" t="s">
        <v>86</v>
      </c>
      <c r="E35" s="1" t="s">
        <v>47</v>
      </c>
      <c r="F35" s="35">
        <f>$D$74/2</f>
        <v>0.48</v>
      </c>
    </row>
    <row r="36" spans="1:6" x14ac:dyDescent="0.45">
      <c r="A36" s="161"/>
      <c r="B36" s="140"/>
      <c r="C36" s="140"/>
      <c r="D36" t="s">
        <v>87</v>
      </c>
      <c r="E36" s="1" t="s">
        <v>47</v>
      </c>
      <c r="F36" s="35">
        <f>$D$74/2</f>
        <v>0.48</v>
      </c>
    </row>
    <row r="37" spans="1:6" x14ac:dyDescent="0.45">
      <c r="A37" s="161"/>
      <c r="B37" s="140"/>
      <c r="C37" s="140"/>
      <c r="D37" t="s">
        <v>88</v>
      </c>
      <c r="E37" s="1" t="s">
        <v>47</v>
      </c>
      <c r="F37" s="35"/>
    </row>
    <row r="38" spans="1:6" x14ac:dyDescent="0.45">
      <c r="A38" s="161"/>
      <c r="B38" s="140"/>
      <c r="C38" s="140"/>
      <c r="D38" t="s">
        <v>89</v>
      </c>
      <c r="E38" s="1" t="s">
        <v>47</v>
      </c>
      <c r="F38" s="35"/>
    </row>
    <row r="39" spans="1:6" x14ac:dyDescent="0.45">
      <c r="A39" s="161"/>
      <c r="B39" s="140" t="s">
        <v>91</v>
      </c>
      <c r="C39" s="140" t="s">
        <v>90</v>
      </c>
      <c r="D39" t="s">
        <v>75</v>
      </c>
      <c r="E39" s="1" t="s">
        <v>47</v>
      </c>
      <c r="F39" s="35">
        <v>0.19</v>
      </c>
    </row>
    <row r="40" spans="1:6" x14ac:dyDescent="0.45">
      <c r="A40" s="161"/>
      <c r="B40" s="140"/>
      <c r="C40" s="140"/>
      <c r="D40" t="s">
        <v>76</v>
      </c>
      <c r="E40" s="1" t="s">
        <v>47</v>
      </c>
      <c r="F40" s="35"/>
    </row>
    <row r="41" spans="1:6" x14ac:dyDescent="0.45">
      <c r="A41" s="161"/>
      <c r="B41" s="140"/>
      <c r="C41" s="140"/>
      <c r="D41" t="s">
        <v>77</v>
      </c>
      <c r="E41" s="1" t="s">
        <v>47</v>
      </c>
      <c r="F41" s="35">
        <v>0.2</v>
      </c>
    </row>
    <row r="42" spans="1:6" x14ac:dyDescent="0.45">
      <c r="A42" s="161"/>
      <c r="B42" s="140"/>
      <c r="C42" s="140"/>
      <c r="D42" t="s">
        <v>79</v>
      </c>
      <c r="E42" s="1" t="s">
        <v>47</v>
      </c>
      <c r="F42" s="35">
        <f>MEDIAN(5,15)/100</f>
        <v>0.1</v>
      </c>
    </row>
    <row r="43" spans="1:6" x14ac:dyDescent="0.45">
      <c r="A43" s="161"/>
      <c r="B43" s="140"/>
      <c r="C43" s="140"/>
      <c r="D43" t="s">
        <v>78</v>
      </c>
      <c r="E43" s="1" t="s">
        <v>47</v>
      </c>
      <c r="F43" s="35"/>
    </row>
    <row r="44" spans="1:6" x14ac:dyDescent="0.45">
      <c r="A44" s="161"/>
      <c r="B44" s="140"/>
      <c r="C44" s="140"/>
      <c r="D44" t="s">
        <v>80</v>
      </c>
      <c r="E44" s="1" t="s">
        <v>47</v>
      </c>
      <c r="F44" s="35"/>
    </row>
    <row r="45" spans="1:6" x14ac:dyDescent="0.45">
      <c r="A45" s="161"/>
      <c r="B45" s="140"/>
      <c r="C45" s="140"/>
      <c r="D45" t="s">
        <v>81</v>
      </c>
      <c r="E45" s="1" t="s">
        <v>47</v>
      </c>
      <c r="F45" s="35"/>
    </row>
    <row r="46" spans="1:6" x14ac:dyDescent="0.45">
      <c r="A46" s="161"/>
      <c r="B46" s="140"/>
      <c r="C46" s="140"/>
      <c r="D46" t="s">
        <v>82</v>
      </c>
      <c r="E46" s="1" t="s">
        <v>47</v>
      </c>
      <c r="F46" s="35"/>
    </row>
    <row r="47" spans="1:6" x14ac:dyDescent="0.45">
      <c r="A47" s="161"/>
      <c r="B47" s="140"/>
      <c r="C47" s="140"/>
      <c r="D47" t="s">
        <v>83</v>
      </c>
      <c r="E47" s="1" t="s">
        <v>47</v>
      </c>
      <c r="F47" s="35"/>
    </row>
    <row r="48" spans="1:6" x14ac:dyDescent="0.45">
      <c r="A48" s="161"/>
      <c r="B48" s="140"/>
      <c r="C48" s="140"/>
      <c r="D48" t="s">
        <v>84</v>
      </c>
      <c r="E48" s="1" t="s">
        <v>47</v>
      </c>
      <c r="F48" s="35"/>
    </row>
    <row r="49" spans="1:9" x14ac:dyDescent="0.45">
      <c r="A49" s="161"/>
      <c r="B49" s="140"/>
      <c r="C49" s="140"/>
      <c r="D49" t="s">
        <v>85</v>
      </c>
      <c r="E49" s="1" t="s">
        <v>47</v>
      </c>
      <c r="F49" s="35"/>
    </row>
    <row r="50" spans="1:9" x14ac:dyDescent="0.45">
      <c r="A50" s="161"/>
      <c r="B50" s="140"/>
      <c r="C50" s="140"/>
      <c r="D50" t="s">
        <v>86</v>
      </c>
      <c r="E50" s="1" t="s">
        <v>47</v>
      </c>
      <c r="F50" s="35">
        <v>0.05</v>
      </c>
    </row>
    <row r="51" spans="1:9" x14ac:dyDescent="0.45">
      <c r="A51" s="161"/>
      <c r="B51" s="140"/>
      <c r="C51" s="140"/>
      <c r="D51" t="s">
        <v>87</v>
      </c>
      <c r="E51" s="1" t="s">
        <v>47</v>
      </c>
      <c r="F51" s="35">
        <v>0.02</v>
      </c>
    </row>
    <row r="52" spans="1:9" x14ac:dyDescent="0.45">
      <c r="A52" s="161"/>
      <c r="B52" s="140"/>
      <c r="C52" s="140"/>
      <c r="D52" t="s">
        <v>88</v>
      </c>
      <c r="E52" s="1" t="s">
        <v>47</v>
      </c>
      <c r="F52" s="35"/>
    </row>
    <row r="53" spans="1:9" ht="14.65" thickBot="1" x14ac:dyDescent="0.5">
      <c r="A53" s="162"/>
      <c r="B53" s="151"/>
      <c r="C53" s="151"/>
      <c r="D53" s="41" t="s">
        <v>89</v>
      </c>
      <c r="E53" s="100" t="s">
        <v>47</v>
      </c>
      <c r="F53" s="43"/>
    </row>
    <row r="54" spans="1:9" x14ac:dyDescent="0.45">
      <c r="F54" s="26"/>
    </row>
    <row r="55" spans="1:9" x14ac:dyDescent="0.45">
      <c r="F55" s="26"/>
    </row>
    <row r="56" spans="1:9" ht="14.65" thickBot="1" x14ac:dyDescent="0.5"/>
    <row r="57" spans="1:9" ht="32.25" customHeight="1" x14ac:dyDescent="0.45">
      <c r="A57" s="158" t="s">
        <v>921</v>
      </c>
      <c r="B57" s="159"/>
      <c r="C57" s="159"/>
      <c r="D57" s="159"/>
      <c r="E57" s="160"/>
      <c r="F57" s="12"/>
      <c r="G57" s="12"/>
      <c r="H57" s="12"/>
      <c r="I57" s="12"/>
    </row>
    <row r="58" spans="1:9" x14ac:dyDescent="0.45">
      <c r="A58" s="36" t="s">
        <v>174</v>
      </c>
      <c r="E58" s="35"/>
    </row>
    <row r="59" spans="1:9" x14ac:dyDescent="0.45">
      <c r="A59" s="36" t="s">
        <v>172</v>
      </c>
      <c r="B59" t="s">
        <v>171</v>
      </c>
      <c r="C59" s="12" t="s">
        <v>107</v>
      </c>
      <c r="D59" t="s">
        <v>175</v>
      </c>
      <c r="E59" s="35" t="s">
        <v>180</v>
      </c>
    </row>
    <row r="60" spans="1:9" ht="42.75" x14ac:dyDescent="0.45">
      <c r="A60" s="150" t="s">
        <v>173</v>
      </c>
      <c r="B60" s="12" t="s">
        <v>185</v>
      </c>
      <c r="C60" s="12" t="s">
        <v>67</v>
      </c>
      <c r="D60">
        <v>6.5</v>
      </c>
      <c r="E60" s="52" t="s">
        <v>176</v>
      </c>
    </row>
    <row r="61" spans="1:9" ht="27.75" customHeight="1" x14ac:dyDescent="0.45">
      <c r="A61" s="150"/>
      <c r="B61" s="12" t="s">
        <v>179</v>
      </c>
      <c r="C61" s="12" t="s">
        <v>772</v>
      </c>
      <c r="D61">
        <f>Eco!E65/365</f>
        <v>52.170158810692485</v>
      </c>
      <c r="E61" s="52" t="s">
        <v>181</v>
      </c>
    </row>
    <row r="62" spans="1:9" x14ac:dyDescent="0.45">
      <c r="A62" s="150"/>
      <c r="B62" s="12" t="s">
        <v>177</v>
      </c>
      <c r="C62" s="12" t="s">
        <v>178</v>
      </c>
      <c r="D62" s="6">
        <f>((D61*(D60/100)*365)/D63)</f>
        <v>22.277484121376514</v>
      </c>
      <c r="E62" s="52" t="s">
        <v>967</v>
      </c>
    </row>
    <row r="63" spans="1:9" x14ac:dyDescent="0.45">
      <c r="A63" s="150"/>
      <c r="B63" s="12" t="s">
        <v>183</v>
      </c>
      <c r="C63" s="12" t="s">
        <v>182</v>
      </c>
      <c r="D63">
        <v>55.56</v>
      </c>
      <c r="E63" s="52" t="s">
        <v>184</v>
      </c>
    </row>
    <row r="64" spans="1:9" ht="71.25" x14ac:dyDescent="0.45">
      <c r="A64" s="62" t="s">
        <v>186</v>
      </c>
      <c r="B64" s="12" t="s">
        <v>187</v>
      </c>
      <c r="C64" s="12" t="s">
        <v>178</v>
      </c>
      <c r="D64">
        <v>6</v>
      </c>
      <c r="E64" s="52" t="s">
        <v>188</v>
      </c>
    </row>
    <row r="65" spans="1:5" ht="28.5" x14ac:dyDescent="0.45">
      <c r="A65" s="150" t="s">
        <v>190</v>
      </c>
      <c r="B65" s="12" t="s">
        <v>191</v>
      </c>
      <c r="C65" s="12" t="s">
        <v>47</v>
      </c>
      <c r="D65">
        <v>1</v>
      </c>
      <c r="E65" s="52" t="s">
        <v>192</v>
      </c>
    </row>
    <row r="66" spans="1:5" x14ac:dyDescent="0.45">
      <c r="A66" s="150"/>
      <c r="B66" s="12" t="s">
        <v>193</v>
      </c>
      <c r="C66" s="12" t="s">
        <v>195</v>
      </c>
      <c r="D66">
        <f>D96</f>
        <v>54.467924917696863</v>
      </c>
      <c r="E66" s="52" t="s">
        <v>194</v>
      </c>
    </row>
    <row r="67" spans="1:5" ht="28.5" x14ac:dyDescent="0.45">
      <c r="A67" s="150"/>
      <c r="B67" s="12" t="s">
        <v>196</v>
      </c>
      <c r="C67" s="12" t="s">
        <v>197</v>
      </c>
      <c r="D67">
        <v>0.52500000000000002</v>
      </c>
      <c r="E67" s="52" t="s">
        <v>198</v>
      </c>
    </row>
    <row r="68" spans="1:5" ht="28.5" x14ac:dyDescent="0.45">
      <c r="A68" s="150"/>
      <c r="B68" s="12" t="s">
        <v>199</v>
      </c>
      <c r="C68" s="12" t="s">
        <v>200</v>
      </c>
      <c r="D68">
        <v>5.0000000000000001E-3</v>
      </c>
      <c r="E68" s="52" t="s">
        <v>201</v>
      </c>
    </row>
    <row r="69" spans="1:5" x14ac:dyDescent="0.45">
      <c r="A69" s="150"/>
      <c r="B69" s="12" t="s">
        <v>189</v>
      </c>
      <c r="C69" s="12" t="s">
        <v>385</v>
      </c>
      <c r="D69" s="6">
        <f>((D65*D66*D67)*D68)*44/28</f>
        <v>0.22468019028549957</v>
      </c>
      <c r="E69" s="52" t="s">
        <v>202</v>
      </c>
    </row>
    <row r="70" spans="1:5" ht="28.5" x14ac:dyDescent="0.45">
      <c r="A70" s="147" t="s">
        <v>220</v>
      </c>
      <c r="B70" s="12" t="s">
        <v>203</v>
      </c>
      <c r="C70" s="12" t="s">
        <v>67</v>
      </c>
      <c r="D70">
        <v>45</v>
      </c>
      <c r="E70" s="52" t="s">
        <v>204</v>
      </c>
    </row>
    <row r="71" spans="1:5" ht="14.25" customHeight="1" x14ac:dyDescent="0.45">
      <c r="A71" s="147"/>
      <c r="B71" s="12" t="s">
        <v>205</v>
      </c>
      <c r="C71" s="12" t="s">
        <v>250</v>
      </c>
      <c r="D71" s="6">
        <f>((D65*D66*D67)*D70/100)</f>
        <v>12.868047261805884</v>
      </c>
      <c r="E71" s="52" t="s">
        <v>206</v>
      </c>
    </row>
    <row r="72" spans="1:5" ht="16.899999999999999" customHeight="1" x14ac:dyDescent="0.45">
      <c r="A72" s="147"/>
      <c r="B72" s="12" t="s">
        <v>207</v>
      </c>
      <c r="C72" s="12" t="s">
        <v>208</v>
      </c>
      <c r="D72">
        <v>0.01</v>
      </c>
      <c r="E72" s="52" t="s">
        <v>209</v>
      </c>
    </row>
    <row r="73" spans="1:5" ht="28.5" x14ac:dyDescent="0.45">
      <c r="A73" s="147"/>
      <c r="B73" s="12" t="s">
        <v>210</v>
      </c>
      <c r="C73" s="12" t="s">
        <v>384</v>
      </c>
      <c r="D73" s="6">
        <f>(D71*D72)*44/28</f>
        <v>0.2022121712569496</v>
      </c>
      <c r="E73" s="52"/>
    </row>
    <row r="74" spans="1:5" ht="85.5" customHeight="1" x14ac:dyDescent="0.45">
      <c r="A74" s="147"/>
      <c r="B74" s="12" t="s">
        <v>211</v>
      </c>
      <c r="C74" s="12" t="s">
        <v>67</v>
      </c>
      <c r="D74">
        <v>0.96</v>
      </c>
      <c r="E74" s="52" t="s">
        <v>212</v>
      </c>
    </row>
    <row r="75" spans="1:5" ht="28.5" x14ac:dyDescent="0.45">
      <c r="A75" s="147"/>
      <c r="B75" s="12" t="s">
        <v>213</v>
      </c>
      <c r="C75" s="12" t="s">
        <v>250</v>
      </c>
      <c r="D75" s="6">
        <f>(D65*D66*D67)*(D74/100)</f>
        <v>0.27451834158519217</v>
      </c>
      <c r="E75" s="52" t="s">
        <v>214</v>
      </c>
    </row>
    <row r="76" spans="1:5" ht="28.5" x14ac:dyDescent="0.45">
      <c r="A76" s="147"/>
      <c r="B76" s="12" t="s">
        <v>215</v>
      </c>
      <c r="C76" s="12" t="s">
        <v>216</v>
      </c>
      <c r="D76">
        <v>7.4999999999999997E-3</v>
      </c>
      <c r="E76" s="52" t="s">
        <v>209</v>
      </c>
    </row>
    <row r="77" spans="1:5" ht="28.5" x14ac:dyDescent="0.45">
      <c r="A77" s="147"/>
      <c r="B77" s="12" t="s">
        <v>217</v>
      </c>
      <c r="C77" s="12" t="s">
        <v>218</v>
      </c>
      <c r="D77">
        <f>(D75*D76)*44/28</f>
        <v>3.2353947401111936E-3</v>
      </c>
      <c r="E77" s="52" t="s">
        <v>219</v>
      </c>
    </row>
    <row r="78" spans="1:5" x14ac:dyDescent="0.45">
      <c r="A78" s="147"/>
      <c r="B78" s="12" t="s">
        <v>886</v>
      </c>
      <c r="C78" s="12" t="s">
        <v>887</v>
      </c>
      <c r="D78" s="6">
        <f>((D64*D65)/10^6)*100000</f>
        <v>0.6</v>
      </c>
      <c r="E78" s="52" t="s">
        <v>888</v>
      </c>
    </row>
    <row r="79" spans="1:5" x14ac:dyDescent="0.45">
      <c r="A79" s="36"/>
      <c r="B79" s="12" t="s">
        <v>222</v>
      </c>
      <c r="C79" s="12" t="s">
        <v>223</v>
      </c>
      <c r="D79">
        <f>D66/365</f>
        <v>0.14922719155533387</v>
      </c>
      <c r="E79" s="52"/>
    </row>
    <row r="80" spans="1:5" x14ac:dyDescent="0.45">
      <c r="A80" s="36"/>
      <c r="B80" s="12" t="s">
        <v>224</v>
      </c>
      <c r="C80" s="12" t="s">
        <v>225</v>
      </c>
      <c r="D80">
        <f>D79/24</f>
        <v>6.217799648138911E-3</v>
      </c>
      <c r="E80" s="52"/>
    </row>
    <row r="81" spans="1:5" ht="28.5" x14ac:dyDescent="0.45">
      <c r="A81" s="36"/>
      <c r="B81" s="12" t="s">
        <v>221</v>
      </c>
      <c r="C81" s="12" t="s">
        <v>250</v>
      </c>
      <c r="D81">
        <f>(D80*D91)*D65</f>
        <v>22.638231293917759</v>
      </c>
      <c r="E81" s="52" t="s">
        <v>383</v>
      </c>
    </row>
    <row r="82" spans="1:5" ht="28.5" x14ac:dyDescent="0.45">
      <c r="A82" s="36"/>
      <c r="B82" s="12" t="s">
        <v>226</v>
      </c>
      <c r="C82" s="12" t="s">
        <v>250</v>
      </c>
      <c r="D82">
        <f>(D80*D92)*D65</f>
        <v>31.829693623779104</v>
      </c>
      <c r="E82" s="52" t="s">
        <v>383</v>
      </c>
    </row>
    <row r="83" spans="1:5" x14ac:dyDescent="0.45">
      <c r="A83" s="36"/>
      <c r="B83" s="12" t="s">
        <v>227</v>
      </c>
      <c r="C83" s="12" t="s">
        <v>67</v>
      </c>
      <c r="D83">
        <f>(D71/D82)*100</f>
        <v>40.427807486631018</v>
      </c>
      <c r="E83" s="52"/>
    </row>
    <row r="84" spans="1:5" x14ac:dyDescent="0.45">
      <c r="A84" s="36"/>
      <c r="B84" s="12" t="s">
        <v>228</v>
      </c>
      <c r="C84" s="12" t="s">
        <v>67</v>
      </c>
      <c r="D84">
        <f>(D69/D82)*100</f>
        <v>0.70588235294117652</v>
      </c>
      <c r="E84" s="52"/>
    </row>
    <row r="85" spans="1:5" ht="85.5" x14ac:dyDescent="0.45">
      <c r="A85" s="36"/>
      <c r="B85" s="12" t="s">
        <v>229</v>
      </c>
      <c r="C85" s="12" t="s">
        <v>67</v>
      </c>
      <c r="D85">
        <v>25</v>
      </c>
      <c r="E85" s="84" t="s">
        <v>234</v>
      </c>
    </row>
    <row r="86" spans="1:5" x14ac:dyDescent="0.45">
      <c r="A86" s="36"/>
      <c r="B86" s="12" t="s">
        <v>230</v>
      </c>
      <c r="C86" s="12" t="s">
        <v>232</v>
      </c>
      <c r="D86">
        <f>D66*(D85/100)</f>
        <v>13.616981229424216</v>
      </c>
      <c r="E86" s="52"/>
    </row>
    <row r="87" spans="1:5" ht="28.5" x14ac:dyDescent="0.45">
      <c r="A87" s="36"/>
      <c r="B87" s="12" t="s">
        <v>231</v>
      </c>
      <c r="C87" s="12" t="s">
        <v>232</v>
      </c>
      <c r="D87">
        <f>D81*(D85/100)</f>
        <v>5.6595578234794397</v>
      </c>
      <c r="E87" s="52"/>
    </row>
    <row r="88" spans="1:5" ht="28.5" x14ac:dyDescent="0.45">
      <c r="A88" s="36"/>
      <c r="B88" s="12" t="s">
        <v>233</v>
      </c>
      <c r="C88" s="12" t="s">
        <v>232</v>
      </c>
      <c r="D88">
        <f>D82*(D85/100)</f>
        <v>7.9574234059447759</v>
      </c>
      <c r="E88" s="52"/>
    </row>
    <row r="89" spans="1:5" x14ac:dyDescent="0.45">
      <c r="A89" s="36"/>
      <c r="B89" s="12" t="s">
        <v>254</v>
      </c>
      <c r="C89" s="12" t="s">
        <v>255</v>
      </c>
      <c r="D89">
        <v>5.7</v>
      </c>
      <c r="E89" s="52"/>
    </row>
    <row r="90" spans="1:5" ht="28.5" x14ac:dyDescent="0.45">
      <c r="A90" s="36"/>
      <c r="B90" s="12" t="s">
        <v>256</v>
      </c>
      <c r="C90" s="12" t="s">
        <v>257</v>
      </c>
      <c r="D90">
        <v>21</v>
      </c>
      <c r="E90" s="52"/>
    </row>
    <row r="91" spans="1:5" x14ac:dyDescent="0.45">
      <c r="A91" s="36"/>
      <c r="B91" s="12" t="s">
        <v>251</v>
      </c>
      <c r="C91" s="12" t="s">
        <v>252</v>
      </c>
      <c r="D91">
        <f>((D89/12)*365)*D90</f>
        <v>3640.875</v>
      </c>
      <c r="E91" s="52"/>
    </row>
    <row r="92" spans="1:5" x14ac:dyDescent="0.45">
      <c r="A92" s="36"/>
      <c r="B92" s="12" t="s">
        <v>253</v>
      </c>
      <c r="C92" s="12" t="s">
        <v>252</v>
      </c>
      <c r="D92">
        <f>(365*24)-D91</f>
        <v>5119.125</v>
      </c>
      <c r="E92" s="52"/>
    </row>
    <row r="93" spans="1:5" x14ac:dyDescent="0.45">
      <c r="A93" s="36"/>
      <c r="B93" s="12"/>
      <c r="C93" s="12"/>
      <c r="E93" s="52"/>
    </row>
    <row r="94" spans="1:5" x14ac:dyDescent="0.45">
      <c r="A94" s="36"/>
      <c r="B94" s="12"/>
      <c r="C94" s="12"/>
      <c r="E94" s="52"/>
    </row>
    <row r="95" spans="1:5" x14ac:dyDescent="0.45">
      <c r="A95" s="147" t="s">
        <v>248</v>
      </c>
      <c r="B95" s="12" t="s">
        <v>249</v>
      </c>
      <c r="C95" s="12" t="s">
        <v>250</v>
      </c>
      <c r="D95">
        <v>0</v>
      </c>
      <c r="E95" s="52"/>
    </row>
    <row r="96" spans="1:5" ht="14.25" customHeight="1" x14ac:dyDescent="0.45">
      <c r="A96" s="147"/>
      <c r="B96" s="12" t="s">
        <v>258</v>
      </c>
      <c r="C96" s="12" t="s">
        <v>288</v>
      </c>
      <c r="D96">
        <f>Eco!E63+Eco!E18</f>
        <v>54.467924917696863</v>
      </c>
      <c r="E96" s="52"/>
    </row>
    <row r="97" spans="1:5" x14ac:dyDescent="0.45">
      <c r="A97" s="147"/>
      <c r="B97" s="12" t="s">
        <v>259</v>
      </c>
      <c r="C97" s="12" t="s">
        <v>250</v>
      </c>
      <c r="D97">
        <f>3000000*0.84</f>
        <v>2520000</v>
      </c>
      <c r="E97" s="52"/>
    </row>
    <row r="98" spans="1:5" x14ac:dyDescent="0.45">
      <c r="A98" s="147"/>
      <c r="B98" s="12" t="s">
        <v>260</v>
      </c>
      <c r="C98" s="12" t="s">
        <v>261</v>
      </c>
      <c r="D98">
        <f>SUM(D112:D116)</f>
        <v>359.40000000000003</v>
      </c>
      <c r="E98" s="52"/>
    </row>
    <row r="99" spans="1:5" x14ac:dyDescent="0.45">
      <c r="A99" s="147"/>
      <c r="B99" s="12" t="s">
        <v>287</v>
      </c>
      <c r="C99" s="12" t="s">
        <v>250</v>
      </c>
      <c r="D99">
        <f>(SUM(D165:D166))+D97</f>
        <v>2520041.3253593142</v>
      </c>
      <c r="E99" s="52"/>
    </row>
    <row r="100" spans="1:5" ht="28.5" x14ac:dyDescent="0.45">
      <c r="A100" s="147"/>
      <c r="B100" s="12" t="s">
        <v>313</v>
      </c>
      <c r="C100" s="12" t="s">
        <v>262</v>
      </c>
      <c r="D100">
        <f>(D132*1000)/D117</f>
        <v>1.2233333333333334</v>
      </c>
      <c r="E100" s="52" t="s">
        <v>294</v>
      </c>
    </row>
    <row r="101" spans="1:5" ht="28.5" x14ac:dyDescent="0.45">
      <c r="A101" s="147"/>
      <c r="B101" s="12" t="s">
        <v>314</v>
      </c>
      <c r="C101" s="12" t="s">
        <v>262</v>
      </c>
      <c r="D101">
        <f>(D139*1000)/D118</f>
        <v>2.997409261576971</v>
      </c>
      <c r="E101" s="52" t="s">
        <v>284</v>
      </c>
    </row>
    <row r="102" spans="1:5" ht="28.5" x14ac:dyDescent="0.45">
      <c r="A102" s="147"/>
      <c r="B102" s="12" t="s">
        <v>315</v>
      </c>
      <c r="C102" s="12" t="s">
        <v>262</v>
      </c>
      <c r="D102">
        <f>(D146*1000)/D119</f>
        <v>0.29999999999999993</v>
      </c>
      <c r="E102" s="52" t="s">
        <v>295</v>
      </c>
    </row>
    <row r="103" spans="1:5" ht="28.5" x14ac:dyDescent="0.45">
      <c r="A103" s="147"/>
      <c r="B103" s="12" t="s">
        <v>316</v>
      </c>
      <c r="C103" s="12" t="s">
        <v>262</v>
      </c>
      <c r="D103">
        <f>(D153*1000)/D120</f>
        <v>0.3</v>
      </c>
      <c r="E103" s="52" t="s">
        <v>296</v>
      </c>
    </row>
    <row r="104" spans="1:5" ht="28.5" x14ac:dyDescent="0.45">
      <c r="A104" s="147"/>
      <c r="B104" s="12" t="s">
        <v>333</v>
      </c>
      <c r="C104" s="12" t="s">
        <v>262</v>
      </c>
      <c r="D104">
        <f>(D160*1000)/D121</f>
        <v>1.6489255189255188</v>
      </c>
      <c r="E104" s="52"/>
    </row>
    <row r="105" spans="1:5" ht="28.5" x14ac:dyDescent="0.45">
      <c r="A105" s="147"/>
      <c r="B105" s="12" t="s">
        <v>317</v>
      </c>
      <c r="C105" s="12" t="s">
        <v>250</v>
      </c>
      <c r="D105">
        <f>(D117*((D112)*D100*D128*(1+0)+D112*1*D122*D130))</f>
        <v>10655.271514800001</v>
      </c>
      <c r="E105" s="52"/>
    </row>
    <row r="106" spans="1:5" ht="28.5" x14ac:dyDescent="0.45">
      <c r="A106" s="147"/>
      <c r="B106" s="12" t="s">
        <v>318</v>
      </c>
      <c r="C106" s="12" t="s">
        <v>250</v>
      </c>
      <c r="D106">
        <f>(D118*((D113)*D101*D135*(1+0)+D113*1*D123*D137))</f>
        <v>1555.8612212800001</v>
      </c>
      <c r="E106" s="52"/>
    </row>
    <row r="107" spans="1:5" ht="28.5" x14ac:dyDescent="0.45">
      <c r="A107" s="147"/>
      <c r="B107" s="12" t="s">
        <v>319</v>
      </c>
      <c r="C107" s="12" t="s">
        <v>250</v>
      </c>
      <c r="D107">
        <f>(D119*((D114)*D102*D142*(1+0)+D114*0.5*D144*D124))</f>
        <v>34686.615599999997</v>
      </c>
      <c r="E107" s="52"/>
    </row>
    <row r="108" spans="1:5" ht="28.5" x14ac:dyDescent="0.45">
      <c r="A108" s="147"/>
      <c r="B108" s="12" t="s">
        <v>320</v>
      </c>
      <c r="C108" s="12" t="s">
        <v>250</v>
      </c>
      <c r="D108">
        <f>(D120*((D115)*D103*D149*(1+0)+D115*(1/25)*D125*D151))</f>
        <v>1759.4434439999998</v>
      </c>
      <c r="E108" s="52"/>
    </row>
    <row r="109" spans="1:5" ht="28.5" x14ac:dyDescent="0.45">
      <c r="A109" s="147"/>
      <c r="B109" s="12" t="s">
        <v>334</v>
      </c>
      <c r="C109" s="12" t="s">
        <v>250</v>
      </c>
      <c r="D109">
        <f>D121*((D116)*D104*D156*(1+0)+D116*1*D126*D158)</f>
        <v>1647.4468100959998</v>
      </c>
      <c r="E109" s="52" t="s">
        <v>294</v>
      </c>
    </row>
    <row r="110" spans="1:5" ht="28.5" x14ac:dyDescent="0.45">
      <c r="A110" s="147"/>
      <c r="B110" s="12" t="s">
        <v>312</v>
      </c>
      <c r="C110" s="12" t="s">
        <v>250</v>
      </c>
      <c r="D110" s="6">
        <f>SUM(D105:D109)</f>
        <v>50304.638590175993</v>
      </c>
      <c r="E110" s="52"/>
    </row>
    <row r="111" spans="1:5" ht="28.5" x14ac:dyDescent="0.45">
      <c r="A111" s="147"/>
      <c r="B111" s="12" t="s">
        <v>336</v>
      </c>
      <c r="C111" s="12" t="s">
        <v>337</v>
      </c>
      <c r="D111" s="6">
        <f>D110/SUM(D112:D116)</f>
        <v>139.96838784133553</v>
      </c>
      <c r="E111" s="52"/>
    </row>
    <row r="112" spans="1:5" x14ac:dyDescent="0.45">
      <c r="A112" s="147"/>
      <c r="B112" s="12" t="s">
        <v>289</v>
      </c>
      <c r="C112" s="12" t="s">
        <v>261</v>
      </c>
      <c r="D112">
        <f>SUM(Baseline_crop_data!E11:M11,Baseline_crop_data!P11)</f>
        <v>137.49</v>
      </c>
      <c r="E112" s="52"/>
    </row>
    <row r="113" spans="1:5" x14ac:dyDescent="0.45">
      <c r="A113" s="147"/>
      <c r="B113" s="12" t="s">
        <v>290</v>
      </c>
      <c r="C113" s="12" t="s">
        <v>261</v>
      </c>
      <c r="D113">
        <f>Baseline_crop_data!N11</f>
        <v>32.92</v>
      </c>
      <c r="E113" s="52"/>
    </row>
    <row r="114" spans="1:5" x14ac:dyDescent="0.45">
      <c r="A114" s="147"/>
      <c r="B114" s="12" t="s">
        <v>321</v>
      </c>
      <c r="C114" s="12" t="s">
        <v>261</v>
      </c>
      <c r="D114">
        <f>Baseline_crop_data!R11</f>
        <v>121.81</v>
      </c>
      <c r="E114" s="52"/>
    </row>
    <row r="115" spans="1:5" x14ac:dyDescent="0.45">
      <c r="A115" s="147"/>
      <c r="B115" s="12" t="s">
        <v>291</v>
      </c>
      <c r="C115" s="12" t="s">
        <v>261</v>
      </c>
      <c r="D115">
        <f>Baseline_crop_data!V11</f>
        <v>26.07</v>
      </c>
      <c r="E115" s="52"/>
    </row>
    <row r="116" spans="1:5" x14ac:dyDescent="0.45">
      <c r="A116" s="147"/>
      <c r="B116" s="12" t="s">
        <v>331</v>
      </c>
      <c r="C116" s="12" t="s">
        <v>261</v>
      </c>
      <c r="D116">
        <f>Baseline_crop_data!X11</f>
        <v>41.11</v>
      </c>
      <c r="E116" s="52"/>
    </row>
    <row r="117" spans="1:5" x14ac:dyDescent="0.45">
      <c r="A117" s="147"/>
      <c r="B117" s="12" t="s">
        <v>301</v>
      </c>
      <c r="C117" s="12" t="s">
        <v>305</v>
      </c>
      <c r="D117">
        <f>7500*D127</f>
        <v>6600</v>
      </c>
      <c r="E117" s="52"/>
    </row>
    <row r="118" spans="1:5" x14ac:dyDescent="0.45">
      <c r="A118" s="147"/>
      <c r="B118" s="12" t="s">
        <v>302</v>
      </c>
      <c r="C118" s="12" t="s">
        <v>305</v>
      </c>
      <c r="D118">
        <f>850*D134</f>
        <v>799</v>
      </c>
      <c r="E118" s="52"/>
    </row>
    <row r="119" spans="1:5" x14ac:dyDescent="0.45">
      <c r="A119" s="147"/>
      <c r="B119" s="12" t="s">
        <v>303</v>
      </c>
      <c r="C119" s="12" t="s">
        <v>305</v>
      </c>
      <c r="D119">
        <f>20000*D141</f>
        <v>18000</v>
      </c>
      <c r="E119" s="52"/>
    </row>
    <row r="120" spans="1:5" x14ac:dyDescent="0.45">
      <c r="A120" s="147"/>
      <c r="B120" s="12" t="s">
        <v>304</v>
      </c>
      <c r="C120" s="12" t="s">
        <v>305</v>
      </c>
      <c r="D120">
        <f>15000*D148</f>
        <v>13500</v>
      </c>
      <c r="E120" s="52"/>
    </row>
    <row r="121" spans="1:5" x14ac:dyDescent="0.45">
      <c r="A121" s="147"/>
      <c r="B121" s="12" t="s">
        <v>332</v>
      </c>
      <c r="C121" s="12" t="s">
        <v>305</v>
      </c>
      <c r="D121">
        <f>1800*D155</f>
        <v>1638</v>
      </c>
      <c r="E121" s="52"/>
    </row>
    <row r="122" spans="1:5" x14ac:dyDescent="0.45">
      <c r="A122" s="147"/>
      <c r="B122" s="12" t="s">
        <v>306</v>
      </c>
      <c r="C122" s="12" t="s">
        <v>310</v>
      </c>
      <c r="D122">
        <f>D129*((D132*1000+D117)/D117)</f>
        <v>0.48913333333333331</v>
      </c>
      <c r="E122" s="52"/>
    </row>
    <row r="123" spans="1:5" ht="28.5" x14ac:dyDescent="0.45">
      <c r="A123" s="147"/>
      <c r="B123" s="12" t="s">
        <v>307</v>
      </c>
      <c r="C123" s="12" t="s">
        <v>310</v>
      </c>
      <c r="D123">
        <f>D136*((D139*1000+D118)/D118)</f>
        <v>0.79948185231539426</v>
      </c>
      <c r="E123" s="52"/>
    </row>
    <row r="124" spans="1:5" ht="28.5" x14ac:dyDescent="0.45">
      <c r="A124" s="147"/>
      <c r="B124" s="12" t="s">
        <v>308</v>
      </c>
      <c r="C124" s="12" t="s">
        <v>310</v>
      </c>
      <c r="D124">
        <f>D143*((D146*1000+D119)/D119)</f>
        <v>1.04</v>
      </c>
      <c r="E124" s="52" t="s">
        <v>266</v>
      </c>
    </row>
    <row r="125" spans="1:5" ht="28.5" x14ac:dyDescent="0.45">
      <c r="A125" s="147"/>
      <c r="B125" s="12" t="s">
        <v>309</v>
      </c>
      <c r="C125" s="12" t="s">
        <v>310</v>
      </c>
      <c r="D125">
        <f>D150*((D153*1000+D120)/D120)</f>
        <v>1.04</v>
      </c>
      <c r="E125" s="52" t="s">
        <v>266</v>
      </c>
    </row>
    <row r="126" spans="1:5" ht="28.5" x14ac:dyDescent="0.45">
      <c r="A126" s="147"/>
      <c r="B126" s="12" t="s">
        <v>335</v>
      </c>
      <c r="C126" s="12" t="s">
        <v>310</v>
      </c>
      <c r="D126">
        <f>(D160*1000+D117)/D117</f>
        <v>1.4092333333333331</v>
      </c>
      <c r="E126" s="52" t="s">
        <v>266</v>
      </c>
    </row>
    <row r="127" spans="1:5" ht="28.5" x14ac:dyDescent="0.45">
      <c r="A127" s="147"/>
      <c r="B127" s="12" t="s">
        <v>265</v>
      </c>
      <c r="C127" s="12" t="s">
        <v>47</v>
      </c>
      <c r="D127">
        <v>0.88</v>
      </c>
      <c r="E127" s="52" t="s">
        <v>266</v>
      </c>
    </row>
    <row r="128" spans="1:5" ht="28.5" x14ac:dyDescent="0.45">
      <c r="A128" s="147"/>
      <c r="B128" s="12" t="s">
        <v>263</v>
      </c>
      <c r="C128" s="12" t="s">
        <v>47</v>
      </c>
      <c r="D128">
        <v>6.0000000000000001E-3</v>
      </c>
      <c r="E128" s="52" t="s">
        <v>284</v>
      </c>
    </row>
    <row r="129" spans="1:5" ht="28.5" x14ac:dyDescent="0.45">
      <c r="A129" s="147"/>
      <c r="B129" s="12" t="s">
        <v>264</v>
      </c>
      <c r="C129" s="12" t="s">
        <v>47</v>
      </c>
      <c r="D129">
        <v>0.22</v>
      </c>
      <c r="E129" s="52" t="s">
        <v>281</v>
      </c>
    </row>
    <row r="130" spans="1:5" ht="28.5" x14ac:dyDescent="0.45">
      <c r="A130" s="147"/>
      <c r="B130" s="12" t="s">
        <v>276</v>
      </c>
      <c r="C130" s="12" t="s">
        <v>311</v>
      </c>
      <c r="D130">
        <v>8.9999999999999993E-3</v>
      </c>
      <c r="E130" s="52" t="s">
        <v>266</v>
      </c>
    </row>
    <row r="131" spans="1:5" ht="28.5" x14ac:dyDescent="0.45">
      <c r="A131" s="147"/>
      <c r="B131" s="12" t="s">
        <v>282</v>
      </c>
      <c r="C131" s="12" t="s">
        <v>42</v>
      </c>
      <c r="D131">
        <v>179093.2</v>
      </c>
      <c r="E131" s="52" t="s">
        <v>266</v>
      </c>
    </row>
    <row r="132" spans="1:5" ht="28.5" x14ac:dyDescent="0.45">
      <c r="A132" s="147"/>
      <c r="B132" s="12" t="s">
        <v>297</v>
      </c>
      <c r="C132" s="12" t="s">
        <v>280</v>
      </c>
      <c r="D132">
        <f>(D117/1000)*1.09+0.88</f>
        <v>8.0739999999999998</v>
      </c>
      <c r="E132" s="52" t="s">
        <v>266</v>
      </c>
    </row>
    <row r="133" spans="1:5" x14ac:dyDescent="0.45">
      <c r="A133" s="147"/>
      <c r="B133" s="12"/>
      <c r="C133" s="12"/>
      <c r="E133" s="52"/>
    </row>
    <row r="134" spans="1:5" ht="28.5" x14ac:dyDescent="0.45">
      <c r="A134" s="147"/>
      <c r="B134" s="12" t="s">
        <v>267</v>
      </c>
      <c r="C134" s="12" t="s">
        <v>47</v>
      </c>
      <c r="D134">
        <v>0.94</v>
      </c>
      <c r="E134" s="52" t="s">
        <v>266</v>
      </c>
    </row>
    <row r="135" spans="1:5" ht="28.5" x14ac:dyDescent="0.45">
      <c r="A135" s="147"/>
      <c r="B135" s="12" t="s">
        <v>268</v>
      </c>
      <c r="C135" s="12" t="s">
        <v>47</v>
      </c>
      <c r="D135">
        <v>1.6E-2</v>
      </c>
      <c r="E135" s="52" t="s">
        <v>284</v>
      </c>
    </row>
    <row r="136" spans="1:5" ht="28.5" x14ac:dyDescent="0.45">
      <c r="A136" s="147"/>
      <c r="B136" s="12" t="s">
        <v>269</v>
      </c>
      <c r="C136" s="12" t="s">
        <v>47</v>
      </c>
      <c r="D136">
        <v>0.2</v>
      </c>
      <c r="E136" s="52" t="s">
        <v>281</v>
      </c>
    </row>
    <row r="137" spans="1:5" ht="28.5" x14ac:dyDescent="0.45">
      <c r="A137" s="147"/>
      <c r="B137" s="12" t="s">
        <v>277</v>
      </c>
      <c r="C137" s="12" t="s">
        <v>311</v>
      </c>
      <c r="D137">
        <v>1.4E-2</v>
      </c>
      <c r="E137" s="52" t="s">
        <v>266</v>
      </c>
    </row>
    <row r="138" spans="1:5" ht="28.5" x14ac:dyDescent="0.45">
      <c r="A138" s="147"/>
      <c r="B138" s="12" t="s">
        <v>283</v>
      </c>
      <c r="C138" s="12" t="s">
        <v>42</v>
      </c>
      <c r="D138">
        <v>26367</v>
      </c>
      <c r="E138" s="52" t="s">
        <v>266</v>
      </c>
    </row>
    <row r="139" spans="1:5" ht="28.5" x14ac:dyDescent="0.45">
      <c r="A139" s="147"/>
      <c r="B139" s="12" t="s">
        <v>298</v>
      </c>
      <c r="C139" s="12" t="s">
        <v>280</v>
      </c>
      <c r="D139">
        <f>(D118/1000)*1.07+1.54</f>
        <v>2.39493</v>
      </c>
      <c r="E139" s="52" t="s">
        <v>266</v>
      </c>
    </row>
    <row r="140" spans="1:5" x14ac:dyDescent="0.45">
      <c r="A140" s="147"/>
      <c r="B140" s="12"/>
      <c r="C140" s="12"/>
      <c r="E140" s="52"/>
    </row>
    <row r="141" spans="1:5" ht="28.5" x14ac:dyDescent="0.45">
      <c r="A141" s="147"/>
      <c r="B141" s="12" t="s">
        <v>270</v>
      </c>
      <c r="C141" s="12" t="s">
        <v>47</v>
      </c>
      <c r="D141">
        <v>0.9</v>
      </c>
      <c r="E141" s="52" t="s">
        <v>266</v>
      </c>
    </row>
    <row r="142" spans="1:5" ht="28.5" x14ac:dyDescent="0.45">
      <c r="A142" s="147"/>
      <c r="B142" s="12" t="s">
        <v>271</v>
      </c>
      <c r="C142" s="12" t="s">
        <v>47</v>
      </c>
      <c r="D142">
        <v>2.5000000000000001E-2</v>
      </c>
      <c r="E142" s="52" t="s">
        <v>284</v>
      </c>
    </row>
    <row r="143" spans="1:5" ht="28.5" x14ac:dyDescent="0.45">
      <c r="A143" s="147"/>
      <c r="B143" s="12" t="s">
        <v>272</v>
      </c>
      <c r="C143" s="12" t="s">
        <v>47</v>
      </c>
      <c r="D143">
        <v>0.8</v>
      </c>
      <c r="E143" s="52" t="s">
        <v>281</v>
      </c>
    </row>
    <row r="144" spans="1:5" ht="28.5" x14ac:dyDescent="0.45">
      <c r="A144" s="147"/>
      <c r="B144" s="12" t="s">
        <v>278</v>
      </c>
      <c r="C144" s="12" t="s">
        <v>311</v>
      </c>
      <c r="D144">
        <v>1.6E-2</v>
      </c>
      <c r="E144" s="52" t="s">
        <v>266</v>
      </c>
    </row>
    <row r="145" spans="1:5" ht="28.5" x14ac:dyDescent="0.45">
      <c r="A145" s="147"/>
      <c r="B145" s="12" t="s">
        <v>285</v>
      </c>
      <c r="C145" s="12" t="s">
        <v>42</v>
      </c>
      <c r="D145">
        <v>2340000</v>
      </c>
      <c r="E145" s="52" t="s">
        <v>266</v>
      </c>
    </row>
    <row r="146" spans="1:5" ht="28.5" x14ac:dyDescent="0.45">
      <c r="A146" s="147"/>
      <c r="B146" s="12" t="s">
        <v>299</v>
      </c>
      <c r="C146" s="12" t="s">
        <v>280</v>
      </c>
      <c r="D146">
        <f>(D119/1000)*0.3+0</f>
        <v>5.3999999999999995</v>
      </c>
      <c r="E146" s="52" t="s">
        <v>266</v>
      </c>
    </row>
    <row r="147" spans="1:5" x14ac:dyDescent="0.45">
      <c r="A147" s="147"/>
      <c r="B147" s="12"/>
      <c r="C147" s="12"/>
      <c r="E147" s="52"/>
    </row>
    <row r="148" spans="1:5" ht="28.5" x14ac:dyDescent="0.45">
      <c r="A148" s="147"/>
      <c r="B148" s="12" t="s">
        <v>273</v>
      </c>
      <c r="C148" s="12" t="s">
        <v>47</v>
      </c>
      <c r="D148">
        <v>0.9</v>
      </c>
      <c r="E148" s="52" t="s">
        <v>266</v>
      </c>
    </row>
    <row r="149" spans="1:5" ht="28.5" x14ac:dyDescent="0.45">
      <c r="A149" s="147"/>
      <c r="B149" s="12" t="s">
        <v>274</v>
      </c>
      <c r="C149" s="12" t="s">
        <v>47</v>
      </c>
      <c r="D149">
        <v>1.4999999999999999E-2</v>
      </c>
      <c r="E149" s="52" t="s">
        <v>284</v>
      </c>
    </row>
    <row r="150" spans="1:5" ht="28.5" x14ac:dyDescent="0.45">
      <c r="A150" s="147"/>
      <c r="B150" s="12" t="s">
        <v>275</v>
      </c>
      <c r="C150" s="12" t="s">
        <v>47</v>
      </c>
      <c r="D150">
        <v>0.8</v>
      </c>
      <c r="E150" s="52" t="s">
        <v>281</v>
      </c>
    </row>
    <row r="151" spans="1:5" x14ac:dyDescent="0.45">
      <c r="A151" s="147"/>
      <c r="B151" s="12" t="s">
        <v>279</v>
      </c>
      <c r="C151" s="12" t="s">
        <v>311</v>
      </c>
      <c r="D151">
        <v>1.2E-2</v>
      </c>
      <c r="E151" s="52"/>
    </row>
    <row r="152" spans="1:5" x14ac:dyDescent="0.45">
      <c r="A152" s="147"/>
      <c r="B152" s="12" t="s">
        <v>286</v>
      </c>
      <c r="C152" s="12" t="s">
        <v>42</v>
      </c>
      <c r="D152">
        <v>135000</v>
      </c>
      <c r="E152" s="52"/>
    </row>
    <row r="153" spans="1:5" x14ac:dyDescent="0.45">
      <c r="A153" s="147"/>
      <c r="B153" s="12" t="s">
        <v>300</v>
      </c>
      <c r="C153" s="12" t="s">
        <v>280</v>
      </c>
      <c r="D153">
        <f>(D120/1000)*0.3+0</f>
        <v>4.05</v>
      </c>
      <c r="E153" s="52"/>
    </row>
    <row r="154" spans="1:5" x14ac:dyDescent="0.45">
      <c r="A154" s="147"/>
      <c r="B154" s="12"/>
      <c r="C154" s="12"/>
      <c r="E154" s="52"/>
    </row>
    <row r="155" spans="1:5" ht="28.5" x14ac:dyDescent="0.45">
      <c r="A155" s="147"/>
      <c r="B155" s="12" t="s">
        <v>325</v>
      </c>
      <c r="C155" s="12" t="s">
        <v>47</v>
      </c>
      <c r="D155">
        <v>0.91</v>
      </c>
      <c r="E155" s="52"/>
    </row>
    <row r="156" spans="1:5" ht="28.5" x14ac:dyDescent="0.45">
      <c r="A156" s="147"/>
      <c r="B156" s="12" t="s">
        <v>326</v>
      </c>
      <c r="C156" s="12" t="s">
        <v>47</v>
      </c>
      <c r="D156">
        <v>8.0000000000000002E-3</v>
      </c>
      <c r="E156" s="52"/>
    </row>
    <row r="157" spans="1:5" ht="28.5" x14ac:dyDescent="0.45">
      <c r="A157" s="147"/>
      <c r="B157" s="12" t="s">
        <v>327</v>
      </c>
      <c r="C157" s="12" t="s">
        <v>47</v>
      </c>
      <c r="D157">
        <v>0.19</v>
      </c>
      <c r="E157" s="52"/>
    </row>
    <row r="158" spans="1:5" x14ac:dyDescent="0.45">
      <c r="A158" s="147"/>
      <c r="B158" s="12" t="s">
        <v>328</v>
      </c>
      <c r="C158" s="12" t="s">
        <v>311</v>
      </c>
      <c r="D158">
        <v>8.0000000000000002E-3</v>
      </c>
      <c r="E158" s="52"/>
    </row>
    <row r="159" spans="1:5" x14ac:dyDescent="0.45">
      <c r="A159" s="147"/>
      <c r="B159" s="12" t="s">
        <v>329</v>
      </c>
      <c r="C159" s="12" t="s">
        <v>42</v>
      </c>
      <c r="D159">
        <f>(1800*D155)*D116</f>
        <v>67338.179999999993</v>
      </c>
      <c r="E159" s="52"/>
    </row>
    <row r="160" spans="1:5" x14ac:dyDescent="0.45">
      <c r="A160" s="147"/>
      <c r="B160" s="12" t="s">
        <v>330</v>
      </c>
      <c r="C160" s="12" t="s">
        <v>280</v>
      </c>
      <c r="D160">
        <f>(D121/1000)*1.13+0.85</f>
        <v>2.7009399999999997</v>
      </c>
      <c r="E160" s="52"/>
    </row>
    <row r="161" spans="1:5" x14ac:dyDescent="0.45">
      <c r="A161" s="147"/>
      <c r="B161" s="12"/>
      <c r="C161" s="12"/>
      <c r="E161" s="52"/>
    </row>
    <row r="162" spans="1:5" x14ac:dyDescent="0.45">
      <c r="A162" s="147"/>
      <c r="B162" s="12" t="s">
        <v>365</v>
      </c>
      <c r="C162" s="12" t="s">
        <v>366</v>
      </c>
      <c r="D162" s="6">
        <f>D163+D164</f>
        <v>503.27231580692495</v>
      </c>
      <c r="E162" s="52" t="s">
        <v>368</v>
      </c>
    </row>
    <row r="163" spans="1:5" ht="15" customHeight="1" x14ac:dyDescent="0.45">
      <c r="A163" s="147"/>
      <c r="B163" s="12" t="s">
        <v>367</v>
      </c>
      <c r="C163" s="12" t="s">
        <v>366</v>
      </c>
      <c r="D163" s="6">
        <f>((SUM(D165:D166)+D110+D187))*D167</f>
        <v>502.81955118104662</v>
      </c>
      <c r="E163" s="52" t="s">
        <v>368</v>
      </c>
    </row>
    <row r="164" spans="1:5" ht="42.75" x14ac:dyDescent="0.45">
      <c r="A164" s="147"/>
      <c r="B164" s="12" t="s">
        <v>375</v>
      </c>
      <c r="C164" s="12" t="s">
        <v>366</v>
      </c>
      <c r="D164" s="6">
        <f>(D165*D168)</f>
        <v>0.4527646258783552</v>
      </c>
      <c r="E164" s="52" t="s">
        <v>368</v>
      </c>
    </row>
    <row r="165" spans="1:5" ht="42.75" x14ac:dyDescent="0.45">
      <c r="A165" s="147"/>
      <c r="B165" s="12" t="s">
        <v>369</v>
      </c>
      <c r="C165" s="12" t="s">
        <v>250</v>
      </c>
      <c r="D165">
        <f>D81*$D$65</f>
        <v>22.638231293917759</v>
      </c>
      <c r="E165" s="52"/>
    </row>
    <row r="166" spans="1:5" ht="28.5" x14ac:dyDescent="0.45">
      <c r="A166" s="147"/>
      <c r="B166" s="12" t="s">
        <v>370</v>
      </c>
      <c r="C166" s="12" t="s">
        <v>250</v>
      </c>
      <c r="D166">
        <f>(D82-D75-D71)*$D$65</f>
        <v>18.687128020388027</v>
      </c>
      <c r="E166" s="52"/>
    </row>
    <row r="167" spans="1:5" x14ac:dyDescent="0.45">
      <c r="A167" s="147"/>
      <c r="B167" s="12" t="s">
        <v>371</v>
      </c>
      <c r="C167" s="12" t="s">
        <v>372</v>
      </c>
      <c r="D167">
        <v>0.01</v>
      </c>
      <c r="E167" s="52" t="s">
        <v>373</v>
      </c>
    </row>
    <row r="168" spans="1:5" ht="28.5" x14ac:dyDescent="0.45">
      <c r="A168" s="147"/>
      <c r="B168" s="12" t="s">
        <v>374</v>
      </c>
      <c r="C168" s="12" t="s">
        <v>372</v>
      </c>
      <c r="D168">
        <v>0.02</v>
      </c>
      <c r="E168" s="52" t="s">
        <v>373</v>
      </c>
    </row>
    <row r="169" spans="1:5" x14ac:dyDescent="0.45">
      <c r="A169" s="36"/>
      <c r="B169" s="12"/>
      <c r="C169" s="12"/>
      <c r="E169" s="52"/>
    </row>
    <row r="170" spans="1:5" x14ac:dyDescent="0.45">
      <c r="A170" s="147" t="s">
        <v>338</v>
      </c>
      <c r="B170" s="12" t="s">
        <v>339</v>
      </c>
      <c r="C170" s="12" t="s">
        <v>340</v>
      </c>
      <c r="D170">
        <f>D185</f>
        <v>-0.64008831385642773</v>
      </c>
      <c r="E170" s="52" t="s">
        <v>357</v>
      </c>
    </row>
    <row r="171" spans="1:5" ht="15" customHeight="1" x14ac:dyDescent="0.45">
      <c r="A171" s="147"/>
      <c r="B171" s="12" t="s">
        <v>341</v>
      </c>
      <c r="C171" s="12" t="s">
        <v>343</v>
      </c>
      <c r="D171">
        <v>20</v>
      </c>
      <c r="E171" s="52" t="s">
        <v>357</v>
      </c>
    </row>
    <row r="172" spans="1:5" x14ac:dyDescent="0.45">
      <c r="A172" s="147"/>
      <c r="B172" s="12" t="s">
        <v>342</v>
      </c>
      <c r="C172" s="12" t="s">
        <v>348</v>
      </c>
      <c r="D172">
        <v>4</v>
      </c>
      <c r="E172" s="52" t="s">
        <v>357</v>
      </c>
    </row>
    <row r="173" spans="1:5" x14ac:dyDescent="0.45">
      <c r="A173" s="147"/>
      <c r="B173" s="12" t="s">
        <v>345</v>
      </c>
      <c r="C173" s="12" t="s">
        <v>344</v>
      </c>
      <c r="D173">
        <v>117</v>
      </c>
      <c r="E173" s="52" t="s">
        <v>358</v>
      </c>
    </row>
    <row r="174" spans="1:5" x14ac:dyDescent="0.45">
      <c r="A174" s="147"/>
      <c r="B174" s="12" t="s">
        <v>349</v>
      </c>
      <c r="C174" s="12" t="s">
        <v>47</v>
      </c>
      <c r="D174">
        <v>1.05</v>
      </c>
      <c r="E174" s="52" t="s">
        <v>359</v>
      </c>
    </row>
    <row r="175" spans="1:5" x14ac:dyDescent="0.45">
      <c r="A175" s="147"/>
      <c r="B175" s="12" t="s">
        <v>350</v>
      </c>
      <c r="C175" s="12" t="s">
        <v>47</v>
      </c>
      <c r="D175">
        <v>0.92</v>
      </c>
      <c r="E175" s="52" t="s">
        <v>360</v>
      </c>
    </row>
    <row r="176" spans="1:5" x14ac:dyDescent="0.45">
      <c r="A176" s="147"/>
      <c r="B176" s="12" t="s">
        <v>346</v>
      </c>
      <c r="C176" s="12" t="s">
        <v>47</v>
      </c>
      <c r="E176" s="52"/>
    </row>
    <row r="177" spans="1:5" x14ac:dyDescent="0.45">
      <c r="A177" s="147"/>
      <c r="B177" s="12" t="s">
        <v>347</v>
      </c>
      <c r="C177" s="12" t="s">
        <v>108</v>
      </c>
      <c r="D177">
        <f>SUM(D112:D116)</f>
        <v>359.40000000000003</v>
      </c>
      <c r="E177" s="52"/>
    </row>
    <row r="178" spans="1:5" x14ac:dyDescent="0.45">
      <c r="A178" s="147"/>
      <c r="B178" s="12"/>
      <c r="C178" s="12"/>
      <c r="E178" s="52"/>
    </row>
    <row r="179" spans="1:5" ht="15" customHeight="1" x14ac:dyDescent="0.45">
      <c r="A179" s="147"/>
      <c r="B179" s="12"/>
      <c r="C179" s="12">
        <v>2019</v>
      </c>
      <c r="D179">
        <v>2023</v>
      </c>
      <c r="E179" s="52"/>
    </row>
    <row r="180" spans="1:5" ht="14.25" customHeight="1" x14ac:dyDescent="0.45">
      <c r="A180" s="147"/>
      <c r="B180" s="12" t="s">
        <v>352</v>
      </c>
      <c r="C180" s="12">
        <v>138</v>
      </c>
      <c r="D180">
        <f>D114+D115</f>
        <v>147.88</v>
      </c>
      <c r="E180" s="52"/>
    </row>
    <row r="181" spans="1:5" ht="13.5" customHeight="1" x14ac:dyDescent="0.45">
      <c r="A181" s="147"/>
      <c r="B181" s="12" t="s">
        <v>351</v>
      </c>
      <c r="C181" s="12">
        <v>207</v>
      </c>
      <c r="D181">
        <f>D112+D113+D116</f>
        <v>211.52000000000004</v>
      </c>
      <c r="E181" s="52"/>
    </row>
    <row r="182" spans="1:5" x14ac:dyDescent="0.45">
      <c r="A182" s="147"/>
      <c r="B182" s="12" t="s">
        <v>353</v>
      </c>
      <c r="C182" s="12">
        <f>($D$173*$D$174*1*1*C180)</f>
        <v>16953.300000000003</v>
      </c>
      <c r="D182">
        <f>($D$173*$D$174*1*1*D180)</f>
        <v>18167.058000000001</v>
      </c>
      <c r="E182" s="52" t="s">
        <v>357</v>
      </c>
    </row>
    <row r="183" spans="1:5" x14ac:dyDescent="0.45">
      <c r="A183" s="147"/>
      <c r="B183" s="12" t="s">
        <v>354</v>
      </c>
      <c r="C183" s="12">
        <f>($D$173*$D$175*1*1*C181)</f>
        <v>22281.48</v>
      </c>
      <c r="D183">
        <f>($D$173*$D$175*1*1*D181)</f>
        <v>22768.012800000004</v>
      </c>
      <c r="E183" s="52" t="s">
        <v>357</v>
      </c>
    </row>
    <row r="184" spans="1:5" x14ac:dyDescent="0.45">
      <c r="A184" s="147"/>
      <c r="B184" s="12" t="s">
        <v>355</v>
      </c>
      <c r="C184" s="12">
        <f>(C182-C183)/D171</f>
        <v>-266.40899999999982</v>
      </c>
      <c r="D184">
        <f>(D182-D183)/D171</f>
        <v>-230.04774000000015</v>
      </c>
      <c r="E184" s="52" t="s">
        <v>357</v>
      </c>
    </row>
    <row r="185" spans="1:5" x14ac:dyDescent="0.45">
      <c r="A185" s="147"/>
      <c r="B185" s="12" t="s">
        <v>356</v>
      </c>
      <c r="C185" s="12">
        <f>C184/345.2</f>
        <v>-0.77175260718424055</v>
      </c>
      <c r="D185">
        <f>D184/SUM(D112:D116)</f>
        <v>-0.64008831385642773</v>
      </c>
      <c r="E185" s="52" t="s">
        <v>357</v>
      </c>
    </row>
    <row r="186" spans="1:5" x14ac:dyDescent="0.45">
      <c r="A186" s="36"/>
      <c r="B186" s="12"/>
      <c r="C186" s="12"/>
      <c r="E186" s="52"/>
    </row>
    <row r="187" spans="1:5" ht="28.5" x14ac:dyDescent="0.45">
      <c r="A187" s="147" t="s">
        <v>361</v>
      </c>
      <c r="B187" s="12" t="s">
        <v>362</v>
      </c>
      <c r="C187" s="12" t="s">
        <v>250</v>
      </c>
      <c r="D187">
        <f>(D185*(1/D188)*1000)</f>
        <v>-64.008831385642765</v>
      </c>
      <c r="E187" s="52"/>
    </row>
    <row r="188" spans="1:5" ht="28.5" x14ac:dyDescent="0.45">
      <c r="A188" s="147"/>
      <c r="B188" s="12" t="s">
        <v>363</v>
      </c>
      <c r="C188" s="12" t="s">
        <v>47</v>
      </c>
      <c r="D188">
        <v>10</v>
      </c>
      <c r="E188" s="52" t="s">
        <v>364</v>
      </c>
    </row>
    <row r="189" spans="1:5" x14ac:dyDescent="0.45">
      <c r="A189" s="36"/>
      <c r="B189" s="12"/>
      <c r="C189" s="12"/>
      <c r="E189" s="52"/>
    </row>
    <row r="190" spans="1:5" ht="28.5" x14ac:dyDescent="0.45">
      <c r="A190" s="147" t="s">
        <v>376</v>
      </c>
      <c r="B190" s="12" t="s">
        <v>380</v>
      </c>
      <c r="C190" s="12" t="s">
        <v>366</v>
      </c>
      <c r="D190" s="6">
        <f>((D165+D166)*D191)*D192</f>
        <v>8.2650718628611577E-2</v>
      </c>
      <c r="E190" s="52" t="s">
        <v>296</v>
      </c>
    </row>
    <row r="191" spans="1:5" ht="42.75" customHeight="1" x14ac:dyDescent="0.45">
      <c r="A191" s="147"/>
      <c r="B191" s="12" t="s">
        <v>381</v>
      </c>
      <c r="C191" s="12" t="s">
        <v>382</v>
      </c>
      <c r="D191">
        <v>0.2</v>
      </c>
      <c r="E191" s="52" t="s">
        <v>386</v>
      </c>
    </row>
    <row r="192" spans="1:5" ht="28.5" x14ac:dyDescent="0.45">
      <c r="A192" s="147"/>
      <c r="B192" s="12" t="s">
        <v>392</v>
      </c>
      <c r="C192" s="12" t="s">
        <v>387</v>
      </c>
      <c r="D192">
        <v>0.01</v>
      </c>
      <c r="E192" s="52" t="s">
        <v>386</v>
      </c>
    </row>
    <row r="193" spans="1:5" ht="42.75" x14ac:dyDescent="0.45">
      <c r="A193" s="147"/>
      <c r="B193" s="12" t="s">
        <v>388</v>
      </c>
      <c r="C193" s="12" t="s">
        <v>366</v>
      </c>
      <c r="D193" s="6">
        <f>(D166+D165+D110+D187)*D76</f>
        <v>377.11466338578498</v>
      </c>
      <c r="E193" s="52" t="s">
        <v>389</v>
      </c>
    </row>
    <row r="194" spans="1:5" ht="30.75" customHeight="1" thickBot="1" x14ac:dyDescent="0.5">
      <c r="A194" s="148"/>
      <c r="B194" s="83" t="s">
        <v>390</v>
      </c>
      <c r="C194" s="83" t="s">
        <v>391</v>
      </c>
      <c r="D194" s="41">
        <f>D193/(SUM(D112:D116))</f>
        <v>1.0492895475397466</v>
      </c>
      <c r="E194" s="85"/>
    </row>
    <row r="196" spans="1:5" ht="15.75" customHeight="1" x14ac:dyDescent="0.45"/>
    <row r="197" spans="1:5" x14ac:dyDescent="0.45">
      <c r="A197" s="13"/>
    </row>
    <row r="198" spans="1:5" x14ac:dyDescent="0.45">
      <c r="A198" s="13"/>
    </row>
  </sheetData>
  <mergeCells count="20">
    <mergeCell ref="K6:P6"/>
    <mergeCell ref="T6:Z6"/>
    <mergeCell ref="C2:C4"/>
    <mergeCell ref="A57:E57"/>
    <mergeCell ref="A70:A78"/>
    <mergeCell ref="A8:A53"/>
    <mergeCell ref="B10:B38"/>
    <mergeCell ref="B39:B53"/>
    <mergeCell ref="B8:B9"/>
    <mergeCell ref="A190:A194"/>
    <mergeCell ref="A187:A188"/>
    <mergeCell ref="A95:A168"/>
    <mergeCell ref="A170:A185"/>
    <mergeCell ref="C8:C9"/>
    <mergeCell ref="C10:C16"/>
    <mergeCell ref="C17:C23"/>
    <mergeCell ref="A60:A63"/>
    <mergeCell ref="A65:A69"/>
    <mergeCell ref="C24:C38"/>
    <mergeCell ref="C39:C53"/>
  </mergeCells>
  <phoneticPr fontId="4" type="noConversion"/>
  <hyperlinks>
    <hyperlink ref="E85" r:id="rId1" location=":~:text=*Cattle%20manure%20as%20fertilizer%3A%20One,N%20for%20immediate%20crop%20use." xr:uid="{22D8D156-5EBF-42F1-9429-606DB3D92140}"/>
  </hyperlinks>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CB8CA-B84D-48C3-9E8A-52E911C0429C}">
  <dimension ref="D3:W114"/>
  <sheetViews>
    <sheetView topLeftCell="V1" zoomScale="68" workbookViewId="0">
      <selection activeCell="Q32" sqref="Q32"/>
    </sheetView>
  </sheetViews>
  <sheetFormatPr defaultRowHeight="14.25" x14ac:dyDescent="0.45"/>
  <cols>
    <col min="6" max="6" width="39.265625" bestFit="1" customWidth="1"/>
    <col min="9" max="9" width="14.73046875" bestFit="1" customWidth="1"/>
    <col min="10" max="10" width="17.265625" bestFit="1" customWidth="1"/>
    <col min="11" max="11" width="13.86328125" bestFit="1" customWidth="1"/>
    <col min="12" max="12" width="11.73046875" bestFit="1" customWidth="1"/>
    <col min="13" max="13" width="17.3984375" customWidth="1"/>
    <col min="18" max="18" width="13.59765625" customWidth="1"/>
    <col min="19" max="19" width="24" customWidth="1"/>
    <col min="20" max="20" width="14.73046875" customWidth="1"/>
    <col min="21" max="21" width="12.46484375" customWidth="1"/>
    <col min="22" max="22" width="12.33203125" customWidth="1"/>
  </cols>
  <sheetData>
    <row r="3" spans="4:13" ht="14.65" thickBot="1" x14ac:dyDescent="0.5"/>
    <row r="4" spans="4:13" x14ac:dyDescent="0.45">
      <c r="D4" s="48" t="s">
        <v>10</v>
      </c>
      <c r="E4" s="44" t="s">
        <v>21</v>
      </c>
      <c r="F4" s="44" t="s">
        <v>11</v>
      </c>
      <c r="G4" s="44" t="s">
        <v>107</v>
      </c>
      <c r="H4" s="163" t="s">
        <v>117</v>
      </c>
      <c r="I4" s="163"/>
      <c r="J4" s="163"/>
      <c r="K4" s="163"/>
      <c r="L4" s="163" t="s">
        <v>118</v>
      </c>
      <c r="M4" s="164"/>
    </row>
    <row r="5" spans="4:13" x14ac:dyDescent="0.45">
      <c r="D5" s="36" t="s">
        <v>13</v>
      </c>
      <c r="E5" t="s">
        <v>22</v>
      </c>
      <c r="F5" t="s">
        <v>14</v>
      </c>
      <c r="G5" t="s">
        <v>39</v>
      </c>
      <c r="H5" s="141">
        <v>247.05800000000005</v>
      </c>
      <c r="I5" s="141"/>
      <c r="J5" s="141"/>
      <c r="K5" s="141"/>
      <c r="L5" s="141">
        <v>183</v>
      </c>
      <c r="M5" s="165"/>
    </row>
    <row r="6" spans="4:13" x14ac:dyDescent="0.45">
      <c r="D6" s="36"/>
      <c r="F6" t="s">
        <v>555</v>
      </c>
      <c r="G6" t="s">
        <v>47</v>
      </c>
      <c r="H6" s="141">
        <v>0.19</v>
      </c>
      <c r="I6" s="141"/>
      <c r="J6" s="141"/>
      <c r="K6" s="141"/>
      <c r="L6" s="141">
        <v>0.19</v>
      </c>
      <c r="M6" s="165"/>
    </row>
    <row r="7" spans="4:13" x14ac:dyDescent="0.45">
      <c r="D7" s="36"/>
      <c r="E7" t="s">
        <v>23</v>
      </c>
      <c r="F7" t="s">
        <v>15</v>
      </c>
      <c r="G7" t="s">
        <v>40</v>
      </c>
      <c r="H7" s="141">
        <v>123.7795035290867</v>
      </c>
      <c r="I7" s="141"/>
      <c r="J7" s="141"/>
      <c r="K7" s="141"/>
      <c r="L7" s="141">
        <v>48.304992547269556</v>
      </c>
      <c r="M7" s="165"/>
    </row>
    <row r="8" spans="4:13" x14ac:dyDescent="0.45">
      <c r="D8" s="36"/>
      <c r="F8" t="s">
        <v>16</v>
      </c>
      <c r="G8" t="s">
        <v>40</v>
      </c>
      <c r="H8" s="141">
        <v>0</v>
      </c>
      <c r="I8" s="141"/>
      <c r="J8" s="141"/>
      <c r="K8" s="141"/>
      <c r="L8" s="141">
        <v>0</v>
      </c>
      <c r="M8" s="165"/>
    </row>
    <row r="9" spans="4:13" x14ac:dyDescent="0.45">
      <c r="D9" s="36"/>
      <c r="F9" t="s">
        <v>17</v>
      </c>
      <c r="G9" t="s">
        <v>40</v>
      </c>
      <c r="H9" s="141">
        <v>552.41595070458243</v>
      </c>
      <c r="I9" s="141"/>
      <c r="J9" s="141"/>
      <c r="K9" s="141"/>
      <c r="L9" s="141">
        <v>484.42324895801562</v>
      </c>
      <c r="M9" s="165"/>
    </row>
    <row r="10" spans="4:13" x14ac:dyDescent="0.45">
      <c r="D10" s="36"/>
      <c r="F10" t="s">
        <v>18</v>
      </c>
      <c r="G10" t="s">
        <v>41</v>
      </c>
      <c r="H10" s="141">
        <v>1.407982261640798</v>
      </c>
      <c r="I10" s="141"/>
      <c r="J10" s="141"/>
      <c r="K10" s="141"/>
      <c r="L10" s="141">
        <v>0.82601626016260155</v>
      </c>
      <c r="M10" s="165"/>
    </row>
    <row r="11" spans="4:13" x14ac:dyDescent="0.45">
      <c r="D11" s="36"/>
      <c r="F11" t="s">
        <v>19</v>
      </c>
      <c r="G11" t="s">
        <v>41</v>
      </c>
      <c r="H11" s="141">
        <v>0.65705838876570577</v>
      </c>
      <c r="I11" s="141"/>
      <c r="J11" s="141"/>
      <c r="K11" s="141"/>
      <c r="L11" s="141">
        <v>0.56319290465631922</v>
      </c>
      <c r="M11" s="165"/>
    </row>
    <row r="12" spans="4:13" x14ac:dyDescent="0.45">
      <c r="D12" s="36"/>
      <c r="F12" t="s">
        <v>109</v>
      </c>
      <c r="G12" t="s">
        <v>108</v>
      </c>
      <c r="H12" s="141">
        <v>121.81</v>
      </c>
      <c r="I12" s="141"/>
      <c r="J12" s="141"/>
      <c r="K12" s="141"/>
      <c r="L12" s="141">
        <v>26.07</v>
      </c>
      <c r="M12" s="165"/>
    </row>
    <row r="13" spans="4:13" x14ac:dyDescent="0.45">
      <c r="D13" s="36"/>
      <c r="F13" t="s">
        <v>110</v>
      </c>
      <c r="G13" t="s">
        <v>572</v>
      </c>
      <c r="H13" s="141">
        <f>18000</f>
        <v>18000</v>
      </c>
      <c r="I13" s="141"/>
      <c r="J13" s="141"/>
      <c r="K13" s="141"/>
      <c r="L13" s="141">
        <f>(1800)/(L26/100)</f>
        <v>8571.4285714285725</v>
      </c>
      <c r="M13" s="165"/>
    </row>
    <row r="14" spans="4:13" x14ac:dyDescent="0.45">
      <c r="D14" s="36"/>
      <c r="F14" t="s">
        <v>568</v>
      </c>
      <c r="G14" t="s">
        <v>42</v>
      </c>
      <c r="H14" s="141">
        <f>(H13*(H26/100))*H12</f>
        <v>478771.76880000002</v>
      </c>
      <c r="I14" s="141"/>
      <c r="J14" s="141"/>
      <c r="K14" s="141"/>
      <c r="L14" s="141">
        <f>(L13*L12)*(L26/100)</f>
        <v>46926.000000000007</v>
      </c>
      <c r="M14" s="165"/>
    </row>
    <row r="15" spans="4:13" x14ac:dyDescent="0.45">
      <c r="D15" s="36"/>
      <c r="F15" t="s">
        <v>556</v>
      </c>
      <c r="G15" t="s">
        <v>47</v>
      </c>
      <c r="H15" s="141">
        <v>0.7</v>
      </c>
      <c r="I15" s="141"/>
      <c r="J15" s="141"/>
      <c r="K15" s="141"/>
      <c r="L15" s="141">
        <v>0.7</v>
      </c>
      <c r="M15" s="165"/>
    </row>
    <row r="16" spans="4:13" x14ac:dyDescent="0.45">
      <c r="D16" s="36"/>
      <c r="H16" t="s">
        <v>61</v>
      </c>
      <c r="I16" t="s">
        <v>911</v>
      </c>
      <c r="J16" t="s">
        <v>239</v>
      </c>
      <c r="K16" t="s">
        <v>240</v>
      </c>
      <c r="L16" t="s">
        <v>61</v>
      </c>
      <c r="M16" s="35" t="s">
        <v>119</v>
      </c>
    </row>
    <row r="17" spans="4:15" x14ac:dyDescent="0.45">
      <c r="D17" s="36" t="s">
        <v>20</v>
      </c>
      <c r="E17" t="s">
        <v>24</v>
      </c>
      <c r="F17" t="s">
        <v>25</v>
      </c>
      <c r="G17" t="s">
        <v>42</v>
      </c>
      <c r="H17">
        <f>H18</f>
        <v>205187.9009142858</v>
      </c>
      <c r="I17">
        <v>0</v>
      </c>
      <c r="J17">
        <v>0</v>
      </c>
      <c r="K17">
        <v>0</v>
      </c>
      <c r="L17">
        <f>L18</f>
        <v>20111.142857142866</v>
      </c>
      <c r="M17" s="35">
        <v>0</v>
      </c>
    </row>
    <row r="18" spans="4:15" x14ac:dyDescent="0.45">
      <c r="D18" s="36"/>
      <c r="F18" t="s">
        <v>435</v>
      </c>
      <c r="G18" t="s">
        <v>42</v>
      </c>
      <c r="H18">
        <f>(((1-H15)*H14)/H15)</f>
        <v>205187.9009142858</v>
      </c>
      <c r="I18">
        <f>I20*$H$12</f>
        <v>462634.38</v>
      </c>
      <c r="J18">
        <f t="shared" ref="J18:K18" si="0">J20*$H$12</f>
        <v>312199.03000000003</v>
      </c>
      <c r="K18">
        <f t="shared" si="0"/>
        <v>204762.61000000002</v>
      </c>
      <c r="L18">
        <f>(((1-L15)*L14)/L15)</f>
        <v>20111.142857142866</v>
      </c>
      <c r="M18" s="35">
        <f>((L13*L15)*L12)*(M26/100)</f>
        <v>92131.37999999999</v>
      </c>
    </row>
    <row r="19" spans="4:15" x14ac:dyDescent="0.45">
      <c r="D19" s="36"/>
      <c r="F19" t="s">
        <v>571</v>
      </c>
      <c r="G19" t="s">
        <v>572</v>
      </c>
      <c r="H19">
        <f>(H20*100)/(H26)</f>
        <v>7714.2857142857183</v>
      </c>
      <c r="I19">
        <f>I20/(I26/100)</f>
        <v>10851.428571428572</v>
      </c>
      <c r="J19">
        <f>J20/(J26/100)</f>
        <v>7219.7183098591549</v>
      </c>
      <c r="K19">
        <f>K20/(K26/100)</f>
        <v>4802.8571428571431</v>
      </c>
      <c r="L19">
        <f>(L18/(L26/100))/L12</f>
        <v>3673.469387755104</v>
      </c>
      <c r="M19" s="35">
        <f>(M18/(M26/100))/L12</f>
        <v>6000</v>
      </c>
    </row>
    <row r="20" spans="4:15" x14ac:dyDescent="0.45">
      <c r="D20" s="36"/>
      <c r="F20" t="s">
        <v>559</v>
      </c>
      <c r="G20" t="s">
        <v>560</v>
      </c>
      <c r="H20">
        <f>H18/H12</f>
        <v>1684.4914285714292</v>
      </c>
      <c r="I20">
        <v>3798</v>
      </c>
      <c r="J20">
        <v>2563</v>
      </c>
      <c r="K20">
        <v>1681</v>
      </c>
      <c r="L20">
        <f>L19*(L26/100)</f>
        <v>771.42857142857179</v>
      </c>
      <c r="M20" s="35">
        <f>M19*(M26*0.01)</f>
        <v>3534</v>
      </c>
    </row>
    <row r="21" spans="4:15" x14ac:dyDescent="0.45">
      <c r="D21" s="36"/>
      <c r="F21" t="s">
        <v>26</v>
      </c>
      <c r="G21" t="s">
        <v>42</v>
      </c>
      <c r="H21">
        <v>0</v>
      </c>
      <c r="I21">
        <v>0</v>
      </c>
      <c r="J21">
        <v>0</v>
      </c>
      <c r="K21">
        <v>0</v>
      </c>
      <c r="L21">
        <v>0</v>
      </c>
      <c r="M21" s="35">
        <v>0</v>
      </c>
    </row>
    <row r="22" spans="4:15" x14ac:dyDescent="0.45">
      <c r="D22" s="36"/>
      <c r="F22" t="s">
        <v>27</v>
      </c>
      <c r="G22" t="s">
        <v>42</v>
      </c>
      <c r="H22">
        <v>0</v>
      </c>
      <c r="I22">
        <v>0</v>
      </c>
      <c r="J22">
        <v>0</v>
      </c>
      <c r="K22">
        <v>0</v>
      </c>
      <c r="L22">
        <v>0</v>
      </c>
      <c r="M22" s="35">
        <v>0</v>
      </c>
    </row>
    <row r="23" spans="4:15" x14ac:dyDescent="0.45">
      <c r="D23" s="36"/>
      <c r="F23" t="s">
        <v>28</v>
      </c>
      <c r="G23" t="s">
        <v>42</v>
      </c>
      <c r="H23">
        <v>0</v>
      </c>
      <c r="I23">
        <v>1</v>
      </c>
      <c r="J23">
        <v>1</v>
      </c>
      <c r="K23">
        <v>1</v>
      </c>
      <c r="L23">
        <v>0</v>
      </c>
      <c r="M23" s="35">
        <v>0</v>
      </c>
    </row>
    <row r="24" spans="4:15" x14ac:dyDescent="0.45">
      <c r="D24" s="36"/>
      <c r="F24" t="s">
        <v>29</v>
      </c>
      <c r="G24" t="s">
        <v>43</v>
      </c>
      <c r="H24" t="s">
        <v>236</v>
      </c>
      <c r="I24" t="s">
        <v>236</v>
      </c>
      <c r="J24" t="s">
        <v>236</v>
      </c>
      <c r="K24" t="s">
        <v>236</v>
      </c>
      <c r="L24" t="s">
        <v>236</v>
      </c>
      <c r="M24" s="35" t="s">
        <v>236</v>
      </c>
    </row>
    <row r="25" spans="4:15" x14ac:dyDescent="0.45">
      <c r="D25" s="36"/>
      <c r="E25" t="s">
        <v>30</v>
      </c>
      <c r="F25" t="s">
        <v>31</v>
      </c>
      <c r="G25" t="s">
        <v>44</v>
      </c>
      <c r="H25">
        <v>0</v>
      </c>
      <c r="I25">
        <v>0</v>
      </c>
      <c r="J25">
        <v>0</v>
      </c>
      <c r="K25">
        <v>0</v>
      </c>
      <c r="L25">
        <v>0</v>
      </c>
      <c r="M25" s="35">
        <v>0</v>
      </c>
    </row>
    <row r="26" spans="4:15" x14ac:dyDescent="0.45">
      <c r="D26" s="36"/>
      <c r="F26" t="s">
        <v>32</v>
      </c>
      <c r="G26" t="s">
        <v>45</v>
      </c>
      <c r="H26">
        <v>21.835999999999999</v>
      </c>
      <c r="I26">
        <v>35</v>
      </c>
      <c r="J26">
        <v>35.5</v>
      </c>
      <c r="K26">
        <v>35</v>
      </c>
      <c r="L26">
        <v>21</v>
      </c>
      <c r="M26" s="35">
        <v>58.9</v>
      </c>
    </row>
    <row r="27" spans="4:15" x14ac:dyDescent="0.45">
      <c r="D27" s="36"/>
      <c r="F27" t="s">
        <v>33</v>
      </c>
      <c r="G27" t="s">
        <v>46</v>
      </c>
      <c r="H27">
        <v>9.6048818464920309</v>
      </c>
      <c r="I27">
        <v>8.9500000000000011</v>
      </c>
      <c r="J27">
        <v>12.391971830985916</v>
      </c>
      <c r="K27">
        <v>7.42</v>
      </c>
      <c r="L27">
        <v>7</v>
      </c>
      <c r="M27" s="35">
        <v>9.8000000000000007</v>
      </c>
    </row>
    <row r="28" spans="4:15" x14ac:dyDescent="0.45">
      <c r="D28" s="36"/>
      <c r="F28" t="s">
        <v>34</v>
      </c>
      <c r="G28" t="s">
        <v>46</v>
      </c>
      <c r="H28">
        <v>30.335999999999999</v>
      </c>
      <c r="I28">
        <v>28.88</v>
      </c>
      <c r="J28">
        <v>24.544</v>
      </c>
      <c r="K28">
        <v>6.6079999999999997</v>
      </c>
      <c r="L28">
        <v>2.16</v>
      </c>
      <c r="M28" s="35">
        <f>(M38/6.25)/10</f>
        <v>1.6160000000000001</v>
      </c>
    </row>
    <row r="29" spans="4:15" x14ac:dyDescent="0.45">
      <c r="D29" s="36"/>
      <c r="F29" t="s">
        <v>35</v>
      </c>
      <c r="G29" t="s">
        <v>46</v>
      </c>
      <c r="H29">
        <f>W55/10</f>
        <v>0.27846583623374244</v>
      </c>
      <c r="I29">
        <f>V69/10</f>
        <v>0.45408767772511849</v>
      </c>
      <c r="J29">
        <f>U90/10</f>
        <v>0.68272532188841206</v>
      </c>
      <c r="K29">
        <f>U104/10</f>
        <v>0.26355000000000001</v>
      </c>
      <c r="L29">
        <v>0.41</v>
      </c>
      <c r="M29" s="35">
        <v>0.41</v>
      </c>
      <c r="O29" t="s">
        <v>1230</v>
      </c>
    </row>
    <row r="30" spans="4:15" x14ac:dyDescent="0.45">
      <c r="D30" s="36"/>
      <c r="F30" t="s">
        <v>129</v>
      </c>
      <c r="G30" t="s">
        <v>47</v>
      </c>
      <c r="H30" t="s">
        <v>47</v>
      </c>
      <c r="I30">
        <v>0.22</v>
      </c>
      <c r="J30">
        <v>0.22</v>
      </c>
      <c r="K30">
        <v>0.22</v>
      </c>
      <c r="L30" t="s">
        <v>47</v>
      </c>
      <c r="M30" s="35">
        <v>0.22</v>
      </c>
    </row>
    <row r="31" spans="4:15" x14ac:dyDescent="0.45">
      <c r="D31" s="36"/>
      <c r="F31" t="s">
        <v>50</v>
      </c>
      <c r="G31" t="s">
        <v>47</v>
      </c>
      <c r="H31">
        <v>0.6</v>
      </c>
      <c r="I31">
        <v>0.6</v>
      </c>
      <c r="J31">
        <v>0.6</v>
      </c>
      <c r="K31">
        <v>0.6</v>
      </c>
      <c r="L31" t="s">
        <v>47</v>
      </c>
      <c r="M31" s="35">
        <v>0.6</v>
      </c>
    </row>
    <row r="32" spans="4:15" x14ac:dyDescent="0.45">
      <c r="D32" s="36"/>
      <c r="F32" t="s">
        <v>815</v>
      </c>
      <c r="G32" t="s">
        <v>816</v>
      </c>
      <c r="H32" t="s">
        <v>47</v>
      </c>
      <c r="I32">
        <v>0.26737959183673482</v>
      </c>
      <c r="J32">
        <v>0.26361368209255542</v>
      </c>
      <c r="K32">
        <v>0.26737959183673482</v>
      </c>
      <c r="M32" s="35">
        <v>0</v>
      </c>
    </row>
    <row r="33" spans="4:23" x14ac:dyDescent="0.45">
      <c r="D33" s="36"/>
      <c r="F33" t="s">
        <v>570</v>
      </c>
      <c r="G33" t="s">
        <v>569</v>
      </c>
      <c r="H33">
        <v>1287.5</v>
      </c>
      <c r="L33">
        <v>1400</v>
      </c>
      <c r="M33" s="35"/>
    </row>
    <row r="34" spans="4:23" x14ac:dyDescent="0.45">
      <c r="D34" s="36"/>
      <c r="E34" t="s">
        <v>36</v>
      </c>
      <c r="F34" t="s">
        <v>126</v>
      </c>
      <c r="G34" t="s">
        <v>127</v>
      </c>
      <c r="H34">
        <v>7.1340282777033801</v>
      </c>
      <c r="I34">
        <v>7.5810665817789076</v>
      </c>
      <c r="J34">
        <v>6.6798611276326776</v>
      </c>
      <c r="K34">
        <v>6.1045235337915011</v>
      </c>
      <c r="L34">
        <v>5.5412858546190202</v>
      </c>
      <c r="M34" s="35" t="s">
        <v>47</v>
      </c>
    </row>
    <row r="35" spans="4:23" x14ac:dyDescent="0.45">
      <c r="D35" s="36"/>
      <c r="F35" t="s">
        <v>37</v>
      </c>
      <c r="G35" t="s">
        <v>47</v>
      </c>
      <c r="H35" t="s">
        <v>47</v>
      </c>
      <c r="I35" t="s">
        <v>47</v>
      </c>
      <c r="J35" t="s">
        <v>47</v>
      </c>
      <c r="K35" t="s">
        <v>47</v>
      </c>
      <c r="L35" t="s">
        <v>47</v>
      </c>
      <c r="M35" s="35" t="s">
        <v>47</v>
      </c>
    </row>
    <row r="36" spans="4:23" x14ac:dyDescent="0.45">
      <c r="D36" s="36"/>
      <c r="F36" t="s">
        <v>38</v>
      </c>
      <c r="G36" t="s">
        <v>48</v>
      </c>
      <c r="M36" s="35"/>
    </row>
    <row r="37" spans="4:23" x14ac:dyDescent="0.45">
      <c r="D37" s="36"/>
      <c r="F37" t="s">
        <v>122</v>
      </c>
      <c r="G37" t="s">
        <v>123</v>
      </c>
      <c r="H37">
        <v>9.984795750137387</v>
      </c>
      <c r="I37">
        <v>11.209</v>
      </c>
      <c r="J37">
        <v>9.8763380281690125</v>
      </c>
      <c r="K37">
        <v>9.5850000000000009</v>
      </c>
      <c r="L37">
        <v>10.199999999999999</v>
      </c>
      <c r="M37" s="35">
        <f>0.016*561</f>
        <v>8.9760000000000009</v>
      </c>
    </row>
    <row r="38" spans="4:23" x14ac:dyDescent="0.45">
      <c r="D38" s="36"/>
      <c r="F38" t="s">
        <v>120</v>
      </c>
      <c r="G38" t="s">
        <v>48</v>
      </c>
      <c r="H38">
        <v>174.50256457226598</v>
      </c>
      <c r="I38">
        <v>178.4</v>
      </c>
      <c r="J38">
        <v>154.08732394366197</v>
      </c>
      <c r="K38">
        <v>127.5</v>
      </c>
      <c r="L38">
        <v>135</v>
      </c>
      <c r="M38" s="35">
        <v>101</v>
      </c>
    </row>
    <row r="39" spans="4:23" ht="14.65" thickBot="1" x14ac:dyDescent="0.5">
      <c r="D39" s="40"/>
      <c r="E39" s="41"/>
      <c r="F39" s="41" t="s">
        <v>121</v>
      </c>
      <c r="G39" s="41" t="s">
        <v>48</v>
      </c>
      <c r="H39" s="41">
        <v>497.11366550650297</v>
      </c>
      <c r="I39" s="41">
        <v>467.8</v>
      </c>
      <c r="J39" s="41">
        <v>530.912676056338</v>
      </c>
      <c r="K39" s="41">
        <v>580.95000000000005</v>
      </c>
      <c r="L39" s="41">
        <v>640</v>
      </c>
      <c r="M39" s="43">
        <v>541</v>
      </c>
    </row>
    <row r="40" spans="4:23" x14ac:dyDescent="0.45">
      <c r="I40">
        <f>SUM(I20:K20)</f>
        <v>8042</v>
      </c>
    </row>
    <row r="41" spans="4:23" ht="14.65" thickBot="1" x14ac:dyDescent="0.5">
      <c r="I41">
        <f>AVERAGE(I26:K26)</f>
        <v>35.166666666666664</v>
      </c>
    </row>
    <row r="42" spans="4:23" x14ac:dyDescent="0.45">
      <c r="F42" s="48" t="s">
        <v>907</v>
      </c>
      <c r="G42" s="44"/>
      <c r="H42" s="44"/>
      <c r="I42" s="44"/>
      <c r="J42" s="44"/>
      <c r="K42" s="44"/>
      <c r="L42" s="44"/>
      <c r="M42" s="44"/>
      <c r="N42" s="44"/>
      <c r="O42" s="44"/>
      <c r="P42" s="44"/>
      <c r="Q42" s="44"/>
      <c r="R42" s="44"/>
      <c r="S42" s="44"/>
      <c r="T42" s="44"/>
      <c r="U42" s="44"/>
      <c r="V42" s="44"/>
      <c r="W42" s="45"/>
    </row>
    <row r="43" spans="4:23" x14ac:dyDescent="0.45">
      <c r="F43" s="36" t="s">
        <v>155</v>
      </c>
      <c r="W43" s="35"/>
    </row>
    <row r="44" spans="4:23" x14ac:dyDescent="0.45">
      <c r="F44" s="36" t="s">
        <v>132</v>
      </c>
      <c r="G44" t="s">
        <v>133</v>
      </c>
      <c r="H44" t="s">
        <v>150</v>
      </c>
      <c r="I44" t="s">
        <v>151</v>
      </c>
      <c r="J44" t="s">
        <v>152</v>
      </c>
      <c r="K44" t="s">
        <v>153</v>
      </c>
      <c r="L44" t="s">
        <v>154</v>
      </c>
      <c r="M44" t="s">
        <v>158</v>
      </c>
      <c r="N44" t="s">
        <v>167</v>
      </c>
      <c r="O44" t="s">
        <v>237</v>
      </c>
      <c r="P44" t="s">
        <v>238</v>
      </c>
      <c r="Q44" t="s">
        <v>245</v>
      </c>
      <c r="R44" t="s">
        <v>246</v>
      </c>
      <c r="S44" t="s">
        <v>247</v>
      </c>
      <c r="T44" t="s">
        <v>292</v>
      </c>
      <c r="U44" t="s">
        <v>1228</v>
      </c>
      <c r="V44" s="12" t="s">
        <v>1231</v>
      </c>
      <c r="W44" s="35" t="s">
        <v>1232</v>
      </c>
    </row>
    <row r="45" spans="4:23" x14ac:dyDescent="0.45">
      <c r="F45" s="36" t="s">
        <v>140</v>
      </c>
      <c r="G45">
        <v>25</v>
      </c>
      <c r="H45">
        <v>88</v>
      </c>
      <c r="I45">
        <v>27</v>
      </c>
      <c r="J45">
        <v>9.3000000000000007</v>
      </c>
      <c r="K45">
        <v>622</v>
      </c>
      <c r="L45">
        <v>138</v>
      </c>
      <c r="M45">
        <v>8</v>
      </c>
      <c r="N45">
        <v>0</v>
      </c>
      <c r="O45">
        <v>1215</v>
      </c>
      <c r="P45">
        <v>97.2</v>
      </c>
      <c r="Q45">
        <v>11299.5</v>
      </c>
      <c r="R45">
        <v>167670</v>
      </c>
      <c r="S45">
        <v>755730</v>
      </c>
      <c r="T45">
        <v>2.2080000000000002</v>
      </c>
      <c r="U45" s="59">
        <v>0.28000000000000003</v>
      </c>
      <c r="V45">
        <f>((U45*10)*(O45)/1000)</f>
        <v>3.4020000000000006</v>
      </c>
      <c r="W45" s="35">
        <f>((V45*1000)/$O$55)</f>
        <v>0.86554313976918862</v>
      </c>
    </row>
    <row r="46" spans="4:23" x14ac:dyDescent="0.45">
      <c r="F46" s="36" t="s">
        <v>141</v>
      </c>
      <c r="G46">
        <v>18</v>
      </c>
      <c r="H46">
        <v>96</v>
      </c>
      <c r="I46">
        <v>20.7</v>
      </c>
      <c r="J46">
        <v>9.5</v>
      </c>
      <c r="K46">
        <v>599</v>
      </c>
      <c r="L46">
        <v>163</v>
      </c>
      <c r="M46">
        <v>9.6999999999999993</v>
      </c>
      <c r="N46">
        <v>0</v>
      </c>
      <c r="O46">
        <v>670.68</v>
      </c>
      <c r="P46">
        <v>65.055959999999999</v>
      </c>
      <c r="Q46">
        <v>6371.4599999999991</v>
      </c>
      <c r="R46">
        <v>109320.84</v>
      </c>
      <c r="S46">
        <v>401737.31999999995</v>
      </c>
      <c r="T46">
        <v>2.6080000000000001</v>
      </c>
      <c r="U46">
        <v>0.28000000000000003</v>
      </c>
      <c r="V46">
        <f t="shared" ref="V46:V54" si="1">((U46*10)*(O46)/1000)</f>
        <v>1.877904</v>
      </c>
      <c r="W46" s="35">
        <f t="shared" ref="W46:W53" si="2">((V46*1000)/$O$55)</f>
        <v>0.47777981315259205</v>
      </c>
    </row>
    <row r="47" spans="4:23" x14ac:dyDescent="0.45">
      <c r="F47" s="36" t="s">
        <v>142</v>
      </c>
      <c r="G47">
        <v>10</v>
      </c>
      <c r="H47">
        <v>93</v>
      </c>
      <c r="I47">
        <v>19</v>
      </c>
      <c r="J47">
        <v>11.3</v>
      </c>
      <c r="K47">
        <v>350</v>
      </c>
      <c r="L47">
        <v>210</v>
      </c>
      <c r="M47">
        <v>11</v>
      </c>
      <c r="N47">
        <v>0</v>
      </c>
      <c r="O47">
        <v>342</v>
      </c>
      <c r="P47">
        <v>37.619999999999997</v>
      </c>
      <c r="Q47">
        <v>3864.6000000000004</v>
      </c>
      <c r="R47">
        <v>71820</v>
      </c>
      <c r="S47">
        <v>119700</v>
      </c>
      <c r="T47">
        <v>3.3600000000000003</v>
      </c>
      <c r="U47">
        <v>0.28000000000000003</v>
      </c>
      <c r="V47">
        <f t="shared" si="1"/>
        <v>0.95760000000000012</v>
      </c>
      <c r="W47" s="35">
        <f t="shared" si="2"/>
        <v>0.24363436526836421</v>
      </c>
    </row>
    <row r="48" spans="4:23" x14ac:dyDescent="0.45">
      <c r="F48" s="36" t="s">
        <v>143</v>
      </c>
      <c r="G48">
        <v>15</v>
      </c>
      <c r="H48">
        <v>95</v>
      </c>
      <c r="I48">
        <v>19</v>
      </c>
      <c r="J48">
        <v>11.3</v>
      </c>
      <c r="K48">
        <v>350</v>
      </c>
      <c r="L48">
        <v>210</v>
      </c>
      <c r="M48">
        <v>11</v>
      </c>
      <c r="N48">
        <v>0</v>
      </c>
      <c r="O48">
        <v>513</v>
      </c>
      <c r="P48">
        <v>56.43</v>
      </c>
      <c r="Q48">
        <v>5796.9000000000005</v>
      </c>
      <c r="R48">
        <v>107730</v>
      </c>
      <c r="S48">
        <v>179550</v>
      </c>
      <c r="T48">
        <v>3.3600000000000003</v>
      </c>
      <c r="U48">
        <v>0.28000000000000003</v>
      </c>
      <c r="V48">
        <f t="shared" si="1"/>
        <v>1.4364000000000001</v>
      </c>
      <c r="W48" s="35">
        <f t="shared" si="2"/>
        <v>0.36545154790254625</v>
      </c>
    </row>
    <row r="49" spans="6:23" x14ac:dyDescent="0.45">
      <c r="F49" s="36" t="s">
        <v>144</v>
      </c>
      <c r="G49">
        <v>5</v>
      </c>
      <c r="H49">
        <v>96</v>
      </c>
      <c r="I49">
        <v>20</v>
      </c>
      <c r="J49">
        <v>11.2</v>
      </c>
      <c r="K49">
        <v>570</v>
      </c>
      <c r="L49">
        <v>165</v>
      </c>
      <c r="M49">
        <v>8</v>
      </c>
      <c r="N49">
        <v>0</v>
      </c>
      <c r="O49">
        <v>180</v>
      </c>
      <c r="P49">
        <v>14.4</v>
      </c>
      <c r="Q49">
        <v>2015.9999999999998</v>
      </c>
      <c r="R49">
        <v>29700</v>
      </c>
      <c r="S49">
        <v>102600</v>
      </c>
      <c r="T49">
        <v>2.6399999999999997</v>
      </c>
      <c r="U49">
        <v>0.155</v>
      </c>
      <c r="V49">
        <f t="shared" si="1"/>
        <v>0.27900000000000003</v>
      </c>
      <c r="W49" s="35">
        <f t="shared" si="2"/>
        <v>7.0983696647737682E-2</v>
      </c>
    </row>
    <row r="50" spans="6:23" x14ac:dyDescent="0.45">
      <c r="F50" s="36" t="s">
        <v>145</v>
      </c>
      <c r="G50">
        <v>10</v>
      </c>
      <c r="H50">
        <v>89</v>
      </c>
      <c r="I50">
        <v>23</v>
      </c>
      <c r="J50">
        <v>9.3000000000000007</v>
      </c>
      <c r="K50">
        <v>410</v>
      </c>
      <c r="L50">
        <v>190</v>
      </c>
      <c r="M50">
        <v>10</v>
      </c>
      <c r="N50">
        <v>93.940000000000012</v>
      </c>
      <c r="O50">
        <v>414</v>
      </c>
      <c r="P50">
        <v>41.4</v>
      </c>
      <c r="Q50">
        <v>3850.2000000000003</v>
      </c>
      <c r="R50">
        <v>78660</v>
      </c>
      <c r="S50">
        <v>169740</v>
      </c>
      <c r="T50">
        <v>3.04</v>
      </c>
      <c r="U50">
        <v>0.27</v>
      </c>
      <c r="V50">
        <f t="shared" si="1"/>
        <v>1.1178000000000001</v>
      </c>
      <c r="W50" s="35">
        <f t="shared" si="2"/>
        <v>0.28439274592416197</v>
      </c>
    </row>
    <row r="51" spans="6:23" x14ac:dyDescent="0.45">
      <c r="F51" s="36" t="s">
        <v>146</v>
      </c>
      <c r="G51">
        <v>5</v>
      </c>
      <c r="H51">
        <v>88</v>
      </c>
      <c r="I51">
        <v>23</v>
      </c>
      <c r="J51">
        <v>9.3000000000000007</v>
      </c>
      <c r="K51">
        <v>410</v>
      </c>
      <c r="L51">
        <v>190</v>
      </c>
      <c r="M51">
        <v>10</v>
      </c>
      <c r="N51">
        <v>50.470000000000006</v>
      </c>
      <c r="O51">
        <v>207</v>
      </c>
      <c r="P51">
        <v>20.7</v>
      </c>
      <c r="Q51">
        <v>1925.1000000000001</v>
      </c>
      <c r="R51">
        <v>39330</v>
      </c>
      <c r="S51">
        <v>84870</v>
      </c>
      <c r="T51">
        <v>3.04</v>
      </c>
      <c r="U51">
        <v>0.27</v>
      </c>
      <c r="V51">
        <f t="shared" si="1"/>
        <v>0.55890000000000006</v>
      </c>
      <c r="W51" s="35">
        <f t="shared" si="2"/>
        <v>0.14219637296208099</v>
      </c>
    </row>
    <row r="52" spans="6:23" x14ac:dyDescent="0.45">
      <c r="F52" s="36" t="s">
        <v>147</v>
      </c>
      <c r="G52">
        <v>7</v>
      </c>
      <c r="H52">
        <v>88</v>
      </c>
      <c r="I52">
        <v>18</v>
      </c>
      <c r="J52">
        <v>10.6</v>
      </c>
      <c r="K52">
        <v>360</v>
      </c>
      <c r="L52">
        <v>210</v>
      </c>
      <c r="M52">
        <v>11.5</v>
      </c>
      <c r="N52">
        <v>54.628000000000014</v>
      </c>
      <c r="O52">
        <v>226.80000000000004</v>
      </c>
      <c r="P52">
        <v>26.082000000000004</v>
      </c>
      <c r="Q52">
        <v>2404.0800000000004</v>
      </c>
      <c r="R52">
        <v>47628.000000000007</v>
      </c>
      <c r="S52">
        <v>81648.000000000015</v>
      </c>
      <c r="T52">
        <v>3.3600000000000003</v>
      </c>
      <c r="U52">
        <v>0.34</v>
      </c>
      <c r="V52">
        <f t="shared" si="1"/>
        <v>0.77112000000000025</v>
      </c>
      <c r="W52" s="35">
        <f t="shared" si="2"/>
        <v>0.19618977834768278</v>
      </c>
    </row>
    <row r="53" spans="6:23" x14ac:dyDescent="0.45">
      <c r="F53" s="36" t="s">
        <v>148</v>
      </c>
      <c r="G53">
        <v>3</v>
      </c>
      <c r="H53">
        <v>92</v>
      </c>
      <c r="I53">
        <v>18</v>
      </c>
      <c r="J53">
        <v>10.6</v>
      </c>
      <c r="K53">
        <v>360</v>
      </c>
      <c r="L53">
        <v>210</v>
      </c>
      <c r="M53">
        <v>11.5</v>
      </c>
      <c r="N53">
        <v>27.412000000000003</v>
      </c>
      <c r="O53">
        <v>97.2</v>
      </c>
      <c r="P53">
        <v>11.178000000000001</v>
      </c>
      <c r="Q53">
        <v>1030.32</v>
      </c>
      <c r="R53">
        <v>20412</v>
      </c>
      <c r="S53">
        <v>34992</v>
      </c>
      <c r="T53">
        <v>3.3600000000000003</v>
      </c>
      <c r="U53">
        <v>0.34</v>
      </c>
      <c r="V53">
        <f t="shared" si="1"/>
        <v>0.33048</v>
      </c>
      <c r="W53" s="35">
        <f t="shared" si="2"/>
        <v>8.4081333577578313E-2</v>
      </c>
    </row>
    <row r="54" spans="6:23" x14ac:dyDescent="0.45">
      <c r="F54" s="36" t="s">
        <v>149</v>
      </c>
      <c r="G54">
        <v>2</v>
      </c>
      <c r="H54">
        <v>86</v>
      </c>
      <c r="I54">
        <v>18</v>
      </c>
      <c r="J54">
        <v>10.6</v>
      </c>
      <c r="K54">
        <v>360</v>
      </c>
      <c r="L54">
        <v>210</v>
      </c>
      <c r="M54">
        <v>11.5</v>
      </c>
      <c r="N54">
        <v>20.608000000000001</v>
      </c>
      <c r="O54">
        <v>64.8</v>
      </c>
      <c r="P54">
        <v>7.452</v>
      </c>
      <c r="Q54">
        <v>686.88</v>
      </c>
      <c r="R54">
        <v>13608</v>
      </c>
      <c r="S54">
        <v>23328</v>
      </c>
      <c r="T54">
        <v>3.3600000000000003</v>
      </c>
      <c r="U54">
        <v>0.33</v>
      </c>
      <c r="V54">
        <f t="shared" si="1"/>
        <v>0.21384</v>
      </c>
      <c r="W54" s="35">
        <f>((V54*1000)/$O$55)</f>
        <v>5.4405568785491847E-2</v>
      </c>
    </row>
    <row r="55" spans="6:23" ht="14.65" thickBot="1" x14ac:dyDescent="0.5">
      <c r="F55" s="40" t="s">
        <v>162</v>
      </c>
      <c r="G55" s="41"/>
      <c r="H55" s="41"/>
      <c r="I55" s="41"/>
      <c r="J55" s="41"/>
      <c r="K55" s="41"/>
      <c r="L55" s="41"/>
      <c r="M55" s="41"/>
      <c r="N55" s="41">
        <v>247.05800000000005</v>
      </c>
      <c r="O55" s="41">
        <v>3930.48</v>
      </c>
      <c r="P55" s="41">
        <v>377.51795999999996</v>
      </c>
      <c r="Q55" s="41">
        <v>39245.039999999994</v>
      </c>
      <c r="R55" s="41">
        <v>685878.84</v>
      </c>
      <c r="S55" s="41">
        <v>1953895.3199999998</v>
      </c>
      <c r="T55" s="41">
        <v>30.335999999999999</v>
      </c>
      <c r="U55" s="41"/>
      <c r="V55" s="41">
        <f>SUM(V45:V54)</f>
        <v>10.945043999999999</v>
      </c>
      <c r="W55" s="43">
        <f>SUM(W45:W54)</f>
        <v>2.7846583623374244</v>
      </c>
    </row>
    <row r="56" spans="6:23" ht="14.65" thickBot="1" x14ac:dyDescent="0.5"/>
    <row r="57" spans="6:23" x14ac:dyDescent="0.45">
      <c r="F57" s="48" t="s">
        <v>908</v>
      </c>
      <c r="G57" s="44"/>
      <c r="H57" s="44"/>
      <c r="I57" s="44"/>
      <c r="J57" s="44"/>
      <c r="K57" s="44"/>
      <c r="L57" s="44"/>
      <c r="M57" s="44"/>
      <c r="N57" s="44"/>
      <c r="O57" s="44"/>
      <c r="P57" s="44"/>
      <c r="Q57" s="44"/>
      <c r="R57" s="44"/>
      <c r="S57" s="45"/>
    </row>
    <row r="58" spans="6:23" ht="42.75" x14ac:dyDescent="0.45">
      <c r="F58" s="36" t="s">
        <v>909</v>
      </c>
      <c r="G58" t="s">
        <v>133</v>
      </c>
      <c r="H58" t="s">
        <v>151</v>
      </c>
      <c r="I58" t="s">
        <v>152</v>
      </c>
      <c r="J58" t="s">
        <v>153</v>
      </c>
      <c r="K58" t="s">
        <v>154</v>
      </c>
      <c r="L58" t="s">
        <v>158</v>
      </c>
      <c r="M58" t="s">
        <v>241</v>
      </c>
      <c r="N58" t="s">
        <v>242</v>
      </c>
      <c r="O58" t="s">
        <v>245</v>
      </c>
      <c r="P58" t="s">
        <v>246</v>
      </c>
      <c r="Q58" t="s">
        <v>247</v>
      </c>
      <c r="R58" t="s">
        <v>910</v>
      </c>
      <c r="S58" s="52" t="s">
        <v>293</v>
      </c>
      <c r="T58" t="s">
        <v>1229</v>
      </c>
      <c r="U58" t="s">
        <v>1231</v>
      </c>
      <c r="V58" t="s">
        <v>1232</v>
      </c>
    </row>
    <row r="59" spans="6:23" x14ac:dyDescent="0.45">
      <c r="F59" s="36" t="s">
        <v>140</v>
      </c>
      <c r="G59">
        <v>25</v>
      </c>
      <c r="H59">
        <v>35</v>
      </c>
      <c r="I59">
        <v>11.5</v>
      </c>
      <c r="J59">
        <v>520</v>
      </c>
      <c r="K59">
        <v>170</v>
      </c>
      <c r="L59">
        <v>8.5</v>
      </c>
      <c r="M59">
        <v>1575</v>
      </c>
      <c r="N59">
        <v>133.875</v>
      </c>
      <c r="O59">
        <v>18112.5</v>
      </c>
      <c r="P59">
        <v>267750</v>
      </c>
      <c r="Q59">
        <v>819000</v>
      </c>
      <c r="R59">
        <v>2.72</v>
      </c>
      <c r="S59" s="35"/>
      <c r="T59">
        <v>0.28000000000000003</v>
      </c>
      <c r="U59">
        <f>((T59*10)*(M59)/1000)</f>
        <v>4.41</v>
      </c>
      <c r="V59" s="35">
        <f>((U59*1000)/$G$71)</f>
        <v>1.1611374407582939</v>
      </c>
    </row>
    <row r="60" spans="6:23" x14ac:dyDescent="0.45">
      <c r="F60" s="36" t="s">
        <v>157</v>
      </c>
      <c r="G60">
        <v>18</v>
      </c>
      <c r="H60">
        <v>35</v>
      </c>
      <c r="I60">
        <v>11.5</v>
      </c>
      <c r="J60">
        <v>520</v>
      </c>
      <c r="K60">
        <v>170</v>
      </c>
      <c r="L60">
        <v>8.5</v>
      </c>
      <c r="M60">
        <v>1134</v>
      </c>
      <c r="N60">
        <v>96.39</v>
      </c>
      <c r="O60">
        <v>13041</v>
      </c>
      <c r="P60">
        <v>192780</v>
      </c>
      <c r="Q60">
        <v>589680</v>
      </c>
      <c r="R60">
        <v>2.7199999999999998</v>
      </c>
      <c r="S60" s="35"/>
      <c r="T60">
        <v>0.28000000000000003</v>
      </c>
      <c r="U60">
        <f t="shared" ref="U60:U68" si="3">((T60*10)*(M60)/1000)</f>
        <v>3.1752000000000002</v>
      </c>
      <c r="V60" s="35">
        <f t="shared" ref="V60:V68" si="4">((U60*1000)/$G$71)</f>
        <v>0.83601895734597165</v>
      </c>
    </row>
    <row r="61" spans="6:23" x14ac:dyDescent="0.45">
      <c r="F61" s="36" t="s">
        <v>142</v>
      </c>
      <c r="G61">
        <v>10</v>
      </c>
      <c r="H61">
        <v>35</v>
      </c>
      <c r="I61">
        <v>11.5</v>
      </c>
      <c r="J61">
        <v>520</v>
      </c>
      <c r="K61">
        <v>170</v>
      </c>
      <c r="L61">
        <v>8.5</v>
      </c>
      <c r="M61">
        <v>630</v>
      </c>
      <c r="N61">
        <v>53.55</v>
      </c>
      <c r="O61">
        <v>7245</v>
      </c>
      <c r="P61">
        <v>107100</v>
      </c>
      <c r="Q61">
        <v>327600</v>
      </c>
      <c r="R61">
        <v>2.7199999999999998</v>
      </c>
      <c r="S61" s="35"/>
      <c r="T61">
        <v>0.28000000000000003</v>
      </c>
      <c r="U61">
        <f t="shared" si="3"/>
        <v>1.7640000000000002</v>
      </c>
      <c r="V61" s="35">
        <f t="shared" si="4"/>
        <v>0.46445497630331761</v>
      </c>
    </row>
    <row r="62" spans="6:23" x14ac:dyDescent="0.45">
      <c r="F62" s="36" t="s">
        <v>143</v>
      </c>
      <c r="G62">
        <v>15</v>
      </c>
      <c r="H62">
        <v>35</v>
      </c>
      <c r="I62">
        <v>11.5</v>
      </c>
      <c r="J62">
        <v>520</v>
      </c>
      <c r="K62">
        <v>170</v>
      </c>
      <c r="L62">
        <v>8.5</v>
      </c>
      <c r="M62">
        <v>944.99999999999989</v>
      </c>
      <c r="N62">
        <v>80.324999999999989</v>
      </c>
      <c r="O62">
        <v>10867.499999999998</v>
      </c>
      <c r="P62">
        <v>160649.99999999997</v>
      </c>
      <c r="Q62">
        <v>491399.99999999994</v>
      </c>
      <c r="R62">
        <v>2.7199999999999998</v>
      </c>
      <c r="S62" s="35"/>
      <c r="T62">
        <v>0.28000000000000003</v>
      </c>
      <c r="U62">
        <f t="shared" si="3"/>
        <v>2.6459999999999999</v>
      </c>
      <c r="V62" s="35">
        <f t="shared" si="4"/>
        <v>0.69668246445497628</v>
      </c>
    </row>
    <row r="63" spans="6:23" x14ac:dyDescent="0.45">
      <c r="F63" s="36" t="s">
        <v>144</v>
      </c>
      <c r="G63">
        <v>5</v>
      </c>
      <c r="H63">
        <v>35</v>
      </c>
      <c r="I63">
        <v>11.5</v>
      </c>
      <c r="J63">
        <v>520</v>
      </c>
      <c r="K63">
        <v>170</v>
      </c>
      <c r="L63">
        <v>8.5</v>
      </c>
      <c r="M63">
        <v>315</v>
      </c>
      <c r="N63">
        <v>26.774999999999999</v>
      </c>
      <c r="O63">
        <v>3622.5</v>
      </c>
      <c r="P63">
        <v>53550</v>
      </c>
      <c r="Q63">
        <v>163800</v>
      </c>
      <c r="R63">
        <v>2.7199999999999998</v>
      </c>
      <c r="S63" s="35"/>
      <c r="T63">
        <v>0.155</v>
      </c>
      <c r="U63">
        <f t="shared" si="3"/>
        <v>0.48825000000000002</v>
      </c>
      <c r="V63" s="35">
        <f t="shared" si="4"/>
        <v>0.12855450236966826</v>
      </c>
    </row>
    <row r="64" spans="6:23" x14ac:dyDescent="0.45">
      <c r="F64" s="36" t="s">
        <v>145</v>
      </c>
      <c r="G64">
        <v>10</v>
      </c>
      <c r="H64">
        <v>35</v>
      </c>
      <c r="I64">
        <v>10.199999999999999</v>
      </c>
      <c r="J64">
        <v>340</v>
      </c>
      <c r="K64">
        <v>230</v>
      </c>
      <c r="L64">
        <v>11.5</v>
      </c>
      <c r="M64">
        <v>630</v>
      </c>
      <c r="N64">
        <v>72.45</v>
      </c>
      <c r="O64">
        <v>6426</v>
      </c>
      <c r="P64">
        <v>144900</v>
      </c>
      <c r="Q64">
        <v>214200</v>
      </c>
      <c r="R64">
        <v>3.6799999999999997</v>
      </c>
      <c r="S64" s="35"/>
      <c r="T64">
        <v>0.3</v>
      </c>
      <c r="U64">
        <f t="shared" si="3"/>
        <v>1.89</v>
      </c>
      <c r="V64" s="35">
        <f t="shared" si="4"/>
        <v>0.49763033175355448</v>
      </c>
    </row>
    <row r="65" spans="6:22" x14ac:dyDescent="0.45">
      <c r="F65" s="36" t="s">
        <v>146</v>
      </c>
      <c r="G65">
        <v>5</v>
      </c>
      <c r="H65">
        <v>35</v>
      </c>
      <c r="I65">
        <v>10.199999999999999</v>
      </c>
      <c r="J65">
        <v>340</v>
      </c>
      <c r="K65">
        <v>230</v>
      </c>
      <c r="L65">
        <v>11.5</v>
      </c>
      <c r="M65">
        <v>315</v>
      </c>
      <c r="N65">
        <v>36.225000000000001</v>
      </c>
      <c r="O65">
        <v>3213</v>
      </c>
      <c r="P65">
        <v>72450</v>
      </c>
      <c r="Q65">
        <v>107100</v>
      </c>
      <c r="R65">
        <v>3.6799999999999997</v>
      </c>
      <c r="S65" s="35"/>
      <c r="T65">
        <v>0.3</v>
      </c>
      <c r="U65">
        <f t="shared" si="3"/>
        <v>0.94499999999999995</v>
      </c>
      <c r="V65" s="35">
        <f t="shared" si="4"/>
        <v>0.24881516587677724</v>
      </c>
    </row>
    <row r="66" spans="6:22" x14ac:dyDescent="0.45">
      <c r="F66" s="36" t="s">
        <v>147</v>
      </c>
      <c r="G66">
        <v>7</v>
      </c>
      <c r="H66">
        <v>35</v>
      </c>
      <c r="I66">
        <v>10.7</v>
      </c>
      <c r="J66">
        <v>310</v>
      </c>
      <c r="K66">
        <v>165</v>
      </c>
      <c r="L66">
        <v>8.5</v>
      </c>
      <c r="M66">
        <v>441.00000000000006</v>
      </c>
      <c r="N66">
        <v>37.485000000000007</v>
      </c>
      <c r="O66">
        <v>4718.7000000000007</v>
      </c>
      <c r="P66">
        <v>72765.000000000015</v>
      </c>
      <c r="Q66">
        <v>136710.00000000003</v>
      </c>
      <c r="R66">
        <v>2.6399999999999997</v>
      </c>
      <c r="S66" s="35"/>
      <c r="T66">
        <v>0.24</v>
      </c>
      <c r="U66">
        <f t="shared" si="3"/>
        <v>1.0584</v>
      </c>
      <c r="V66" s="35">
        <f t="shared" si="4"/>
        <v>0.27867298578199057</v>
      </c>
    </row>
    <row r="67" spans="6:22" x14ac:dyDescent="0.45">
      <c r="F67" s="36" t="s">
        <v>148</v>
      </c>
      <c r="G67">
        <v>3</v>
      </c>
      <c r="H67">
        <v>35</v>
      </c>
      <c r="I67">
        <v>10.7</v>
      </c>
      <c r="J67">
        <v>310</v>
      </c>
      <c r="K67">
        <v>165</v>
      </c>
      <c r="L67">
        <v>8.5</v>
      </c>
      <c r="M67">
        <v>189</v>
      </c>
      <c r="N67">
        <v>16.065000000000001</v>
      </c>
      <c r="O67">
        <v>2022.3</v>
      </c>
      <c r="P67">
        <v>31185</v>
      </c>
      <c r="Q67">
        <v>58590</v>
      </c>
      <c r="R67">
        <v>2.64</v>
      </c>
      <c r="S67" s="35"/>
      <c r="T67">
        <v>0.24</v>
      </c>
      <c r="U67">
        <f t="shared" si="3"/>
        <v>0.45359999999999995</v>
      </c>
      <c r="V67" s="35">
        <f t="shared" si="4"/>
        <v>0.11943127962085306</v>
      </c>
    </row>
    <row r="68" spans="6:22" x14ac:dyDescent="0.45">
      <c r="F68" s="36" t="s">
        <v>149</v>
      </c>
      <c r="G68">
        <v>2</v>
      </c>
      <c r="H68">
        <v>35</v>
      </c>
      <c r="I68">
        <v>10.7</v>
      </c>
      <c r="J68">
        <v>310</v>
      </c>
      <c r="K68">
        <v>165</v>
      </c>
      <c r="L68">
        <v>8.5</v>
      </c>
      <c r="M68">
        <v>125.99999999999999</v>
      </c>
      <c r="N68">
        <v>10.709999999999997</v>
      </c>
      <c r="O68">
        <v>1348.1999999999998</v>
      </c>
      <c r="P68">
        <v>20789.999999999996</v>
      </c>
      <c r="Q68">
        <v>39059.999999999993</v>
      </c>
      <c r="R68">
        <v>2.6399999999999997</v>
      </c>
      <c r="S68" s="35"/>
      <c r="T68">
        <v>0.33</v>
      </c>
      <c r="U68">
        <f t="shared" si="3"/>
        <v>0.4158</v>
      </c>
      <c r="V68" s="35">
        <f t="shared" si="4"/>
        <v>0.109478672985782</v>
      </c>
    </row>
    <row r="69" spans="6:22" x14ac:dyDescent="0.45">
      <c r="F69" s="36" t="s">
        <v>462</v>
      </c>
      <c r="S69" s="35"/>
      <c r="U69">
        <f>SUM(U59:U68)</f>
        <v>17.246250000000003</v>
      </c>
      <c r="V69">
        <f>SUM(V59:V68)</f>
        <v>4.5408767772511851</v>
      </c>
    </row>
    <row r="70" spans="6:22" x14ac:dyDescent="0.45">
      <c r="F70" s="36" t="s">
        <v>460</v>
      </c>
      <c r="G70">
        <v>18000</v>
      </c>
      <c r="S70" s="35"/>
    </row>
    <row r="71" spans="6:22" x14ac:dyDescent="0.45">
      <c r="F71" s="36" t="s">
        <v>461</v>
      </c>
      <c r="G71">
        <f>I20</f>
        <v>3798</v>
      </c>
      <c r="S71" s="35"/>
    </row>
    <row r="72" spans="6:22" x14ac:dyDescent="0.45">
      <c r="F72" s="36" t="s">
        <v>242</v>
      </c>
      <c r="G72">
        <v>563.85</v>
      </c>
      <c r="S72" s="35"/>
    </row>
    <row r="73" spans="6:22" x14ac:dyDescent="0.45">
      <c r="F73" s="36" t="s">
        <v>245</v>
      </c>
      <c r="G73">
        <v>70616.7</v>
      </c>
      <c r="S73" s="35"/>
    </row>
    <row r="74" spans="6:22" x14ac:dyDescent="0.45">
      <c r="F74" s="36" t="s">
        <v>246</v>
      </c>
      <c r="G74">
        <v>1123920</v>
      </c>
      <c r="S74" s="35"/>
    </row>
    <row r="75" spans="6:22" x14ac:dyDescent="0.45">
      <c r="F75" s="36" t="s">
        <v>247</v>
      </c>
      <c r="G75">
        <v>2947140</v>
      </c>
      <c r="S75" s="35"/>
    </row>
    <row r="76" spans="6:22" ht="14.65" thickBot="1" x14ac:dyDescent="0.5">
      <c r="F76" s="40" t="s">
        <v>292</v>
      </c>
      <c r="G76" s="41">
        <v>28.88</v>
      </c>
      <c r="H76" s="41"/>
      <c r="I76" s="41"/>
      <c r="J76" s="41"/>
      <c r="K76" s="41"/>
      <c r="L76" s="41"/>
      <c r="M76" s="41"/>
      <c r="N76" s="41"/>
      <c r="O76" s="41"/>
      <c r="P76" s="41"/>
      <c r="Q76" s="41"/>
      <c r="R76" s="41"/>
      <c r="S76" s="43"/>
    </row>
    <row r="77" spans="6:22" ht="14.65" thickBot="1" x14ac:dyDescent="0.5"/>
    <row r="78" spans="6:22" x14ac:dyDescent="0.45">
      <c r="F78" s="48" t="s">
        <v>235</v>
      </c>
      <c r="G78" s="44"/>
      <c r="H78" s="44"/>
      <c r="I78" s="44"/>
      <c r="J78" s="44"/>
      <c r="K78" s="44"/>
      <c r="L78" s="44"/>
      <c r="M78" s="44"/>
      <c r="N78" s="44"/>
      <c r="O78" s="44"/>
      <c r="P78" s="44"/>
      <c r="Q78" s="44"/>
      <c r="R78" s="45"/>
    </row>
    <row r="79" spans="6:22" x14ac:dyDescent="0.45">
      <c r="F79" s="36" t="s">
        <v>132</v>
      </c>
      <c r="G79" t="s">
        <v>133</v>
      </c>
      <c r="H79" t="s">
        <v>151</v>
      </c>
      <c r="I79" t="s">
        <v>152</v>
      </c>
      <c r="J79" t="s">
        <v>153</v>
      </c>
      <c r="K79" t="s">
        <v>154</v>
      </c>
      <c r="L79" t="s">
        <v>158</v>
      </c>
      <c r="M79" t="s">
        <v>241</v>
      </c>
      <c r="N79" t="s">
        <v>242</v>
      </c>
      <c r="O79" t="s">
        <v>245</v>
      </c>
      <c r="P79" t="s">
        <v>246</v>
      </c>
      <c r="Q79" t="s">
        <v>247</v>
      </c>
      <c r="R79" s="35" t="s">
        <v>292</v>
      </c>
      <c r="S79" t="s">
        <v>1229</v>
      </c>
      <c r="T79" t="s">
        <v>1231</v>
      </c>
      <c r="U79" t="s">
        <v>1232</v>
      </c>
    </row>
    <row r="80" spans="6:22" x14ac:dyDescent="0.45">
      <c r="F80" s="36" t="s">
        <v>140</v>
      </c>
      <c r="G80">
        <v>25</v>
      </c>
      <c r="H80">
        <v>30.8</v>
      </c>
      <c r="I80">
        <v>8.9</v>
      </c>
      <c r="J80">
        <v>562</v>
      </c>
      <c r="K80">
        <v>139</v>
      </c>
      <c r="L80">
        <v>8.1999999999999993</v>
      </c>
      <c r="M80">
        <v>1386</v>
      </c>
      <c r="N80">
        <v>113.652</v>
      </c>
      <c r="O80">
        <v>12335.4</v>
      </c>
      <c r="P80">
        <v>192654</v>
      </c>
      <c r="Q80">
        <v>778932</v>
      </c>
      <c r="R80" s="35">
        <v>2.2240000000000002</v>
      </c>
      <c r="S80">
        <v>0.28000000000000003</v>
      </c>
      <c r="T80">
        <f>((S80*10)*(M80)/1000)</f>
        <v>3.8808000000000002</v>
      </c>
      <c r="U80" s="35">
        <f>((T80*1000)/$G$92)</f>
        <v>1.5141630901287555</v>
      </c>
    </row>
    <row r="81" spans="6:21" x14ac:dyDescent="0.45">
      <c r="F81" s="36" t="s">
        <v>157</v>
      </c>
      <c r="G81">
        <v>18</v>
      </c>
      <c r="H81">
        <v>45</v>
      </c>
      <c r="I81">
        <v>10.6</v>
      </c>
      <c r="J81">
        <v>580</v>
      </c>
      <c r="K81">
        <v>153</v>
      </c>
      <c r="L81">
        <v>7.5</v>
      </c>
      <c r="M81">
        <v>1458</v>
      </c>
      <c r="N81">
        <v>109.35</v>
      </c>
      <c r="O81">
        <v>15454.8</v>
      </c>
      <c r="P81">
        <v>223074</v>
      </c>
      <c r="Q81">
        <v>845640</v>
      </c>
      <c r="R81" s="35">
        <v>2.4479999999999995</v>
      </c>
      <c r="S81">
        <v>0.28000000000000003</v>
      </c>
      <c r="T81">
        <f t="shared" ref="T81:T89" si="5">((S81*10)*(M81)/1000)</f>
        <v>4.0824000000000007</v>
      </c>
      <c r="U81" s="35">
        <f t="shared" ref="U81:U89" si="6">((T81*1000)/$G$92)</f>
        <v>1.592820912992587</v>
      </c>
    </row>
    <row r="82" spans="6:21" x14ac:dyDescent="0.45">
      <c r="F82" s="36" t="s">
        <v>142</v>
      </c>
      <c r="G82">
        <v>10</v>
      </c>
      <c r="H82">
        <v>34</v>
      </c>
      <c r="I82">
        <v>10.6</v>
      </c>
      <c r="J82">
        <v>500</v>
      </c>
      <c r="K82">
        <v>161</v>
      </c>
      <c r="L82">
        <v>11.3</v>
      </c>
      <c r="M82">
        <v>612</v>
      </c>
      <c r="N82">
        <v>69.156000000000006</v>
      </c>
      <c r="O82">
        <v>6487.2</v>
      </c>
      <c r="P82">
        <v>98532</v>
      </c>
      <c r="Q82">
        <v>306000</v>
      </c>
      <c r="R82" s="35">
        <v>2.5760000000000001</v>
      </c>
      <c r="S82">
        <v>0.28000000000000003</v>
      </c>
      <c r="T82">
        <f t="shared" si="5"/>
        <v>1.7136000000000002</v>
      </c>
      <c r="U82" s="35">
        <f t="shared" si="6"/>
        <v>0.66859149434256737</v>
      </c>
    </row>
    <row r="83" spans="6:21" x14ac:dyDescent="0.45">
      <c r="F83" s="36" t="s">
        <v>143</v>
      </c>
      <c r="G83">
        <v>15</v>
      </c>
      <c r="H83">
        <v>34</v>
      </c>
      <c r="I83">
        <v>10.6</v>
      </c>
      <c r="J83">
        <v>500</v>
      </c>
      <c r="K83">
        <v>161</v>
      </c>
      <c r="L83">
        <v>11.3</v>
      </c>
      <c r="M83">
        <v>918.00000000000011</v>
      </c>
      <c r="N83">
        <v>103.73400000000001</v>
      </c>
      <c r="O83">
        <v>9730.8000000000011</v>
      </c>
      <c r="P83">
        <v>147798.00000000003</v>
      </c>
      <c r="Q83">
        <v>459000.00000000006</v>
      </c>
      <c r="R83" s="35">
        <v>2.5760000000000001</v>
      </c>
      <c r="S83">
        <v>0.28000000000000003</v>
      </c>
      <c r="T83">
        <f t="shared" si="5"/>
        <v>2.5704000000000007</v>
      </c>
      <c r="U83" s="35">
        <f t="shared" si="6"/>
        <v>1.0028872415138512</v>
      </c>
    </row>
    <row r="84" spans="6:21" x14ac:dyDescent="0.45">
      <c r="F84" s="36" t="s">
        <v>144</v>
      </c>
      <c r="G84">
        <v>5</v>
      </c>
      <c r="H84">
        <v>35</v>
      </c>
      <c r="I84">
        <v>10.6</v>
      </c>
      <c r="J84">
        <v>580</v>
      </c>
      <c r="K84">
        <v>145</v>
      </c>
      <c r="L84">
        <v>75</v>
      </c>
      <c r="M84">
        <v>315</v>
      </c>
      <c r="N84">
        <v>236.25</v>
      </c>
      <c r="O84">
        <v>3339</v>
      </c>
      <c r="P84">
        <v>45675</v>
      </c>
      <c r="Q84">
        <v>182700</v>
      </c>
      <c r="R84" s="35">
        <v>2.3199999999999998</v>
      </c>
      <c r="S84">
        <v>0.155</v>
      </c>
      <c r="T84">
        <f t="shared" si="5"/>
        <v>0.48825000000000002</v>
      </c>
      <c r="U84" s="35">
        <f t="shared" si="6"/>
        <v>0.19049941474834178</v>
      </c>
    </row>
    <row r="85" spans="6:21" x14ac:dyDescent="0.45">
      <c r="F85" s="36" t="s">
        <v>145</v>
      </c>
      <c r="G85">
        <v>10</v>
      </c>
      <c r="H85">
        <v>35</v>
      </c>
      <c r="I85">
        <v>9</v>
      </c>
      <c r="J85">
        <v>420</v>
      </c>
      <c r="K85">
        <v>185</v>
      </c>
      <c r="L85">
        <v>10.5</v>
      </c>
      <c r="M85">
        <v>630</v>
      </c>
      <c r="N85">
        <v>66.150000000000006</v>
      </c>
      <c r="O85">
        <v>5670</v>
      </c>
      <c r="P85">
        <v>116550</v>
      </c>
      <c r="Q85">
        <v>264600</v>
      </c>
      <c r="R85" s="35">
        <v>2.96</v>
      </c>
      <c r="S85">
        <v>0.3</v>
      </c>
      <c r="T85">
        <f t="shared" si="5"/>
        <v>1.89</v>
      </c>
      <c r="U85" s="35">
        <f t="shared" si="6"/>
        <v>0.73741708934841987</v>
      </c>
    </row>
    <row r="86" spans="6:21" x14ac:dyDescent="0.45">
      <c r="F86" s="36" t="s">
        <v>146</v>
      </c>
      <c r="G86">
        <v>5</v>
      </c>
      <c r="H86">
        <v>35</v>
      </c>
      <c r="I86">
        <v>9</v>
      </c>
      <c r="J86">
        <v>420</v>
      </c>
      <c r="K86">
        <v>185</v>
      </c>
      <c r="L86">
        <v>10.5</v>
      </c>
      <c r="M86">
        <v>315</v>
      </c>
      <c r="N86">
        <v>33.075000000000003</v>
      </c>
      <c r="O86">
        <v>2835</v>
      </c>
      <c r="P86">
        <v>58275</v>
      </c>
      <c r="Q86">
        <v>132300</v>
      </c>
      <c r="R86" s="35">
        <v>2.96</v>
      </c>
      <c r="S86">
        <v>0.3</v>
      </c>
      <c r="T86">
        <f t="shared" si="5"/>
        <v>0.94499999999999995</v>
      </c>
      <c r="U86" s="35">
        <f t="shared" si="6"/>
        <v>0.36870854467420994</v>
      </c>
    </row>
    <row r="87" spans="6:21" x14ac:dyDescent="0.45">
      <c r="F87" s="36" t="s">
        <v>147</v>
      </c>
      <c r="G87">
        <v>7</v>
      </c>
      <c r="H87">
        <v>35</v>
      </c>
      <c r="I87">
        <v>9.6</v>
      </c>
      <c r="J87">
        <v>560</v>
      </c>
      <c r="K87">
        <v>135</v>
      </c>
      <c r="L87">
        <v>8</v>
      </c>
      <c r="M87">
        <v>441.00000000000006</v>
      </c>
      <c r="N87">
        <v>35.280000000000008</v>
      </c>
      <c r="O87">
        <v>4233.6000000000004</v>
      </c>
      <c r="P87">
        <v>59535.000000000007</v>
      </c>
      <c r="Q87">
        <v>246960.00000000003</v>
      </c>
      <c r="R87" s="35">
        <v>2.1599999999999997</v>
      </c>
      <c r="S87">
        <v>0.24</v>
      </c>
      <c r="T87">
        <f t="shared" si="5"/>
        <v>1.0584</v>
      </c>
      <c r="U87" s="35">
        <f t="shared" si="6"/>
        <v>0.41295357003511513</v>
      </c>
    </row>
    <row r="88" spans="6:21" x14ac:dyDescent="0.45">
      <c r="F88" s="36" t="s">
        <v>148</v>
      </c>
      <c r="G88">
        <v>3</v>
      </c>
      <c r="H88">
        <v>35</v>
      </c>
      <c r="I88">
        <v>9.6</v>
      </c>
      <c r="J88">
        <v>560</v>
      </c>
      <c r="K88">
        <v>135</v>
      </c>
      <c r="L88">
        <v>8</v>
      </c>
      <c r="M88">
        <v>189</v>
      </c>
      <c r="N88">
        <v>15.12</v>
      </c>
      <c r="O88">
        <v>1814.3999999999999</v>
      </c>
      <c r="P88">
        <v>25515</v>
      </c>
      <c r="Q88">
        <v>105840</v>
      </c>
      <c r="R88" s="35">
        <v>2.16</v>
      </c>
      <c r="S88">
        <v>0.24</v>
      </c>
      <c r="T88">
        <f t="shared" si="5"/>
        <v>0.45359999999999995</v>
      </c>
      <c r="U88" s="35">
        <f t="shared" si="6"/>
        <v>0.17698010144362075</v>
      </c>
    </row>
    <row r="89" spans="6:21" x14ac:dyDescent="0.45">
      <c r="F89" s="36" t="s">
        <v>149</v>
      </c>
      <c r="G89">
        <v>2</v>
      </c>
      <c r="H89">
        <v>35</v>
      </c>
      <c r="I89">
        <v>9.6</v>
      </c>
      <c r="J89">
        <v>560</v>
      </c>
      <c r="K89">
        <v>135</v>
      </c>
      <c r="L89">
        <v>8</v>
      </c>
      <c r="M89">
        <v>125.99999999999999</v>
      </c>
      <c r="N89">
        <v>10.079999999999998</v>
      </c>
      <c r="O89">
        <v>1209.5999999999999</v>
      </c>
      <c r="P89">
        <v>17009.999999999996</v>
      </c>
      <c r="Q89">
        <v>70559.999999999985</v>
      </c>
      <c r="R89" s="35">
        <v>2.1599999999999997</v>
      </c>
      <c r="S89">
        <v>0.33</v>
      </c>
      <c r="T89">
        <f t="shared" si="5"/>
        <v>0.4158</v>
      </c>
      <c r="U89" s="35">
        <f t="shared" si="6"/>
        <v>0.16223175965665237</v>
      </c>
    </row>
    <row r="90" spans="6:21" x14ac:dyDescent="0.45">
      <c r="F90" s="36" t="s">
        <v>462</v>
      </c>
      <c r="R90" s="35"/>
      <c r="T90">
        <f>SUM(T80:T89)</f>
        <v>17.498250000000006</v>
      </c>
      <c r="U90">
        <f>SUM(U80:U89)</f>
        <v>6.8272532188841204</v>
      </c>
    </row>
    <row r="91" spans="6:21" x14ac:dyDescent="0.45">
      <c r="F91" s="36" t="s">
        <v>460</v>
      </c>
      <c r="G91">
        <v>18000</v>
      </c>
      <c r="R91" s="35"/>
    </row>
    <row r="92" spans="6:21" x14ac:dyDescent="0.45">
      <c r="F92" s="36" t="s">
        <v>461</v>
      </c>
      <c r="G92">
        <f>J20</f>
        <v>2563</v>
      </c>
      <c r="R92" s="35"/>
    </row>
    <row r="93" spans="6:21" x14ac:dyDescent="0.45">
      <c r="F93" s="36" t="s">
        <v>242</v>
      </c>
      <c r="G93">
        <v>791.84700000000009</v>
      </c>
      <c r="R93" s="35"/>
    </row>
    <row r="94" spans="6:21" x14ac:dyDescent="0.45">
      <c r="F94" s="36" t="s">
        <v>463</v>
      </c>
      <c r="G94">
        <v>63109.799999999996</v>
      </c>
      <c r="R94" s="35"/>
    </row>
    <row r="95" spans="6:21" x14ac:dyDescent="0.45">
      <c r="F95" s="36" t="s">
        <v>246</v>
      </c>
      <c r="G95">
        <v>984618</v>
      </c>
      <c r="R95" s="35"/>
    </row>
    <row r="96" spans="6:21" x14ac:dyDescent="0.45">
      <c r="F96" s="36" t="s">
        <v>247</v>
      </c>
      <c r="G96">
        <v>3392532</v>
      </c>
      <c r="R96" s="35"/>
    </row>
    <row r="97" spans="6:21" ht="14.65" thickBot="1" x14ac:dyDescent="0.5">
      <c r="F97" s="40" t="s">
        <v>292</v>
      </c>
      <c r="G97" s="41">
        <v>24.544</v>
      </c>
      <c r="H97" s="41"/>
      <c r="I97" s="41"/>
      <c r="J97" s="41"/>
      <c r="K97" s="41"/>
      <c r="L97" s="41"/>
      <c r="M97" s="41"/>
      <c r="N97" s="41"/>
      <c r="O97" s="41"/>
      <c r="P97" s="41"/>
      <c r="Q97" s="41"/>
      <c r="R97" s="43"/>
    </row>
    <row r="98" spans="6:21" ht="14.65" thickBot="1" x14ac:dyDescent="0.5"/>
    <row r="99" spans="6:21" x14ac:dyDescent="0.45">
      <c r="F99" s="48" t="s">
        <v>156</v>
      </c>
      <c r="G99" s="44"/>
      <c r="H99" s="44"/>
      <c r="I99" s="44"/>
      <c r="J99" s="44"/>
      <c r="K99" s="44"/>
      <c r="L99" s="44"/>
      <c r="M99" s="44"/>
      <c r="N99" s="44"/>
      <c r="O99" s="44"/>
      <c r="P99" s="44"/>
      <c r="Q99" s="44"/>
      <c r="R99" s="45"/>
    </row>
    <row r="100" spans="6:21" x14ac:dyDescent="0.45">
      <c r="F100" s="36"/>
      <c r="G100" t="s">
        <v>133</v>
      </c>
      <c r="H100" t="s">
        <v>151</v>
      </c>
      <c r="I100" t="s">
        <v>152</v>
      </c>
      <c r="J100" t="s">
        <v>153</v>
      </c>
      <c r="K100" t="s">
        <v>154</v>
      </c>
      <c r="L100" t="s">
        <v>158</v>
      </c>
      <c r="M100" t="s">
        <v>243</v>
      </c>
      <c r="N100" t="s">
        <v>244</v>
      </c>
      <c r="O100" t="s">
        <v>245</v>
      </c>
      <c r="P100" t="s">
        <v>246</v>
      </c>
      <c r="Q100" t="s">
        <v>247</v>
      </c>
      <c r="R100" s="35" t="s">
        <v>292</v>
      </c>
      <c r="S100" t="s">
        <v>1233</v>
      </c>
      <c r="T100" t="s">
        <v>1231</v>
      </c>
    </row>
    <row r="101" spans="6:21" x14ac:dyDescent="0.45">
      <c r="F101" s="36" t="s">
        <v>159</v>
      </c>
      <c r="G101">
        <v>73</v>
      </c>
      <c r="H101">
        <v>35</v>
      </c>
      <c r="I101">
        <v>9.6</v>
      </c>
      <c r="J101">
        <v>600</v>
      </c>
      <c r="K101">
        <v>120</v>
      </c>
      <c r="L101">
        <v>7</v>
      </c>
      <c r="M101">
        <v>4599</v>
      </c>
      <c r="N101">
        <v>321.93</v>
      </c>
      <c r="O101">
        <v>44150.400000000001</v>
      </c>
      <c r="P101">
        <v>551880</v>
      </c>
      <c r="Q101">
        <v>2759400</v>
      </c>
      <c r="R101" s="35">
        <v>1.92</v>
      </c>
      <c r="S101">
        <f>AVERAGE(S80:S84)</f>
        <v>0.255</v>
      </c>
      <c r="T101">
        <f>((S101*10)*(M101)/1000)</f>
        <v>11.727449999999999</v>
      </c>
      <c r="U101" s="35">
        <f>((T101*1000)/$G$107)</f>
        <v>1.8614999999999999</v>
      </c>
    </row>
    <row r="102" spans="6:21" x14ac:dyDescent="0.45">
      <c r="F102" s="36" t="s">
        <v>160</v>
      </c>
      <c r="G102">
        <v>15</v>
      </c>
      <c r="H102">
        <v>35</v>
      </c>
      <c r="I102">
        <v>9.5</v>
      </c>
      <c r="J102">
        <v>505</v>
      </c>
      <c r="K102">
        <v>158</v>
      </c>
      <c r="L102">
        <v>9</v>
      </c>
      <c r="M102">
        <v>945</v>
      </c>
      <c r="N102">
        <v>85.05</v>
      </c>
      <c r="O102">
        <v>8977.5</v>
      </c>
      <c r="P102">
        <v>149310</v>
      </c>
      <c r="Q102">
        <v>477225</v>
      </c>
      <c r="R102" s="35">
        <v>2.5279999999999996</v>
      </c>
      <c r="S102">
        <f>AVERAGE(S85:S86)</f>
        <v>0.3</v>
      </c>
      <c r="T102">
        <f t="shared" ref="T102:T103" si="7">((S102*10)*(M102)/1000)</f>
        <v>2.835</v>
      </c>
      <c r="U102" s="35">
        <f t="shared" ref="U102:U103" si="8">((T102*1000)/$G$107)</f>
        <v>0.45</v>
      </c>
    </row>
    <row r="103" spans="6:21" x14ac:dyDescent="0.45">
      <c r="F103" s="36" t="s">
        <v>161</v>
      </c>
      <c r="G103">
        <v>12</v>
      </c>
      <c r="H103">
        <v>35</v>
      </c>
      <c r="I103">
        <v>9.6</v>
      </c>
      <c r="J103">
        <v>560</v>
      </c>
      <c r="K103">
        <v>135</v>
      </c>
      <c r="L103">
        <v>8</v>
      </c>
      <c r="M103">
        <v>756</v>
      </c>
      <c r="N103">
        <v>60.48</v>
      </c>
      <c r="O103">
        <v>7257.5999999999995</v>
      </c>
      <c r="P103">
        <v>102060</v>
      </c>
      <c r="Q103">
        <v>423360</v>
      </c>
      <c r="R103" s="35">
        <v>2.16</v>
      </c>
      <c r="S103">
        <f>AVERAGE(S87:S89)</f>
        <v>0.27</v>
      </c>
      <c r="T103">
        <f t="shared" si="7"/>
        <v>2.0411999999999999</v>
      </c>
      <c r="U103" s="35">
        <f t="shared" si="8"/>
        <v>0.32399999999999995</v>
      </c>
    </row>
    <row r="104" spans="6:21" x14ac:dyDescent="0.45">
      <c r="F104" s="36"/>
      <c r="R104" s="35"/>
      <c r="T104">
        <f>SUM(T101:T103)</f>
        <v>16.603649999999998</v>
      </c>
      <c r="U104">
        <f>SUM(U101:U103)</f>
        <v>2.6355</v>
      </c>
    </row>
    <row r="105" spans="6:21" x14ac:dyDescent="0.45">
      <c r="F105" s="36" t="s">
        <v>462</v>
      </c>
      <c r="R105" s="35"/>
    </row>
    <row r="106" spans="6:21" x14ac:dyDescent="0.45">
      <c r="F106" s="36" t="s">
        <v>460</v>
      </c>
      <c r="G106">
        <v>18000</v>
      </c>
      <c r="R106" s="35"/>
    </row>
    <row r="107" spans="6:21" x14ac:dyDescent="0.45">
      <c r="F107" s="36" t="s">
        <v>461</v>
      </c>
      <c r="G107">
        <v>6300</v>
      </c>
      <c r="R107" s="35"/>
    </row>
    <row r="108" spans="6:21" x14ac:dyDescent="0.45">
      <c r="F108" s="36" t="s">
        <v>242</v>
      </c>
      <c r="G108">
        <v>467.46000000000004</v>
      </c>
      <c r="R108" s="35"/>
    </row>
    <row r="109" spans="6:21" x14ac:dyDescent="0.45">
      <c r="F109" s="36" t="s">
        <v>463</v>
      </c>
      <c r="G109">
        <v>60385.5</v>
      </c>
      <c r="R109" s="35"/>
    </row>
    <row r="110" spans="6:21" x14ac:dyDescent="0.45">
      <c r="F110" s="36" t="s">
        <v>246</v>
      </c>
      <c r="G110">
        <v>803250</v>
      </c>
      <c r="R110" s="35"/>
    </row>
    <row r="111" spans="6:21" x14ac:dyDescent="0.45">
      <c r="F111" s="36" t="s">
        <v>247</v>
      </c>
      <c r="G111">
        <v>3659985</v>
      </c>
      <c r="R111" s="35"/>
    </row>
    <row r="112" spans="6:21" x14ac:dyDescent="0.45">
      <c r="F112" s="36" t="s">
        <v>292</v>
      </c>
      <c r="G112">
        <v>6.6079999999999997</v>
      </c>
      <c r="R112" s="35"/>
    </row>
    <row r="113" spans="6:18" x14ac:dyDescent="0.45">
      <c r="F113" s="36"/>
      <c r="R113" s="35"/>
    </row>
    <row r="114" spans="6:18" ht="14.65" thickBot="1" x14ac:dyDescent="0.5">
      <c r="F114" s="40" t="s">
        <v>464</v>
      </c>
      <c r="G114" s="41">
        <v>1800</v>
      </c>
      <c r="H114" s="41"/>
      <c r="I114" s="41"/>
      <c r="J114" s="41"/>
      <c r="K114" s="41"/>
      <c r="L114" s="41"/>
      <c r="M114" s="41"/>
      <c r="N114" s="41"/>
      <c r="O114" s="41"/>
      <c r="P114" s="41"/>
      <c r="Q114" s="41"/>
      <c r="R114" s="43"/>
    </row>
  </sheetData>
  <mergeCells count="24">
    <mergeCell ref="L15:M15"/>
    <mergeCell ref="H15:K15"/>
    <mergeCell ref="L5:M5"/>
    <mergeCell ref="L6:M6"/>
    <mergeCell ref="L7:M7"/>
    <mergeCell ref="L8:M8"/>
    <mergeCell ref="L9:M9"/>
    <mergeCell ref="L10:M10"/>
    <mergeCell ref="L11:M11"/>
    <mergeCell ref="L12:M12"/>
    <mergeCell ref="L13:M13"/>
    <mergeCell ref="H9:K9"/>
    <mergeCell ref="H10:K10"/>
    <mergeCell ref="H11:K11"/>
    <mergeCell ref="H12:K12"/>
    <mergeCell ref="H13:K13"/>
    <mergeCell ref="H14:K14"/>
    <mergeCell ref="H4:K4"/>
    <mergeCell ref="L4:M4"/>
    <mergeCell ref="H5:K5"/>
    <mergeCell ref="H6:K6"/>
    <mergeCell ref="H7:K7"/>
    <mergeCell ref="H8:K8"/>
    <mergeCell ref="L14:M14"/>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20E4D-5F9E-4BA9-8C68-C0B9BA4FA5CF}">
  <dimension ref="A2:O64"/>
  <sheetViews>
    <sheetView topLeftCell="B1" zoomScale="80" zoomScaleNormal="80" workbookViewId="0">
      <selection activeCell="H34" sqref="H34"/>
    </sheetView>
  </sheetViews>
  <sheetFormatPr defaultRowHeight="14.25" x14ac:dyDescent="0.45"/>
  <cols>
    <col min="1" max="1" width="50.73046875" customWidth="1"/>
    <col min="2" max="2" width="59.1328125" customWidth="1"/>
    <col min="3" max="3" width="11" customWidth="1"/>
    <col min="4" max="4" width="18.265625" customWidth="1"/>
    <col min="5" max="5" width="25" customWidth="1"/>
    <col min="6" max="6" width="16" customWidth="1"/>
    <col min="7" max="7" width="13.265625" customWidth="1"/>
    <col min="8" max="8" width="15.1328125" customWidth="1"/>
    <col min="9" max="9" width="22" customWidth="1"/>
    <col min="10" max="10" width="14.73046875" customWidth="1"/>
    <col min="11" max="11" width="17.3984375" customWidth="1"/>
    <col min="12" max="12" width="23.59765625" bestFit="1" customWidth="1"/>
    <col min="13" max="13" width="19.59765625" customWidth="1"/>
    <col min="14" max="14" width="18.1328125" customWidth="1"/>
  </cols>
  <sheetData>
    <row r="2" spans="1:15" s="22" customFormat="1" x14ac:dyDescent="0.45">
      <c r="B2" s="22" t="s">
        <v>1225</v>
      </c>
    </row>
    <row r="3" spans="1:15" x14ac:dyDescent="0.45">
      <c r="B3" t="s">
        <v>437</v>
      </c>
      <c r="C3" t="s">
        <v>107</v>
      </c>
      <c r="D3" t="s">
        <v>488</v>
      </c>
      <c r="E3" t="s">
        <v>101</v>
      </c>
      <c r="F3" t="s">
        <v>103</v>
      </c>
      <c r="G3" t="s">
        <v>102</v>
      </c>
      <c r="H3" t="s">
        <v>106</v>
      </c>
      <c r="I3" s="24" t="s">
        <v>486</v>
      </c>
      <c r="J3" t="s">
        <v>105</v>
      </c>
      <c r="K3" t="s">
        <v>322</v>
      </c>
      <c r="L3" t="s">
        <v>97</v>
      </c>
      <c r="M3" t="s">
        <v>118</v>
      </c>
      <c r="N3" s="25" t="s">
        <v>922</v>
      </c>
    </row>
    <row r="4" spans="1:15" x14ac:dyDescent="0.45">
      <c r="A4" s="140" t="s">
        <v>519</v>
      </c>
      <c r="B4" t="s">
        <v>438</v>
      </c>
      <c r="C4" t="s">
        <v>487</v>
      </c>
      <c r="D4">
        <f>($D$57/D52)*D16</f>
        <v>1537.5</v>
      </c>
      <c r="E4">
        <f>($D$57/D52)*E16</f>
        <v>1428.5</v>
      </c>
      <c r="F4">
        <f>($D$57/$D$52)*F16</f>
        <v>378.25</v>
      </c>
      <c r="G4">
        <f>($D$57/$D$52)*G16</f>
        <v>394.75</v>
      </c>
      <c r="H4">
        <f>($D$57/$D$52)*H16</f>
        <v>1235.75</v>
      </c>
      <c r="I4" s="24">
        <f>G57</f>
        <v>0.84374999999999989</v>
      </c>
      <c r="J4">
        <f>F57</f>
        <v>559.6400000000001</v>
      </c>
      <c r="K4">
        <f>E57</f>
        <v>6433.0572400000001</v>
      </c>
      <c r="L4">
        <f>H57</f>
        <v>901.39400000000023</v>
      </c>
      <c r="M4">
        <f>I57</f>
        <v>27.008520000000004</v>
      </c>
      <c r="N4" s="25">
        <f>(D57/D52)*N16</f>
        <v>25</v>
      </c>
    </row>
    <row r="5" spans="1:15" x14ac:dyDescent="0.45">
      <c r="A5" s="140"/>
      <c r="B5" t="s">
        <v>440</v>
      </c>
      <c r="C5" t="s">
        <v>439</v>
      </c>
      <c r="D5">
        <v>976</v>
      </c>
      <c r="E5">
        <f>(D5/$D$16)*E16</f>
        <v>906.80715447154466</v>
      </c>
      <c r="F5">
        <f>(D5/$D$16)*$F$16</f>
        <v>240.1118699186992</v>
      </c>
      <c r="G5">
        <f>(D5/$D$16)*G16</f>
        <v>250.58601626016258</v>
      </c>
      <c r="H5">
        <f>(D5/$D$16)*H16</f>
        <v>784.45008130081294</v>
      </c>
      <c r="I5" s="24">
        <f>D5/$D$16</f>
        <v>15.869918699186991</v>
      </c>
      <c r="J5">
        <f>(D5/$D$16)*$J$16</f>
        <v>522.43772357723583</v>
      </c>
      <c r="K5">
        <f>(D5/$D$16)*$K$16</f>
        <v>652.4123577235772</v>
      </c>
      <c r="L5">
        <f>((D5/$D$16)*$L$16)/2</f>
        <v>966.55739837398369</v>
      </c>
      <c r="M5">
        <f>((D5/$D$16)*$M$16)/5</f>
        <v>82.745756097560971</v>
      </c>
      <c r="N5" s="25">
        <f>((D5/$D$16)*$N$16)</f>
        <v>15.869918699186991</v>
      </c>
    </row>
    <row r="6" spans="1:15" x14ac:dyDescent="0.45">
      <c r="A6" s="140"/>
      <c r="B6" t="s">
        <v>441</v>
      </c>
      <c r="C6" t="s">
        <v>439</v>
      </c>
      <c r="D6">
        <v>3006</v>
      </c>
      <c r="E6">
        <f>(D6/$D$16)*$E$16</f>
        <v>2792.8917073170728</v>
      </c>
      <c r="F6">
        <f t="shared" ref="F6:F8" si="0">(D6/$D$16)*$F$16</f>
        <v>739.52487804878047</v>
      </c>
      <c r="G6">
        <f>(D6/$D$16)*G16</f>
        <v>771.78439024390241</v>
      </c>
      <c r="H6">
        <f>(D6/$D$16)*$H$16</f>
        <v>2416.0419512195122</v>
      </c>
      <c r="I6" s="24">
        <f t="shared" ref="I6:I15" si="1">D6/$D$16</f>
        <v>48.878048780487802</v>
      </c>
      <c r="J6">
        <f t="shared" ref="J6:J14" si="2">(D6/$D$16)*$J$16</f>
        <v>1609.0653658536585</v>
      </c>
      <c r="K6">
        <f>(D6/$D$16)*$K$16</f>
        <v>2009.3765853658535</v>
      </c>
      <c r="L6">
        <f>((D6/$D$16)*$L$16)/2</f>
        <v>2976.9175609756098</v>
      </c>
      <c r="M6">
        <f t="shared" ref="M6:M8" si="3">((D6/$D$16)*$M$16)/5</f>
        <v>254.85014634146341</v>
      </c>
      <c r="N6" s="25">
        <f t="shared" ref="N6:N8" si="4">((D6/$D$16)*$N$16)</f>
        <v>48.878048780487802</v>
      </c>
    </row>
    <row r="7" spans="1:15" x14ac:dyDescent="0.45">
      <c r="A7" s="140"/>
      <c r="B7" t="s">
        <v>442</v>
      </c>
      <c r="C7" t="s">
        <v>439</v>
      </c>
      <c r="D7">
        <v>1992</v>
      </c>
      <c r="E7">
        <f>(D7/$D$16)*$E$16</f>
        <v>1850.7785365853658</v>
      </c>
      <c r="F7">
        <f t="shared" si="0"/>
        <v>490.06439024390249</v>
      </c>
      <c r="G7">
        <f>(D7/$D$16)*G16</f>
        <v>511.44195121951219</v>
      </c>
      <c r="H7">
        <f>(D7/D16)*$H$16</f>
        <v>1601.0497560975609</v>
      </c>
      <c r="I7" s="24">
        <f t="shared" si="1"/>
        <v>32.390243902439025</v>
      </c>
      <c r="J7">
        <f>(D49)*$J$16</f>
        <v>3657.7777777777783</v>
      </c>
      <c r="K7">
        <f>(D7/$D$16)*$K$16</f>
        <v>1331.5629268292682</v>
      </c>
      <c r="L7">
        <f t="shared" ref="L7:L15" si="5">((D7/$D$16)*$L$16)/2</f>
        <v>1972.7278048780488</v>
      </c>
      <c r="M7">
        <f t="shared" si="3"/>
        <v>168.88273170731708</v>
      </c>
      <c r="N7" s="25">
        <f t="shared" si="4"/>
        <v>32.390243902439025</v>
      </c>
    </row>
    <row r="8" spans="1:15" x14ac:dyDescent="0.45">
      <c r="A8" s="140"/>
      <c r="B8" t="s">
        <v>443</v>
      </c>
      <c r="C8" t="s">
        <v>439</v>
      </c>
      <c r="D8">
        <v>3105</v>
      </c>
      <c r="E8">
        <f t="shared" ref="E8" si="6">(D8/$D$16)*$E$16</f>
        <v>2884.873170731707</v>
      </c>
      <c r="F8">
        <f t="shared" si="0"/>
        <v>763.88048780487804</v>
      </c>
      <c r="G8">
        <f>(D8/$D$16)*G16</f>
        <v>797.20243902439017</v>
      </c>
      <c r="H8">
        <f t="shared" ref="H8:H15" si="7">(D8/$D$16)*$H$16</f>
        <v>2495.6121951219511</v>
      </c>
      <c r="I8" s="24">
        <f t="shared" si="1"/>
        <v>50.487804878048777</v>
      </c>
      <c r="J8">
        <f t="shared" si="2"/>
        <v>1662.0585365853658</v>
      </c>
      <c r="K8">
        <f>(D8/$D$16)*$K$16</f>
        <v>2075.5536585365853</v>
      </c>
      <c r="L8">
        <f t="shared" si="5"/>
        <v>3074.9597560975608</v>
      </c>
      <c r="M8">
        <f t="shared" si="3"/>
        <v>263.24341463414635</v>
      </c>
      <c r="N8" s="25">
        <f t="shared" si="4"/>
        <v>50.487804878048777</v>
      </c>
    </row>
    <row r="9" spans="1:15" x14ac:dyDescent="0.45">
      <c r="A9" s="140" t="s">
        <v>444</v>
      </c>
      <c r="B9" t="s">
        <v>445</v>
      </c>
      <c r="C9" t="s">
        <v>439</v>
      </c>
      <c r="D9">
        <v>4075</v>
      </c>
      <c r="E9">
        <f>($D$34*($D$36*E17))*E16</f>
        <v>3786.1056910569109</v>
      </c>
      <c r="F9">
        <f t="shared" ref="F9:L9" si="8">($D$34*($D$36*F17))*F16</f>
        <v>1002.5162601626017</v>
      </c>
      <c r="G9">
        <f t="shared" si="8"/>
        <v>1046.2479674796748</v>
      </c>
      <c r="H9">
        <f t="shared" si="8"/>
        <v>3275.2398373983742</v>
      </c>
      <c r="I9" s="24">
        <f t="shared" si="8"/>
        <v>66.260162601626021</v>
      </c>
      <c r="J9">
        <f t="shared" si="8"/>
        <v>1970.0262851289935</v>
      </c>
      <c r="K9">
        <f t="shared" si="8"/>
        <v>2723.9552845528456</v>
      </c>
      <c r="L9">
        <f t="shared" si="8"/>
        <v>4035.5752032520327</v>
      </c>
      <c r="M9">
        <f>($D$34*($D$36*M17))*M16</f>
        <v>345.48048780487812</v>
      </c>
      <c r="N9" s="25">
        <f>($D$34*($D$36*N17))*N16</f>
        <v>66.260162601626021</v>
      </c>
    </row>
    <row r="10" spans="1:15" x14ac:dyDescent="0.45">
      <c r="A10" s="140"/>
      <c r="B10" t="s">
        <v>446</v>
      </c>
      <c r="C10" t="s">
        <v>439</v>
      </c>
      <c r="D10">
        <v>1138</v>
      </c>
      <c r="E10">
        <f>($D$35*($D$37*E17))*E16</f>
        <v>1057.3222764227642</v>
      </c>
      <c r="F10">
        <f t="shared" ref="F10:L10" si="9">($D$35*($D$37*F17))*F16</f>
        <v>279.96650406504068</v>
      </c>
      <c r="G10">
        <f t="shared" si="9"/>
        <v>292.17918699186993</v>
      </c>
      <c r="H10">
        <f t="shared" si="9"/>
        <v>914.65593495934957</v>
      </c>
      <c r="I10" s="24">
        <f t="shared" si="9"/>
        <v>18.504065040650406</v>
      </c>
      <c r="J10">
        <f t="shared" si="9"/>
        <v>550.15703373663666</v>
      </c>
      <c r="K10">
        <f t="shared" si="9"/>
        <v>760.70211382113814</v>
      </c>
      <c r="L10">
        <f t="shared" si="9"/>
        <v>1126.990081300813</v>
      </c>
      <c r="M10">
        <f>($D$35*($D$37*M17))*M16</f>
        <v>96.480195121951226</v>
      </c>
      <c r="N10" s="25">
        <f>($D$35*($D$37*N17))*N16</f>
        <v>18.504065040650406</v>
      </c>
    </row>
    <row r="11" spans="1:15" x14ac:dyDescent="0.45">
      <c r="A11" s="140" t="s">
        <v>447</v>
      </c>
      <c r="B11" t="s">
        <v>448</v>
      </c>
      <c r="C11" t="s">
        <v>439</v>
      </c>
      <c r="D11">
        <v>0</v>
      </c>
      <c r="E11">
        <f>(D11/$D$16)*$E$16</f>
        <v>0</v>
      </c>
      <c r="F11">
        <f>(D11/$D$16)*$F$16</f>
        <v>0</v>
      </c>
      <c r="G11">
        <f>(D11/$D$16)*$G$16</f>
        <v>0</v>
      </c>
      <c r="H11">
        <f>(D11/$D$16)*$H$16</f>
        <v>0</v>
      </c>
      <c r="I11" s="24">
        <f>D11/$D$16</f>
        <v>0</v>
      </c>
      <c r="J11">
        <f t="shared" si="2"/>
        <v>0</v>
      </c>
      <c r="K11">
        <f t="shared" ref="K11:K14" si="10">(D11/$D$16)*$K$16</f>
        <v>0</v>
      </c>
      <c r="L11">
        <f t="shared" si="5"/>
        <v>0</v>
      </c>
      <c r="M11">
        <f t="shared" ref="M11:M14" si="11">((D11/$D$16)*$M$16)/5</f>
        <v>0</v>
      </c>
      <c r="N11" s="25">
        <v>0</v>
      </c>
    </row>
    <row r="12" spans="1:15" x14ac:dyDescent="0.45">
      <c r="A12" s="140"/>
      <c r="B12" t="s">
        <v>449</v>
      </c>
      <c r="C12" t="s">
        <v>439</v>
      </c>
      <c r="D12">
        <v>0</v>
      </c>
      <c r="E12">
        <f>(D12/$D$16)*$E$16</f>
        <v>0</v>
      </c>
      <c r="F12">
        <f>(D12/$D$16)*$F$16</f>
        <v>0</v>
      </c>
      <c r="G12">
        <f>(D12/$D$16)*$G$16</f>
        <v>0</v>
      </c>
      <c r="H12">
        <f>(D12/$D$16)*$H$16</f>
        <v>0</v>
      </c>
      <c r="I12" s="24">
        <f>D12/$D$16</f>
        <v>0</v>
      </c>
      <c r="J12">
        <f t="shared" si="2"/>
        <v>0</v>
      </c>
      <c r="K12">
        <f t="shared" si="10"/>
        <v>0</v>
      </c>
      <c r="L12">
        <f t="shared" si="5"/>
        <v>0</v>
      </c>
      <c r="M12">
        <f t="shared" si="11"/>
        <v>0</v>
      </c>
      <c r="N12" s="25">
        <v>0</v>
      </c>
    </row>
    <row r="13" spans="1:15" x14ac:dyDescent="0.45">
      <c r="A13" s="140"/>
      <c r="B13" t="s">
        <v>450</v>
      </c>
      <c r="C13" t="s">
        <v>439</v>
      </c>
      <c r="D13">
        <v>0</v>
      </c>
      <c r="E13">
        <f>(D13/$D$16)*$E$16</f>
        <v>0</v>
      </c>
      <c r="F13">
        <f>(D13/$D$16)*$F$16</f>
        <v>0</v>
      </c>
      <c r="G13">
        <f>(D13/$D$16)*$G$16</f>
        <v>0</v>
      </c>
      <c r="H13">
        <f>(D13/$D$16)*$H$16</f>
        <v>0</v>
      </c>
      <c r="I13" s="24">
        <f>D13/$D$16</f>
        <v>0</v>
      </c>
      <c r="J13">
        <f t="shared" si="2"/>
        <v>0</v>
      </c>
      <c r="K13">
        <f t="shared" si="10"/>
        <v>0</v>
      </c>
      <c r="L13">
        <f t="shared" si="5"/>
        <v>0</v>
      </c>
      <c r="M13">
        <f t="shared" si="11"/>
        <v>0</v>
      </c>
      <c r="N13" s="25">
        <v>0</v>
      </c>
    </row>
    <row r="14" spans="1:15" x14ac:dyDescent="0.45">
      <c r="A14" s="140"/>
      <c r="B14" t="s">
        <v>451</v>
      </c>
      <c r="C14" t="s">
        <v>439</v>
      </c>
      <c r="D14">
        <v>0</v>
      </c>
      <c r="E14">
        <f>(D14/$D$16)*$E$16</f>
        <v>0</v>
      </c>
      <c r="F14">
        <f>(D14/$D$16)*$F$16</f>
        <v>0</v>
      </c>
      <c r="G14">
        <f>(D14/$D$16)*$G$16</f>
        <v>0</v>
      </c>
      <c r="H14">
        <f>(D14/$D$16)*$H$16</f>
        <v>0</v>
      </c>
      <c r="I14" s="24">
        <f>D14/$D$16</f>
        <v>0</v>
      </c>
      <c r="J14">
        <f t="shared" si="2"/>
        <v>0</v>
      </c>
      <c r="K14">
        <f t="shared" si="10"/>
        <v>0</v>
      </c>
      <c r="L14">
        <f>((D14/$D$16)*$L$16)/2</f>
        <v>0</v>
      </c>
      <c r="M14">
        <f t="shared" si="11"/>
        <v>0</v>
      </c>
      <c r="N14" s="25">
        <v>0</v>
      </c>
    </row>
    <row r="15" spans="1:15" x14ac:dyDescent="0.45">
      <c r="A15" s="140" t="s">
        <v>456</v>
      </c>
      <c r="B15" t="s">
        <v>452</v>
      </c>
      <c r="C15" t="s">
        <v>453</v>
      </c>
      <c r="D15">
        <v>254</v>
      </c>
      <c r="E15">
        <f>(D15/$D$16)*E16</f>
        <v>235.99284552845526</v>
      </c>
      <c r="F15">
        <f t="shared" ref="F15:G15" si="12">(E15/$D$16)*F16</f>
        <v>58.058077282041111</v>
      </c>
      <c r="G15">
        <f t="shared" si="12"/>
        <v>14.906293337941936</v>
      </c>
      <c r="H15">
        <f t="shared" si="7"/>
        <v>204.14991869918697</v>
      </c>
      <c r="I15" s="24">
        <f t="shared" si="1"/>
        <v>4.1300813008130079</v>
      </c>
      <c r="J15">
        <f>(D15/$D$16)*J16</f>
        <v>135.96227642276423</v>
      </c>
      <c r="K15">
        <f>(D15/$D$16)*$K$16</f>
        <v>169.78764227642276</v>
      </c>
      <c r="L15">
        <f t="shared" si="5"/>
        <v>251.54260162601625</v>
      </c>
      <c r="M15">
        <f>((D15/$D$16)*$M$16)/5</f>
        <v>21.534243902439023</v>
      </c>
      <c r="N15" s="25">
        <f>((D15/$D$16)*$N$16)</f>
        <v>4.1300813008130079</v>
      </c>
    </row>
    <row r="16" spans="1:15" x14ac:dyDescent="0.45">
      <c r="A16" s="140"/>
      <c r="B16" t="s">
        <v>454</v>
      </c>
      <c r="C16" t="s">
        <v>108</v>
      </c>
      <c r="D16">
        <v>61.5</v>
      </c>
      <c r="E16">
        <f>Baseline_crop_data!E11</f>
        <v>57.14</v>
      </c>
      <c r="F16">
        <f>Baseline_crop_data!H11</f>
        <v>15.13</v>
      </c>
      <c r="G16">
        <f>Baseline_crop_data!J11</f>
        <v>15.79</v>
      </c>
      <c r="H16">
        <f>Baseline_crop_data!P11</f>
        <v>49.43</v>
      </c>
      <c r="I16" s="24">
        <f>1</f>
        <v>1</v>
      </c>
      <c r="J16">
        <f>Baseline_crop_data!N11</f>
        <v>32.92</v>
      </c>
      <c r="K16">
        <f>Baseline_crop_data!X11</f>
        <v>41.11</v>
      </c>
      <c r="L16">
        <f>Baseline_crop_data!R11</f>
        <v>121.81</v>
      </c>
      <c r="M16">
        <f>Baseline_crop_data!V11</f>
        <v>26.07</v>
      </c>
      <c r="N16" s="25">
        <v>1</v>
      </c>
      <c r="O16">
        <f>SUM(L16:M16)</f>
        <v>147.88</v>
      </c>
    </row>
    <row r="17" spans="1:15" x14ac:dyDescent="0.45">
      <c r="A17" s="140"/>
      <c r="B17" t="s">
        <v>455</v>
      </c>
      <c r="C17" t="s">
        <v>41</v>
      </c>
      <c r="D17">
        <f>D15/D16</f>
        <v>4.1300813008130079</v>
      </c>
      <c r="E17">
        <f>$D$17</f>
        <v>4.1300813008130079</v>
      </c>
      <c r="F17">
        <f t="shared" ref="F17:H17" si="13">$D$17</f>
        <v>4.1300813008130079</v>
      </c>
      <c r="G17">
        <f t="shared" si="13"/>
        <v>4.1300813008130079</v>
      </c>
      <c r="H17">
        <f t="shared" si="13"/>
        <v>4.1300813008130079</v>
      </c>
      <c r="I17" s="24">
        <f t="shared" ref="I17" si="14">H17</f>
        <v>4.1300813008130079</v>
      </c>
      <c r="J17">
        <f>D17-0.4</f>
        <v>3.730081300813008</v>
      </c>
      <c r="K17">
        <f>E17</f>
        <v>4.1300813008130079</v>
      </c>
      <c r="L17">
        <f>F17/2</f>
        <v>2.065040650406504</v>
      </c>
      <c r="M17">
        <f>K17/5</f>
        <v>0.82601626016260155</v>
      </c>
      <c r="N17" s="25">
        <f>D17</f>
        <v>4.1300813008130079</v>
      </c>
    </row>
    <row r="18" spans="1:15" x14ac:dyDescent="0.45">
      <c r="A18" s="140"/>
      <c r="B18" t="s">
        <v>707</v>
      </c>
      <c r="C18" t="s">
        <v>41</v>
      </c>
      <c r="D18">
        <f>D17*$D$36</f>
        <v>2.815964523281596</v>
      </c>
      <c r="E18">
        <f t="shared" ref="E18:N18" si="15">E17*$D$36</f>
        <v>2.815964523281596</v>
      </c>
      <c r="F18">
        <f t="shared" si="15"/>
        <v>2.815964523281596</v>
      </c>
      <c r="G18">
        <f t="shared" si="15"/>
        <v>2.815964523281596</v>
      </c>
      <c r="H18">
        <f t="shared" si="15"/>
        <v>2.815964523281596</v>
      </c>
      <c r="I18" s="24">
        <f t="shared" si="15"/>
        <v>2.815964523281596</v>
      </c>
      <c r="J18">
        <f t="shared" si="15"/>
        <v>2.5432372505543235</v>
      </c>
      <c r="K18">
        <f t="shared" si="15"/>
        <v>2.815964523281596</v>
      </c>
      <c r="L18">
        <f t="shared" si="15"/>
        <v>1.407982261640798</v>
      </c>
      <c r="M18">
        <f t="shared" si="15"/>
        <v>0.56319290465631922</v>
      </c>
      <c r="N18" s="25">
        <f t="shared" si="15"/>
        <v>2.815964523281596</v>
      </c>
    </row>
    <row r="19" spans="1:15" x14ac:dyDescent="0.45">
      <c r="A19" s="140"/>
      <c r="B19" t="s">
        <v>708</v>
      </c>
      <c r="C19" t="s">
        <v>41</v>
      </c>
      <c r="D19">
        <f>D17*$D$37</f>
        <v>1.3141167775314115</v>
      </c>
      <c r="E19">
        <f t="shared" ref="E19:N19" si="16">E17*$D$37</f>
        <v>1.3141167775314115</v>
      </c>
      <c r="F19">
        <f t="shared" si="16"/>
        <v>1.3141167775314115</v>
      </c>
      <c r="G19">
        <f t="shared" si="16"/>
        <v>1.3141167775314115</v>
      </c>
      <c r="H19">
        <f t="shared" si="16"/>
        <v>1.3141167775314115</v>
      </c>
      <c r="I19" s="24">
        <f t="shared" si="16"/>
        <v>1.3141167775314115</v>
      </c>
      <c r="J19">
        <f t="shared" si="16"/>
        <v>1.1868440502586843</v>
      </c>
      <c r="K19">
        <f t="shared" si="16"/>
        <v>1.3141167775314115</v>
      </c>
      <c r="L19">
        <f t="shared" si="16"/>
        <v>0.65705838876570577</v>
      </c>
      <c r="M19">
        <f t="shared" si="16"/>
        <v>0.26282335550628233</v>
      </c>
      <c r="N19" s="25">
        <f t="shared" si="16"/>
        <v>1.3141167775314115</v>
      </c>
    </row>
    <row r="20" spans="1:15" x14ac:dyDescent="0.45">
      <c r="A20" s="140"/>
      <c r="B20" t="s">
        <v>506</v>
      </c>
      <c r="C20" t="s">
        <v>41</v>
      </c>
      <c r="D20">
        <f>2.7/10</f>
        <v>0.27</v>
      </c>
      <c r="E20">
        <f>2.7/10</f>
        <v>0.27</v>
      </c>
      <c r="F20">
        <f t="shared" ref="F20:J20" si="17">2.7/10</f>
        <v>0.27</v>
      </c>
      <c r="G20">
        <f t="shared" si="17"/>
        <v>0.27</v>
      </c>
      <c r="H20">
        <f t="shared" si="17"/>
        <v>0.27</v>
      </c>
      <c r="I20" s="24">
        <f t="shared" si="17"/>
        <v>0.27</v>
      </c>
      <c r="J20">
        <f t="shared" si="17"/>
        <v>0.27</v>
      </c>
      <c r="K20">
        <f>2.7/10</f>
        <v>0.27</v>
      </c>
      <c r="L20">
        <f>D20/2</f>
        <v>0.13500000000000001</v>
      </c>
      <c r="M20">
        <f>L20/5</f>
        <v>2.7000000000000003E-2</v>
      </c>
      <c r="N20" s="25">
        <f>D20</f>
        <v>0.27</v>
      </c>
    </row>
    <row r="21" spans="1:15" x14ac:dyDescent="0.45">
      <c r="A21" s="140"/>
      <c r="B21" t="s">
        <v>514</v>
      </c>
      <c r="C21" t="s">
        <v>41</v>
      </c>
      <c r="D21">
        <v>0.4</v>
      </c>
      <c r="E21">
        <v>0.4</v>
      </c>
      <c r="F21">
        <v>0.4</v>
      </c>
      <c r="G21">
        <v>0.4</v>
      </c>
      <c r="H21">
        <v>0.4</v>
      </c>
      <c r="I21" s="24">
        <v>0.4</v>
      </c>
      <c r="J21">
        <v>0</v>
      </c>
      <c r="K21">
        <v>0.4</v>
      </c>
      <c r="L21">
        <f>D21/2</f>
        <v>0.2</v>
      </c>
      <c r="M21">
        <f>L21/5</f>
        <v>0.04</v>
      </c>
      <c r="N21" s="25">
        <f t="shared" ref="N21" si="18">D21</f>
        <v>0.4</v>
      </c>
    </row>
    <row r="22" spans="1:15" x14ac:dyDescent="0.45">
      <c r="A22" s="140"/>
      <c r="B22" t="s">
        <v>458</v>
      </c>
      <c r="C22" t="s">
        <v>457</v>
      </c>
      <c r="D22">
        <f>(SUM(D4:D14)+($D$43*$D$20)+($D$44+$D$21))/D16</f>
        <v>257.79282991869917</v>
      </c>
      <c r="E22">
        <f t="shared" ref="E22:N22" si="19">(SUM(E4:E14)+($D$43*E20)+($D$44+E21))/E16</f>
        <v>257.82354876768227</v>
      </c>
      <c r="F22">
        <f t="shared" si="19"/>
        <v>259.02666425934581</v>
      </c>
      <c r="G22">
        <f t="shared" si="19"/>
        <v>258.95826416843016</v>
      </c>
      <c r="H22">
        <f t="shared" si="19"/>
        <v>257.8911348593478</v>
      </c>
      <c r="I22" s="24">
        <f t="shared" si="19"/>
        <v>257.99303390243904</v>
      </c>
      <c r="J22">
        <f t="shared" si="19"/>
        <v>320.64160882927308</v>
      </c>
      <c r="K22">
        <f t="shared" si="19"/>
        <v>389.47650709874159</v>
      </c>
      <c r="L22">
        <f t="shared" si="19"/>
        <v>123.7795035290867</v>
      </c>
      <c r="M22">
        <f t="shared" si="19"/>
        <v>48.304992547269556</v>
      </c>
      <c r="N22" s="25">
        <f t="shared" si="19"/>
        <v>282.14928390243904</v>
      </c>
      <c r="O22">
        <f>SUM(E22:H22,J22:M22)*SUM(E16:H16,J16:M16)</f>
        <v>688575.25932686834</v>
      </c>
    </row>
    <row r="23" spans="1:15" x14ac:dyDescent="0.45">
      <c r="A23" s="140"/>
      <c r="B23" t="s">
        <v>489</v>
      </c>
      <c r="C23" t="s">
        <v>490</v>
      </c>
      <c r="D23">
        <f>(D22/D17)</f>
        <v>62.418342677165356</v>
      </c>
      <c r="E23">
        <f t="shared" ref="E23:J23" si="20">E22/E17</f>
        <v>62.425780508710474</v>
      </c>
      <c r="F23">
        <f t="shared" si="20"/>
        <v>62.717086031298301</v>
      </c>
      <c r="G23">
        <f t="shared" si="20"/>
        <v>62.700524591962427</v>
      </c>
      <c r="H23">
        <f t="shared" si="20"/>
        <v>62.442144857676738</v>
      </c>
      <c r="I23" s="24">
        <f t="shared" si="20"/>
        <v>62.466817263779532</v>
      </c>
      <c r="J23">
        <f t="shared" si="20"/>
        <v>85.96102416303529</v>
      </c>
      <c r="K23">
        <f t="shared" ref="K23" si="21">K22/K17</f>
        <v>94.302382624301615</v>
      </c>
      <c r="L23">
        <f>L22/L17</f>
        <v>59.94046824440025</v>
      </c>
      <c r="M23">
        <f>M22*M17</f>
        <v>39.900709291077938</v>
      </c>
      <c r="N23" s="25">
        <f>N22/N17</f>
        <v>68.315673070866154</v>
      </c>
    </row>
    <row r="24" spans="1:15" x14ac:dyDescent="0.45">
      <c r="B24" t="s">
        <v>811</v>
      </c>
      <c r="C24" t="s">
        <v>812</v>
      </c>
      <c r="D24">
        <f>(D20*$D$40)+($D$41*D21)</f>
        <v>19.840000000000003</v>
      </c>
      <c r="E24">
        <f t="shared" ref="E24:N24" si="22">(E20*$D$40)+($D$41*E21)</f>
        <v>19.840000000000003</v>
      </c>
      <c r="F24">
        <f t="shared" si="22"/>
        <v>19.840000000000003</v>
      </c>
      <c r="G24">
        <f t="shared" si="22"/>
        <v>19.840000000000003</v>
      </c>
      <c r="H24">
        <f t="shared" si="22"/>
        <v>19.840000000000003</v>
      </c>
      <c r="I24">
        <f t="shared" si="22"/>
        <v>19.840000000000003</v>
      </c>
      <c r="J24">
        <f t="shared" si="22"/>
        <v>8.64</v>
      </c>
      <c r="K24">
        <f t="shared" si="22"/>
        <v>19.840000000000003</v>
      </c>
      <c r="L24">
        <f t="shared" si="22"/>
        <v>9.9200000000000017</v>
      </c>
      <c r="M24">
        <f>(M20*$D$40)+($D$41*M21)</f>
        <v>1.9840000000000002</v>
      </c>
      <c r="N24">
        <f t="shared" si="22"/>
        <v>19.840000000000003</v>
      </c>
    </row>
    <row r="25" spans="1:15" s="23" customFormat="1" x14ac:dyDescent="0.45">
      <c r="B25" s="23" t="s">
        <v>459</v>
      </c>
    </row>
    <row r="26" spans="1:15" x14ac:dyDescent="0.45">
      <c r="A26" s="140" t="s">
        <v>444</v>
      </c>
      <c r="B26" t="s">
        <v>466</v>
      </c>
      <c r="C26" t="s">
        <v>491</v>
      </c>
      <c r="D26">
        <v>14</v>
      </c>
      <c r="E26">
        <f>20*40</f>
        <v>800</v>
      </c>
    </row>
    <row r="27" spans="1:15" x14ac:dyDescent="0.45">
      <c r="A27" s="140"/>
      <c r="B27" t="s">
        <v>465</v>
      </c>
      <c r="C27" t="s">
        <v>492</v>
      </c>
      <c r="D27">
        <f>D26*40</f>
        <v>560</v>
      </c>
      <c r="E27">
        <f>924/40</f>
        <v>23.1</v>
      </c>
      <c r="F27" t="s">
        <v>1374</v>
      </c>
    </row>
    <row r="28" spans="1:15" x14ac:dyDescent="0.45">
      <c r="A28" s="140"/>
      <c r="B28" t="s">
        <v>494</v>
      </c>
      <c r="C28" t="s">
        <v>493</v>
      </c>
      <c r="D28">
        <v>13</v>
      </c>
    </row>
    <row r="29" spans="1:15" x14ac:dyDescent="0.45">
      <c r="A29" s="140"/>
      <c r="B29" t="s">
        <v>495</v>
      </c>
      <c r="C29" t="s">
        <v>67</v>
      </c>
      <c r="D29">
        <v>27</v>
      </c>
    </row>
    <row r="30" spans="1:15" x14ac:dyDescent="0.45">
      <c r="A30" s="140"/>
      <c r="B30" t="s">
        <v>496</v>
      </c>
      <c r="C30" t="s">
        <v>497</v>
      </c>
      <c r="D30">
        <f>D28*D27</f>
        <v>7280</v>
      </c>
    </row>
    <row r="31" spans="1:15" x14ac:dyDescent="0.45">
      <c r="A31" s="140"/>
      <c r="B31" t="s">
        <v>505</v>
      </c>
      <c r="C31" t="s">
        <v>497</v>
      </c>
      <c r="D31">
        <f>D30*(1-(D29/100))</f>
        <v>5314.4</v>
      </c>
    </row>
    <row r="32" spans="1:15" x14ac:dyDescent="0.45">
      <c r="A32" s="140"/>
      <c r="B32" t="s">
        <v>467</v>
      </c>
      <c r="C32" t="s">
        <v>492</v>
      </c>
      <c r="D32">
        <v>1200</v>
      </c>
    </row>
    <row r="33" spans="1:4" x14ac:dyDescent="0.45">
      <c r="A33" s="140"/>
      <c r="B33" t="s">
        <v>504</v>
      </c>
      <c r="C33" t="s">
        <v>497</v>
      </c>
      <c r="D33">
        <v>60000</v>
      </c>
    </row>
    <row r="34" spans="1:4" x14ac:dyDescent="0.45">
      <c r="A34" s="140"/>
      <c r="B34" t="s">
        <v>503</v>
      </c>
      <c r="C34" t="s">
        <v>497</v>
      </c>
      <c r="D34">
        <f>(D9/D16)/D38</f>
        <v>23.530183727034128</v>
      </c>
    </row>
    <row r="35" spans="1:4" x14ac:dyDescent="0.45">
      <c r="A35" s="140"/>
      <c r="B35" t="s">
        <v>502</v>
      </c>
      <c r="C35" t="s">
        <v>497</v>
      </c>
      <c r="D35">
        <f>(D10/D16)/D39</f>
        <v>14.080989876265468</v>
      </c>
    </row>
    <row r="36" spans="1:4" x14ac:dyDescent="0.45">
      <c r="A36" s="140"/>
      <c r="B36" t="s">
        <v>501</v>
      </c>
      <c r="C36" t="s">
        <v>67</v>
      </c>
      <c r="D36">
        <f>D32/(D32+D27)</f>
        <v>0.68181818181818177</v>
      </c>
    </row>
    <row r="37" spans="1:4" x14ac:dyDescent="0.45">
      <c r="A37" s="140"/>
      <c r="B37" t="s">
        <v>500</v>
      </c>
      <c r="C37" t="s">
        <v>67</v>
      </c>
      <c r="D37">
        <f>D27/(D27+D32)</f>
        <v>0.31818181818181818</v>
      </c>
    </row>
    <row r="38" spans="1:4" x14ac:dyDescent="0.45">
      <c r="A38" s="140"/>
      <c r="B38" t="s">
        <v>499</v>
      </c>
      <c r="C38" t="s">
        <v>41</v>
      </c>
      <c r="D38">
        <f>D36*$E$17</f>
        <v>2.815964523281596</v>
      </c>
    </row>
    <row r="39" spans="1:4" x14ac:dyDescent="0.45">
      <c r="A39" s="140"/>
      <c r="B39" t="s">
        <v>498</v>
      </c>
      <c r="C39" t="s">
        <v>41</v>
      </c>
      <c r="D39">
        <f>D37*$E$17</f>
        <v>1.3141167775314115</v>
      </c>
    </row>
    <row r="40" spans="1:4" x14ac:dyDescent="0.45">
      <c r="A40" s="140" t="s">
        <v>436</v>
      </c>
      <c r="B40" t="s">
        <v>509</v>
      </c>
      <c r="C40" t="s">
        <v>507</v>
      </c>
      <c r="D40">
        <v>32</v>
      </c>
    </row>
    <row r="41" spans="1:4" x14ac:dyDescent="0.45">
      <c r="A41" s="140"/>
      <c r="B41" t="s">
        <v>508</v>
      </c>
      <c r="C41" t="s">
        <v>507</v>
      </c>
      <c r="D41">
        <v>28</v>
      </c>
    </row>
    <row r="42" spans="1:4" x14ac:dyDescent="0.45">
      <c r="A42" s="140"/>
      <c r="B42" t="s">
        <v>510</v>
      </c>
      <c r="C42" t="s">
        <v>511</v>
      </c>
      <c r="D42">
        <v>1.8</v>
      </c>
    </row>
    <row r="43" spans="1:4" x14ac:dyDescent="0.45">
      <c r="A43" s="140"/>
      <c r="B43" t="s">
        <v>513</v>
      </c>
      <c r="C43" t="s">
        <v>493</v>
      </c>
      <c r="D43">
        <f>(D40*D20)*$D$42</f>
        <v>15.552000000000001</v>
      </c>
    </row>
    <row r="44" spans="1:4" x14ac:dyDescent="0.45">
      <c r="A44" s="140"/>
      <c r="B44" t="s">
        <v>512</v>
      </c>
      <c r="C44" t="s">
        <v>493</v>
      </c>
      <c r="D44">
        <f>(D41*D21)*$D$42</f>
        <v>20.160000000000004</v>
      </c>
    </row>
    <row r="45" spans="1:4" x14ac:dyDescent="0.45">
      <c r="A45" s="140"/>
      <c r="B45" t="s">
        <v>517</v>
      </c>
      <c r="C45" t="s">
        <v>515</v>
      </c>
      <c r="D45">
        <f>2200/16</f>
        <v>137.5</v>
      </c>
    </row>
    <row r="46" spans="1:4" x14ac:dyDescent="0.45">
      <c r="A46" s="140"/>
      <c r="B46" t="s">
        <v>516</v>
      </c>
      <c r="C46" t="s">
        <v>515</v>
      </c>
      <c r="D46">
        <v>300</v>
      </c>
    </row>
    <row r="47" spans="1:4" x14ac:dyDescent="0.45">
      <c r="A47" s="140"/>
      <c r="B47" t="s">
        <v>522</v>
      </c>
      <c r="C47" t="s">
        <v>108</v>
      </c>
      <c r="D47">
        <v>320</v>
      </c>
    </row>
    <row r="48" spans="1:4" x14ac:dyDescent="0.45">
      <c r="A48" s="140"/>
      <c r="B48" t="s">
        <v>520</v>
      </c>
      <c r="C48" t="s">
        <v>521</v>
      </c>
      <c r="D48">
        <f>(D46*D47)/SUM(E16:H16,J16:M16)</f>
        <v>267.11185308848076</v>
      </c>
    </row>
    <row r="49" spans="1:9" x14ac:dyDescent="0.45">
      <c r="A49" s="140"/>
      <c r="B49" t="s">
        <v>518</v>
      </c>
      <c r="C49" t="s">
        <v>515</v>
      </c>
      <c r="D49">
        <f>3000/27</f>
        <v>111.11111111111111</v>
      </c>
    </row>
    <row r="50" spans="1:9" x14ac:dyDescent="0.45">
      <c r="A50" s="140" t="s">
        <v>706</v>
      </c>
      <c r="D50" t="s">
        <v>471</v>
      </c>
      <c r="E50" t="s">
        <v>485</v>
      </c>
      <c r="F50" t="s">
        <v>105</v>
      </c>
      <c r="G50" t="s">
        <v>474</v>
      </c>
      <c r="H50" t="s">
        <v>475</v>
      </c>
      <c r="I50" t="s">
        <v>476</v>
      </c>
    </row>
    <row r="51" spans="1:9" x14ac:dyDescent="0.45">
      <c r="A51" s="140"/>
      <c r="C51" t="s">
        <v>468</v>
      </c>
      <c r="D51">
        <v>500</v>
      </c>
      <c r="E51">
        <v>710</v>
      </c>
      <c r="F51">
        <v>680</v>
      </c>
      <c r="G51">
        <f>(G56/24)*1000</f>
        <v>187.5</v>
      </c>
      <c r="H51">
        <f>(7.4/H56)*1000</f>
        <v>296.00000000000006</v>
      </c>
      <c r="I51">
        <f>H51*0.7</f>
        <v>207.20000000000002</v>
      </c>
    </row>
    <row r="52" spans="1:9" x14ac:dyDescent="0.45">
      <c r="A52" s="140"/>
      <c r="B52" t="s">
        <v>481</v>
      </c>
      <c r="C52" t="s">
        <v>108</v>
      </c>
      <c r="D52">
        <f>SUM(Baseline_crop_data!E11:K11,Baseline_crop_data!P11)</f>
        <v>137.49</v>
      </c>
      <c r="E52">
        <f>Baseline_crop_data!X11</f>
        <v>41.11</v>
      </c>
      <c r="F52">
        <f>Basline_manure_data!D113</f>
        <v>32.92</v>
      </c>
      <c r="G52">
        <v>1</v>
      </c>
      <c r="H52">
        <f>Baseline_crop_data!R11</f>
        <v>121.81</v>
      </c>
      <c r="I52">
        <f>Baseline_crop_data!V11</f>
        <v>26.07</v>
      </c>
    </row>
    <row r="53" spans="1:9" x14ac:dyDescent="0.45">
      <c r="A53" s="140"/>
      <c r="B53" t="s">
        <v>482</v>
      </c>
      <c r="C53" t="s">
        <v>483</v>
      </c>
      <c r="D53">
        <f>D52*(D56/1000)</f>
        <v>34.372500000000002</v>
      </c>
      <c r="E53">
        <f>E52*(E56/1000)</f>
        <v>9.0606439999999999</v>
      </c>
      <c r="F53">
        <f>F52*(F56/1000)</f>
        <v>0.82300000000000006</v>
      </c>
      <c r="G53">
        <f t="shared" ref="G53:I53" si="23">G52*(G56/1000)</f>
        <v>4.4999999999999997E-3</v>
      </c>
      <c r="H53">
        <f t="shared" si="23"/>
        <v>3.0452500000000002</v>
      </c>
      <c r="I53">
        <f t="shared" si="23"/>
        <v>0.65175000000000005</v>
      </c>
    </row>
    <row r="54" spans="1:9" x14ac:dyDescent="0.45">
      <c r="A54" s="140"/>
      <c r="B54" t="s">
        <v>480</v>
      </c>
      <c r="C54" t="s">
        <v>473</v>
      </c>
      <c r="D54">
        <f>((7/5)*D56)/1000</f>
        <v>0.35</v>
      </c>
      <c r="E54">
        <f>E53*E55</f>
        <v>9.0606439999999999</v>
      </c>
      <c r="F54">
        <v>0.625</v>
      </c>
      <c r="G54">
        <f>500/G51</f>
        <v>2.6666666666666665</v>
      </c>
      <c r="H54">
        <f>(7.4*121)/H51</f>
        <v>3.0249999999999999</v>
      </c>
      <c r="I54">
        <f>((7.4*0.7)*13.36)/I51</f>
        <v>0.33399999999999991</v>
      </c>
    </row>
    <row r="55" spans="1:9" x14ac:dyDescent="0.45">
      <c r="A55" s="140"/>
      <c r="B55" t="s">
        <v>470</v>
      </c>
      <c r="C55" t="s">
        <v>469</v>
      </c>
      <c r="D55">
        <v>5</v>
      </c>
      <c r="E55">
        <v>1</v>
      </c>
      <c r="F55">
        <v>1</v>
      </c>
      <c r="G55">
        <v>1</v>
      </c>
      <c r="H55">
        <v>1</v>
      </c>
      <c r="I55">
        <v>5</v>
      </c>
    </row>
    <row r="56" spans="1:9" x14ac:dyDescent="0.45">
      <c r="A56" s="140"/>
      <c r="B56" t="s">
        <v>477</v>
      </c>
      <c r="C56" t="s">
        <v>39</v>
      </c>
      <c r="D56">
        <v>250</v>
      </c>
      <c r="E56">
        <v>220.4</v>
      </c>
      <c r="F56">
        <v>25</v>
      </c>
      <c r="G56">
        <v>4.5</v>
      </c>
      <c r="H56">
        <v>25</v>
      </c>
      <c r="I56">
        <v>25</v>
      </c>
    </row>
    <row r="57" spans="1:9" x14ac:dyDescent="0.45">
      <c r="A57" s="140"/>
      <c r="B57" t="s">
        <v>472</v>
      </c>
      <c r="C57" t="s">
        <v>478</v>
      </c>
      <c r="D57" s="6">
        <f>(((D51*D53))/D55)</f>
        <v>3437.25</v>
      </c>
      <c r="E57" s="6">
        <f t="shared" ref="E57:I57" si="24">(((E51*E53))*(1/E55))</f>
        <v>6433.0572400000001</v>
      </c>
      <c r="F57" s="6">
        <f t="shared" si="24"/>
        <v>559.6400000000001</v>
      </c>
      <c r="G57" s="6">
        <f t="shared" si="24"/>
        <v>0.84374999999999989</v>
      </c>
      <c r="H57" s="6">
        <f t="shared" si="24"/>
        <v>901.39400000000023</v>
      </c>
      <c r="I57" s="6">
        <f t="shared" si="24"/>
        <v>27.008520000000004</v>
      </c>
    </row>
    <row r="58" spans="1:9" x14ac:dyDescent="0.45">
      <c r="A58" s="140"/>
      <c r="B58" t="s">
        <v>479</v>
      </c>
      <c r="C58" t="s">
        <v>439</v>
      </c>
      <c r="D58">
        <f>D57*D55</f>
        <v>17186.25</v>
      </c>
      <c r="E58">
        <f>E57*E55</f>
        <v>6433.0572400000001</v>
      </c>
      <c r="F58">
        <f>F57*F55</f>
        <v>559.6400000000001</v>
      </c>
      <c r="G58">
        <f t="shared" ref="G58:I58" si="25">G57*G55</f>
        <v>0.84374999999999989</v>
      </c>
      <c r="H58">
        <f t="shared" si="25"/>
        <v>901.39400000000023</v>
      </c>
      <c r="I58">
        <f t="shared" si="25"/>
        <v>135.04260000000002</v>
      </c>
    </row>
    <row r="59" spans="1:9" x14ac:dyDescent="0.45">
      <c r="A59" s="140"/>
      <c r="B59" t="s">
        <v>484</v>
      </c>
      <c r="C59" t="s">
        <v>439</v>
      </c>
      <c r="D59">
        <f>SUM(D57:I57)</f>
        <v>11359.193509999999</v>
      </c>
    </row>
    <row r="61" spans="1:9" x14ac:dyDescent="0.45">
      <c r="A61" s="140" t="s">
        <v>630</v>
      </c>
      <c r="B61" t="s">
        <v>448</v>
      </c>
      <c r="C61" t="s">
        <v>439</v>
      </c>
      <c r="D61">
        <v>16167</v>
      </c>
    </row>
    <row r="62" spans="1:9" x14ac:dyDescent="0.45">
      <c r="A62" s="140"/>
      <c r="B62" t="s">
        <v>449</v>
      </c>
      <c r="C62" t="s">
        <v>439</v>
      </c>
      <c r="D62">
        <v>4440</v>
      </c>
    </row>
    <row r="63" spans="1:9" x14ac:dyDescent="0.45">
      <c r="A63" s="140"/>
      <c r="B63" t="s">
        <v>450</v>
      </c>
      <c r="C63" t="s">
        <v>439</v>
      </c>
      <c r="D63">
        <v>13158</v>
      </c>
    </row>
    <row r="64" spans="1:9" x14ac:dyDescent="0.45">
      <c r="A64" s="140"/>
      <c r="B64" t="s">
        <v>451</v>
      </c>
      <c r="C64" t="s">
        <v>439</v>
      </c>
      <c r="D64">
        <v>16750</v>
      </c>
    </row>
  </sheetData>
  <mergeCells count="8">
    <mergeCell ref="A61:A64"/>
    <mergeCell ref="A50:A59"/>
    <mergeCell ref="A40:A49"/>
    <mergeCell ref="A26:A39"/>
    <mergeCell ref="A4:A8"/>
    <mergeCell ref="A9:A10"/>
    <mergeCell ref="A11:A14"/>
    <mergeCell ref="A15:A23"/>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B8F9F-66A6-4BBF-84E2-B92956420188}">
  <dimension ref="A1:BB144"/>
  <sheetViews>
    <sheetView zoomScale="89" zoomScaleNormal="90" workbookViewId="0">
      <pane xSplit="3" ySplit="1" topLeftCell="AA131" activePane="bottomRight" state="frozen"/>
      <selection pane="topRight" activeCell="D1" sqref="D1"/>
      <selection pane="bottomLeft" activeCell="A2" sqref="A2"/>
      <selection pane="bottomRight" activeCell="Z12" sqref="Z12"/>
    </sheetView>
  </sheetViews>
  <sheetFormatPr defaultRowHeight="14.25" x14ac:dyDescent="0.45"/>
  <cols>
    <col min="1" max="1" width="10.86328125" customWidth="1"/>
    <col min="2" max="2" width="26.73046875" style="12" customWidth="1"/>
    <col min="3" max="3" width="13.59765625" customWidth="1"/>
    <col min="9" max="9" width="9.1328125" style="6"/>
    <col min="10" max="11" width="9.1328125" style="54"/>
    <col min="13" max="13" width="23" customWidth="1"/>
    <col min="14" max="14" width="11.59765625" bestFit="1" customWidth="1"/>
    <col min="15" max="15" width="12.59765625" customWidth="1"/>
    <col min="16" max="16" width="16.73046875" bestFit="1" customWidth="1"/>
    <col min="20" max="20" width="10.59765625" bestFit="1" customWidth="1"/>
    <col min="21" max="21" width="16.53125" style="6" customWidth="1"/>
    <col min="22" max="22" width="18" customWidth="1"/>
    <col min="23" max="23" width="11.1328125" customWidth="1"/>
    <col min="24" max="24" width="13.265625" customWidth="1"/>
    <col min="31" max="31" width="9" style="12"/>
    <col min="32" max="32" width="27.86328125" style="12" customWidth="1"/>
    <col min="33" max="33" width="10.73046875" style="12" customWidth="1"/>
    <col min="34" max="34" width="23" style="12" customWidth="1"/>
    <col min="35" max="35" width="24.3984375" style="12" customWidth="1"/>
    <col min="36" max="36" width="24.86328125" style="12" customWidth="1"/>
    <col min="37" max="37" width="20.59765625" style="12" customWidth="1"/>
    <col min="38" max="39" width="16.59765625" style="12" customWidth="1"/>
    <col min="40" max="40" width="15.73046875" style="12" customWidth="1"/>
    <col min="41" max="41" width="16.265625" style="12" customWidth="1"/>
    <col min="42" max="42" width="31.86328125" style="12" customWidth="1"/>
    <col min="43" max="43" width="17.1328125" style="12" customWidth="1"/>
    <col min="44" max="44" width="16.59765625" style="12" customWidth="1"/>
    <col min="45" max="45" width="14" style="12" customWidth="1"/>
    <col min="46" max="46" width="17.86328125" style="12" customWidth="1"/>
    <col min="47" max="47" width="26.3984375" style="12" customWidth="1"/>
    <col min="48" max="48" width="15.265625" style="12" customWidth="1"/>
    <col min="49" max="49" width="16.86328125" style="12" customWidth="1"/>
    <col min="50" max="50" width="17.59765625" style="12" customWidth="1"/>
    <col min="51" max="51" width="15.86328125" style="12" customWidth="1"/>
    <col min="52" max="52" width="22.73046875" style="12" customWidth="1"/>
    <col min="53" max="53" width="16" style="12" customWidth="1"/>
    <col min="54" max="54" width="13.59765625" customWidth="1"/>
  </cols>
  <sheetData>
    <row r="1" spans="1:53" s="12" customFormat="1" ht="51.75" customHeight="1" x14ac:dyDescent="0.45">
      <c r="A1" s="12" t="s">
        <v>1018</v>
      </c>
      <c r="B1" s="12" t="s">
        <v>1017</v>
      </c>
      <c r="C1" s="12" t="s">
        <v>107</v>
      </c>
      <c r="D1" s="167" t="s">
        <v>1035</v>
      </c>
      <c r="E1" s="167"/>
      <c r="F1" s="167"/>
      <c r="G1" s="167"/>
      <c r="H1" s="167"/>
      <c r="I1" s="111" t="s">
        <v>1050</v>
      </c>
      <c r="J1" s="109" t="s">
        <v>1052</v>
      </c>
      <c r="K1" s="109" t="s">
        <v>1053</v>
      </c>
      <c r="L1" s="12" t="s">
        <v>1039</v>
      </c>
      <c r="M1" s="12" t="s">
        <v>1077</v>
      </c>
      <c r="N1" s="12" t="s">
        <v>1044</v>
      </c>
      <c r="O1" s="12" t="s">
        <v>1038</v>
      </c>
      <c r="P1" s="167" t="s">
        <v>1034</v>
      </c>
      <c r="Q1" s="167"/>
      <c r="R1" s="167"/>
      <c r="S1" s="167"/>
      <c r="T1" s="167"/>
      <c r="U1" s="111" t="s">
        <v>1051</v>
      </c>
      <c r="V1" s="12" t="s">
        <v>1036</v>
      </c>
      <c r="W1" s="12" t="s">
        <v>1159</v>
      </c>
      <c r="X1" s="12" t="s">
        <v>1055</v>
      </c>
      <c r="AE1" s="12" t="s">
        <v>1018</v>
      </c>
      <c r="AF1" s="12" t="s">
        <v>1017</v>
      </c>
      <c r="AG1" s="12" t="s">
        <v>107</v>
      </c>
      <c r="AH1" s="167" t="s">
        <v>1034</v>
      </c>
      <c r="AI1" s="167"/>
      <c r="AJ1" s="167"/>
      <c r="AK1" s="167"/>
      <c r="AL1" s="167"/>
      <c r="AM1" s="105" t="s">
        <v>1051</v>
      </c>
      <c r="AN1" s="167" t="s">
        <v>1035</v>
      </c>
      <c r="AO1" s="167"/>
      <c r="AP1" s="167"/>
      <c r="AQ1" s="167"/>
      <c r="AR1" s="167"/>
      <c r="AS1" s="105" t="s">
        <v>1050</v>
      </c>
      <c r="AT1" s="12" t="s">
        <v>1036</v>
      </c>
      <c r="AU1" s="12" t="s">
        <v>1037</v>
      </c>
      <c r="AV1" s="12" t="s">
        <v>1044</v>
      </c>
      <c r="AW1" s="12" t="s">
        <v>1038</v>
      </c>
      <c r="AX1" s="107" t="s">
        <v>1052</v>
      </c>
      <c r="AY1" s="107" t="s">
        <v>1053</v>
      </c>
      <c r="AZ1" s="12" t="s">
        <v>1055</v>
      </c>
      <c r="BA1" s="94" t="s">
        <v>1039</v>
      </c>
    </row>
    <row r="2" spans="1:53" s="12" customFormat="1" ht="13.5" customHeight="1" x14ac:dyDescent="0.45">
      <c r="A2" s="12" t="s">
        <v>1040</v>
      </c>
      <c r="B2" s="12" t="s">
        <v>1041</v>
      </c>
      <c r="C2" s="12" t="s">
        <v>47</v>
      </c>
      <c r="D2" s="12">
        <v>0.4</v>
      </c>
      <c r="E2" s="12">
        <v>0.4</v>
      </c>
      <c r="F2" s="12">
        <v>0.4</v>
      </c>
      <c r="G2" s="12">
        <v>0.4</v>
      </c>
      <c r="H2" s="12">
        <v>0.6</v>
      </c>
      <c r="I2" s="112">
        <v>0.4</v>
      </c>
      <c r="J2" s="109">
        <v>0.6</v>
      </c>
      <c r="K2" s="109">
        <v>1</v>
      </c>
      <c r="L2" s="12">
        <v>1</v>
      </c>
      <c r="M2" s="12">
        <v>1</v>
      </c>
      <c r="N2" s="12">
        <v>0.6</v>
      </c>
      <c r="O2" s="12">
        <v>1</v>
      </c>
      <c r="P2" s="12">
        <v>0.4</v>
      </c>
      <c r="Q2" s="12">
        <v>0.4</v>
      </c>
      <c r="R2" s="12">
        <v>0.4</v>
      </c>
      <c r="S2" s="12">
        <v>0.4</v>
      </c>
      <c r="T2" s="12">
        <v>0.6</v>
      </c>
      <c r="U2" s="112">
        <v>0.4</v>
      </c>
      <c r="V2" s="12">
        <v>0.6</v>
      </c>
      <c r="W2" s="12">
        <v>1</v>
      </c>
      <c r="X2" s="12">
        <v>1</v>
      </c>
      <c r="AE2" s="12" t="s">
        <v>1040</v>
      </c>
      <c r="AF2" s="12" t="s">
        <v>1041</v>
      </c>
      <c r="AG2" s="12" t="s">
        <v>47</v>
      </c>
    </row>
    <row r="3" spans="1:53" s="12" customFormat="1" ht="15" customHeight="1" x14ac:dyDescent="0.45">
      <c r="B3" s="12" t="s">
        <v>1042</v>
      </c>
      <c r="C3" s="12" t="s">
        <v>1177</v>
      </c>
      <c r="D3" s="117">
        <f>$I$3</f>
        <v>90</v>
      </c>
      <c r="E3" s="117">
        <f>$I$3</f>
        <v>90</v>
      </c>
      <c r="F3" s="117">
        <f>$I$3</f>
        <v>90</v>
      </c>
      <c r="G3" s="117">
        <f>$I$3</f>
        <v>90</v>
      </c>
      <c r="H3" s="117">
        <f>$I$3</f>
        <v>90</v>
      </c>
      <c r="I3" s="118">
        <f>N3</f>
        <v>90</v>
      </c>
      <c r="J3" s="119">
        <f>K4*K3</f>
        <v>4</v>
      </c>
      <c r="K3" s="119">
        <f>ROUND((L3*L4),0)</f>
        <v>4</v>
      </c>
      <c r="L3" s="117">
        <f>ROUND(((X3+W3)*1/20),0)</f>
        <v>9</v>
      </c>
      <c r="M3" s="117">
        <f>ROUND(((X3+W3)*1/20),0)</f>
        <v>9</v>
      </c>
      <c r="N3" s="117">
        <f>U3</f>
        <v>90</v>
      </c>
      <c r="O3" s="117">
        <f>N3</f>
        <v>90</v>
      </c>
      <c r="P3" s="117">
        <f>$U$3</f>
        <v>90</v>
      </c>
      <c r="Q3" s="117">
        <f>$U$3</f>
        <v>90</v>
      </c>
      <c r="R3" s="117">
        <f>$U$3</f>
        <v>90</v>
      </c>
      <c r="S3" s="117">
        <f>$U$3</f>
        <v>90</v>
      </c>
      <c r="T3" s="117">
        <f>$U$3</f>
        <v>90</v>
      </c>
      <c r="U3" s="118">
        <f>ROUND((((X3)+(X3*X4))/2),0)</f>
        <v>90</v>
      </c>
      <c r="V3" s="117">
        <f>U3</f>
        <v>90</v>
      </c>
      <c r="W3" s="117">
        <f>ROUND((X3*X4),0)</f>
        <v>50</v>
      </c>
      <c r="X3" s="117">
        <v>129</v>
      </c>
      <c r="AF3" s="12" t="s">
        <v>1042</v>
      </c>
      <c r="AG3" s="12" t="s">
        <v>67</v>
      </c>
    </row>
    <row r="4" spans="1:53" s="12" customFormat="1" x14ac:dyDescent="0.45">
      <c r="B4" s="12" t="s">
        <v>1043</v>
      </c>
      <c r="C4" s="12" t="s">
        <v>197</v>
      </c>
      <c r="D4" s="12" t="s">
        <v>47</v>
      </c>
      <c r="E4" s="12" t="s">
        <v>47</v>
      </c>
      <c r="F4" s="12" t="s">
        <v>47</v>
      </c>
      <c r="G4" s="12" t="s">
        <v>47</v>
      </c>
      <c r="H4" s="12" t="s">
        <v>47</v>
      </c>
      <c r="I4" s="112">
        <v>1</v>
      </c>
      <c r="J4" s="109">
        <v>1</v>
      </c>
      <c r="K4" s="109">
        <v>1</v>
      </c>
      <c r="L4" s="12">
        <v>0.39</v>
      </c>
      <c r="N4" s="12">
        <f>I3/N3</f>
        <v>1</v>
      </c>
      <c r="O4" s="12">
        <v>1</v>
      </c>
      <c r="P4" s="12" t="s">
        <v>47</v>
      </c>
      <c r="Q4" s="12" t="s">
        <v>47</v>
      </c>
      <c r="R4" s="12" t="s">
        <v>47</v>
      </c>
      <c r="S4" s="12" t="s">
        <v>47</v>
      </c>
      <c r="T4" s="12" t="s">
        <v>47</v>
      </c>
      <c r="U4" s="112">
        <v>1</v>
      </c>
      <c r="V4" s="12">
        <f>U3/V3</f>
        <v>1</v>
      </c>
      <c r="W4" s="12">
        <f>V3/W3</f>
        <v>1.8</v>
      </c>
      <c r="X4" s="12">
        <v>0.39</v>
      </c>
      <c r="AF4" s="12" t="s">
        <v>1043</v>
      </c>
      <c r="AG4" s="12" t="s">
        <v>197</v>
      </c>
    </row>
    <row r="5" spans="1:53" s="12" customFormat="1" ht="13.15" customHeight="1" x14ac:dyDescent="0.45">
      <c r="B5" s="12" t="s">
        <v>1248</v>
      </c>
      <c r="I5" s="112">
        <v>1</v>
      </c>
      <c r="J5" s="109">
        <v>1</v>
      </c>
      <c r="K5" s="109">
        <v>1</v>
      </c>
      <c r="L5" s="12">
        <f>1-L4</f>
        <v>0.61</v>
      </c>
      <c r="M5" s="12">
        <v>0</v>
      </c>
      <c r="N5" s="12">
        <v>0</v>
      </c>
      <c r="O5" s="12">
        <v>0</v>
      </c>
      <c r="U5" s="112">
        <v>1</v>
      </c>
      <c r="V5" s="12">
        <v>0.6</v>
      </c>
      <c r="W5" s="12">
        <v>1</v>
      </c>
      <c r="X5" s="12">
        <f>1-X4</f>
        <v>0.61</v>
      </c>
    </row>
    <row r="6" spans="1:53" ht="13.9" customHeight="1" x14ac:dyDescent="0.45">
      <c r="A6" t="s">
        <v>1019</v>
      </c>
      <c r="B6" s="12" t="s">
        <v>1020</v>
      </c>
      <c r="C6" t="s">
        <v>544</v>
      </c>
      <c r="D6">
        <v>1</v>
      </c>
      <c r="E6">
        <v>30</v>
      </c>
      <c r="F6">
        <v>61</v>
      </c>
      <c r="G6">
        <v>91</v>
      </c>
      <c r="H6">
        <v>182</v>
      </c>
      <c r="I6" s="6">
        <v>1</v>
      </c>
      <c r="J6" s="54">
        <v>365</v>
      </c>
      <c r="K6" s="54">
        <v>730</v>
      </c>
      <c r="L6">
        <f>365*3</f>
        <v>1095</v>
      </c>
      <c r="M6">
        <f>365*5</f>
        <v>1825</v>
      </c>
      <c r="N6">
        <v>365</v>
      </c>
      <c r="O6">
        <v>730</v>
      </c>
      <c r="P6">
        <v>1</v>
      </c>
      <c r="Q6">
        <v>30</v>
      </c>
      <c r="R6">
        <v>60</v>
      </c>
      <c r="S6">
        <v>91</v>
      </c>
      <c r="T6">
        <v>182</v>
      </c>
      <c r="U6" s="6">
        <v>1</v>
      </c>
      <c r="V6">
        <v>365</v>
      </c>
      <c r="W6">
        <v>730</v>
      </c>
      <c r="X6">
        <f>365*4</f>
        <v>1460</v>
      </c>
      <c r="AE6" s="12" t="s">
        <v>1019</v>
      </c>
      <c r="AF6" s="12" t="s">
        <v>1020</v>
      </c>
      <c r="AG6" s="12" t="s">
        <v>544</v>
      </c>
    </row>
    <row r="7" spans="1:53" x14ac:dyDescent="0.45">
      <c r="B7" s="12" t="s">
        <v>1021</v>
      </c>
      <c r="C7" t="s">
        <v>544</v>
      </c>
      <c r="D7">
        <v>30</v>
      </c>
      <c r="E7">
        <v>61</v>
      </c>
      <c r="F7">
        <v>91</v>
      </c>
      <c r="G7">
        <v>182</v>
      </c>
      <c r="H7">
        <v>365</v>
      </c>
      <c r="I7" s="6">
        <v>365</v>
      </c>
      <c r="J7" s="54">
        <v>730</v>
      </c>
      <c r="K7" s="54">
        <v>862</v>
      </c>
      <c r="L7">
        <f>365*4</f>
        <v>1460</v>
      </c>
      <c r="M7">
        <f>365*6</f>
        <v>2190</v>
      </c>
      <c r="N7">
        <v>730</v>
      </c>
      <c r="O7">
        <v>862</v>
      </c>
      <c r="P7">
        <v>30</v>
      </c>
      <c r="Q7">
        <v>60</v>
      </c>
      <c r="R7">
        <v>91</v>
      </c>
      <c r="S7">
        <v>182</v>
      </c>
      <c r="T7">
        <v>365</v>
      </c>
      <c r="U7" s="6">
        <v>365</v>
      </c>
      <c r="V7">
        <v>730</v>
      </c>
      <c r="W7">
        <v>862</v>
      </c>
      <c r="X7">
        <f>365*5</f>
        <v>1825</v>
      </c>
      <c r="AF7" s="12" t="s">
        <v>1021</v>
      </c>
      <c r="AG7" s="12" t="s">
        <v>544</v>
      </c>
    </row>
    <row r="8" spans="1:53" x14ac:dyDescent="0.45">
      <c r="A8" t="s">
        <v>1022</v>
      </c>
      <c r="B8" s="12" t="s">
        <v>624</v>
      </c>
      <c r="C8" t="s">
        <v>62</v>
      </c>
      <c r="D8">
        <f>((($M$11/(2*-0.00249))*(2-0.796*EXP(-0.00249*D7))^2+$M$11*D7)-(($M$11/(2*-0.00249))*(2-0.796*EXP(-0.00249*D6))^2+$M$11*D6))/(D7-D6)</f>
        <v>37.805375543719052</v>
      </c>
      <c r="E8">
        <f>((($M$11/(2*-0.00249))*(2-0.796*EXP(-0.00249*E7))^2+$M$11*E7)-(($M$11/(2*-0.00249))*(2-0.796*EXP(-0.00249*E6))^2+$M$11*E6))/(E7-E6)</f>
        <v>57.619509420192408</v>
      </c>
      <c r="F8">
        <f>((($M$11/(2*-0.00249))*(2-0.796*EXP(-0.00249*F7))^2+$M$11*F7)-(($M$11/(2*-0.00249))*(2-0.796*EXP(-0.00249*F6))^2+$M$11*F6))/(F7-F6)</f>
        <v>80.112166195793549</v>
      </c>
      <c r="G8">
        <f>((($M$11/(2*-0.00249))*(2-0.796*EXP(-0.00249*G7))^2+$M$11*G7)-(($M$11/(2*-0.00249))*(2-0.796*EXP(-0.00249*G6))^2+$M$11*G6))/(G7-G6)</f>
        <v>129.3253646458769</v>
      </c>
      <c r="H8">
        <f>((($M$11/(2*-0.00249))*(2-0.796*EXP(-0.00249*H7))^2+$M$11*H7)-(($M$11/(2*-0.00249))*(2-0.796*EXP(-0.00249*H6))^2+$M$11*H6))/(H7-H6)</f>
        <v>244.21234663654212</v>
      </c>
      <c r="I8" s="6">
        <f>AVERAGE(D8:H8)</f>
        <v>109.81495248842479</v>
      </c>
      <c r="J8" s="54">
        <f>((($M$11/(2*-0.00249))*(2-0.796*EXP(-0.00249*J7))^2+$M$11*J7)-(($M$11/(2*-0.00249))*(2-0.796*EXP(-0.00249*J6))^2+$M$11*J6))/(J7-J6)</f>
        <v>430.30838950944656</v>
      </c>
      <c r="K8" s="54">
        <f>((($M$11/(2*-0.00249))*(2-0.796*EXP(-0.00249*K7))^2+$M$11*K7)-(($M$11/(2*-0.00249))*(2-0.796*EXP(-0.00249*K6))^2+$M$11*K6))/(K7-K6)</f>
        <v>544.35973420823791</v>
      </c>
      <c r="L8" s="54">
        <f>((($M$11/(2*-0.00249))*(2-0.796*EXP(-0.00249*L7))^2+$M$11*L7)-(($M$11/(2*-0.00249))*(2-0.796*EXP(-0.00249*L6))^2+$M$11*L6))/(L7-L6)</f>
        <v>641.22290423414654</v>
      </c>
      <c r="M8" s="54">
        <f>M11</f>
        <v>687.40945199999999</v>
      </c>
      <c r="N8">
        <f t="shared" ref="N8:T8" si="0">((($X$11/(2*-0.00277))*(2-0.756*EXP(-0.00277*N7))^2+$X$11*N7)-(($X$11/(2*-0.00277))*(2-0.756*EXP(-0.00277*N6))^2+$X$11*N6))/(N7-N6)</f>
        <v>380.22168513998304</v>
      </c>
      <c r="O8">
        <f t="shared" si="0"/>
        <v>465.06180121712993</v>
      </c>
      <c r="P8">
        <f t="shared" si="0"/>
        <v>42.228622630052868</v>
      </c>
      <c r="Q8">
        <f t="shared" si="0"/>
        <v>61.355880700038206</v>
      </c>
      <c r="R8">
        <f t="shared" si="0"/>
        <v>82.877129986350823</v>
      </c>
      <c r="S8">
        <f t="shared" si="0"/>
        <v>128.77668775563961</v>
      </c>
      <c r="T8">
        <f t="shared" si="0"/>
        <v>229.70250382794012</v>
      </c>
      <c r="U8" s="6">
        <f>AVERAGE(P8:T8)</f>
        <v>108.98816498000433</v>
      </c>
      <c r="V8">
        <f>((($X$11/(2*-0.00277))*(2-0.756*EXP(-0.00277*V7))^2+$X$11*V7)-(($X$11/(2*-0.00277))*(2-0.756*EXP(-0.00277*V6))^2+$X$11*V6))/(V7-V6)</f>
        <v>380.22168513998304</v>
      </c>
      <c r="W8">
        <f>((($X$11/(2*-0.00277))*(2-0.756*EXP(-0.00277*W7))^2+$X$11*W7)-(($X$11/(2*-0.00277))*(2-0.756*EXP(-0.00277*W6))^2+$X$11*W6))/(W7-W6)</f>
        <v>465.06180121712993</v>
      </c>
      <c r="X8">
        <f>0.951*X11-30.8+4.11*(X73/365)</f>
        <v>523.66419178082185</v>
      </c>
      <c r="AE8" s="12" t="s">
        <v>1022</v>
      </c>
      <c r="AF8" s="12" t="s">
        <v>624</v>
      </c>
      <c r="AG8" s="12" t="s">
        <v>62</v>
      </c>
    </row>
    <row r="9" spans="1:53" x14ac:dyDescent="0.45">
      <c r="B9" s="12" t="s">
        <v>1047</v>
      </c>
      <c r="C9" t="s">
        <v>62</v>
      </c>
      <c r="D9">
        <v>26</v>
      </c>
      <c r="E9">
        <v>26</v>
      </c>
      <c r="F9">
        <v>26</v>
      </c>
      <c r="G9">
        <v>26</v>
      </c>
      <c r="H9">
        <v>26</v>
      </c>
      <c r="I9" s="6">
        <f>AVERAGE(D9:H9)</f>
        <v>26</v>
      </c>
      <c r="J9" s="54">
        <v>26</v>
      </c>
      <c r="K9" s="54">
        <v>26</v>
      </c>
      <c r="L9">
        <v>26</v>
      </c>
      <c r="M9">
        <v>26</v>
      </c>
      <c r="N9">
        <v>26</v>
      </c>
      <c r="O9">
        <v>26</v>
      </c>
      <c r="P9">
        <v>26</v>
      </c>
      <c r="Q9">
        <v>26</v>
      </c>
      <c r="R9">
        <v>26</v>
      </c>
      <c r="S9">
        <v>26</v>
      </c>
      <c r="T9">
        <v>26</v>
      </c>
      <c r="U9" s="6">
        <f>AVERAGE(P9:T9)</f>
        <v>26</v>
      </c>
      <c r="V9">
        <v>26</v>
      </c>
      <c r="W9">
        <v>26</v>
      </c>
      <c r="X9">
        <v>26</v>
      </c>
      <c r="AF9" s="12" t="s">
        <v>1047</v>
      </c>
      <c r="AG9" s="12" t="s">
        <v>62</v>
      </c>
    </row>
    <row r="10" spans="1:53" x14ac:dyDescent="0.45">
      <c r="B10" s="12" t="s">
        <v>1023</v>
      </c>
      <c r="C10" t="s">
        <v>62</v>
      </c>
      <c r="D10">
        <f t="shared" ref="D10" si="1">(D12-D11)/(D7-D6)</f>
        <v>0.66985044762158874</v>
      </c>
      <c r="E10">
        <f t="shared" ref="E10" si="2">(E12-E11)/(E7-E6)</f>
        <v>0.71447013901639034</v>
      </c>
      <c r="F10">
        <f t="shared" ref="F10" si="3">(F12-F11)/(F7-F6)</f>
        <v>0.78497707564035579</v>
      </c>
      <c r="G10">
        <f t="shared" ref="G10" si="4">(G12-G11)/(G7-G6)</f>
        <v>0.85540205483992249</v>
      </c>
      <c r="H10">
        <f>(H12-H11)/(H7-H6)</f>
        <v>0.83311640785747099</v>
      </c>
      <c r="I10" s="6">
        <f>(I12-I11)/(I7-I6)</f>
        <v>0.81160834941784332</v>
      </c>
      <c r="J10" s="54">
        <f>(J12-J11)/(J7-J6)</f>
        <v>0.56240746224601135</v>
      </c>
      <c r="K10" s="54">
        <f>(K12-K11)/(K7-K6)</f>
        <v>0.33143846170886715</v>
      </c>
      <c r="L10">
        <f>(L12-L11)/(L7-L6)</f>
        <v>0.10829657923555334</v>
      </c>
      <c r="M10">
        <v>0</v>
      </c>
      <c r="N10">
        <f>(N12-N11)/(N7-N6)</f>
        <v>0.43268436179949382</v>
      </c>
      <c r="O10">
        <f>(O12-O11)/(O7-O6)</f>
        <v>0.23059762333965775</v>
      </c>
      <c r="P10">
        <f>(P12-P11)/(P7-P6)</f>
        <v>0.81732361908231732</v>
      </c>
      <c r="Q10">
        <f t="shared" ref="Q10:T10" si="5">(Q12-Q11)/(Q7-Q6)</f>
        <v>0.69585145187987008</v>
      </c>
      <c r="R10">
        <f t="shared" si="5"/>
        <v>0.74655812005876043</v>
      </c>
      <c r="S10">
        <f t="shared" si="5"/>
        <v>0.78360943394644844</v>
      </c>
      <c r="T10">
        <f t="shared" si="5"/>
        <v>0.713145119447811</v>
      </c>
      <c r="U10">
        <f>(U12-U11)/(U7-U6)</f>
        <v>0.74048144390022275</v>
      </c>
      <c r="V10">
        <f>(V12-V11)/(V7-V6)</f>
        <v>0.43268436179949382</v>
      </c>
      <c r="W10">
        <f>(W12-W11)/(W7-W6)</f>
        <v>0.23059762333965775</v>
      </c>
      <c r="X10" s="54">
        <f>W10</f>
        <v>0.23059762333965775</v>
      </c>
      <c r="AF10" s="12" t="s">
        <v>1023</v>
      </c>
      <c r="AG10" s="12" t="s">
        <v>62</v>
      </c>
      <c r="AZ10" s="12" t="s">
        <v>1078</v>
      </c>
    </row>
    <row r="11" spans="1:53" ht="57" x14ac:dyDescent="0.45">
      <c r="B11" s="12" t="s">
        <v>1045</v>
      </c>
      <c r="C11" t="s">
        <v>62</v>
      </c>
      <c r="D11">
        <v>26</v>
      </c>
      <c r="E11">
        <f t="shared" ref="E11:H12" si="6">$M$11*(1-0.802*EXP(-0.00255*E6))^2</f>
        <v>45.425662981026072</v>
      </c>
      <c r="F11">
        <f t="shared" si="6"/>
        <v>67.574237290534171</v>
      </c>
      <c r="G11">
        <f t="shared" si="6"/>
        <v>91.123549559744845</v>
      </c>
      <c r="H11">
        <f t="shared" si="6"/>
        <v>168.96513655017779</v>
      </c>
      <c r="I11" s="6">
        <v>26</v>
      </c>
      <c r="J11" s="54">
        <f t="shared" ref="J11:L12" si="7">$M$11*(1-0.802*EXP(-0.00255*J6))^2</f>
        <v>321.42543918809497</v>
      </c>
      <c r="K11" s="54">
        <f t="shared" si="7"/>
        <v>526.7041629078891</v>
      </c>
      <c r="L11" s="54">
        <f t="shared" si="7"/>
        <v>621.49886519766881</v>
      </c>
      <c r="M11">
        <v>687.40945199999999</v>
      </c>
      <c r="N11">
        <f>X11*(1-0.763*EXP(-0.00285*N6))^2</f>
        <v>295.53524557968109</v>
      </c>
      <c r="O11">
        <f>X11*(1-0.763*EXP(-0.00285*O6))^2</f>
        <v>453.46503763649633</v>
      </c>
      <c r="P11">
        <v>26</v>
      </c>
      <c r="Q11">
        <f t="shared" ref="Q11:T12" si="8">$X$11*(1-0.763*EXP(-0.00285*Q6))^2</f>
        <v>49.702384953387202</v>
      </c>
      <c r="R11">
        <f t="shared" si="8"/>
        <v>70.577928509783305</v>
      </c>
      <c r="S11">
        <f t="shared" si="8"/>
        <v>93.721230231604878</v>
      </c>
      <c r="T11">
        <f t="shared" si="8"/>
        <v>165.02968872073168</v>
      </c>
      <c r="U11" s="6">
        <v>26</v>
      </c>
      <c r="V11">
        <f>X11*(1-0.763*EXP(-0.00285*V6))^2</f>
        <v>295.53524557968109</v>
      </c>
      <c r="W11">
        <f>X11*(1-0.763*EXP(-0.00285*W6))^2</f>
        <v>453.46503763649633</v>
      </c>
      <c r="X11">
        <v>554</v>
      </c>
      <c r="AF11" s="12" t="s">
        <v>1045</v>
      </c>
      <c r="AG11" s="12" t="s">
        <v>62</v>
      </c>
      <c r="BA11" s="12" t="s">
        <v>1056</v>
      </c>
    </row>
    <row r="12" spans="1:53" ht="57" x14ac:dyDescent="0.45">
      <c r="B12" s="12" t="s">
        <v>1046</v>
      </c>
      <c r="C12" t="s">
        <v>62</v>
      </c>
      <c r="D12">
        <f>$M$12*(1-0.802*EXP(-0.00255*D7))^2</f>
        <v>45.425662981026072</v>
      </c>
      <c r="E12">
        <f t="shared" si="6"/>
        <v>67.574237290534171</v>
      </c>
      <c r="F12">
        <f t="shared" si="6"/>
        <v>91.123549559744845</v>
      </c>
      <c r="G12">
        <f t="shared" si="6"/>
        <v>168.96513655017779</v>
      </c>
      <c r="H12">
        <f t="shared" si="6"/>
        <v>321.42543918809497</v>
      </c>
      <c r="I12" s="6">
        <v>321.42543918809497</v>
      </c>
      <c r="J12" s="54">
        <f t="shared" si="7"/>
        <v>526.7041629078891</v>
      </c>
      <c r="K12" s="54">
        <f t="shared" si="7"/>
        <v>570.45403985345956</v>
      </c>
      <c r="L12" s="54">
        <f t="shared" si="7"/>
        <v>661.02711661864578</v>
      </c>
      <c r="M12">
        <v>687.40945199999999</v>
      </c>
      <c r="N12">
        <f>X11*(1-0.763*EXP(-0.00285*N7))^2</f>
        <v>453.46503763649633</v>
      </c>
      <c r="O12">
        <f>X11*(1-0.763*EXP(-0.00285*O7))^2</f>
        <v>483.90392391733116</v>
      </c>
      <c r="P12">
        <f>$X$11*(1-0.763*EXP(-0.00285*P7))^2</f>
        <v>49.702384953387202</v>
      </c>
      <c r="Q12">
        <f t="shared" si="8"/>
        <v>70.577928509783305</v>
      </c>
      <c r="R12">
        <f t="shared" si="8"/>
        <v>93.721230231604878</v>
      </c>
      <c r="S12">
        <f t="shared" si="8"/>
        <v>165.02968872073168</v>
      </c>
      <c r="T12">
        <f t="shared" si="8"/>
        <v>295.53524557968109</v>
      </c>
      <c r="U12" s="6">
        <v>295.53524557968109</v>
      </c>
      <c r="V12">
        <f>X11*(1-0.763*EXP(-0.00285*V7))^2</f>
        <v>453.46503763649633</v>
      </c>
      <c r="W12">
        <f>X11*(1-0.763*EXP(-0.00285*W7))^2</f>
        <v>483.90392391733116</v>
      </c>
      <c r="X12">
        <f>0.951*X11-30.8+4.11*(X73/365)</f>
        <v>523.66419178082185</v>
      </c>
      <c r="AF12" s="12" t="s">
        <v>1046</v>
      </c>
      <c r="AG12" s="12" t="s">
        <v>62</v>
      </c>
      <c r="BA12" s="12" t="s">
        <v>1056</v>
      </c>
    </row>
    <row r="13" spans="1:53" ht="28.5" x14ac:dyDescent="0.45">
      <c r="B13" s="12" t="s">
        <v>1087</v>
      </c>
      <c r="C13" t="s">
        <v>631</v>
      </c>
      <c r="D13">
        <v>0</v>
      </c>
      <c r="E13">
        <v>0</v>
      </c>
      <c r="F13">
        <v>0</v>
      </c>
      <c r="G13">
        <v>0</v>
      </c>
      <c r="H13">
        <v>0</v>
      </c>
      <c r="I13" s="6">
        <v>0</v>
      </c>
      <c r="J13" s="54">
        <v>0</v>
      </c>
      <c r="K13" s="54">
        <v>0</v>
      </c>
      <c r="L13" s="54">
        <v>0</v>
      </c>
      <c r="M13">
        <v>0</v>
      </c>
      <c r="N13">
        <v>0</v>
      </c>
      <c r="O13">
        <v>0</v>
      </c>
      <c r="P13">
        <v>0</v>
      </c>
      <c r="Q13">
        <v>0</v>
      </c>
      <c r="R13">
        <v>0</v>
      </c>
      <c r="S13">
        <v>0</v>
      </c>
      <c r="T13">
        <v>0</v>
      </c>
      <c r="U13" s="6">
        <v>0</v>
      </c>
      <c r="V13">
        <v>0</v>
      </c>
      <c r="W13">
        <f>0.059+0.00011*X11-0.00785*(W73/365)</f>
        <v>6.7205205479452051E-2</v>
      </c>
      <c r="X13">
        <f>0.086-0.0108*(X73/365)</f>
        <v>1.3447671232876698E-2</v>
      </c>
      <c r="AF13" s="12" t="s">
        <v>1087</v>
      </c>
      <c r="AG13" s="12" t="s">
        <v>631</v>
      </c>
    </row>
    <row r="14" spans="1:53" ht="28.5" x14ac:dyDescent="0.45">
      <c r="A14" t="s">
        <v>1024</v>
      </c>
      <c r="B14" s="12" t="s">
        <v>1086</v>
      </c>
      <c r="C14" t="s">
        <v>1081</v>
      </c>
      <c r="D14">
        <f>(((43662-1091*D9+225*$G$12+(-7807)*($G$12/D9)))/$G$7)</f>
        <v>14.165517280494957</v>
      </c>
      <c r="E14">
        <f>(((43662-1091*E9+225*$G$12+(-7807)*($G$12/E9)))/$G$7)</f>
        <v>14.165517280494957</v>
      </c>
      <c r="F14">
        <f>(((43662-1091*F9+225*$G$12+(-7807)*($G$12/F9)))/$G$7)</f>
        <v>14.165517280494957</v>
      </c>
      <c r="G14">
        <f>(((43662-1091*G9+225*$G$12+(-7807)*($G$12/G9)))/$G$7)</f>
        <v>14.165517280494957</v>
      </c>
      <c r="H14">
        <f>(26.4+0.01*H8-41*H10-0.00006*H8^2+35.2*H10^2+0.12*H8*H10)*H23</f>
        <v>35.957311104234677</v>
      </c>
      <c r="I14" s="6">
        <f>AVERAGE(D14:H14)</f>
        <v>18.523876045242901</v>
      </c>
      <c r="J14" s="54">
        <f>(41.5+0.12*J8-52.72*J10-0.00007*J8^2+28.8*J10^2+0.09*J8*J10)*J23</f>
        <v>73.274034679746038</v>
      </c>
      <c r="K14" s="54">
        <f>(41.5+0.12*K8-52.72*K10-0.00007*K8^2+28.8*K10^2+0.09*K8*K10)*K23</f>
        <v>79.207637060796543</v>
      </c>
      <c r="L14">
        <f>(41.5+0.12*L8-52.72*L10-0.00007*L8^2+28.8*L10^2+0.09*L8*L10)*L23</f>
        <v>81.488923987648363</v>
      </c>
      <c r="M14">
        <v>0</v>
      </c>
      <c r="N14">
        <f>(26.4+0.01*N8-41*N10-0.00006*N8^2+35.2*N10^2+0.12*N8*N10)*N23</f>
        <v>27.10796231909455</v>
      </c>
      <c r="O14">
        <f>(26.4+0.01*O8-41*O10-0.00006*O8^2+35.2*O10^2+0.12*O8*O10)*O23</f>
        <v>21.023994181588336</v>
      </c>
      <c r="P14">
        <f>((31796-862*P9+212*$S$12+(-6641)*($S$12/P9)))/$S$7</f>
        <v>12.186280945539673</v>
      </c>
      <c r="Q14">
        <f>((31796-862*Q9+212*$S$12+(-6641)*($S$12/Q9)))/$S$7</f>
        <v>12.186280945539673</v>
      </c>
      <c r="R14">
        <f>((31796-862*R9+212*$S$12+(-6641)*($S$12/R9)))/$S$7</f>
        <v>12.186280945539673</v>
      </c>
      <c r="S14">
        <f>((31796-862*S9+212*$S$12+(-6641)*($S$12/S9)))/$S$7</f>
        <v>12.186280945539673</v>
      </c>
      <c r="T14">
        <f>(26.4+0.01*T8-41*T10-0.00006*T8^2+35.2*T10^2+0.12*T8*T10)*T23</f>
        <v>30.466350818655084</v>
      </c>
      <c r="U14" s="6">
        <f>AVERAGE(P14:T14)</f>
        <v>15.842294920162754</v>
      </c>
      <c r="V14">
        <f>(26.4+0.01*V8-41*V10-0.00006*V8^2+35.2*V10^2+0.12*V8*V10)*V23</f>
        <v>27.10796231909455</v>
      </c>
      <c r="W14">
        <f>0.00254*X11+29.5*W13</f>
        <v>3.3897135616438359</v>
      </c>
      <c r="X14">
        <f>0.000782*X11+32.4*X13</f>
        <v>0.86893254794520502</v>
      </c>
      <c r="AE14" s="12" t="s">
        <v>1024</v>
      </c>
      <c r="AF14" s="12" t="s">
        <v>1086</v>
      </c>
      <c r="AG14" s="12" t="s">
        <v>1081</v>
      </c>
      <c r="AU14" s="12" t="s">
        <v>1082</v>
      </c>
      <c r="AZ14" s="12" t="s">
        <v>1079</v>
      </c>
    </row>
    <row r="15" spans="1:53" ht="71.25" x14ac:dyDescent="0.45">
      <c r="B15" s="12" t="s">
        <v>1025</v>
      </c>
      <c r="C15" t="s">
        <v>1081</v>
      </c>
      <c r="D15">
        <f>D14/1.7</f>
        <v>8.3326572238205632</v>
      </c>
      <c r="E15">
        <f>E14/1.7</f>
        <v>8.3326572238205632</v>
      </c>
      <c r="F15">
        <f>F14/2.2</f>
        <v>6.438871491134071</v>
      </c>
      <c r="G15">
        <f>G14/2.2</f>
        <v>6.438871491134071</v>
      </c>
      <c r="H15">
        <f>H14/2.2</f>
        <v>16.34423232010667</v>
      </c>
      <c r="I15" s="6">
        <f>I14/2.2</f>
        <v>8.4199436569285897</v>
      </c>
      <c r="J15">
        <f>J14/1.6</f>
        <v>45.796271674841272</v>
      </c>
      <c r="K15">
        <f>K14/1.5</f>
        <v>52.805091373864364</v>
      </c>
      <c r="L15">
        <f>L14/1.5</f>
        <v>54.325949325098911</v>
      </c>
      <c r="M15">
        <f>0.515*M11^0.75</f>
        <v>69.138324979461785</v>
      </c>
      <c r="N15">
        <f>N14/1.6</f>
        <v>16.942476449434093</v>
      </c>
      <c r="O15">
        <f>O14/1.6</f>
        <v>13.13999636349271</v>
      </c>
      <c r="P15">
        <f>P14/2.2</f>
        <v>5.5392186116089421</v>
      </c>
      <c r="Q15">
        <f>Q14/1.7</f>
        <v>7.1684005561998081</v>
      </c>
      <c r="R15">
        <f>R14/2.2</f>
        <v>5.5392186116089421</v>
      </c>
      <c r="S15">
        <f>S14/2.2</f>
        <v>5.5392186116089421</v>
      </c>
      <c r="T15">
        <f>T14/1.7</f>
        <v>17.921382834502992</v>
      </c>
      <c r="U15" s="6">
        <f>U14/1.7</f>
        <v>9.3189970118604428</v>
      </c>
      <c r="V15">
        <f>V14/1.6</f>
        <v>16.942476449434093</v>
      </c>
      <c r="W15">
        <f>0.515*(W11^0.75)</f>
        <v>50.607523485813772</v>
      </c>
      <c r="X15">
        <f>0.515*(X11^0.75)</f>
        <v>58.808425575645451</v>
      </c>
      <c r="AF15" s="12" t="s">
        <v>1025</v>
      </c>
      <c r="AG15" s="12" t="s">
        <v>1081</v>
      </c>
      <c r="AJ15" s="12" t="s">
        <v>1096</v>
      </c>
      <c r="AK15" s="12" t="s">
        <v>1096</v>
      </c>
      <c r="AL15" s="12" t="s">
        <v>1096</v>
      </c>
      <c r="AM15" s="12" t="s">
        <v>1096</v>
      </c>
      <c r="AN15" s="12" t="s">
        <v>1096</v>
      </c>
      <c r="AO15" s="12" t="s">
        <v>1096</v>
      </c>
      <c r="AP15" s="12" t="s">
        <v>1096</v>
      </c>
      <c r="AQ15" s="12" t="s">
        <v>1096</v>
      </c>
      <c r="AR15" s="12" t="s">
        <v>1096</v>
      </c>
      <c r="AS15" s="12" t="s">
        <v>1096</v>
      </c>
      <c r="AT15" s="12" t="s">
        <v>1096</v>
      </c>
      <c r="AU15" s="12" t="s">
        <v>1084</v>
      </c>
      <c r="AV15" s="12" t="s">
        <v>1096</v>
      </c>
      <c r="AW15" s="12" t="s">
        <v>1096</v>
      </c>
      <c r="AX15" s="12" t="s">
        <v>1096</v>
      </c>
      <c r="AY15" s="12" t="s">
        <v>1096</v>
      </c>
      <c r="AZ15" s="12" t="s">
        <v>1083</v>
      </c>
      <c r="BA15" s="12" t="s">
        <v>1096</v>
      </c>
    </row>
    <row r="16" spans="1:53" x14ac:dyDescent="0.45">
      <c r="B16" s="12" t="s">
        <v>1085</v>
      </c>
      <c r="C16" t="s">
        <v>1089</v>
      </c>
      <c r="D16">
        <v>0</v>
      </c>
      <c r="E16">
        <v>0</v>
      </c>
      <c r="F16">
        <v>0</v>
      </c>
      <c r="G16">
        <v>0</v>
      </c>
      <c r="H16">
        <v>0</v>
      </c>
      <c r="I16" s="6">
        <v>0</v>
      </c>
      <c r="J16">
        <v>0</v>
      </c>
      <c r="K16">
        <v>0</v>
      </c>
      <c r="L16">
        <v>0</v>
      </c>
      <c r="M16">
        <v>0</v>
      </c>
      <c r="N16">
        <v>0</v>
      </c>
      <c r="O16">
        <v>0</v>
      </c>
      <c r="P16">
        <v>0</v>
      </c>
      <c r="Q16">
        <v>0</v>
      </c>
      <c r="R16">
        <v>0</v>
      </c>
      <c r="S16">
        <v>0</v>
      </c>
      <c r="T16">
        <v>0</v>
      </c>
      <c r="U16" s="6">
        <v>0</v>
      </c>
      <c r="V16">
        <v>0</v>
      </c>
      <c r="W16">
        <f>5.15*(W29/365)</f>
        <v>68.0082191780822</v>
      </c>
      <c r="X16">
        <f>X18-(X14+X15)</f>
        <v>56.662641876409346</v>
      </c>
      <c r="AF16" s="12" t="s">
        <v>1085</v>
      </c>
    </row>
    <row r="17" spans="1:54" x14ac:dyDescent="0.45">
      <c r="B17" s="12" t="s">
        <v>1088</v>
      </c>
      <c r="C17" t="s">
        <v>1081</v>
      </c>
      <c r="D17">
        <v>0</v>
      </c>
      <c r="E17">
        <v>0</v>
      </c>
      <c r="F17">
        <v>0</v>
      </c>
      <c r="G17">
        <v>0</v>
      </c>
      <c r="H17">
        <v>0</v>
      </c>
      <c r="I17" s="6">
        <v>0</v>
      </c>
      <c r="J17">
        <v>0</v>
      </c>
      <c r="K17">
        <v>0</v>
      </c>
      <c r="L17">
        <v>0</v>
      </c>
      <c r="M17">
        <v>0</v>
      </c>
      <c r="N17">
        <v>0</v>
      </c>
      <c r="O17">
        <v>0</v>
      </c>
      <c r="P17">
        <v>0</v>
      </c>
      <c r="Q17">
        <v>0</v>
      </c>
      <c r="R17">
        <v>0</v>
      </c>
      <c r="S17">
        <v>0</v>
      </c>
      <c r="T17">
        <v>0</v>
      </c>
      <c r="U17" s="6">
        <v>0</v>
      </c>
      <c r="V17">
        <v>0</v>
      </c>
      <c r="W17">
        <f>0.999+0.00826*X11+0.221*(W73/365)</f>
        <v>7.0596756164383558</v>
      </c>
      <c r="X17">
        <v>0</v>
      </c>
    </row>
    <row r="18" spans="1:54" ht="71.25" x14ac:dyDescent="0.45">
      <c r="B18" s="12" t="s">
        <v>1080</v>
      </c>
      <c r="C18" t="s">
        <v>1081</v>
      </c>
      <c r="D18">
        <f>D14</f>
        <v>14.165517280494957</v>
      </c>
      <c r="E18">
        <f t="shared" ref="E18:H18" si="9">E14</f>
        <v>14.165517280494957</v>
      </c>
      <c r="F18">
        <f t="shared" si="9"/>
        <v>14.165517280494957</v>
      </c>
      <c r="G18">
        <f t="shared" si="9"/>
        <v>14.165517280494957</v>
      </c>
      <c r="H18">
        <f t="shared" si="9"/>
        <v>35.957311104234677</v>
      </c>
      <c r="I18" s="6">
        <f t="shared" ref="I18" si="10">SUM(I14:I17)</f>
        <v>26.943819702171488</v>
      </c>
      <c r="J18">
        <f>J14</f>
        <v>73.274034679746038</v>
      </c>
      <c r="K18">
        <f t="shared" ref="K18:L18" si="11">K14</f>
        <v>79.207637060796543</v>
      </c>
      <c r="L18">
        <f t="shared" si="11"/>
        <v>81.488923987648363</v>
      </c>
      <c r="M18">
        <f t="shared" ref="M18" si="12">SUM(M14:M17)</f>
        <v>69.138324979461785</v>
      </c>
      <c r="N18">
        <f>N14</f>
        <v>27.10796231909455</v>
      </c>
      <c r="O18">
        <f t="shared" ref="O18:V18" si="13">O14</f>
        <v>21.023994181588336</v>
      </c>
      <c r="P18">
        <f t="shared" si="13"/>
        <v>12.186280945539673</v>
      </c>
      <c r="Q18">
        <f t="shared" si="13"/>
        <v>12.186280945539673</v>
      </c>
      <c r="R18">
        <f t="shared" si="13"/>
        <v>12.186280945539673</v>
      </c>
      <c r="S18">
        <f t="shared" si="13"/>
        <v>12.186280945539673</v>
      </c>
      <c r="T18">
        <f t="shared" si="13"/>
        <v>30.466350818655084</v>
      </c>
      <c r="U18">
        <f t="shared" si="13"/>
        <v>15.842294920162754</v>
      </c>
      <c r="V18">
        <f t="shared" si="13"/>
        <v>27.10796231909455</v>
      </c>
      <c r="W18">
        <f>SUM(W14:W17)</f>
        <v>129.06513184197817</v>
      </c>
      <c r="X18">
        <v>116.34</v>
      </c>
      <c r="AF18" s="12" t="s">
        <v>1080</v>
      </c>
      <c r="AG18" s="12" t="s">
        <v>1081</v>
      </c>
      <c r="AU18" s="104" t="s">
        <v>1098</v>
      </c>
      <c r="AZ18" s="12" t="s">
        <v>1148</v>
      </c>
    </row>
    <row r="19" spans="1:54" x14ac:dyDescent="0.45">
      <c r="B19" s="12" t="s">
        <v>671</v>
      </c>
      <c r="C19" t="s">
        <v>621</v>
      </c>
      <c r="D19">
        <f t="shared" ref="D19:I19" si="14">D18/0.82</f>
        <v>17.275021073774337</v>
      </c>
      <c r="E19">
        <f t="shared" si="14"/>
        <v>17.275021073774337</v>
      </c>
      <c r="F19">
        <f t="shared" si="14"/>
        <v>17.275021073774337</v>
      </c>
      <c r="G19">
        <f t="shared" si="14"/>
        <v>17.275021073774337</v>
      </c>
      <c r="H19">
        <f t="shared" si="14"/>
        <v>43.850379395408147</v>
      </c>
      <c r="I19" s="6">
        <f t="shared" si="14"/>
        <v>32.85831670996523</v>
      </c>
      <c r="J19">
        <f t="shared" ref="J19:X19" si="15">J18/0.82</f>
        <v>89.358578877739077</v>
      </c>
      <c r="K19">
        <f t="shared" si="15"/>
        <v>96.594679342434816</v>
      </c>
      <c r="L19">
        <f t="shared" si="15"/>
        <v>99.376736570302882</v>
      </c>
      <c r="M19">
        <f t="shared" si="15"/>
        <v>84.315030462758273</v>
      </c>
      <c r="N19">
        <f t="shared" si="15"/>
        <v>33.058490633042133</v>
      </c>
      <c r="O19">
        <f t="shared" si="15"/>
        <v>25.639017294619922</v>
      </c>
      <c r="P19">
        <f t="shared" si="15"/>
        <v>14.861318226267896</v>
      </c>
      <c r="Q19">
        <f t="shared" si="15"/>
        <v>14.861318226267896</v>
      </c>
      <c r="R19">
        <f t="shared" si="15"/>
        <v>14.861318226267896</v>
      </c>
      <c r="S19">
        <f t="shared" si="15"/>
        <v>14.861318226267896</v>
      </c>
      <c r="T19">
        <f t="shared" si="15"/>
        <v>37.154086364213519</v>
      </c>
      <c r="U19" s="6">
        <f t="shared" si="15"/>
        <v>19.31987185385702</v>
      </c>
      <c r="V19">
        <f t="shared" si="15"/>
        <v>33.058490633042133</v>
      </c>
      <c r="W19">
        <f t="shared" si="15"/>
        <v>157.39650224631487</v>
      </c>
      <c r="X19">
        <f t="shared" si="15"/>
        <v>141.87804878048783</v>
      </c>
      <c r="AF19" s="12" t="s">
        <v>671</v>
      </c>
      <c r="AG19" s="12" t="s">
        <v>621</v>
      </c>
    </row>
    <row r="20" spans="1:54" x14ac:dyDescent="0.45">
      <c r="B20" s="12" t="s">
        <v>179</v>
      </c>
      <c r="C20" t="s">
        <v>1029</v>
      </c>
      <c r="D20">
        <f>D19/(Eco!$E$57/100)</f>
        <v>27.262000642463448</v>
      </c>
      <c r="E20">
        <f>E19/(Eco!$E$57/100)</f>
        <v>27.262000642463448</v>
      </c>
      <c r="F20">
        <f>F19/(Eco!$E$57/100)</f>
        <v>27.262000642463448</v>
      </c>
      <c r="G20">
        <f>G19/(Eco!$E$57/100)</f>
        <v>27.262000642463448</v>
      </c>
      <c r="H20">
        <f>H19/(Eco!$E$57/100)</f>
        <v>69.201019561401608</v>
      </c>
      <c r="I20" s="6">
        <f>I19/(Eco!$E$57/100)</f>
        <v>51.854260983637928</v>
      </c>
      <c r="J20" s="54">
        <f>J19/(Eco!$E$57/100)</f>
        <v>141.01827282126106</v>
      </c>
      <c r="K20" s="54">
        <f>K19/(Eco!$E$57/100)</f>
        <v>152.43768439100708</v>
      </c>
      <c r="L20" s="54">
        <f>L19/(Eco!$E$57/100)</f>
        <v>156.8280955870114</v>
      </c>
      <c r="M20" s="54">
        <f>M19/(Eco!$E$57/100)</f>
        <v>133.05896443360066</v>
      </c>
      <c r="N20">
        <f>N19/(Eco!$E$57/100)</f>
        <v>52.170158810692485</v>
      </c>
      <c r="O20">
        <f>O19/(Eco!$E$57/100)</f>
        <v>40.461363431804195</v>
      </c>
      <c r="P20">
        <f>P19/(Eco!$E$57/100)</f>
        <v>23.452895675330716</v>
      </c>
      <c r="Q20">
        <f>Q19/(Eco!$E$57/100)</f>
        <v>23.452895675330716</v>
      </c>
      <c r="R20">
        <f>R19/(Eco!$E$57/100)</f>
        <v>23.452895675330716</v>
      </c>
      <c r="S20">
        <f>S19/(Eco!$E$57/100)</f>
        <v>23.452895675330716</v>
      </c>
      <c r="T20">
        <f>T19/(Eco!$E$57/100)</f>
        <v>58.633487160778834</v>
      </c>
      <c r="U20" s="6">
        <f>U19/(Eco!$E$57/100)</f>
        <v>30.489013972420338</v>
      </c>
      <c r="V20">
        <f>V19/(Eco!$E$57/100)</f>
        <v>52.170158810692485</v>
      </c>
      <c r="W20">
        <f>W22*W33</f>
        <v>185.29225452054791</v>
      </c>
      <c r="X20" s="54">
        <f>X22*X33</f>
        <v>201.65600000000001</v>
      </c>
      <c r="AF20" s="12" t="s">
        <v>179</v>
      </c>
      <c r="AG20" s="12" t="s">
        <v>1029</v>
      </c>
    </row>
    <row r="21" spans="1:54" x14ac:dyDescent="0.45">
      <c r="B21" s="12" t="s">
        <v>1026</v>
      </c>
      <c r="C21" t="s">
        <v>123</v>
      </c>
      <c r="I21">
        <f t="shared" ref="I21:O21" si="16">(I18*365)/(I34)</f>
        <v>7.7552802818797781</v>
      </c>
      <c r="J21">
        <f t="shared" si="16"/>
        <v>8.6452190825335062</v>
      </c>
      <c r="K21">
        <f t="shared" si="16"/>
        <v>6.7465183283256769</v>
      </c>
      <c r="L21">
        <f t="shared" si="16"/>
        <v>6.0445114646403955</v>
      </c>
      <c r="M21">
        <f t="shared" si="16"/>
        <v>5.0302290315317135</v>
      </c>
      <c r="N21">
        <f t="shared" si="16"/>
        <v>3.6213108528248692</v>
      </c>
      <c r="O21">
        <f t="shared" si="16"/>
        <v>2.1217761757661799</v>
      </c>
      <c r="U21">
        <f>(U18*365)/(U34)</f>
        <v>4.9270773155676064</v>
      </c>
      <c r="V21">
        <f>(V18*365)/(V34)</f>
        <v>3.6213108528248692</v>
      </c>
      <c r="W21">
        <f>W18/W33</f>
        <v>13.025466022258072</v>
      </c>
      <c r="X21">
        <f>(X18*365)/(X34)</f>
        <v>10.5</v>
      </c>
      <c r="AF21" s="12" t="s">
        <v>1026</v>
      </c>
      <c r="AG21" s="12" t="s">
        <v>123</v>
      </c>
      <c r="AU21" s="12" t="s">
        <v>1150</v>
      </c>
      <c r="AZ21" s="12" t="s">
        <v>1150</v>
      </c>
    </row>
    <row r="22" spans="1:54" x14ac:dyDescent="0.45">
      <c r="B22" s="12" t="s">
        <v>1149</v>
      </c>
      <c r="C22" t="s">
        <v>123</v>
      </c>
      <c r="D22">
        <f t="shared" ref="D22:V22" si="17">D20/D33</f>
        <v>52.426924312429705</v>
      </c>
      <c r="E22">
        <f t="shared" si="17"/>
        <v>30.007267757270338</v>
      </c>
      <c r="F22">
        <f t="shared" si="17"/>
        <v>20.171889269908434</v>
      </c>
      <c r="G22">
        <f t="shared" si="17"/>
        <v>14.958811840724669</v>
      </c>
      <c r="H22">
        <f t="shared" si="17"/>
        <v>20.47789886550084</v>
      </c>
      <c r="I22" s="6">
        <f t="shared" si="17"/>
        <v>14.925290184652068</v>
      </c>
      <c r="J22">
        <f t="shared" si="17"/>
        <v>16.638006471305555</v>
      </c>
      <c r="K22">
        <f t="shared" si="17"/>
        <v>12.983894859558532</v>
      </c>
      <c r="L22">
        <f t="shared" si="17"/>
        <v>11.632859723329947</v>
      </c>
      <c r="M22">
        <f t="shared" si="17"/>
        <v>9.6808400550385194</v>
      </c>
      <c r="N22">
        <f t="shared" si="17"/>
        <v>6.9693310058086295</v>
      </c>
      <c r="O22">
        <f t="shared" si="17"/>
        <v>4.0834275460274698</v>
      </c>
      <c r="P22">
        <f t="shared" si="17"/>
        <v>45.101722452559066</v>
      </c>
      <c r="Q22">
        <f t="shared" si="17"/>
        <v>23.593330277134324</v>
      </c>
      <c r="R22">
        <f t="shared" si="17"/>
        <v>16.614893756820692</v>
      </c>
      <c r="S22">
        <f t="shared" si="17"/>
        <v>12.512050694049616</v>
      </c>
      <c r="T22">
        <f t="shared" si="17"/>
        <v>17.764526981566394</v>
      </c>
      <c r="U22" s="6">
        <f t="shared" si="17"/>
        <v>9.4823212088007729</v>
      </c>
      <c r="V22">
        <f t="shared" si="17"/>
        <v>6.9693310058086295</v>
      </c>
      <c r="W22">
        <f>18.7</f>
        <v>18.7</v>
      </c>
      <c r="X22">
        <f>18.2</f>
        <v>18.2</v>
      </c>
      <c r="AU22" s="12" t="s">
        <v>1150</v>
      </c>
      <c r="AZ22" s="12" t="s">
        <v>1150</v>
      </c>
    </row>
    <row r="23" spans="1:54" x14ac:dyDescent="0.45">
      <c r="B23" s="12" t="s">
        <v>1054</v>
      </c>
      <c r="D23">
        <v>0.9</v>
      </c>
      <c r="E23">
        <v>0.9</v>
      </c>
      <c r="F23">
        <v>0.9</v>
      </c>
      <c r="G23">
        <v>0.9</v>
      </c>
      <c r="H23">
        <v>0.9</v>
      </c>
      <c r="I23" s="6">
        <v>0.9</v>
      </c>
      <c r="J23" s="54">
        <v>0.9</v>
      </c>
      <c r="K23" s="54">
        <v>0.9</v>
      </c>
      <c r="L23" s="54">
        <v>0.9</v>
      </c>
      <c r="M23" s="54">
        <v>0.9</v>
      </c>
      <c r="N23">
        <v>0.9</v>
      </c>
      <c r="O23">
        <v>0.9</v>
      </c>
      <c r="P23">
        <v>0.9</v>
      </c>
      <c r="Q23">
        <v>0.9</v>
      </c>
      <c r="R23">
        <v>0.9</v>
      </c>
      <c r="S23">
        <v>0.9</v>
      </c>
      <c r="T23">
        <v>0.9</v>
      </c>
      <c r="U23" s="6">
        <v>0.9</v>
      </c>
      <c r="V23">
        <v>0.9</v>
      </c>
      <c r="W23">
        <v>0.9</v>
      </c>
      <c r="X23" s="54">
        <v>0.9</v>
      </c>
      <c r="AF23" s="12" t="s">
        <v>1054</v>
      </c>
    </row>
    <row r="24" spans="1:54" ht="42.75" x14ac:dyDescent="0.45">
      <c r="B24" s="12" t="s">
        <v>1326</v>
      </c>
      <c r="C24" t="s">
        <v>772</v>
      </c>
      <c r="D24">
        <f>D14-D15</f>
        <v>5.8328600566743933</v>
      </c>
      <c r="E24">
        <f t="shared" ref="E24:V24" si="18">E14-E15</f>
        <v>5.8328600566743933</v>
      </c>
      <c r="F24">
        <f t="shared" si="18"/>
        <v>7.7266457893608855</v>
      </c>
      <c r="G24">
        <f t="shared" si="18"/>
        <v>7.7266457893608855</v>
      </c>
      <c r="H24">
        <f t="shared" si="18"/>
        <v>19.613078784128007</v>
      </c>
      <c r="I24">
        <f t="shared" si="18"/>
        <v>10.103932388314311</v>
      </c>
      <c r="J24">
        <f t="shared" si="18"/>
        <v>27.477763004904766</v>
      </c>
      <c r="K24">
        <f t="shared" si="18"/>
        <v>26.402545686932179</v>
      </c>
      <c r="L24">
        <f t="shared" si="18"/>
        <v>27.162974662549452</v>
      </c>
      <c r="M24" t="s">
        <v>47</v>
      </c>
      <c r="N24">
        <f t="shared" si="18"/>
        <v>10.165485869660458</v>
      </c>
      <c r="O24">
        <f t="shared" si="18"/>
        <v>7.8839978180956258</v>
      </c>
      <c r="P24">
        <f t="shared" si="18"/>
        <v>6.6470623339307311</v>
      </c>
      <c r="Q24">
        <f t="shared" si="18"/>
        <v>5.0178803893398651</v>
      </c>
      <c r="R24">
        <f t="shared" si="18"/>
        <v>6.6470623339307311</v>
      </c>
      <c r="S24">
        <f t="shared" si="18"/>
        <v>6.6470623339307311</v>
      </c>
      <c r="T24">
        <f t="shared" si="18"/>
        <v>12.544967984152091</v>
      </c>
      <c r="U24">
        <f t="shared" si="18"/>
        <v>6.523297908302311</v>
      </c>
      <c r="V24">
        <f t="shared" si="18"/>
        <v>10.165485869660458</v>
      </c>
      <c r="W24" t="s">
        <v>47</v>
      </c>
      <c r="X24" t="s">
        <v>47</v>
      </c>
    </row>
    <row r="25" spans="1:54" ht="57" x14ac:dyDescent="0.45">
      <c r="B25" s="12" t="s">
        <v>1327</v>
      </c>
      <c r="C25" t="s">
        <v>1328</v>
      </c>
      <c r="D25">
        <f>((D119*D10)+((D100*D102)*(1+0.2*0.475)))*365</f>
        <v>5459.3486966166374</v>
      </c>
      <c r="E25">
        <f t="shared" ref="E25:V25" si="19">((E119*E10)+((E100*E102)*(1+0.2*0.475)))*365</f>
        <v>5459.3486966166383</v>
      </c>
      <c r="F25">
        <f t="shared" si="19"/>
        <v>5393.6816763357338</v>
      </c>
      <c r="G25">
        <f t="shared" si="19"/>
        <v>5393.6816763357338</v>
      </c>
      <c r="H25">
        <f t="shared" si="19"/>
        <v>13691.154808745356</v>
      </c>
      <c r="I25">
        <f t="shared" si="19"/>
        <v>7053.1763028176574</v>
      </c>
      <c r="J25">
        <f t="shared" si="19"/>
        <v>28333.008378432423</v>
      </c>
      <c r="K25">
        <f t="shared" si="19"/>
        <v>30741.804070579485</v>
      </c>
      <c r="L25">
        <f t="shared" si="19"/>
        <v>31627.209548339455</v>
      </c>
      <c r="M25">
        <f>((M119*M10)+(((M100*M102)*(1+0.2*0.475))))*365</f>
        <v>27632.860036166385</v>
      </c>
      <c r="N25">
        <f t="shared" si="19"/>
        <v>10481.886617353637</v>
      </c>
      <c r="O25">
        <f t="shared" si="19"/>
        <v>8129.3872501838514</v>
      </c>
      <c r="P25">
        <f t="shared" si="19"/>
        <v>4640.064950479521</v>
      </c>
      <c r="Q25">
        <f t="shared" si="19"/>
        <v>4696.5568344082094</v>
      </c>
      <c r="R25">
        <f t="shared" si="19"/>
        <v>4640.064950479521</v>
      </c>
      <c r="S25">
        <f t="shared" si="19"/>
        <v>4640.064950479521</v>
      </c>
      <c r="T25">
        <f t="shared" si="19"/>
        <v>11741.641998595496</v>
      </c>
      <c r="U25">
        <f t="shared" si="19"/>
        <v>6105.5738672456664</v>
      </c>
      <c r="V25">
        <f t="shared" si="19"/>
        <v>10481.886617353637</v>
      </c>
      <c r="W25">
        <f>W18*365</f>
        <v>47108.773122322033</v>
      </c>
      <c r="X25">
        <f>((X119*X10)+(((X100*X102)*(1+0.2*0.475))))*365</f>
        <v>46498.1895</v>
      </c>
    </row>
    <row r="26" spans="1:54" ht="42.75" x14ac:dyDescent="0.45">
      <c r="A26" s="12" t="s">
        <v>1091</v>
      </c>
      <c r="B26" s="12" t="s">
        <v>1092</v>
      </c>
      <c r="C26" t="s">
        <v>1095</v>
      </c>
      <c r="D26">
        <v>0</v>
      </c>
      <c r="E26">
        <v>0</v>
      </c>
      <c r="F26">
        <v>0</v>
      </c>
      <c r="G26">
        <v>0</v>
      </c>
      <c r="H26">
        <v>0</v>
      </c>
      <c r="I26" s="6">
        <v>0</v>
      </c>
      <c r="J26">
        <v>0</v>
      </c>
      <c r="K26">
        <v>0</v>
      </c>
      <c r="L26">
        <v>0</v>
      </c>
      <c r="M26">
        <v>0</v>
      </c>
      <c r="N26">
        <f>N18*365</f>
        <v>9894.4062464695107</v>
      </c>
      <c r="O26">
        <v>0</v>
      </c>
      <c r="P26">
        <v>0</v>
      </c>
      <c r="Q26">
        <v>0</v>
      </c>
      <c r="R26">
        <v>0</v>
      </c>
      <c r="S26">
        <v>0</v>
      </c>
      <c r="T26">
        <v>0</v>
      </c>
      <c r="U26" s="6">
        <v>0</v>
      </c>
      <c r="V26">
        <v>0</v>
      </c>
      <c r="W26">
        <v>0</v>
      </c>
      <c r="X26">
        <v>4567</v>
      </c>
      <c r="AZ26" s="104" t="s">
        <v>924</v>
      </c>
    </row>
    <row r="27" spans="1:54" ht="42.75" x14ac:dyDescent="0.45">
      <c r="B27" s="12" t="s">
        <v>1094</v>
      </c>
      <c r="C27" t="s">
        <v>67</v>
      </c>
      <c r="D27">
        <v>0</v>
      </c>
      <c r="E27">
        <v>0</v>
      </c>
      <c r="F27">
        <v>0</v>
      </c>
      <c r="G27">
        <v>0</v>
      </c>
      <c r="H27">
        <v>0</v>
      </c>
      <c r="I27" s="6">
        <v>0</v>
      </c>
      <c r="J27">
        <v>0</v>
      </c>
      <c r="K27">
        <v>0</v>
      </c>
      <c r="L27">
        <v>0</v>
      </c>
      <c r="M27">
        <v>0</v>
      </c>
      <c r="N27">
        <v>0</v>
      </c>
      <c r="O27">
        <v>0</v>
      </c>
      <c r="P27">
        <v>0</v>
      </c>
      <c r="Q27">
        <v>0</v>
      </c>
      <c r="R27">
        <v>0</v>
      </c>
      <c r="S27">
        <v>0</v>
      </c>
      <c r="T27">
        <v>0</v>
      </c>
      <c r="U27" s="6">
        <v>0</v>
      </c>
      <c r="V27">
        <v>0</v>
      </c>
      <c r="W27">
        <v>0</v>
      </c>
      <c r="X27">
        <v>4.33</v>
      </c>
      <c r="AZ27" s="12" t="s">
        <v>924</v>
      </c>
    </row>
    <row r="28" spans="1:54" ht="42.75" x14ac:dyDescent="0.45">
      <c r="B28" s="12" t="s">
        <v>1093</v>
      </c>
      <c r="C28" t="s">
        <v>67</v>
      </c>
      <c r="D28">
        <v>0</v>
      </c>
      <c r="E28">
        <v>0</v>
      </c>
      <c r="F28">
        <v>0</v>
      </c>
      <c r="G28">
        <v>0</v>
      </c>
      <c r="H28">
        <v>0</v>
      </c>
      <c r="I28" s="6">
        <v>0</v>
      </c>
      <c r="J28">
        <v>0</v>
      </c>
      <c r="K28">
        <v>0</v>
      </c>
      <c r="L28">
        <v>0</v>
      </c>
      <c r="M28">
        <v>0</v>
      </c>
      <c r="N28">
        <v>0</v>
      </c>
      <c r="O28">
        <v>0</v>
      </c>
      <c r="P28">
        <v>0</v>
      </c>
      <c r="Q28">
        <v>0</v>
      </c>
      <c r="R28">
        <v>0</v>
      </c>
      <c r="S28">
        <v>0</v>
      </c>
      <c r="T28">
        <v>0</v>
      </c>
      <c r="U28" s="6">
        <v>0</v>
      </c>
      <c r="V28">
        <v>0</v>
      </c>
      <c r="W28">
        <v>0</v>
      </c>
      <c r="X28">
        <v>3.46</v>
      </c>
      <c r="AZ28" s="12" t="s">
        <v>924</v>
      </c>
    </row>
    <row r="29" spans="1:54" ht="42.75" x14ac:dyDescent="0.45">
      <c r="B29" s="12" t="s">
        <v>1090</v>
      </c>
      <c r="C29" t="s">
        <v>168</v>
      </c>
      <c r="D29">
        <v>0</v>
      </c>
      <c r="E29">
        <v>0</v>
      </c>
      <c r="F29">
        <v>0</v>
      </c>
      <c r="G29">
        <v>0</v>
      </c>
      <c r="H29">
        <v>0</v>
      </c>
      <c r="I29" s="6">
        <v>0</v>
      </c>
      <c r="J29">
        <v>0</v>
      </c>
      <c r="K29">
        <v>0</v>
      </c>
      <c r="L29">
        <v>0</v>
      </c>
      <c r="M29">
        <v>0</v>
      </c>
      <c r="N29">
        <v>0</v>
      </c>
      <c r="O29">
        <v>0</v>
      </c>
      <c r="P29">
        <v>0</v>
      </c>
      <c r="Q29">
        <v>0</v>
      </c>
      <c r="R29">
        <v>0</v>
      </c>
      <c r="S29">
        <v>0</v>
      </c>
      <c r="T29">
        <v>0</v>
      </c>
      <c r="U29" s="6">
        <v>0</v>
      </c>
      <c r="V29">
        <v>0</v>
      </c>
      <c r="W29">
        <v>4820</v>
      </c>
      <c r="X29">
        <v>4820</v>
      </c>
      <c r="AZ29" s="12" t="s">
        <v>924</v>
      </c>
    </row>
    <row r="30" spans="1:54" x14ac:dyDescent="0.45">
      <c r="A30" t="s">
        <v>1027</v>
      </c>
      <c r="B30" s="12" t="s">
        <v>1324</v>
      </c>
      <c r="C30" t="s">
        <v>1155</v>
      </c>
      <c r="D30" t="s">
        <v>47</v>
      </c>
      <c r="E30" t="s">
        <v>47</v>
      </c>
      <c r="F30">
        <f>(F31*F34)/1000</f>
        <v>0</v>
      </c>
      <c r="G30">
        <f t="shared" ref="G30:X30" si="20">(G31*G34)/1000</f>
        <v>0</v>
      </c>
      <c r="H30">
        <f t="shared" si="20"/>
        <v>0</v>
      </c>
      <c r="I30">
        <f>(I31*I34)/1000</f>
        <v>135.26432</v>
      </c>
      <c r="J30">
        <f t="shared" si="20"/>
        <v>281.51941999999997</v>
      </c>
      <c r="K30">
        <f t="shared" si="20"/>
        <v>261.40269000000001</v>
      </c>
      <c r="L30">
        <f>(L31*L34)/1000</f>
        <v>285.402804</v>
      </c>
      <c r="M30">
        <f t="shared" si="20"/>
        <v>275.92220259999999</v>
      </c>
      <c r="N30">
        <f t="shared" si="20"/>
        <v>409.8408</v>
      </c>
      <c r="O30">
        <f t="shared" si="20"/>
        <v>361.66669999999999</v>
      </c>
      <c r="P30">
        <v>0</v>
      </c>
      <c r="Q30">
        <v>0</v>
      </c>
      <c r="R30">
        <f t="shared" si="20"/>
        <v>0</v>
      </c>
      <c r="S30">
        <f t="shared" si="20"/>
        <v>0</v>
      </c>
      <c r="T30">
        <f t="shared" si="20"/>
        <v>0</v>
      </c>
      <c r="U30">
        <f>(U31*U34)/1000</f>
        <v>125.18442666666668</v>
      </c>
      <c r="V30">
        <f t="shared" si="20"/>
        <v>409.8408</v>
      </c>
      <c r="W30">
        <f t="shared" si="20"/>
        <v>397.83337000000006</v>
      </c>
      <c r="X30">
        <f t="shared" si="20"/>
        <v>404.42</v>
      </c>
    </row>
    <row r="31" spans="1:54" ht="71.25" x14ac:dyDescent="0.45">
      <c r="B31" s="12" t="s">
        <v>1028</v>
      </c>
      <c r="C31" t="s">
        <v>48</v>
      </c>
      <c r="D31">
        <v>0</v>
      </c>
      <c r="E31">
        <v>0</v>
      </c>
      <c r="F31">
        <v>125</v>
      </c>
      <c r="G31">
        <v>103</v>
      </c>
      <c r="H31">
        <v>92</v>
      </c>
      <c r="I31" s="6">
        <f>AVERAGE(F31:H31)</f>
        <v>106.66666666666667</v>
      </c>
      <c r="J31" s="54">
        <v>91</v>
      </c>
      <c r="K31" s="54">
        <v>61</v>
      </c>
      <c r="L31">
        <v>58</v>
      </c>
      <c r="M31">
        <v>55</v>
      </c>
      <c r="N31">
        <v>150</v>
      </c>
      <c r="O31">
        <v>100</v>
      </c>
      <c r="P31" t="s">
        <v>47</v>
      </c>
      <c r="Q31" t="s">
        <v>47</v>
      </c>
      <c r="R31">
        <v>125</v>
      </c>
      <c r="S31">
        <v>103</v>
      </c>
      <c r="T31">
        <v>92</v>
      </c>
      <c r="U31" s="6">
        <f>AVERAGE(P31:T31)</f>
        <v>106.66666666666667</v>
      </c>
      <c r="V31">
        <v>150</v>
      </c>
      <c r="W31">
        <f>X31*1.1</f>
        <v>110.00000000000001</v>
      </c>
      <c r="X31">
        <v>100</v>
      </c>
      <c r="AE31" s="12" t="s">
        <v>1027</v>
      </c>
      <c r="AF31" s="12" t="s">
        <v>1028</v>
      </c>
      <c r="AG31" s="12" t="s">
        <v>48</v>
      </c>
      <c r="AH31" s="12" t="s">
        <v>1108</v>
      </c>
      <c r="AI31" s="12" t="s">
        <v>1109</v>
      </c>
      <c r="AJ31" s="12" t="s">
        <v>1099</v>
      </c>
      <c r="AK31" s="12" t="s">
        <v>1100</v>
      </c>
      <c r="AL31" s="12" t="s">
        <v>1101</v>
      </c>
      <c r="AM31" s="12" t="s">
        <v>1102</v>
      </c>
      <c r="AN31" s="12" t="s">
        <v>1103</v>
      </c>
      <c r="AO31" s="12" t="s">
        <v>1104</v>
      </c>
      <c r="AP31" s="12" t="s">
        <v>1105</v>
      </c>
      <c r="AQ31" s="12" t="s">
        <v>1106</v>
      </c>
      <c r="AR31" s="12" t="s">
        <v>1107</v>
      </c>
      <c r="AU31" s="104" t="s">
        <v>1098</v>
      </c>
      <c r="AV31" s="104" t="s">
        <v>1096</v>
      </c>
      <c r="AW31" s="104" t="s">
        <v>1096</v>
      </c>
      <c r="AX31" s="12" t="s">
        <v>1110</v>
      </c>
      <c r="AY31" s="12" t="s">
        <v>1110</v>
      </c>
      <c r="AZ31" s="104" t="s">
        <v>1096</v>
      </c>
      <c r="BA31" s="12" t="s">
        <v>1110</v>
      </c>
      <c r="BB31" s="12" t="s">
        <v>1110</v>
      </c>
    </row>
    <row r="32" spans="1:54" x14ac:dyDescent="0.45">
      <c r="B32" s="12" t="s">
        <v>1325</v>
      </c>
      <c r="C32" t="s">
        <v>1220</v>
      </c>
      <c r="D32">
        <v>0</v>
      </c>
      <c r="E32">
        <v>0</v>
      </c>
      <c r="F32">
        <f t="shared" ref="F32:W32" si="21">F30/365</f>
        <v>0</v>
      </c>
      <c r="G32">
        <f t="shared" si="21"/>
        <v>0</v>
      </c>
      <c r="H32">
        <f t="shared" si="21"/>
        <v>0</v>
      </c>
      <c r="I32">
        <f>I30/365</f>
        <v>0.37058717808219177</v>
      </c>
      <c r="J32">
        <f t="shared" si="21"/>
        <v>0.77128608219178074</v>
      </c>
      <c r="K32">
        <f t="shared" si="21"/>
        <v>0.71617175342465755</v>
      </c>
      <c r="L32">
        <f t="shared" si="21"/>
        <v>0.78192549041095893</v>
      </c>
      <c r="M32">
        <f t="shared" si="21"/>
        <v>0.75595124000000002</v>
      </c>
      <c r="N32">
        <f t="shared" si="21"/>
        <v>1.122851506849315</v>
      </c>
      <c r="O32">
        <f t="shared" si="21"/>
        <v>0.99086767123287667</v>
      </c>
      <c r="P32" t="s">
        <v>47</v>
      </c>
      <c r="Q32" t="s">
        <v>47</v>
      </c>
      <c r="R32">
        <f t="shared" si="21"/>
        <v>0</v>
      </c>
      <c r="S32">
        <f t="shared" si="21"/>
        <v>0</v>
      </c>
      <c r="T32">
        <f t="shared" si="21"/>
        <v>0</v>
      </c>
      <c r="U32">
        <f t="shared" si="21"/>
        <v>0.34297103196347034</v>
      </c>
      <c r="V32">
        <f t="shared" si="21"/>
        <v>1.122851506849315</v>
      </c>
      <c r="W32">
        <f t="shared" si="21"/>
        <v>1.0899544383561646</v>
      </c>
      <c r="X32">
        <f>X30/365</f>
        <v>1.1080000000000001</v>
      </c>
      <c r="AU32" s="104"/>
      <c r="AV32" s="104"/>
      <c r="AW32" s="104"/>
      <c r="AZ32" s="104"/>
      <c r="BB32" s="12"/>
    </row>
    <row r="33" spans="1:53" x14ac:dyDescent="0.45">
      <c r="A33" t="s">
        <v>1048</v>
      </c>
      <c r="B33" s="12" t="s">
        <v>1049</v>
      </c>
      <c r="C33" t="s">
        <v>127</v>
      </c>
      <c r="D33" s="108">
        <f>D11*0.02</f>
        <v>0.52</v>
      </c>
      <c r="E33">
        <f>E11*0.02</f>
        <v>0.90851325962052143</v>
      </c>
      <c r="F33">
        <f>F11*0.02</f>
        <v>1.3514847458106833</v>
      </c>
      <c r="G33">
        <f>G11*0.02</f>
        <v>1.8224709911948969</v>
      </c>
      <c r="H33">
        <f>H11*0.02</f>
        <v>3.3793027310035559</v>
      </c>
      <c r="I33" s="6">
        <f>I34/365</f>
        <v>3.4742547945205482</v>
      </c>
      <c r="J33">
        <f t="shared" ref="J33:M33" si="22">J34/365</f>
        <v>8.4756712328767119</v>
      </c>
      <c r="K33">
        <f t="shared" si="22"/>
        <v>11.740520547945206</v>
      </c>
      <c r="L33">
        <f t="shared" si="22"/>
        <v>13.481473972602741</v>
      </c>
      <c r="M33">
        <f t="shared" si="22"/>
        <v>13.744567999999999</v>
      </c>
      <c r="N33">
        <f t="shared" ref="N33" si="23">N34/365</f>
        <v>7.4856767123287673</v>
      </c>
      <c r="O33">
        <f t="shared" ref="O33" si="24">O34/365</f>
        <v>9.9086767123287665</v>
      </c>
      <c r="P33" s="108">
        <f>P11*0.02</f>
        <v>0.52</v>
      </c>
      <c r="Q33">
        <f>Q11*0.02</f>
        <v>0.99404769906774404</v>
      </c>
      <c r="R33">
        <f>R11*0.02</f>
        <v>1.4115585701956661</v>
      </c>
      <c r="S33">
        <f>S11*0.02</f>
        <v>1.8744246046320976</v>
      </c>
      <c r="T33">
        <f>T11*0.02</f>
        <v>3.3005937744146339</v>
      </c>
      <c r="U33" s="6">
        <f>U34/365</f>
        <v>3.2153534246575344</v>
      </c>
      <c r="V33">
        <f t="shared" ref="V33:X33" si="25">V34/365</f>
        <v>7.4856767123287673</v>
      </c>
      <c r="W33">
        <f t="shared" si="25"/>
        <v>9.9086767123287665</v>
      </c>
      <c r="X33">
        <f t="shared" si="25"/>
        <v>11.08</v>
      </c>
      <c r="AE33" s="12" t="s">
        <v>1048</v>
      </c>
      <c r="AF33" s="12" t="s">
        <v>1049</v>
      </c>
      <c r="AG33" s="12" t="s">
        <v>127</v>
      </c>
    </row>
    <row r="34" spans="1:53" ht="28.5" x14ac:dyDescent="0.45">
      <c r="B34" s="12" t="s">
        <v>1323</v>
      </c>
      <c r="C34" t="s">
        <v>1178</v>
      </c>
      <c r="D34" s="108"/>
      <c r="G34" s="12"/>
      <c r="H34" s="12"/>
      <c r="I34" s="131">
        <v>1268.1030000000001</v>
      </c>
      <c r="J34" s="132">
        <v>3093.62</v>
      </c>
      <c r="K34" s="132">
        <v>4285.29</v>
      </c>
      <c r="L34" s="131">
        <v>4920.7380000000003</v>
      </c>
      <c r="M34" s="131">
        <v>5016.7673199999999</v>
      </c>
      <c r="N34" s="131">
        <v>2732.2719999999999</v>
      </c>
      <c r="O34" s="131">
        <v>3616.6669999999999</v>
      </c>
      <c r="T34" s="132"/>
      <c r="U34" s="133">
        <v>1173.604</v>
      </c>
      <c r="V34" s="134">
        <v>2732.2719999999999</v>
      </c>
      <c r="W34" s="131">
        <v>3616.6669999999999</v>
      </c>
      <c r="X34" s="132">
        <v>4044.2</v>
      </c>
      <c r="Y34" s="132"/>
      <c r="Z34" s="132"/>
      <c r="AA34" s="132"/>
      <c r="AB34" s="12"/>
      <c r="AC34" s="12"/>
      <c r="AD34" s="12"/>
    </row>
    <row r="35" spans="1:53" x14ac:dyDescent="0.45">
      <c r="B35" s="12" t="s">
        <v>1179</v>
      </c>
      <c r="C35" t="s">
        <v>1178</v>
      </c>
      <c r="D35" s="54">
        <f t="shared" ref="D35:X35" si="26">D34*(D38/100)</f>
        <v>0</v>
      </c>
      <c r="E35" s="54">
        <f t="shared" si="26"/>
        <v>0</v>
      </c>
      <c r="F35" s="54">
        <f t="shared" si="26"/>
        <v>0</v>
      </c>
      <c r="G35" s="54">
        <f t="shared" si="26"/>
        <v>0</v>
      </c>
      <c r="H35" s="54">
        <f t="shared" si="26"/>
        <v>0</v>
      </c>
      <c r="I35" s="54">
        <f t="shared" si="26"/>
        <v>665.75407500000006</v>
      </c>
      <c r="J35" s="54">
        <f t="shared" si="26"/>
        <v>1624.1505</v>
      </c>
      <c r="K35" s="54">
        <f t="shared" si="26"/>
        <v>2249.7772500000001</v>
      </c>
      <c r="L35" s="54">
        <f t="shared" si="26"/>
        <v>2583.3874500000002</v>
      </c>
      <c r="M35" s="54">
        <f t="shared" si="26"/>
        <v>2633.8028429999999</v>
      </c>
      <c r="N35" s="54">
        <f t="shared" si="26"/>
        <v>1434.4428</v>
      </c>
      <c r="O35" s="54">
        <f t="shared" si="26"/>
        <v>1898.7501750000001</v>
      </c>
      <c r="P35" s="54">
        <f t="shared" si="26"/>
        <v>0</v>
      </c>
      <c r="Q35" s="54">
        <f t="shared" si="26"/>
        <v>0</v>
      </c>
      <c r="R35" s="54">
        <f t="shared" si="26"/>
        <v>0</v>
      </c>
      <c r="S35" s="54">
        <f t="shared" si="26"/>
        <v>0</v>
      </c>
      <c r="T35" s="54">
        <f t="shared" si="26"/>
        <v>0</v>
      </c>
      <c r="U35" s="54">
        <f t="shared" si="26"/>
        <v>616.14210000000003</v>
      </c>
      <c r="V35" s="54">
        <f t="shared" si="26"/>
        <v>1434.4428</v>
      </c>
      <c r="W35" s="54">
        <f t="shared" si="26"/>
        <v>1898.7501750000001</v>
      </c>
      <c r="X35" s="54">
        <f t="shared" si="26"/>
        <v>2123.2049999999999</v>
      </c>
    </row>
    <row r="36" spans="1:53" x14ac:dyDescent="0.45">
      <c r="B36" s="12" t="s">
        <v>1180</v>
      </c>
      <c r="C36" t="s">
        <v>1178</v>
      </c>
      <c r="D36" s="54">
        <f t="shared" ref="D36:X36" si="27">D34*(D39/100)</f>
        <v>0</v>
      </c>
      <c r="E36" s="54">
        <f t="shared" si="27"/>
        <v>0</v>
      </c>
      <c r="F36" s="54">
        <f t="shared" si="27"/>
        <v>0</v>
      </c>
      <c r="G36" s="54">
        <f t="shared" si="27"/>
        <v>0</v>
      </c>
      <c r="H36" s="54">
        <f t="shared" si="27"/>
        <v>0</v>
      </c>
      <c r="I36" s="54">
        <f t="shared" si="27"/>
        <v>602.34892500000001</v>
      </c>
      <c r="J36" s="54">
        <f t="shared" si="27"/>
        <v>1469.4694999999999</v>
      </c>
      <c r="K36" s="54">
        <f t="shared" si="27"/>
        <v>2035.5127499999999</v>
      </c>
      <c r="L36" s="54">
        <f t="shared" si="27"/>
        <v>2337.3505500000001</v>
      </c>
      <c r="M36" s="54">
        <f t="shared" si="27"/>
        <v>2382.964477</v>
      </c>
      <c r="N36" s="54">
        <f t="shared" si="27"/>
        <v>1297.8291999999999</v>
      </c>
      <c r="O36" s="54">
        <f t="shared" si="27"/>
        <v>1717.9168249999998</v>
      </c>
      <c r="P36" s="54">
        <f t="shared" si="27"/>
        <v>0</v>
      </c>
      <c r="Q36" s="54">
        <f t="shared" si="27"/>
        <v>0</v>
      </c>
      <c r="R36" s="54">
        <f t="shared" si="27"/>
        <v>0</v>
      </c>
      <c r="S36" s="54">
        <f t="shared" si="27"/>
        <v>0</v>
      </c>
      <c r="T36" s="54">
        <f t="shared" si="27"/>
        <v>0</v>
      </c>
      <c r="U36" s="54">
        <f t="shared" si="27"/>
        <v>557.46190000000001</v>
      </c>
      <c r="V36" s="54">
        <f t="shared" si="27"/>
        <v>1297.8291999999999</v>
      </c>
      <c r="W36" s="54">
        <f t="shared" si="27"/>
        <v>1717.9168249999998</v>
      </c>
      <c r="X36" s="54">
        <f t="shared" si="27"/>
        <v>1920.9949999999999</v>
      </c>
    </row>
    <row r="37" spans="1:53" ht="28.5" x14ac:dyDescent="0.45">
      <c r="A37" t="s">
        <v>1030</v>
      </c>
      <c r="B37" s="12" t="s">
        <v>597</v>
      </c>
      <c r="C37" t="s">
        <v>600</v>
      </c>
      <c r="D37">
        <f t="shared" ref="D37:I37" si="28">D61*365</f>
        <v>1492.85</v>
      </c>
      <c r="E37">
        <f t="shared" si="28"/>
        <v>1492.85</v>
      </c>
      <c r="F37">
        <f t="shared" si="28"/>
        <v>1492.85</v>
      </c>
      <c r="G37">
        <f t="shared" si="28"/>
        <v>1492.85</v>
      </c>
      <c r="H37">
        <f t="shared" si="28"/>
        <v>4015</v>
      </c>
      <c r="I37" s="6">
        <f t="shared" si="28"/>
        <v>1997.2799999999997</v>
      </c>
      <c r="J37">
        <f>J61*365</f>
        <v>5657.5</v>
      </c>
      <c r="K37">
        <f>K61*365</f>
        <v>8697.3732597758662</v>
      </c>
      <c r="L37">
        <f t="shared" ref="L37:M37" si="29">L61*365</f>
        <v>11154.035691241988</v>
      </c>
      <c r="M37">
        <f t="shared" si="29"/>
        <v>11371.709231813684</v>
      </c>
      <c r="N37">
        <f t="shared" ref="N37:X37" si="30">N61*365</f>
        <v>5438.5</v>
      </c>
      <c r="O37">
        <f t="shared" si="30"/>
        <v>8193.0838621723742</v>
      </c>
      <c r="P37">
        <f t="shared" si="30"/>
        <v>2091.4500000000003</v>
      </c>
      <c r="Q37">
        <f t="shared" si="30"/>
        <v>2091.4500000000003</v>
      </c>
      <c r="R37">
        <f t="shared" si="30"/>
        <v>2091.4500000000003</v>
      </c>
      <c r="S37">
        <f t="shared" si="30"/>
        <v>2091.4500000000003</v>
      </c>
      <c r="T37">
        <f t="shared" si="30"/>
        <v>3372.6</v>
      </c>
      <c r="U37" s="6">
        <f t="shared" si="30"/>
        <v>2347.6800000000003</v>
      </c>
      <c r="V37">
        <f t="shared" si="30"/>
        <v>5438.5</v>
      </c>
      <c r="W37">
        <f t="shared" si="30"/>
        <v>8285.5</v>
      </c>
      <c r="X37">
        <f t="shared" si="30"/>
        <v>8285.5</v>
      </c>
      <c r="AE37" s="12" t="s">
        <v>1030</v>
      </c>
      <c r="AF37" s="12" t="s">
        <v>597</v>
      </c>
      <c r="AG37" s="12" t="s">
        <v>168</v>
      </c>
    </row>
    <row r="38" spans="1:53" x14ac:dyDescent="0.45">
      <c r="B38" s="12" t="s">
        <v>582</v>
      </c>
      <c r="C38" t="s">
        <v>67</v>
      </c>
      <c r="D38">
        <v>52.5</v>
      </c>
      <c r="E38">
        <v>52.5</v>
      </c>
      <c r="F38">
        <v>52.5</v>
      </c>
      <c r="G38">
        <v>52.5</v>
      </c>
      <c r="H38">
        <v>52.5</v>
      </c>
      <c r="I38" s="6">
        <v>52.5</v>
      </c>
      <c r="J38">
        <v>52.5</v>
      </c>
      <c r="K38">
        <v>52.5</v>
      </c>
      <c r="L38">
        <v>52.5</v>
      </c>
      <c r="M38">
        <v>52.5</v>
      </c>
      <c r="N38">
        <v>52.5</v>
      </c>
      <c r="O38">
        <v>52.5</v>
      </c>
      <c r="P38">
        <v>52.5</v>
      </c>
      <c r="Q38">
        <v>52.5</v>
      </c>
      <c r="R38">
        <v>52.5</v>
      </c>
      <c r="S38">
        <v>52.5</v>
      </c>
      <c r="T38">
        <v>52.5</v>
      </c>
      <c r="U38" s="6">
        <v>52.5</v>
      </c>
      <c r="V38">
        <v>52.5</v>
      </c>
      <c r="W38">
        <v>52.5</v>
      </c>
      <c r="X38">
        <v>52.5</v>
      </c>
    </row>
    <row r="39" spans="1:53" x14ac:dyDescent="0.45">
      <c r="B39" s="12" t="s">
        <v>1097</v>
      </c>
      <c r="C39" t="s">
        <v>67</v>
      </c>
      <c r="D39">
        <v>47.5</v>
      </c>
      <c r="E39">
        <v>47.5</v>
      </c>
      <c r="F39">
        <v>47.5</v>
      </c>
      <c r="G39">
        <v>47.5</v>
      </c>
      <c r="H39">
        <v>47.5</v>
      </c>
      <c r="I39" s="6">
        <v>47.5</v>
      </c>
      <c r="J39">
        <v>47.5</v>
      </c>
      <c r="K39">
        <v>47.5</v>
      </c>
      <c r="L39">
        <v>47.5</v>
      </c>
      <c r="M39">
        <v>47.5</v>
      </c>
      <c r="N39">
        <v>47.5</v>
      </c>
      <c r="O39">
        <v>47.5</v>
      </c>
      <c r="P39">
        <v>47.5</v>
      </c>
      <c r="Q39">
        <v>47.5</v>
      </c>
      <c r="R39">
        <v>47.5</v>
      </c>
      <c r="S39">
        <v>47.5</v>
      </c>
      <c r="T39">
        <v>47.5</v>
      </c>
      <c r="U39" s="6">
        <v>47.5</v>
      </c>
      <c r="V39">
        <v>47.5</v>
      </c>
      <c r="W39">
        <v>47.5</v>
      </c>
      <c r="X39">
        <v>47.5</v>
      </c>
    </row>
    <row r="40" spans="1:53" x14ac:dyDescent="0.45">
      <c r="B40" s="12" t="s">
        <v>579</v>
      </c>
      <c r="C40" t="s">
        <v>168</v>
      </c>
      <c r="D40">
        <f t="shared" ref="D40:I40" si="31">(D39*0.01)*D61</f>
        <v>1.94275</v>
      </c>
      <c r="E40">
        <f t="shared" si="31"/>
        <v>1.94275</v>
      </c>
      <c r="F40">
        <f t="shared" si="31"/>
        <v>1.94275</v>
      </c>
      <c r="G40">
        <f t="shared" si="31"/>
        <v>1.94275</v>
      </c>
      <c r="H40">
        <f t="shared" si="31"/>
        <v>5.2250000000000005</v>
      </c>
      <c r="I40" s="6">
        <f t="shared" si="31"/>
        <v>2.5992000000000002</v>
      </c>
      <c r="J40">
        <f t="shared" ref="J40:X40" si="32">(J39*0.01)*J61</f>
        <v>7.3625000000000007</v>
      </c>
      <c r="K40">
        <f t="shared" si="32"/>
        <v>11.318499447653526</v>
      </c>
      <c r="L40">
        <f t="shared" si="32"/>
        <v>14.515525899561492</v>
      </c>
      <c r="M40">
        <f t="shared" si="32"/>
        <v>14.798799685236986</v>
      </c>
      <c r="N40">
        <f t="shared" si="32"/>
        <v>7.0775000000000006</v>
      </c>
      <c r="O40">
        <f t="shared" si="32"/>
        <v>10.662232423375009</v>
      </c>
      <c r="P40">
        <f t="shared" si="32"/>
        <v>2.7217500000000006</v>
      </c>
      <c r="Q40">
        <f t="shared" si="32"/>
        <v>2.7217500000000006</v>
      </c>
      <c r="R40">
        <f t="shared" si="32"/>
        <v>2.7217500000000006</v>
      </c>
      <c r="S40">
        <f t="shared" si="32"/>
        <v>2.7217500000000006</v>
      </c>
      <c r="T40">
        <f t="shared" si="32"/>
        <v>4.3890000000000002</v>
      </c>
      <c r="U40" s="6">
        <f t="shared" si="32"/>
        <v>3.0552000000000006</v>
      </c>
      <c r="V40">
        <f t="shared" si="32"/>
        <v>7.0775000000000006</v>
      </c>
      <c r="W40">
        <f t="shared" si="32"/>
        <v>10.782500000000001</v>
      </c>
      <c r="X40">
        <f t="shared" si="32"/>
        <v>10.782500000000001</v>
      </c>
      <c r="AF40" s="12" t="s">
        <v>579</v>
      </c>
      <c r="AG40" s="12" t="s">
        <v>168</v>
      </c>
    </row>
    <row r="41" spans="1:53" x14ac:dyDescent="0.45">
      <c r="B41" s="12" t="s">
        <v>1014</v>
      </c>
      <c r="AF41" s="12" t="s">
        <v>1014</v>
      </c>
    </row>
    <row r="42" spans="1:53" x14ac:dyDescent="0.45">
      <c r="B42" s="12" t="s">
        <v>1112</v>
      </c>
      <c r="C42" t="s">
        <v>649</v>
      </c>
      <c r="D42">
        <f>0.61/4.09</f>
        <v>0.1491442542787286</v>
      </c>
      <c r="E42">
        <f>0.61/4.09</f>
        <v>0.1491442542787286</v>
      </c>
      <c r="F42">
        <f t="shared" ref="F42:G42" si="33">0.61/4.09</f>
        <v>0.1491442542787286</v>
      </c>
      <c r="G42">
        <f t="shared" si="33"/>
        <v>0.1491442542787286</v>
      </c>
      <c r="H42">
        <f>1.65/11</f>
        <v>0.15</v>
      </c>
      <c r="I42" s="6">
        <f>AVERAGE(D42:H42)</f>
        <v>0.14931540342298288</v>
      </c>
      <c r="J42">
        <f>848/5655</f>
        <v>0.14995579133510167</v>
      </c>
      <c r="K42">
        <f t="shared" ref="K42:M42" si="34">848/5655</f>
        <v>0.14995579133510167</v>
      </c>
      <c r="L42">
        <f t="shared" si="34"/>
        <v>0.14995579133510167</v>
      </c>
      <c r="M42">
        <f t="shared" si="34"/>
        <v>0.14995579133510167</v>
      </c>
      <c r="N42">
        <f>$V$42</f>
        <v>0.15004659832246039</v>
      </c>
      <c r="O42">
        <f>$V$42</f>
        <v>0.15004659832246039</v>
      </c>
      <c r="P42">
        <f>204/1358</f>
        <v>0.15022091310751104</v>
      </c>
      <c r="Q42">
        <f t="shared" ref="Q42:S42" si="35">204/1358</f>
        <v>0.15022091310751104</v>
      </c>
      <c r="R42">
        <f t="shared" si="35"/>
        <v>0.15022091310751104</v>
      </c>
      <c r="S42">
        <f t="shared" si="35"/>
        <v>0.15022091310751104</v>
      </c>
      <c r="T42">
        <f>586/3904</f>
        <v>0.15010245901639344</v>
      </c>
      <c r="U42" s="6">
        <f>AVERAGE(P42:T42)</f>
        <v>0.1501972222892875</v>
      </c>
      <c r="V42">
        <f>966/6438</f>
        <v>0.15004659832246039</v>
      </c>
      <c r="W42">
        <f>966/6438</f>
        <v>0.15004659832246039</v>
      </c>
      <c r="X42">
        <f>1243/8286</f>
        <v>0.15001206854936036</v>
      </c>
      <c r="AF42" s="12" t="s">
        <v>1033</v>
      </c>
      <c r="AG42" s="12" t="s">
        <v>67</v>
      </c>
    </row>
    <row r="43" spans="1:53" x14ac:dyDescent="0.45">
      <c r="B43" s="12" t="s">
        <v>580</v>
      </c>
      <c r="C43" t="s">
        <v>1160</v>
      </c>
      <c r="H43">
        <f t="shared" ref="H43:I43" si="36">H72*(H39/100)</f>
        <v>3.1593505847332577</v>
      </c>
      <c r="I43" s="6">
        <f t="shared" si="36"/>
        <v>3.7659390212266679</v>
      </c>
      <c r="J43">
        <f t="shared" ref="J43:O43" si="37">J72*(J39/100)</f>
        <v>7.8378760120266682</v>
      </c>
      <c r="K43">
        <f t="shared" si="37"/>
        <v>7.2777994265200014</v>
      </c>
      <c r="L43">
        <f t="shared" si="37"/>
        <v>7.9459946004320008</v>
      </c>
      <c r="M43">
        <f t="shared" si="37"/>
        <v>7.6820420166541341</v>
      </c>
      <c r="N43">
        <f t="shared" si="37"/>
        <v>11.410514326400003</v>
      </c>
      <c r="O43">
        <f t="shared" si="37"/>
        <v>10.069283150266667</v>
      </c>
      <c r="T43">
        <f>T72*(T39/100)</f>
        <v>3.0857646388097</v>
      </c>
      <c r="U43" s="6">
        <f>U72*(U39/100)</f>
        <v>3.4853013509688893</v>
      </c>
      <c r="V43">
        <f>V72*(V39/100)</f>
        <v>11.410514326400003</v>
      </c>
      <c r="W43">
        <f>W72*(W39/100)</f>
        <v>11.184325697479997</v>
      </c>
      <c r="X43">
        <f>X72*(X39/100)</f>
        <v>11.369496225454544</v>
      </c>
      <c r="AF43" s="12" t="s">
        <v>580</v>
      </c>
    </row>
    <row r="44" spans="1:53" x14ac:dyDescent="0.45">
      <c r="B44" s="12" t="s">
        <v>592</v>
      </c>
      <c r="C44" t="s">
        <v>1156</v>
      </c>
      <c r="D44">
        <f t="shared" ref="D44:I44" si="38">(D62*365)*(D39/100)</f>
        <v>927.55624999999986</v>
      </c>
      <c r="E44">
        <f t="shared" si="38"/>
        <v>927.55624999999986</v>
      </c>
      <c r="F44">
        <f t="shared" si="38"/>
        <v>927.55624999999986</v>
      </c>
      <c r="G44">
        <f t="shared" si="38"/>
        <v>927.55624999999986</v>
      </c>
      <c r="H44">
        <f t="shared" si="38"/>
        <v>1754.5550000000001</v>
      </c>
      <c r="I44" s="6">
        <f t="shared" si="38"/>
        <v>1092.9559999999999</v>
      </c>
      <c r="J44">
        <f t="shared" ref="J44:X44" si="39">(J62*365)*(J39/100)</f>
        <v>2305.8874999999998</v>
      </c>
      <c r="K44">
        <f t="shared" si="39"/>
        <v>2305.8874999999998</v>
      </c>
      <c r="L44">
        <f t="shared" si="39"/>
        <v>2305.8874999999998</v>
      </c>
      <c r="M44">
        <f t="shared" si="39"/>
        <v>2305.8874999999998</v>
      </c>
      <c r="N44">
        <f t="shared" si="39"/>
        <v>2030.2212500000001</v>
      </c>
      <c r="O44">
        <f t="shared" si="39"/>
        <v>2030.2212500000001</v>
      </c>
      <c r="P44">
        <f t="shared" si="39"/>
        <v>927.55624999999986</v>
      </c>
      <c r="Q44">
        <f t="shared" si="39"/>
        <v>927.55624999999986</v>
      </c>
      <c r="R44">
        <f t="shared" si="39"/>
        <v>927.55624999999986</v>
      </c>
      <c r="S44">
        <f t="shared" si="39"/>
        <v>927.55624999999986</v>
      </c>
      <c r="T44">
        <f t="shared" si="39"/>
        <v>1754.5550000000001</v>
      </c>
      <c r="U44" s="6">
        <f t="shared" si="39"/>
        <v>1092.9559999999999</v>
      </c>
      <c r="V44">
        <f t="shared" si="39"/>
        <v>2030.2212500000001</v>
      </c>
      <c r="W44">
        <f t="shared" si="39"/>
        <v>2857.22</v>
      </c>
      <c r="X44">
        <f t="shared" si="39"/>
        <v>2857.22</v>
      </c>
      <c r="AF44" s="12" t="s">
        <v>592</v>
      </c>
    </row>
    <row r="45" spans="1:53" x14ac:dyDescent="0.45">
      <c r="B45" s="12" t="s">
        <v>594</v>
      </c>
      <c r="C45" t="s">
        <v>1160</v>
      </c>
      <c r="D45">
        <f t="shared" ref="D45:I45" si="40">D64*(D39/100)</f>
        <v>6.9349999999999996</v>
      </c>
      <c r="E45">
        <f t="shared" si="40"/>
        <v>6.9349999999999996</v>
      </c>
      <c r="F45">
        <f t="shared" si="40"/>
        <v>6.9349999999999996</v>
      </c>
      <c r="G45">
        <f t="shared" si="40"/>
        <v>6.9349999999999996</v>
      </c>
      <c r="H45">
        <f t="shared" si="40"/>
        <v>17.717499999999998</v>
      </c>
      <c r="I45" s="6">
        <f t="shared" si="40"/>
        <v>9.0914999999999981</v>
      </c>
      <c r="J45">
        <f t="shared" ref="J45:X45" si="41">J64*(J39/100)</f>
        <v>22.61</v>
      </c>
      <c r="K45">
        <f t="shared" si="41"/>
        <v>22.61</v>
      </c>
      <c r="L45">
        <f t="shared" si="41"/>
        <v>22.61</v>
      </c>
      <c r="M45">
        <f t="shared" si="41"/>
        <v>22.61</v>
      </c>
      <c r="N45">
        <f t="shared" si="41"/>
        <v>18.192499999999999</v>
      </c>
      <c r="O45">
        <f t="shared" si="41"/>
        <v>18.192499999999999</v>
      </c>
      <c r="P45">
        <f t="shared" si="41"/>
        <v>6.9349999999999996</v>
      </c>
      <c r="Q45">
        <f t="shared" si="41"/>
        <v>6.9349999999999996</v>
      </c>
      <c r="R45">
        <f t="shared" si="41"/>
        <v>6.9349999999999996</v>
      </c>
      <c r="S45">
        <f t="shared" si="41"/>
        <v>6.9349999999999996</v>
      </c>
      <c r="T45">
        <f t="shared" si="41"/>
        <v>14.297499999999999</v>
      </c>
      <c r="U45" s="6">
        <f t="shared" si="41"/>
        <v>8.4074999999999989</v>
      </c>
      <c r="V45">
        <f t="shared" si="41"/>
        <v>18.192499999999999</v>
      </c>
      <c r="W45">
        <f t="shared" si="41"/>
        <v>21.849999999999998</v>
      </c>
      <c r="X45">
        <f t="shared" si="41"/>
        <v>21.849999999999998</v>
      </c>
      <c r="AF45" s="12" t="s">
        <v>594</v>
      </c>
    </row>
    <row r="46" spans="1:53" x14ac:dyDescent="0.45">
      <c r="B46" s="12" t="s">
        <v>595</v>
      </c>
      <c r="C46" t="s">
        <v>1160</v>
      </c>
      <c r="D46" t="s">
        <v>47</v>
      </c>
      <c r="E46" t="s">
        <v>47</v>
      </c>
      <c r="F46" t="s">
        <v>47</v>
      </c>
      <c r="G46" t="s">
        <v>47</v>
      </c>
      <c r="H46">
        <f t="shared" ref="H46:I46" si="42">H45+H43</f>
        <v>20.876850584733255</v>
      </c>
      <c r="I46" s="6">
        <f t="shared" si="42"/>
        <v>12.857439021226666</v>
      </c>
      <c r="J46">
        <f t="shared" ref="J46:O46" si="43">J45+J43</f>
        <v>30.447876012026668</v>
      </c>
      <c r="K46">
        <f t="shared" si="43"/>
        <v>29.887799426520001</v>
      </c>
      <c r="L46">
        <f t="shared" si="43"/>
        <v>30.555994600432001</v>
      </c>
      <c r="M46">
        <f t="shared" si="43"/>
        <v>30.292042016654133</v>
      </c>
      <c r="N46">
        <f t="shared" si="43"/>
        <v>29.6030143264</v>
      </c>
      <c r="O46">
        <f t="shared" si="43"/>
        <v>28.261783150266666</v>
      </c>
      <c r="P46" t="s">
        <v>47</v>
      </c>
      <c r="Q46" t="s">
        <v>47</v>
      </c>
      <c r="R46" t="s">
        <v>47</v>
      </c>
      <c r="S46" t="s">
        <v>47</v>
      </c>
      <c r="T46">
        <f>T45+T43</f>
        <v>17.383264638809699</v>
      </c>
      <c r="U46" s="6">
        <f>U45+U43</f>
        <v>11.892801350968888</v>
      </c>
      <c r="V46">
        <f>V45+V43</f>
        <v>29.6030143264</v>
      </c>
      <c r="W46">
        <f>W45+W43</f>
        <v>33.034325697479993</v>
      </c>
      <c r="X46">
        <f>X45+X43</f>
        <v>33.219496225454542</v>
      </c>
      <c r="AF46" s="12" t="s">
        <v>595</v>
      </c>
    </row>
    <row r="47" spans="1:53" x14ac:dyDescent="0.45">
      <c r="B47" s="12" t="s">
        <v>897</v>
      </c>
      <c r="C47" t="s">
        <v>1155</v>
      </c>
      <c r="D47">
        <v>3.2</v>
      </c>
      <c r="E47">
        <v>3.2</v>
      </c>
      <c r="F47">
        <v>3.2</v>
      </c>
      <c r="G47">
        <v>3.2</v>
      </c>
      <c r="H47">
        <v>5.41</v>
      </c>
      <c r="I47" s="6">
        <f>AVERAGE(D47:H47)</f>
        <v>3.6420000000000003</v>
      </c>
      <c r="J47" s="54">
        <v>7.55</v>
      </c>
      <c r="K47" s="54">
        <v>7.55</v>
      </c>
      <c r="L47" s="54">
        <v>7.55</v>
      </c>
      <c r="M47" s="54">
        <v>7.55</v>
      </c>
      <c r="N47">
        <v>6.81</v>
      </c>
      <c r="O47">
        <v>6.81</v>
      </c>
      <c r="P47">
        <v>3.1</v>
      </c>
      <c r="Q47">
        <v>3.1</v>
      </c>
      <c r="R47">
        <v>3.1</v>
      </c>
      <c r="S47">
        <v>3.1</v>
      </c>
      <c r="T47">
        <v>4.6900000000000004</v>
      </c>
      <c r="U47" s="6">
        <f>AVERAGE(P47:T47)</f>
        <v>3.4180000000000001</v>
      </c>
      <c r="V47">
        <v>6.81</v>
      </c>
      <c r="W47">
        <v>9.99</v>
      </c>
      <c r="X47">
        <v>9.99</v>
      </c>
      <c r="AF47" s="12" t="s">
        <v>897</v>
      </c>
      <c r="AH47" s="12" t="s">
        <v>1158</v>
      </c>
      <c r="AI47" s="12" t="s">
        <v>1158</v>
      </c>
      <c r="AJ47" s="12" t="s">
        <v>1158</v>
      </c>
      <c r="AK47" s="12" t="s">
        <v>1158</v>
      </c>
      <c r="AL47" s="12" t="s">
        <v>1158</v>
      </c>
      <c r="AN47" s="12" t="s">
        <v>1132</v>
      </c>
      <c r="AO47" s="12" t="s">
        <v>1132</v>
      </c>
      <c r="AP47" s="12" t="s">
        <v>1132</v>
      </c>
      <c r="AQ47" s="12" t="s">
        <v>1132</v>
      </c>
      <c r="AR47" s="12" t="s">
        <v>1132</v>
      </c>
      <c r="AT47" s="12" t="s">
        <v>1158</v>
      </c>
      <c r="AU47" s="12" t="s">
        <v>1131</v>
      </c>
      <c r="AV47" s="12" t="s">
        <v>1158</v>
      </c>
      <c r="AW47" s="12" t="s">
        <v>1158</v>
      </c>
      <c r="AX47" s="12" t="s">
        <v>1132</v>
      </c>
      <c r="AY47" s="12" t="s">
        <v>1132</v>
      </c>
      <c r="AZ47" s="12" t="s">
        <v>1131</v>
      </c>
      <c r="BA47" s="12" t="s">
        <v>1132</v>
      </c>
    </row>
    <row r="48" spans="1:53" x14ac:dyDescent="0.45">
      <c r="B48" s="12" t="s">
        <v>898</v>
      </c>
      <c r="D48">
        <v>4.2</v>
      </c>
      <c r="E48">
        <v>4.2</v>
      </c>
      <c r="F48">
        <v>4.2</v>
      </c>
      <c r="G48">
        <v>4.2</v>
      </c>
      <c r="H48">
        <v>12.2</v>
      </c>
      <c r="I48" s="6">
        <f>AVERAGE(D48:H48)</f>
        <v>5.8</v>
      </c>
      <c r="J48">
        <v>56.5</v>
      </c>
      <c r="K48">
        <v>56.5</v>
      </c>
      <c r="L48">
        <v>56.5</v>
      </c>
      <c r="M48">
        <v>56.5</v>
      </c>
      <c r="N48">
        <v>15.9</v>
      </c>
      <c r="O48">
        <v>15.9</v>
      </c>
      <c r="P48">
        <v>3.91</v>
      </c>
      <c r="Q48">
        <v>3.91</v>
      </c>
      <c r="R48">
        <v>3.91</v>
      </c>
      <c r="S48">
        <v>3.91</v>
      </c>
      <c r="T48">
        <v>11.5</v>
      </c>
      <c r="U48" s="6">
        <f>AVERAGE(P48:T48)</f>
        <v>5.4279999999999999</v>
      </c>
      <c r="V48">
        <v>15.9</v>
      </c>
      <c r="W48">
        <v>21.3</v>
      </c>
      <c r="X48">
        <v>21.3</v>
      </c>
      <c r="AF48" s="12" t="s">
        <v>898</v>
      </c>
      <c r="AH48" s="12" t="s">
        <v>1158</v>
      </c>
      <c r="AI48" s="12" t="s">
        <v>1158</v>
      </c>
      <c r="AJ48" s="12" t="s">
        <v>1158</v>
      </c>
      <c r="AK48" s="12" t="s">
        <v>1158</v>
      </c>
      <c r="AL48" s="12" t="s">
        <v>1158</v>
      </c>
      <c r="AN48" s="12" t="s">
        <v>1132</v>
      </c>
      <c r="AO48" s="12" t="s">
        <v>1132</v>
      </c>
      <c r="AP48" s="12" t="s">
        <v>1132</v>
      </c>
      <c r="AQ48" s="12" t="s">
        <v>1132</v>
      </c>
      <c r="AR48" s="12" t="s">
        <v>1132</v>
      </c>
      <c r="AT48" s="12" t="s">
        <v>1158</v>
      </c>
      <c r="AU48" s="12" t="s">
        <v>1131</v>
      </c>
      <c r="AV48" s="12" t="s">
        <v>1158</v>
      </c>
      <c r="AW48" s="12" t="s">
        <v>1158</v>
      </c>
      <c r="AX48" s="12" t="s">
        <v>1132</v>
      </c>
      <c r="AY48" s="12" t="s">
        <v>1132</v>
      </c>
      <c r="AZ48" s="12" t="s">
        <v>1131</v>
      </c>
      <c r="BA48" s="12" t="s">
        <v>1132</v>
      </c>
    </row>
    <row r="49" spans="2:53" ht="14.25" customHeight="1" x14ac:dyDescent="0.45">
      <c r="B49" s="12" t="s">
        <v>1223</v>
      </c>
      <c r="C49" t="s">
        <v>1155</v>
      </c>
      <c r="D49">
        <f t="shared" ref="D49:I49" si="44">D37*0.364</f>
        <v>543.39739999999995</v>
      </c>
      <c r="E49">
        <f t="shared" si="44"/>
        <v>543.39739999999995</v>
      </c>
      <c r="F49">
        <f t="shared" si="44"/>
        <v>543.39739999999995</v>
      </c>
      <c r="G49">
        <f t="shared" si="44"/>
        <v>543.39739999999995</v>
      </c>
      <c r="H49">
        <f t="shared" si="44"/>
        <v>1461.46</v>
      </c>
      <c r="I49">
        <f t="shared" si="44"/>
        <v>727.00991999999985</v>
      </c>
      <c r="J49">
        <f t="shared" ref="J49:X49" si="45">J37*0.364</f>
        <v>2059.33</v>
      </c>
      <c r="K49">
        <f t="shared" si="45"/>
        <v>3165.8438665584154</v>
      </c>
      <c r="L49">
        <f t="shared" si="45"/>
        <v>4060.0689916120837</v>
      </c>
      <c r="M49">
        <f t="shared" si="45"/>
        <v>4139.3021603801808</v>
      </c>
      <c r="N49">
        <f t="shared" si="45"/>
        <v>1979.614</v>
      </c>
      <c r="O49">
        <f t="shared" si="45"/>
        <v>2982.2825258307439</v>
      </c>
      <c r="P49">
        <f t="shared" si="45"/>
        <v>761.28780000000006</v>
      </c>
      <c r="Q49">
        <f t="shared" si="45"/>
        <v>761.28780000000006</v>
      </c>
      <c r="R49">
        <f t="shared" si="45"/>
        <v>761.28780000000006</v>
      </c>
      <c r="S49">
        <f t="shared" si="45"/>
        <v>761.28780000000006</v>
      </c>
      <c r="T49">
        <f t="shared" si="45"/>
        <v>1227.6263999999999</v>
      </c>
      <c r="U49">
        <f t="shared" si="45"/>
        <v>854.55552000000012</v>
      </c>
      <c r="V49">
        <f t="shared" si="45"/>
        <v>1979.614</v>
      </c>
      <c r="W49">
        <f t="shared" si="45"/>
        <v>3015.922</v>
      </c>
      <c r="X49">
        <f t="shared" si="45"/>
        <v>3015.922</v>
      </c>
      <c r="AH49" t="s">
        <v>1224</v>
      </c>
      <c r="AI49" t="s">
        <v>1224</v>
      </c>
      <c r="AJ49" t="s">
        <v>1224</v>
      </c>
      <c r="AK49" t="s">
        <v>1224</v>
      </c>
      <c r="AL49" t="s">
        <v>1224</v>
      </c>
      <c r="AM49" t="s">
        <v>1224</v>
      </c>
      <c r="AN49" t="s">
        <v>1224</v>
      </c>
      <c r="AO49" t="s">
        <v>1224</v>
      </c>
      <c r="AP49" t="s">
        <v>1224</v>
      </c>
      <c r="AQ49" t="s">
        <v>1224</v>
      </c>
      <c r="AR49" t="s">
        <v>1224</v>
      </c>
      <c r="AS49" t="s">
        <v>1224</v>
      </c>
      <c r="AT49" t="s">
        <v>1224</v>
      </c>
      <c r="AU49" t="s">
        <v>1224</v>
      </c>
      <c r="AV49" t="s">
        <v>1224</v>
      </c>
      <c r="AW49" t="s">
        <v>1224</v>
      </c>
      <c r="AX49" t="s">
        <v>1224</v>
      </c>
      <c r="AY49" t="s">
        <v>1224</v>
      </c>
      <c r="AZ49" t="s">
        <v>1224</v>
      </c>
      <c r="BA49" t="s">
        <v>1224</v>
      </c>
    </row>
    <row r="50" spans="2:53" x14ac:dyDescent="0.45">
      <c r="B50" s="12" t="s">
        <v>581</v>
      </c>
      <c r="C50" t="s">
        <v>591</v>
      </c>
      <c r="D50">
        <f t="shared" ref="D50:I50" si="46">D37*(D38/100)</f>
        <v>783.74625000000003</v>
      </c>
      <c r="E50">
        <f t="shared" si="46"/>
        <v>783.74625000000003</v>
      </c>
      <c r="F50">
        <f t="shared" si="46"/>
        <v>783.74625000000003</v>
      </c>
      <c r="G50">
        <f t="shared" si="46"/>
        <v>783.74625000000003</v>
      </c>
      <c r="H50">
        <f t="shared" si="46"/>
        <v>2107.875</v>
      </c>
      <c r="I50" s="6">
        <f t="shared" si="46"/>
        <v>1048.5719999999999</v>
      </c>
      <c r="J50">
        <f t="shared" ref="J50:X50" si="47">J37*(J38/100)</f>
        <v>2970.1875</v>
      </c>
      <c r="K50">
        <f t="shared" si="47"/>
        <v>4566.1209613823303</v>
      </c>
      <c r="L50">
        <f t="shared" si="47"/>
        <v>5855.8687379020439</v>
      </c>
      <c r="M50">
        <f t="shared" si="47"/>
        <v>5970.1473467021842</v>
      </c>
      <c r="N50">
        <f t="shared" si="47"/>
        <v>2855.2125000000001</v>
      </c>
      <c r="O50">
        <f t="shared" si="47"/>
        <v>4301.3690276404968</v>
      </c>
      <c r="P50">
        <f t="shared" si="47"/>
        <v>1098.0112500000002</v>
      </c>
      <c r="Q50">
        <f t="shared" si="47"/>
        <v>1098.0112500000002</v>
      </c>
      <c r="R50">
        <f t="shared" si="47"/>
        <v>1098.0112500000002</v>
      </c>
      <c r="S50">
        <f t="shared" si="47"/>
        <v>1098.0112500000002</v>
      </c>
      <c r="T50">
        <f t="shared" si="47"/>
        <v>1770.615</v>
      </c>
      <c r="U50" s="6">
        <f t="shared" si="47"/>
        <v>1232.5320000000002</v>
      </c>
      <c r="V50">
        <f t="shared" si="47"/>
        <v>2855.2125000000001</v>
      </c>
      <c r="W50">
        <f t="shared" si="47"/>
        <v>4349.8874999999998</v>
      </c>
      <c r="X50">
        <f t="shared" si="47"/>
        <v>4349.8874999999998</v>
      </c>
      <c r="AF50" s="12" t="s">
        <v>581</v>
      </c>
    </row>
    <row r="51" spans="2:53" x14ac:dyDescent="0.45">
      <c r="B51" s="12" t="s">
        <v>1016</v>
      </c>
      <c r="C51" t="s">
        <v>1161</v>
      </c>
      <c r="D51">
        <f t="shared" ref="D51:I51" si="48">D50*D42</f>
        <v>116.89125</v>
      </c>
      <c r="E51">
        <f t="shared" si="48"/>
        <v>116.89125</v>
      </c>
      <c r="F51">
        <f t="shared" si="48"/>
        <v>116.89125</v>
      </c>
      <c r="G51">
        <f t="shared" si="48"/>
        <v>116.89125</v>
      </c>
      <c r="H51">
        <f t="shared" si="48"/>
        <v>316.18124999999998</v>
      </c>
      <c r="I51" s="6">
        <f t="shared" si="48"/>
        <v>156.567951198044</v>
      </c>
      <c r="J51">
        <f t="shared" ref="J51:X51" si="49">J50*J42</f>
        <v>445.3968169761273</v>
      </c>
      <c r="K51">
        <f t="shared" si="49"/>
        <v>684.71628209588255</v>
      </c>
      <c r="L51">
        <f t="shared" si="49"/>
        <v>878.12143054658407</v>
      </c>
      <c r="M51">
        <f t="shared" si="49"/>
        <v>895.25816976188366</v>
      </c>
      <c r="N51">
        <f t="shared" si="49"/>
        <v>428.41492311276795</v>
      </c>
      <c r="O51">
        <f t="shared" si="49"/>
        <v>645.40579072704566</v>
      </c>
      <c r="P51">
        <f t="shared" si="49"/>
        <v>164.94425257731962</v>
      </c>
      <c r="Q51">
        <f t="shared" si="49"/>
        <v>164.94425257731962</v>
      </c>
      <c r="R51">
        <f t="shared" si="49"/>
        <v>164.94425257731962</v>
      </c>
      <c r="S51">
        <f t="shared" si="49"/>
        <v>164.94425257731962</v>
      </c>
      <c r="T51">
        <f t="shared" si="49"/>
        <v>265.77366547131146</v>
      </c>
      <c r="U51" s="6">
        <f t="shared" si="49"/>
        <v>185.12288278266013</v>
      </c>
      <c r="V51">
        <f t="shared" si="49"/>
        <v>428.41492311276795</v>
      </c>
      <c r="W51">
        <f t="shared" si="49"/>
        <v>652.68582246039136</v>
      </c>
      <c r="X51">
        <f t="shared" si="49"/>
        <v>652.53562183200575</v>
      </c>
      <c r="AF51" s="12" t="s">
        <v>1016</v>
      </c>
      <c r="AX51" s="107"/>
      <c r="AY51" s="107"/>
      <c r="BA51" s="94"/>
    </row>
    <row r="52" spans="2:53" x14ac:dyDescent="0.45">
      <c r="B52" s="12" t="s">
        <v>605</v>
      </c>
      <c r="C52" t="s">
        <v>1162</v>
      </c>
      <c r="D52" t="s">
        <v>47</v>
      </c>
      <c r="E52" t="s">
        <v>47</v>
      </c>
      <c r="F52" t="s">
        <v>47</v>
      </c>
      <c r="G52" t="s">
        <v>47</v>
      </c>
      <c r="H52">
        <f>H72*(H38/100)</f>
        <v>3.4919138041788638</v>
      </c>
      <c r="I52" s="6">
        <f t="shared" ref="I52" si="50">I72*(I38/100)</f>
        <v>4.1623536550400013</v>
      </c>
      <c r="J52">
        <f t="shared" ref="J52:O52" si="51">J72*(J38/100)</f>
        <v>8.6629155922400027</v>
      </c>
      <c r="K52">
        <f t="shared" si="51"/>
        <v>8.0438835766800025</v>
      </c>
      <c r="L52">
        <f t="shared" si="51"/>
        <v>8.7824150846880009</v>
      </c>
      <c r="M52">
        <f t="shared" si="51"/>
        <v>8.4906780184072019</v>
      </c>
      <c r="N52">
        <f t="shared" si="51"/>
        <v>12.611621097600006</v>
      </c>
      <c r="O52">
        <f t="shared" si="51"/>
        <v>11.129207692400001</v>
      </c>
      <c r="P52" t="s">
        <v>47</v>
      </c>
      <c r="Q52" t="s">
        <v>47</v>
      </c>
      <c r="R52" t="s">
        <v>47</v>
      </c>
      <c r="S52" t="s">
        <v>47</v>
      </c>
      <c r="T52">
        <f>T72*(T38/100)</f>
        <v>3.4105819692107215</v>
      </c>
      <c r="U52" s="6">
        <f>U72*(U38/100)</f>
        <v>3.852175177386667</v>
      </c>
      <c r="V52">
        <f>V72*(V38/100)</f>
        <v>12.611621097600006</v>
      </c>
      <c r="W52">
        <f>W72*(W38/100)</f>
        <v>12.361623139319997</v>
      </c>
      <c r="X52">
        <f>X72*(X38/100)</f>
        <v>12.56628530181818</v>
      </c>
      <c r="AF52" s="12" t="s">
        <v>605</v>
      </c>
      <c r="AX52" s="107"/>
      <c r="AY52" s="107"/>
      <c r="BA52" s="94"/>
    </row>
    <row r="53" spans="2:53" x14ac:dyDescent="0.45">
      <c r="B53" s="12" t="s">
        <v>606</v>
      </c>
      <c r="C53" t="s">
        <v>1162</v>
      </c>
      <c r="D53">
        <f t="shared" ref="D53:I53" si="52">D64*(D38/100)</f>
        <v>7.665</v>
      </c>
      <c r="E53">
        <f t="shared" si="52"/>
        <v>7.665</v>
      </c>
      <c r="F53">
        <f t="shared" si="52"/>
        <v>7.665</v>
      </c>
      <c r="G53">
        <f t="shared" si="52"/>
        <v>7.665</v>
      </c>
      <c r="H53">
        <f t="shared" si="52"/>
        <v>19.5825</v>
      </c>
      <c r="I53" s="6">
        <f t="shared" si="52"/>
        <v>10.048499999999999</v>
      </c>
      <c r="J53">
        <f t="shared" ref="J53:X53" si="53">J64*(J38/100)</f>
        <v>24.990000000000002</v>
      </c>
      <c r="K53">
        <f t="shared" si="53"/>
        <v>24.990000000000002</v>
      </c>
      <c r="L53">
        <f t="shared" si="53"/>
        <v>24.990000000000002</v>
      </c>
      <c r="M53">
        <f t="shared" si="53"/>
        <v>24.990000000000002</v>
      </c>
      <c r="N53">
        <f t="shared" si="53"/>
        <v>20.107499999999998</v>
      </c>
      <c r="O53">
        <f t="shared" si="53"/>
        <v>20.107499999999998</v>
      </c>
      <c r="P53">
        <f t="shared" si="53"/>
        <v>7.665</v>
      </c>
      <c r="Q53">
        <f t="shared" si="53"/>
        <v>7.665</v>
      </c>
      <c r="R53">
        <f t="shared" si="53"/>
        <v>7.665</v>
      </c>
      <c r="S53">
        <f t="shared" si="53"/>
        <v>7.665</v>
      </c>
      <c r="T53">
        <f t="shared" si="53"/>
        <v>15.802500000000002</v>
      </c>
      <c r="U53" s="6">
        <f t="shared" si="53"/>
        <v>9.2925000000000004</v>
      </c>
      <c r="V53">
        <f t="shared" si="53"/>
        <v>20.107499999999998</v>
      </c>
      <c r="W53">
        <f t="shared" si="53"/>
        <v>24.150000000000002</v>
      </c>
      <c r="X53">
        <f t="shared" si="53"/>
        <v>24.150000000000002</v>
      </c>
      <c r="AF53" s="12" t="s">
        <v>606</v>
      </c>
      <c r="AX53" s="107"/>
      <c r="AY53" s="107"/>
      <c r="BA53" s="94"/>
    </row>
    <row r="54" spans="2:53" x14ac:dyDescent="0.45">
      <c r="B54" s="12" t="s">
        <v>607</v>
      </c>
      <c r="C54" t="s">
        <v>1162</v>
      </c>
      <c r="D54">
        <f t="shared" ref="D54:I54" si="54">SUM(D53,D52)</f>
        <v>7.665</v>
      </c>
      <c r="E54">
        <f t="shared" si="54"/>
        <v>7.665</v>
      </c>
      <c r="F54">
        <f t="shared" si="54"/>
        <v>7.665</v>
      </c>
      <c r="G54">
        <f t="shared" si="54"/>
        <v>7.665</v>
      </c>
      <c r="H54">
        <f t="shared" si="54"/>
        <v>23.074413804178864</v>
      </c>
      <c r="I54" s="6">
        <f t="shared" si="54"/>
        <v>14.210853655040001</v>
      </c>
      <c r="J54">
        <f t="shared" ref="J54:X54" si="55">SUM(J53,J52)</f>
        <v>33.652915592240007</v>
      </c>
      <c r="K54">
        <f t="shared" si="55"/>
        <v>33.033883576680005</v>
      </c>
      <c r="L54">
        <f t="shared" si="55"/>
        <v>33.772415084688006</v>
      </c>
      <c r="M54">
        <f t="shared" si="55"/>
        <v>33.480678018407204</v>
      </c>
      <c r="N54">
        <f t="shared" si="55"/>
        <v>32.719121097600002</v>
      </c>
      <c r="O54">
        <f t="shared" si="55"/>
        <v>31.2367076924</v>
      </c>
      <c r="P54">
        <f t="shared" si="55"/>
        <v>7.665</v>
      </c>
      <c r="Q54">
        <f t="shared" si="55"/>
        <v>7.665</v>
      </c>
      <c r="R54">
        <f t="shared" si="55"/>
        <v>7.665</v>
      </c>
      <c r="S54">
        <f t="shared" si="55"/>
        <v>7.665</v>
      </c>
      <c r="T54">
        <f t="shared" si="55"/>
        <v>19.213081969210723</v>
      </c>
      <c r="U54" s="6">
        <f t="shared" si="55"/>
        <v>13.144675177386667</v>
      </c>
      <c r="V54">
        <f t="shared" si="55"/>
        <v>32.719121097600002</v>
      </c>
      <c r="W54">
        <f t="shared" si="55"/>
        <v>36.511623139320001</v>
      </c>
      <c r="X54">
        <f t="shared" si="55"/>
        <v>36.716285301818182</v>
      </c>
      <c r="AF54" s="12" t="s">
        <v>607</v>
      </c>
    </row>
    <row r="55" spans="2:53" ht="28.5" x14ac:dyDescent="0.45">
      <c r="B55" s="12" t="s">
        <v>645</v>
      </c>
      <c r="C55" t="s">
        <v>631</v>
      </c>
      <c r="D55">
        <f t="shared" ref="D55:X55" si="56">(D56*D33)/16</f>
        <v>0.60847561206264889</v>
      </c>
      <c r="E55">
        <f t="shared" si="56"/>
        <v>0.95206395423040235</v>
      </c>
      <c r="F55">
        <f t="shared" si="56"/>
        <v>1.1685240478393915</v>
      </c>
      <c r="G55">
        <f t="shared" si="56"/>
        <v>1.2416652876987939</v>
      </c>
      <c r="H55">
        <f t="shared" si="56"/>
        <v>2.0958573349970275</v>
      </c>
      <c r="I55" s="6">
        <f t="shared" si="56"/>
        <v>3.0463772659862531</v>
      </c>
      <c r="J55">
        <f t="shared" si="56"/>
        <v>5.2566458635011433</v>
      </c>
      <c r="K55">
        <f t="shared" si="56"/>
        <v>7.2815187231795804</v>
      </c>
      <c r="L55">
        <f t="shared" si="56"/>
        <v>8.3612651369828512</v>
      </c>
      <c r="M55">
        <f t="shared" si="56"/>
        <v>8.524437125705715</v>
      </c>
      <c r="N55">
        <f t="shared" si="56"/>
        <v>4.6426472245330697</v>
      </c>
      <c r="O55">
        <f t="shared" si="56"/>
        <v>6.1454017058368793</v>
      </c>
      <c r="P55">
        <f t="shared" si="56"/>
        <v>0.60847561206264889</v>
      </c>
      <c r="Q55">
        <f t="shared" si="56"/>
        <v>1.0416985916786416</v>
      </c>
      <c r="R55">
        <f t="shared" si="56"/>
        <v>1.2204652248723775</v>
      </c>
      <c r="S55">
        <f t="shared" si="56"/>
        <v>1.2770617349877567</v>
      </c>
      <c r="T55">
        <f t="shared" si="56"/>
        <v>2.0470417191353896</v>
      </c>
      <c r="U55" s="6">
        <f t="shared" si="56"/>
        <v>2.8193613175511221</v>
      </c>
      <c r="V55">
        <f t="shared" si="56"/>
        <v>4.6426472245330697</v>
      </c>
      <c r="W55">
        <f t="shared" si="56"/>
        <v>5.0990821187128024</v>
      </c>
      <c r="X55">
        <f t="shared" si="56"/>
        <v>5.7018541946212675</v>
      </c>
      <c r="AF55" s="12" t="s">
        <v>645</v>
      </c>
      <c r="AH55" s="12" t="s">
        <v>1114</v>
      </c>
      <c r="AI55" s="12" t="s">
        <v>1114</v>
      </c>
      <c r="AJ55" s="12" t="s">
        <v>1114</v>
      </c>
      <c r="AK55" s="12" t="s">
        <v>1114</v>
      </c>
      <c r="AL55" s="12" t="s">
        <v>1114</v>
      </c>
      <c r="AM55" s="12" t="s">
        <v>1114</v>
      </c>
      <c r="AN55" s="12" t="s">
        <v>1114</v>
      </c>
      <c r="AO55" s="12" t="s">
        <v>1114</v>
      </c>
      <c r="AP55" s="12" t="s">
        <v>1114</v>
      </c>
      <c r="AQ55" s="12" t="s">
        <v>1114</v>
      </c>
      <c r="AR55" s="12" t="s">
        <v>1114</v>
      </c>
      <c r="AS55" s="12" t="s">
        <v>1114</v>
      </c>
      <c r="AT55" s="12" t="s">
        <v>1114</v>
      </c>
      <c r="AU55" s="12" t="s">
        <v>1114</v>
      </c>
      <c r="AV55" s="12" t="s">
        <v>1114</v>
      </c>
      <c r="AW55" s="12" t="s">
        <v>1114</v>
      </c>
      <c r="AX55" s="12" t="s">
        <v>1114</v>
      </c>
      <c r="AY55" s="12" t="s">
        <v>1114</v>
      </c>
      <c r="AZ55" s="12" t="s">
        <v>1114</v>
      </c>
      <c r="BA55" s="12" t="s">
        <v>1114</v>
      </c>
    </row>
    <row r="56" spans="2:53" ht="57.75" customHeight="1" x14ac:dyDescent="0.45">
      <c r="B56" s="12" t="s">
        <v>647</v>
      </c>
      <c r="C56" t="s">
        <v>123</v>
      </c>
      <c r="D56">
        <v>18.722326525004579</v>
      </c>
      <c r="E56">
        <v>16.766979575013739</v>
      </c>
      <c r="F56">
        <v>13.833959150027479</v>
      </c>
      <c r="G56">
        <v>10.900938725041218</v>
      </c>
      <c r="H56">
        <v>9.9232652500457963</v>
      </c>
      <c r="I56" s="6">
        <f>AVERAGE(D56:H56)</f>
        <v>14.029493845026561</v>
      </c>
      <c r="J56">
        <f>((AVERAGE(Baseline_crop_data!$R$39,Baseline_crop_data!$U$39,Baseline_crop_data!$V$39)))</f>
        <v>9.9232652500457963</v>
      </c>
      <c r="K56">
        <f>((AVERAGE(Baseline_crop_data!$R$39,Baseline_crop_data!$U$39,Baseline_crop_data!$V$39)))</f>
        <v>9.9232652500457963</v>
      </c>
      <c r="L56">
        <f>((AVERAGE(Baseline_crop_data!$R$39,Baseline_crop_data!$U$39,Baseline_crop_data!$V$39)))</f>
        <v>9.9232652500457963</v>
      </c>
      <c r="M56">
        <f>((AVERAGE(Baseline_crop_data!$R$39,Baseline_crop_data!$U$39,Baseline_crop_data!$V$39)))</f>
        <v>9.9232652500457963</v>
      </c>
      <c r="N56">
        <f>((AVERAGE(Baseline_crop_data!$R$39,Baseline_crop_data!$U$39,Baseline_crop_data!$V$39)))</f>
        <v>9.9232652500457963</v>
      </c>
      <c r="O56">
        <f>((AVERAGE(Baseline_crop_data!$R$39,Baseline_crop_data!$U$39,Baseline_crop_data!$V$39)))</f>
        <v>9.9232652500457963</v>
      </c>
      <c r="P56">
        <f>(19.7*0.9)+(0.1*(AVERAGE(Baseline_crop_data!R39,Baseline_crop_data!U39,Baseline_crop_data!V39)))</f>
        <v>18.722326525004579</v>
      </c>
      <c r="Q56">
        <f>19.7*0.7+(0.3*(AVERAGE(Baseline_crop_data!R39,Baseline_crop_data!U39,Baseline_crop_data!V39)))</f>
        <v>16.766979575013739</v>
      </c>
      <c r="R56">
        <f>19.7*0.4+(0.6*(AVERAGE(Baseline_crop_data!R39,Baseline_crop_data!U39,Baseline_crop_data!V39)))</f>
        <v>13.833959150027479</v>
      </c>
      <c r="S56">
        <f>19.7*0.1+(0.9*(AVERAGE(Baseline_crop_data!R39,Baseline_crop_data!U39,Baseline_crop_data!V39)))</f>
        <v>10.900938725041218</v>
      </c>
      <c r="T56">
        <f>(AVERAGE(Baseline_crop_data!R39,Baseline_crop_data!U39,Baseline_crop_data!V39))</f>
        <v>9.9232652500457963</v>
      </c>
      <c r="U56" s="6">
        <f>AVERAGE(P56:T56)</f>
        <v>14.029493845026561</v>
      </c>
      <c r="V56">
        <f>((AVERAGE(Baseline_crop_data!$R$39,Baseline_crop_data!$U$39,Baseline_crop_data!$V$39)))</f>
        <v>9.9232652500457963</v>
      </c>
      <c r="W56">
        <f>((AVERAGE(Baseline_crop_data!$R$39,Baseline_crop_data!$U$39,Baseline_crop_data!$V$39,Baseline_crop_data!$G$39,Baseline_crop_data!$I$39,Baseline_crop_data!$K$39,Baseline_crop_data!$M$39,Baseline_crop_data!$Y$39)))</f>
        <v>8.2337244687671731</v>
      </c>
      <c r="X56">
        <f>((AVERAGE(Baseline_crop_data!$R$39,Baseline_crop_data!$U$39,Baseline_crop_data!$V$39,Baseline_crop_data!$G$39,Baseline_crop_data!$I$39,Baseline_crop_data!$K$39,Baseline_crop_data!$M$39,Baseline_crop_data!$Y$39)))</f>
        <v>8.2337244687671731</v>
      </c>
      <c r="AF56" s="12" t="s">
        <v>647</v>
      </c>
      <c r="AH56" s="12" t="s">
        <v>1113</v>
      </c>
      <c r="AI56" s="12" t="s">
        <v>1113</v>
      </c>
      <c r="AJ56" s="12" t="s">
        <v>1113</v>
      </c>
      <c r="AK56" s="12" t="s">
        <v>1113</v>
      </c>
      <c r="AL56" s="12" t="s">
        <v>1113</v>
      </c>
      <c r="AN56" s="12" t="s">
        <v>1113</v>
      </c>
      <c r="AO56" s="12" t="s">
        <v>1113</v>
      </c>
      <c r="AP56" s="12" t="s">
        <v>1113</v>
      </c>
      <c r="AQ56" s="12" t="s">
        <v>1113</v>
      </c>
      <c r="AR56" s="12" t="s">
        <v>1113</v>
      </c>
    </row>
    <row r="57" spans="2:53" ht="28.5" x14ac:dyDescent="0.45">
      <c r="B57" s="12" t="s">
        <v>648</v>
      </c>
      <c r="C57" t="s">
        <v>649</v>
      </c>
      <c r="D57">
        <f>D55*(D33*D58*0.001)</f>
        <v>0.26574788235103036</v>
      </c>
      <c r="E57">
        <f>E55*(E33*E58*0.001)</f>
        <v>0.80144576647909249</v>
      </c>
      <c r="F57">
        <f t="shared" ref="F57:O57" si="57">F55/(F33*F58*0.001)</f>
        <v>0.93650689728010039</v>
      </c>
      <c r="G57">
        <f t="shared" si="57"/>
        <v>0.73972846351677457</v>
      </c>
      <c r="H57">
        <f t="shared" si="57"/>
        <v>0.67419564735855719</v>
      </c>
      <c r="I57" s="6">
        <f t="shared" si="57"/>
        <v>0.97137629087123101</v>
      </c>
      <c r="J57">
        <f t="shared" si="57"/>
        <v>0.67419564735855741</v>
      </c>
      <c r="K57">
        <f t="shared" si="57"/>
        <v>0.6741956473585573</v>
      </c>
      <c r="L57">
        <f t="shared" si="57"/>
        <v>0.6741956473585573</v>
      </c>
      <c r="M57">
        <f t="shared" si="57"/>
        <v>0.67419564735855741</v>
      </c>
      <c r="N57">
        <f t="shared" si="57"/>
        <v>0.6741956473585573</v>
      </c>
      <c r="O57">
        <f t="shared" si="57"/>
        <v>0.67419564735855741</v>
      </c>
      <c r="P57">
        <f>P55*(P33*P58*0.001)</f>
        <v>0.26574788235103036</v>
      </c>
      <c r="Q57">
        <f>Q55*(Q33*Q58*0.001)</f>
        <v>0.95945817503520137</v>
      </c>
      <c r="R57">
        <f t="shared" ref="R57:X57" si="58">R55/(R33*R58*0.001)</f>
        <v>0.9365068972801005</v>
      </c>
      <c r="S57">
        <f t="shared" si="58"/>
        <v>0.73972846351677457</v>
      </c>
      <c r="T57">
        <f t="shared" si="58"/>
        <v>0.67419564735855741</v>
      </c>
      <c r="U57" s="6">
        <f t="shared" si="58"/>
        <v>0.96768095286948153</v>
      </c>
      <c r="V57">
        <f t="shared" si="58"/>
        <v>0.6741956473585573</v>
      </c>
      <c r="W57">
        <f t="shared" si="58"/>
        <v>0.55940671326576297</v>
      </c>
      <c r="X57">
        <f t="shared" si="58"/>
        <v>0.55940671326576286</v>
      </c>
      <c r="AF57" s="12" t="s">
        <v>648</v>
      </c>
      <c r="AH57" s="12" t="s">
        <v>1115</v>
      </c>
      <c r="AI57" s="12" t="s">
        <v>1115</v>
      </c>
      <c r="AJ57" s="12" t="s">
        <v>1115</v>
      </c>
      <c r="AK57" s="12" t="s">
        <v>1115</v>
      </c>
      <c r="AL57" s="12" t="s">
        <v>1115</v>
      </c>
      <c r="AM57" s="12" t="s">
        <v>1115</v>
      </c>
      <c r="AN57" s="12" t="s">
        <v>1115</v>
      </c>
      <c r="AO57" s="12" t="s">
        <v>1115</v>
      </c>
      <c r="AP57" s="12" t="s">
        <v>1115</v>
      </c>
      <c r="AQ57" s="12" t="s">
        <v>1115</v>
      </c>
      <c r="AR57" s="12" t="s">
        <v>1115</v>
      </c>
      <c r="AS57" s="12" t="s">
        <v>1115</v>
      </c>
      <c r="AT57" s="12" t="s">
        <v>1115</v>
      </c>
      <c r="AU57" s="12" t="s">
        <v>1115</v>
      </c>
      <c r="AV57" s="12" t="s">
        <v>1115</v>
      </c>
      <c r="AW57" s="12" t="s">
        <v>1115</v>
      </c>
      <c r="AX57" s="12" t="s">
        <v>1115</v>
      </c>
      <c r="AY57" s="12" t="s">
        <v>1115</v>
      </c>
      <c r="AZ57" s="12" t="s">
        <v>1115</v>
      </c>
      <c r="BA57" s="12" t="s">
        <v>1115</v>
      </c>
    </row>
    <row r="58" spans="2:53" ht="57" x14ac:dyDescent="0.45">
      <c r="B58" s="12" t="s">
        <v>650</v>
      </c>
      <c r="C58" t="s">
        <v>48</v>
      </c>
      <c r="D58">
        <v>839.89170605116931</v>
      </c>
      <c r="E58">
        <v>926.56682420467735</v>
      </c>
      <c r="F58">
        <v>923.24194235818527</v>
      </c>
      <c r="G58">
        <v>921.025354460524</v>
      </c>
      <c r="H58">
        <v>919.91706051169331</v>
      </c>
      <c r="I58" s="6">
        <f>AVERAGE(D58:G58)</f>
        <v>902.68145676863901</v>
      </c>
      <c r="J58">
        <f>(100-(AVERAGE(Baseline_crop_data!$R$29,Baseline_crop_data!$U$29,Baseline_crop_data!$V$29)))*10</f>
        <v>919.91706051169331</v>
      </c>
      <c r="K58">
        <f>(100-(AVERAGE(Baseline_crop_data!$R$29,Baseline_crop_data!$U$29,Baseline_crop_data!$V$29)))*10</f>
        <v>919.91706051169331</v>
      </c>
      <c r="L58">
        <f>(100-(AVERAGE(Baseline_crop_data!$R$29,Baseline_crop_data!$U$29,Baseline_crop_data!$V$29)))*10</f>
        <v>919.91706051169331</v>
      </c>
      <c r="M58">
        <f>(100-(AVERAGE(Baseline_crop_data!$R$29,Baseline_crop_data!$U$29,Baseline_crop_data!$V$29)))*10</f>
        <v>919.91706051169331</v>
      </c>
      <c r="N58">
        <f>(100-(AVERAGE(Baseline_crop_data!$R$29,Baseline_crop_data!$U$29,Baseline_crop_data!$V$29)))*10</f>
        <v>919.91706051169331</v>
      </c>
      <c r="O58">
        <f>(100-(AVERAGE(Baseline_crop_data!$R$29,Baseline_crop_data!$U$29,Baseline_crop_data!$V$29)))*10</f>
        <v>919.91706051169331</v>
      </c>
      <c r="P58">
        <f>(931*(AJ128)+((100-(AVERAGE(Baseline_crop_data!$R$29,Baseline_crop_data!$U$29,Baseline_crop_data!$V$29))*10)*AK128))</f>
        <v>839.89170605116931</v>
      </c>
      <c r="Q58">
        <f>(931*(AJ129)+((100-(AVERAGE(Baseline_crop_data!$R$29,Baseline_crop_data!$U$29,Baseline_crop_data!$V$29)))*10)*AK129)</f>
        <v>926.56682420467735</v>
      </c>
      <c r="R58">
        <f>(931*(AJ130)+((100-(AVERAGE(Baseline_crop_data!$R$29,Baseline_crop_data!$U$29,Baseline_crop_data!$V$29)))*10)*AK130)</f>
        <v>923.24194235818527</v>
      </c>
      <c r="S58">
        <f>(931*(AJ131)+(((100-(AVERAGE(Baseline_crop_data!$R$29,Baseline_crop_data!$U$29,Baseline_crop_data!$V$29)))*10)*AK131))</f>
        <v>921.025354460524</v>
      </c>
      <c r="T58">
        <f>((100-(AVERAGE(Baseline_crop_data!$R$29,Baseline_crop_data!$U$29,Baseline_crop_data!$V$29)))*10)</f>
        <v>919.91706051169331</v>
      </c>
      <c r="U58" s="6">
        <f>AVERAGE(P58:T58)</f>
        <v>906.12857751724982</v>
      </c>
      <c r="V58">
        <f>(100-(AVERAGE(Baseline_crop_data!$R$29,Baseline_crop_data!$U$29,Baseline_crop_data!$V$29)))*10</f>
        <v>919.91706051169331</v>
      </c>
      <c r="W58">
        <f>(100-(AVERAGE(Baseline_crop_data!$R$29,Baseline_crop_data!$U$29,Baseline_crop_data!$V$29)))*10</f>
        <v>919.91706051169331</v>
      </c>
      <c r="X58">
        <f>(100-(AVERAGE(Baseline_crop_data!$R$29,Baseline_crop_data!$U$29,Baseline_crop_data!$V$29)))*10</f>
        <v>919.91706051169331</v>
      </c>
      <c r="AF58" s="12" t="s">
        <v>650</v>
      </c>
      <c r="AH58" s="104" t="s">
        <v>1113</v>
      </c>
      <c r="AI58" s="104" t="s">
        <v>1113</v>
      </c>
      <c r="AJ58" s="104" t="s">
        <v>1113</v>
      </c>
      <c r="AK58" s="104" t="s">
        <v>1113</v>
      </c>
      <c r="AL58" s="104" t="s">
        <v>1113</v>
      </c>
      <c r="AM58" s="104" t="s">
        <v>1113</v>
      </c>
      <c r="AN58" s="104" t="s">
        <v>1113</v>
      </c>
      <c r="AO58" s="104" t="s">
        <v>1113</v>
      </c>
      <c r="AP58" s="104" t="s">
        <v>1113</v>
      </c>
      <c r="AQ58" s="104" t="s">
        <v>1113</v>
      </c>
      <c r="AR58" s="104" t="s">
        <v>1113</v>
      </c>
      <c r="AT58" s="12" t="s">
        <v>1125</v>
      </c>
      <c r="AU58" s="12" t="s">
        <v>1126</v>
      </c>
      <c r="AV58" s="12" t="s">
        <v>1125</v>
      </c>
      <c r="AW58" s="12" t="s">
        <v>1125</v>
      </c>
      <c r="AX58" s="12" t="s">
        <v>1125</v>
      </c>
      <c r="AY58" s="12" t="s">
        <v>1125</v>
      </c>
      <c r="AZ58" s="12" t="s">
        <v>1126</v>
      </c>
      <c r="BA58" s="12" t="s">
        <v>1125</v>
      </c>
    </row>
    <row r="59" spans="2:53" x14ac:dyDescent="0.45">
      <c r="B59" s="12" t="s">
        <v>651</v>
      </c>
      <c r="C59" t="s">
        <v>649</v>
      </c>
      <c r="D59">
        <f>(0.977*D57*1000+1.4)/1000</f>
        <v>0.26103568105695668</v>
      </c>
      <c r="E59">
        <f t="shared" ref="E59:H59" si="59">(0.977*E57*1000+1.4)/1000</f>
        <v>0.78441251385007327</v>
      </c>
      <c r="F59">
        <f t="shared" si="59"/>
        <v>0.91636723864265801</v>
      </c>
      <c r="G59">
        <f t="shared" si="59"/>
        <v>0.72411470885588869</v>
      </c>
      <c r="H59">
        <f t="shared" si="59"/>
        <v>0.66008914746931047</v>
      </c>
      <c r="I59" s="6">
        <f t="shared" ref="I59:I60" si="60">AVERAGE(D59:G59)</f>
        <v>0.67148253560139415</v>
      </c>
      <c r="J59">
        <f t="shared" ref="J59:T59" si="61">(0.977*J57*1000+1.4)/1000</f>
        <v>0.66008914746931058</v>
      </c>
      <c r="K59">
        <f t="shared" si="61"/>
        <v>0.66008914746931047</v>
      </c>
      <c r="L59">
        <f t="shared" si="61"/>
        <v>0.66008914746931047</v>
      </c>
      <c r="M59">
        <f t="shared" si="61"/>
        <v>0.66008914746931058</v>
      </c>
      <c r="N59">
        <f t="shared" si="61"/>
        <v>0.66008914746931047</v>
      </c>
      <c r="O59">
        <f t="shared" si="61"/>
        <v>0.66008914746931058</v>
      </c>
      <c r="P59">
        <f t="shared" si="61"/>
        <v>0.26103568105695668</v>
      </c>
      <c r="Q59">
        <f t="shared" si="61"/>
        <v>0.93879063700939169</v>
      </c>
      <c r="R59">
        <f t="shared" si="61"/>
        <v>0.91636723864265812</v>
      </c>
      <c r="S59">
        <f t="shared" si="61"/>
        <v>0.72411470885588869</v>
      </c>
      <c r="T59">
        <f t="shared" si="61"/>
        <v>0.66008914746931058</v>
      </c>
      <c r="U59" s="6">
        <f t="shared" ref="U59:U61" si="62">AVERAGE(P59:T59)</f>
        <v>0.70007948260684116</v>
      </c>
      <c r="V59">
        <f>(0.977*V57*1000+1.4)/1000</f>
        <v>0.66008914746931047</v>
      </c>
      <c r="W59">
        <f>(0.977*W57*1000+1.4)/1000</f>
        <v>0.54794035886065051</v>
      </c>
      <c r="X59">
        <f>(0.977*X57*1000+1.4)/1000</f>
        <v>0.5479403588606504</v>
      </c>
      <c r="AF59" s="12" t="s">
        <v>651</v>
      </c>
      <c r="AH59" s="12" t="s">
        <v>1133</v>
      </c>
      <c r="AI59" s="12" t="s">
        <v>1133</v>
      </c>
      <c r="AJ59" s="12" t="s">
        <v>1133</v>
      </c>
      <c r="AK59" s="12" t="s">
        <v>1133</v>
      </c>
      <c r="AL59" s="12" t="s">
        <v>1133</v>
      </c>
      <c r="AM59" s="12" t="s">
        <v>1133</v>
      </c>
      <c r="AN59" s="12" t="s">
        <v>1133</v>
      </c>
      <c r="AO59" s="12" t="s">
        <v>1133</v>
      </c>
      <c r="AP59" s="12" t="s">
        <v>1133</v>
      </c>
      <c r="AQ59" s="12" t="s">
        <v>1133</v>
      </c>
      <c r="AR59" s="12" t="s">
        <v>1133</v>
      </c>
      <c r="AS59" s="12" t="s">
        <v>1133</v>
      </c>
      <c r="AT59" s="12" t="s">
        <v>1133</v>
      </c>
      <c r="AU59" s="12" t="s">
        <v>1133</v>
      </c>
      <c r="AV59" s="12" t="s">
        <v>1133</v>
      </c>
      <c r="AW59" s="12" t="s">
        <v>1133</v>
      </c>
      <c r="AX59" s="12" t="s">
        <v>1133</v>
      </c>
      <c r="AY59" s="12" t="s">
        <v>1133</v>
      </c>
      <c r="AZ59" s="12" t="s">
        <v>1133</v>
      </c>
      <c r="BA59" s="12" t="s">
        <v>1133</v>
      </c>
    </row>
    <row r="60" spans="2:53" x14ac:dyDescent="0.45">
      <c r="B60" s="12" t="s">
        <v>655</v>
      </c>
      <c r="C60" t="s">
        <v>631</v>
      </c>
      <c r="D60">
        <f>D33*(1-D59)</f>
        <v>0.38426144585038252</v>
      </c>
      <c r="E60">
        <f>E33*(1-E59)</f>
        <v>0.19586408977546396</v>
      </c>
      <c r="F60">
        <f>F33*(1-F59)</f>
        <v>0.11302840122447289</v>
      </c>
      <c r="G60">
        <f>G33*(1-G59)</f>
        <v>0.50279294000750119</v>
      </c>
      <c r="H60">
        <f>H33*(1-H59)</f>
        <v>1.1486616722547061</v>
      </c>
      <c r="I60" s="6">
        <f t="shared" si="60"/>
        <v>0.29898671921445513</v>
      </c>
      <c r="J60">
        <f t="shared" ref="J60:T60" si="63">J33*(1-J59)</f>
        <v>2.8809726345369624</v>
      </c>
      <c r="K60">
        <f t="shared" si="63"/>
        <v>3.990730348606133</v>
      </c>
      <c r="L60">
        <f t="shared" si="63"/>
        <v>4.5824993113976991</v>
      </c>
      <c r="M60">
        <f t="shared" si="63"/>
        <v>4.6719278265460327</v>
      </c>
      <c r="N60">
        <f t="shared" si="63"/>
        <v>2.5444627530568007</v>
      </c>
      <c r="O60">
        <f t="shared" si="63"/>
        <v>3.3680667487386597</v>
      </c>
      <c r="P60">
        <f t="shared" si="63"/>
        <v>0.38426144585038252</v>
      </c>
      <c r="Q60">
        <f t="shared" si="63"/>
        <v>6.0845026442216517E-2</v>
      </c>
      <c r="R60">
        <f t="shared" si="63"/>
        <v>0.11805254104308485</v>
      </c>
      <c r="S60">
        <f t="shared" si="63"/>
        <v>0.51712617777661196</v>
      </c>
      <c r="T60">
        <f t="shared" si="63"/>
        <v>1.1219076437187643</v>
      </c>
      <c r="U60" s="6">
        <f t="shared" si="62"/>
        <v>0.44043856696621198</v>
      </c>
      <c r="V60">
        <f>V33*(1-V59)</f>
        <v>2.5444627530568007</v>
      </c>
      <c r="W60">
        <f>W33*(1-W59)</f>
        <v>4.4793128387411718</v>
      </c>
      <c r="X60">
        <f>X33*(1-X59)</f>
        <v>5.008820823823994</v>
      </c>
      <c r="AF60" s="12" t="s">
        <v>655</v>
      </c>
      <c r="AH60" s="12" t="s">
        <v>1134</v>
      </c>
      <c r="AI60" s="12" t="s">
        <v>1134</v>
      </c>
      <c r="AJ60" s="12" t="s">
        <v>1134</v>
      </c>
      <c r="AK60" s="12" t="s">
        <v>1134</v>
      </c>
      <c r="AL60" s="12" t="s">
        <v>1134</v>
      </c>
      <c r="AM60" s="12" t="s">
        <v>1134</v>
      </c>
      <c r="AN60" s="12" t="s">
        <v>1134</v>
      </c>
      <c r="AO60" s="12" t="s">
        <v>1134</v>
      </c>
      <c r="AP60" s="12" t="s">
        <v>1134</v>
      </c>
      <c r="AQ60" s="12" t="s">
        <v>1134</v>
      </c>
      <c r="AR60" s="12" t="s">
        <v>1134</v>
      </c>
      <c r="AS60" s="12" t="s">
        <v>1134</v>
      </c>
      <c r="AT60" s="12" t="s">
        <v>1134</v>
      </c>
      <c r="AU60" s="12" t="s">
        <v>1134</v>
      </c>
      <c r="AV60" s="12" t="s">
        <v>1134</v>
      </c>
      <c r="AW60" s="12" t="s">
        <v>1134</v>
      </c>
      <c r="AX60" s="12" t="s">
        <v>1134</v>
      </c>
      <c r="AY60" s="12" t="s">
        <v>1134</v>
      </c>
      <c r="AZ60" s="12" t="s">
        <v>1134</v>
      </c>
      <c r="BA60" s="12" t="s">
        <v>1134</v>
      </c>
    </row>
    <row r="61" spans="2:53" x14ac:dyDescent="0.45">
      <c r="B61" s="12" t="s">
        <v>656</v>
      </c>
      <c r="C61" t="s">
        <v>1218</v>
      </c>
      <c r="D61">
        <v>4.09</v>
      </c>
      <c r="E61">
        <v>4.09</v>
      </c>
      <c r="F61">
        <v>4.09</v>
      </c>
      <c r="G61">
        <v>4.09</v>
      </c>
      <c r="H61">
        <v>11</v>
      </c>
      <c r="I61" s="6">
        <f t="shared" ref="I61:I66" si="64">AVERAGE(D61:H61)</f>
        <v>5.4719999999999995</v>
      </c>
      <c r="J61">
        <v>15.5</v>
      </c>
      <c r="K61">
        <f>3.580649/0.150268</f>
        <v>23.828419889796894</v>
      </c>
      <c r="L61">
        <f>L60/L42</f>
        <v>30.559001893813665</v>
      </c>
      <c r="M61">
        <f>M60/M42</f>
        <v>31.155367758393652</v>
      </c>
      <c r="N61">
        <f>V61</f>
        <v>14.9</v>
      </c>
      <c r="O61">
        <f>O60/O42</f>
        <v>22.446805101842124</v>
      </c>
      <c r="P61">
        <f>5.73</f>
        <v>5.73</v>
      </c>
      <c r="Q61">
        <v>5.73</v>
      </c>
      <c r="R61">
        <v>5.73</v>
      </c>
      <c r="S61">
        <v>5.73</v>
      </c>
      <c r="T61">
        <v>9.24</v>
      </c>
      <c r="U61" s="6">
        <f t="shared" si="62"/>
        <v>6.4320000000000004</v>
      </c>
      <c r="V61">
        <v>14.9</v>
      </c>
      <c r="W61">
        <v>22.7</v>
      </c>
      <c r="X61">
        <v>22.7</v>
      </c>
      <c r="AF61" s="12" t="s">
        <v>656</v>
      </c>
      <c r="AH61" s="12" t="s">
        <v>1132</v>
      </c>
      <c r="AI61" s="12" t="s">
        <v>1132</v>
      </c>
      <c r="AJ61" s="12" t="s">
        <v>1132</v>
      </c>
      <c r="AK61" s="12" t="s">
        <v>1132</v>
      </c>
      <c r="AL61" s="12" t="s">
        <v>1132</v>
      </c>
      <c r="AN61" s="12" t="s">
        <v>1129</v>
      </c>
      <c r="AO61" s="12" t="s">
        <v>1129</v>
      </c>
      <c r="AP61" s="12" t="s">
        <v>1129</v>
      </c>
      <c r="AQ61" s="12" t="s">
        <v>1129</v>
      </c>
      <c r="AR61" s="12" t="s">
        <v>1129</v>
      </c>
      <c r="AT61" s="12" t="s">
        <v>1132</v>
      </c>
      <c r="AU61" s="12" t="s">
        <v>1135</v>
      </c>
      <c r="AV61" s="12" t="s">
        <v>1132</v>
      </c>
      <c r="AW61" s="12" t="s">
        <v>1135</v>
      </c>
      <c r="AX61" s="12" t="s">
        <v>1129</v>
      </c>
      <c r="AY61" s="12" t="s">
        <v>1135</v>
      </c>
      <c r="AZ61" s="12" t="s">
        <v>1135</v>
      </c>
      <c r="BA61" s="12" t="s">
        <v>1135</v>
      </c>
    </row>
    <row r="62" spans="2:53" x14ac:dyDescent="0.45">
      <c r="B62" s="12" t="s">
        <v>658</v>
      </c>
      <c r="C62" t="s">
        <v>1136</v>
      </c>
      <c r="D62">
        <f>(2.7+0.053*D63)</f>
        <v>5.35</v>
      </c>
      <c r="E62">
        <f>(2.7+0.053*E63)</f>
        <v>5.35</v>
      </c>
      <c r="F62">
        <f t="shared" ref="F62:G62" si="65">(2.7+0.053*F63)</f>
        <v>5.35</v>
      </c>
      <c r="G62">
        <f t="shared" si="65"/>
        <v>5.35</v>
      </c>
      <c r="H62">
        <f>(2.7+0.053*T63)</f>
        <v>10.120000000000001</v>
      </c>
      <c r="I62" s="6">
        <f t="shared" si="64"/>
        <v>6.3040000000000003</v>
      </c>
      <c r="J62">
        <f>(2.7+0.053*J63)</f>
        <v>13.3</v>
      </c>
      <c r="K62">
        <f>(2.7+0.053*K63)</f>
        <v>13.3</v>
      </c>
      <c r="L62">
        <f t="shared" ref="L62:M62" si="66">(2.7+0.053*L63)</f>
        <v>13.3</v>
      </c>
      <c r="M62">
        <f t="shared" si="66"/>
        <v>13.3</v>
      </c>
      <c r="N62">
        <f>(2.7+0.053*N63)</f>
        <v>11.71</v>
      </c>
      <c r="O62">
        <f>(2.7+0.053*O63)</f>
        <v>11.71</v>
      </c>
      <c r="P62">
        <f>(2.7+0.053*P63)</f>
        <v>5.35</v>
      </c>
      <c r="Q62">
        <f t="shared" ref="Q62:T62" si="67">(2.7+0.053*Q63)</f>
        <v>5.35</v>
      </c>
      <c r="R62">
        <f t="shared" si="67"/>
        <v>5.35</v>
      </c>
      <c r="S62">
        <f t="shared" si="67"/>
        <v>5.35</v>
      </c>
      <c r="T62">
        <f t="shared" si="67"/>
        <v>10.120000000000001</v>
      </c>
      <c r="U62" s="6">
        <f>AVERAGE(P62:T62)</f>
        <v>6.3040000000000003</v>
      </c>
      <c r="V62">
        <f>(2.7+0.053*V63)</f>
        <v>11.71</v>
      </c>
      <c r="W62">
        <f>(2.7+0.053*W63)</f>
        <v>16.48</v>
      </c>
      <c r="X62">
        <f>(2.7+0.053*X63)</f>
        <v>16.48</v>
      </c>
      <c r="AF62" s="12" t="s">
        <v>658</v>
      </c>
      <c r="AH62" s="12" t="s">
        <v>1137</v>
      </c>
      <c r="AI62" s="12" t="s">
        <v>1137</v>
      </c>
      <c r="AJ62" s="12" t="s">
        <v>1137</v>
      </c>
      <c r="AK62" s="12" t="s">
        <v>1137</v>
      </c>
      <c r="AL62" s="12" t="s">
        <v>1137</v>
      </c>
      <c r="AM62" s="12" t="s">
        <v>1137</v>
      </c>
      <c r="AN62" s="12" t="s">
        <v>1137</v>
      </c>
      <c r="AO62" s="12" t="s">
        <v>1137</v>
      </c>
      <c r="AP62" s="12" t="s">
        <v>1137</v>
      </c>
      <c r="AQ62" s="12" t="s">
        <v>1137</v>
      </c>
      <c r="AR62" s="12" t="s">
        <v>1137</v>
      </c>
      <c r="AS62" s="12" t="s">
        <v>1137</v>
      </c>
      <c r="AT62" s="12" t="s">
        <v>1137</v>
      </c>
      <c r="AU62" s="12" t="s">
        <v>1137</v>
      </c>
      <c r="AV62" s="12" t="s">
        <v>1137</v>
      </c>
      <c r="AW62" s="12" t="s">
        <v>1137</v>
      </c>
      <c r="AX62" s="12" t="s">
        <v>1137</v>
      </c>
      <c r="AY62" s="12" t="s">
        <v>1137</v>
      </c>
      <c r="AZ62" s="12" t="s">
        <v>1137</v>
      </c>
      <c r="BA62" s="12" t="s">
        <v>1137</v>
      </c>
    </row>
    <row r="63" spans="2:53" x14ac:dyDescent="0.45">
      <c r="B63" s="12" t="s">
        <v>1127</v>
      </c>
      <c r="C63" t="s">
        <v>1128</v>
      </c>
      <c r="D63">
        <v>50</v>
      </c>
      <c r="E63">
        <v>50</v>
      </c>
      <c r="F63">
        <v>50</v>
      </c>
      <c r="G63">
        <v>50</v>
      </c>
      <c r="H63">
        <v>150</v>
      </c>
      <c r="I63" s="6">
        <f t="shared" si="64"/>
        <v>70</v>
      </c>
      <c r="J63" s="54">
        <v>200</v>
      </c>
      <c r="K63" s="54">
        <v>200</v>
      </c>
      <c r="L63">
        <v>200</v>
      </c>
      <c r="M63">
        <v>200</v>
      </c>
      <c r="N63">
        <f>V63</f>
        <v>170</v>
      </c>
      <c r="O63">
        <f>V63</f>
        <v>170</v>
      </c>
      <c r="P63">
        <v>50</v>
      </c>
      <c r="Q63">
        <v>50</v>
      </c>
      <c r="R63">
        <v>50</v>
      </c>
      <c r="S63">
        <v>50</v>
      </c>
      <c r="T63">
        <v>140</v>
      </c>
      <c r="U63" s="6">
        <f>AVERAGE(P63:T63)</f>
        <v>68</v>
      </c>
      <c r="V63">
        <v>170</v>
      </c>
      <c r="W63">
        <v>260</v>
      </c>
      <c r="X63">
        <v>260</v>
      </c>
      <c r="AF63" s="12" t="s">
        <v>1127</v>
      </c>
      <c r="AH63" s="12" t="s">
        <v>1130</v>
      </c>
      <c r="AI63" s="12" t="s">
        <v>1130</v>
      </c>
      <c r="AJ63" s="12" t="s">
        <v>1130</v>
      </c>
      <c r="AK63" s="12" t="s">
        <v>1130</v>
      </c>
      <c r="AL63" s="12" t="s">
        <v>1130</v>
      </c>
      <c r="AN63" s="12" t="s">
        <v>1129</v>
      </c>
      <c r="AO63" s="12" t="s">
        <v>1129</v>
      </c>
      <c r="AP63" s="12" t="s">
        <v>1129</v>
      </c>
      <c r="AQ63" s="12" t="s">
        <v>1129</v>
      </c>
      <c r="AR63" s="12" t="s">
        <v>1129</v>
      </c>
      <c r="AT63" s="12" t="s">
        <v>1130</v>
      </c>
      <c r="AU63" s="12" t="s">
        <v>1131</v>
      </c>
      <c r="AV63" s="12" t="s">
        <v>1130</v>
      </c>
      <c r="AW63" s="12" t="s">
        <v>1130</v>
      </c>
      <c r="AX63" s="12" t="s">
        <v>1129</v>
      </c>
      <c r="AY63" s="12" t="s">
        <v>1129</v>
      </c>
      <c r="AZ63" s="12" t="s">
        <v>1131</v>
      </c>
      <c r="BA63" s="12" t="s">
        <v>1129</v>
      </c>
    </row>
    <row r="64" spans="2:53" x14ac:dyDescent="0.45">
      <c r="B64" s="12" t="s">
        <v>1157</v>
      </c>
      <c r="C64" t="s">
        <v>1160</v>
      </c>
      <c r="D64">
        <v>14.6</v>
      </c>
      <c r="E64">
        <v>14.6</v>
      </c>
      <c r="F64">
        <v>14.6</v>
      </c>
      <c r="G64">
        <v>14.6</v>
      </c>
      <c r="H64">
        <v>37.299999999999997</v>
      </c>
      <c r="I64" s="6">
        <f t="shared" si="64"/>
        <v>19.139999999999997</v>
      </c>
      <c r="J64" s="54">
        <v>47.6</v>
      </c>
      <c r="K64" s="54">
        <v>47.6</v>
      </c>
      <c r="L64" s="54">
        <v>47.6</v>
      </c>
      <c r="M64" s="54">
        <v>47.6</v>
      </c>
      <c r="N64">
        <v>38.299999999999997</v>
      </c>
      <c r="O64">
        <v>38.299999999999997</v>
      </c>
      <c r="P64">
        <v>14.6</v>
      </c>
      <c r="Q64">
        <v>14.6</v>
      </c>
      <c r="R64">
        <v>14.6</v>
      </c>
      <c r="S64">
        <v>14.6</v>
      </c>
      <c r="T64">
        <v>30.1</v>
      </c>
      <c r="U64" s="6">
        <f>AVERAGE(P64:T64)</f>
        <v>17.7</v>
      </c>
      <c r="V64">
        <v>38.299999999999997</v>
      </c>
      <c r="W64">
        <v>46</v>
      </c>
      <c r="X64">
        <v>46</v>
      </c>
      <c r="AH64" s="12" t="s">
        <v>1158</v>
      </c>
      <c r="AI64" s="12" t="s">
        <v>1158</v>
      </c>
      <c r="AJ64" s="12" t="s">
        <v>1158</v>
      </c>
      <c r="AK64" s="12" t="s">
        <v>1158</v>
      </c>
      <c r="AL64" s="12" t="s">
        <v>1158</v>
      </c>
      <c r="AN64" s="12" t="s">
        <v>1132</v>
      </c>
      <c r="AO64" s="12" t="s">
        <v>1132</v>
      </c>
      <c r="AP64" s="12" t="s">
        <v>1132</v>
      </c>
      <c r="AQ64" s="12" t="s">
        <v>1132</v>
      </c>
      <c r="AR64" s="12" t="s">
        <v>1132</v>
      </c>
      <c r="AT64" s="12" t="s">
        <v>1158</v>
      </c>
      <c r="AU64" s="12" t="s">
        <v>1131</v>
      </c>
      <c r="AV64" s="12" t="s">
        <v>1158</v>
      </c>
      <c r="AW64" s="12" t="s">
        <v>1158</v>
      </c>
      <c r="AX64" s="12" t="s">
        <v>1132</v>
      </c>
      <c r="AY64" s="12" t="s">
        <v>1132</v>
      </c>
      <c r="AZ64" s="12" t="s">
        <v>1131</v>
      </c>
      <c r="BA64" s="12" t="s">
        <v>1132</v>
      </c>
    </row>
    <row r="65" spans="1:54" x14ac:dyDescent="0.45">
      <c r="B65" s="12" t="s">
        <v>1221</v>
      </c>
      <c r="C65" t="s">
        <v>1222</v>
      </c>
      <c r="D65">
        <v>0.16</v>
      </c>
      <c r="E65">
        <v>0.16</v>
      </c>
      <c r="F65">
        <v>0.16</v>
      </c>
      <c r="G65">
        <v>0.16</v>
      </c>
      <c r="H65">
        <v>0.42</v>
      </c>
      <c r="I65" s="6">
        <f t="shared" si="64"/>
        <v>0.21200000000000002</v>
      </c>
      <c r="J65" s="54">
        <v>0.67</v>
      </c>
      <c r="K65" s="54">
        <v>0.67</v>
      </c>
      <c r="L65" s="54">
        <v>0.67</v>
      </c>
      <c r="M65" s="54">
        <v>0.67</v>
      </c>
      <c r="N65">
        <v>0.59</v>
      </c>
      <c r="O65">
        <v>0.59</v>
      </c>
      <c r="P65">
        <v>0.14000000000000001</v>
      </c>
      <c r="Q65">
        <v>0.14000000000000001</v>
      </c>
      <c r="R65">
        <v>0.14000000000000001</v>
      </c>
      <c r="S65">
        <v>0.14000000000000001</v>
      </c>
      <c r="T65">
        <v>0.33</v>
      </c>
      <c r="U65" s="6">
        <f>AVERAGE(P65:T65)</f>
        <v>0.17800000000000002</v>
      </c>
      <c r="V65">
        <v>0.59</v>
      </c>
      <c r="W65">
        <v>0.8</v>
      </c>
      <c r="X65">
        <v>0.8</v>
      </c>
      <c r="AH65" s="12" t="s">
        <v>1158</v>
      </c>
      <c r="AI65" s="12" t="s">
        <v>1158</v>
      </c>
      <c r="AJ65" s="12" t="s">
        <v>1158</v>
      </c>
      <c r="AK65" s="12" t="s">
        <v>1158</v>
      </c>
      <c r="AL65" s="12" t="s">
        <v>1158</v>
      </c>
      <c r="AN65" s="12" t="s">
        <v>1132</v>
      </c>
      <c r="AO65" s="12" t="s">
        <v>1132</v>
      </c>
      <c r="AP65" s="12" t="s">
        <v>1132</v>
      </c>
      <c r="AQ65" s="12" t="s">
        <v>1132</v>
      </c>
      <c r="AR65" s="12" t="s">
        <v>1132</v>
      </c>
      <c r="AT65" s="12" t="s">
        <v>1158</v>
      </c>
      <c r="AU65" s="12" t="s">
        <v>1131</v>
      </c>
      <c r="AV65" s="12" t="s">
        <v>1158</v>
      </c>
      <c r="AW65" s="12" t="s">
        <v>1158</v>
      </c>
      <c r="AX65" s="12" t="s">
        <v>1132</v>
      </c>
      <c r="AY65" s="12" t="s">
        <v>1132</v>
      </c>
      <c r="AZ65" s="12" t="s">
        <v>1131</v>
      </c>
      <c r="BA65" s="12" t="s">
        <v>1132</v>
      </c>
    </row>
    <row r="66" spans="1:54" ht="42.75" x14ac:dyDescent="0.45">
      <c r="B66" s="12" t="s">
        <v>1111</v>
      </c>
      <c r="C66" t="s">
        <v>67</v>
      </c>
      <c r="D66" t="s">
        <v>47</v>
      </c>
      <c r="E66" t="s">
        <v>47</v>
      </c>
      <c r="F66" t="s">
        <v>47</v>
      </c>
      <c r="G66" t="s">
        <v>47</v>
      </c>
      <c r="H66">
        <v>63.36666666666666</v>
      </c>
      <c r="I66" s="6">
        <f t="shared" si="64"/>
        <v>63.36666666666666</v>
      </c>
      <c r="J66" s="54">
        <v>63.36666666666666</v>
      </c>
      <c r="K66" s="54">
        <v>63.36666666666666</v>
      </c>
      <c r="L66" s="54">
        <v>63.36666666666666</v>
      </c>
      <c r="M66" s="54">
        <v>63.36666666666666</v>
      </c>
      <c r="N66">
        <v>63.36666666666666</v>
      </c>
      <c r="O66">
        <v>63.36666666666666</v>
      </c>
      <c r="P66" t="s">
        <v>47</v>
      </c>
      <c r="Q66" t="s">
        <v>47</v>
      </c>
      <c r="R66" t="s">
        <v>47</v>
      </c>
      <c r="S66" t="s">
        <v>47</v>
      </c>
      <c r="T66">
        <f>Eco!E57</f>
        <v>63.36666666666666</v>
      </c>
      <c r="U66" s="6">
        <f>AVERAGE(P66:T66)</f>
        <v>63.36666666666666</v>
      </c>
      <c r="V66">
        <v>63.36666666666666</v>
      </c>
      <c r="W66">
        <f>(AVERAGE(705,657,730,700,670,644,600,600,595,650,380))/10</f>
        <v>63.009090909090915</v>
      </c>
      <c r="X66">
        <f>(AVERAGE(705,657,730,700,670,644,600,600,595,650,380))/10</f>
        <v>63.009090909090915</v>
      </c>
      <c r="AF66" s="12" t="s">
        <v>661</v>
      </c>
      <c r="AH66" s="12" t="s">
        <v>1139</v>
      </c>
      <c r="AI66" s="12" t="s">
        <v>1139</v>
      </c>
      <c r="AJ66" s="12" t="s">
        <v>1139</v>
      </c>
      <c r="AK66" s="12" t="s">
        <v>1139</v>
      </c>
      <c r="AL66" s="12" t="s">
        <v>1139</v>
      </c>
      <c r="AM66" s="12" t="s">
        <v>1139</v>
      </c>
      <c r="AN66" s="12" t="s">
        <v>1139</v>
      </c>
      <c r="AO66" s="12" t="s">
        <v>1139</v>
      </c>
      <c r="AP66" s="12" t="s">
        <v>1139</v>
      </c>
      <c r="AQ66" s="12" t="s">
        <v>1139</v>
      </c>
      <c r="AR66" s="12" t="s">
        <v>1139</v>
      </c>
      <c r="AS66" s="12" t="s">
        <v>1139</v>
      </c>
      <c r="AT66" s="12" t="s">
        <v>1139</v>
      </c>
      <c r="AU66" s="12" t="s">
        <v>1139</v>
      </c>
      <c r="AV66" s="12" t="s">
        <v>1139</v>
      </c>
      <c r="AW66" s="12" t="s">
        <v>1139</v>
      </c>
      <c r="AX66" s="12" t="s">
        <v>1139</v>
      </c>
      <c r="AY66" s="12" t="s">
        <v>1139</v>
      </c>
      <c r="AZ66" s="12" t="s">
        <v>1139</v>
      </c>
      <c r="BA66" s="12" t="s">
        <v>1139</v>
      </c>
    </row>
    <row r="67" spans="1:54" ht="28.5" x14ac:dyDescent="0.45">
      <c r="B67" s="12" t="s">
        <v>666</v>
      </c>
      <c r="C67" t="s">
        <v>127</v>
      </c>
      <c r="D67" t="s">
        <v>47</v>
      </c>
      <c r="E67" t="s">
        <v>47</v>
      </c>
      <c r="F67" t="s">
        <v>47</v>
      </c>
      <c r="G67" t="s">
        <v>47</v>
      </c>
      <c r="H67">
        <f t="shared" ref="H67:O67" si="68">(H66/100)*H33</f>
        <v>2.1413514972125864</v>
      </c>
      <c r="I67" s="6">
        <f t="shared" si="68"/>
        <v>2.2015194547945205</v>
      </c>
      <c r="J67">
        <f t="shared" si="68"/>
        <v>5.3707503378995423</v>
      </c>
      <c r="K67">
        <f t="shared" si="68"/>
        <v>7.4395765205479449</v>
      </c>
      <c r="L67">
        <f t="shared" si="68"/>
        <v>8.5427606739726034</v>
      </c>
      <c r="M67">
        <f t="shared" si="68"/>
        <v>8.7094745893333325</v>
      </c>
      <c r="N67">
        <f t="shared" si="68"/>
        <v>4.7434238100456616</v>
      </c>
      <c r="O67">
        <f t="shared" si="68"/>
        <v>6.2787981433789941</v>
      </c>
      <c r="P67" t="s">
        <v>47</v>
      </c>
      <c r="Q67" t="s">
        <v>47</v>
      </c>
      <c r="R67" t="s">
        <v>47</v>
      </c>
      <c r="S67" t="s">
        <v>47</v>
      </c>
      <c r="T67">
        <f>(T66/100)*T33</f>
        <v>2.0914762550540726</v>
      </c>
      <c r="U67" s="6">
        <f>(U66/100)*U33</f>
        <v>2.0374622867579908</v>
      </c>
      <c r="V67">
        <f>(V66/100)*V33</f>
        <v>4.7434238100456616</v>
      </c>
      <c r="W67">
        <f>(W66/100)*W33</f>
        <v>6.2433671175591536</v>
      </c>
      <c r="X67">
        <f>(X66/100)*X33</f>
        <v>6.9814072727272736</v>
      </c>
      <c r="AF67" s="12" t="s">
        <v>666</v>
      </c>
      <c r="AH67" s="12" t="s">
        <v>1140</v>
      </c>
      <c r="AI67" s="12" t="s">
        <v>1140</v>
      </c>
      <c r="AJ67" s="12" t="s">
        <v>1140</v>
      </c>
      <c r="AK67" s="12" t="s">
        <v>1140</v>
      </c>
      <c r="AL67" s="12" t="s">
        <v>1140</v>
      </c>
      <c r="AM67" s="12" t="s">
        <v>1140</v>
      </c>
      <c r="AN67" s="12" t="s">
        <v>1140</v>
      </c>
      <c r="AO67" s="12" t="s">
        <v>1140</v>
      </c>
      <c r="AP67" s="12" t="s">
        <v>1140</v>
      </c>
      <c r="AQ67" s="12" t="s">
        <v>1140</v>
      </c>
      <c r="AR67" s="12" t="s">
        <v>1140</v>
      </c>
      <c r="AS67" s="12" t="s">
        <v>1140</v>
      </c>
      <c r="AT67" s="12" t="s">
        <v>1140</v>
      </c>
      <c r="AU67" s="12" t="s">
        <v>1140</v>
      </c>
      <c r="AV67" s="12" t="s">
        <v>1140</v>
      </c>
      <c r="AW67" s="12" t="s">
        <v>1140</v>
      </c>
      <c r="AX67" s="12" t="s">
        <v>1140</v>
      </c>
      <c r="AY67" s="12" t="s">
        <v>1140</v>
      </c>
      <c r="AZ67" s="12" t="s">
        <v>1140</v>
      </c>
      <c r="BA67" s="12" t="s">
        <v>1140</v>
      </c>
    </row>
    <row r="68" spans="1:54" ht="42.75" x14ac:dyDescent="0.45">
      <c r="B68" s="12" t="s">
        <v>662</v>
      </c>
      <c r="C68" t="s">
        <v>1138</v>
      </c>
      <c r="D68" t="s">
        <v>47</v>
      </c>
      <c r="E68" t="s">
        <v>47</v>
      </c>
      <c r="F68" t="s">
        <v>47</v>
      </c>
      <c r="G68" t="s">
        <v>47</v>
      </c>
      <c r="H68">
        <f t="shared" ref="H68:O68" si="69">H31/6.25</f>
        <v>14.72</v>
      </c>
      <c r="I68" s="6">
        <f t="shared" si="69"/>
        <v>17.066666666666666</v>
      </c>
      <c r="J68">
        <f t="shared" si="69"/>
        <v>14.56</v>
      </c>
      <c r="K68">
        <f t="shared" si="69"/>
        <v>9.76</v>
      </c>
      <c r="L68">
        <f t="shared" si="69"/>
        <v>9.2799999999999994</v>
      </c>
      <c r="M68">
        <f t="shared" si="69"/>
        <v>8.8000000000000007</v>
      </c>
      <c r="N68">
        <f t="shared" si="69"/>
        <v>24</v>
      </c>
      <c r="O68">
        <f t="shared" si="69"/>
        <v>16</v>
      </c>
      <c r="P68" t="s">
        <v>47</v>
      </c>
      <c r="Q68" t="s">
        <v>47</v>
      </c>
      <c r="R68" t="s">
        <v>47</v>
      </c>
      <c r="S68" t="s">
        <v>47</v>
      </c>
      <c r="T68">
        <f>T31/6.25</f>
        <v>14.72</v>
      </c>
      <c r="U68" s="6">
        <f>U31/6.25</f>
        <v>17.066666666666666</v>
      </c>
      <c r="V68">
        <f>V31/6.25</f>
        <v>24</v>
      </c>
      <c r="W68">
        <f>W31/6.25</f>
        <v>17.600000000000001</v>
      </c>
      <c r="X68">
        <f>X31/6.25</f>
        <v>16</v>
      </c>
      <c r="AF68" s="12" t="s">
        <v>662</v>
      </c>
      <c r="AH68" s="12" t="s">
        <v>1141</v>
      </c>
      <c r="AI68" s="12" t="s">
        <v>1141</v>
      </c>
      <c r="AJ68" s="12" t="s">
        <v>1141</v>
      </c>
      <c r="AK68" s="12" t="s">
        <v>1141</v>
      </c>
      <c r="AL68" s="12" t="s">
        <v>1141</v>
      </c>
      <c r="AM68" s="12" t="s">
        <v>1141</v>
      </c>
      <c r="AN68" s="12" t="s">
        <v>1141</v>
      </c>
      <c r="AO68" s="12" t="s">
        <v>1141</v>
      </c>
      <c r="AP68" s="12" t="s">
        <v>1141</v>
      </c>
      <c r="AQ68" s="12" t="s">
        <v>1141</v>
      </c>
      <c r="AR68" s="12" t="s">
        <v>1141</v>
      </c>
      <c r="AS68" s="12" t="s">
        <v>1141</v>
      </c>
      <c r="AT68" s="12" t="s">
        <v>1141</v>
      </c>
      <c r="AU68" s="12" t="s">
        <v>1141</v>
      </c>
      <c r="AV68" s="12" t="s">
        <v>1141</v>
      </c>
      <c r="AW68" s="12" t="s">
        <v>1141</v>
      </c>
      <c r="AX68" s="12" t="s">
        <v>1141</v>
      </c>
      <c r="AY68" s="12" t="s">
        <v>1141</v>
      </c>
      <c r="AZ68" s="12" t="s">
        <v>1141</v>
      </c>
      <c r="BA68" s="12" t="s">
        <v>1141</v>
      </c>
    </row>
    <row r="69" spans="1:54" x14ac:dyDescent="0.45">
      <c r="B69" s="12" t="s">
        <v>664</v>
      </c>
      <c r="C69" t="s">
        <v>663</v>
      </c>
      <c r="D69" t="s">
        <v>47</v>
      </c>
      <c r="E69" t="s">
        <v>47</v>
      </c>
      <c r="F69" t="s">
        <v>47</v>
      </c>
      <c r="G69" t="s">
        <v>47</v>
      </c>
      <c r="H69">
        <f t="shared" ref="H69:O69" si="70">H68*H33</f>
        <v>49.743336200372347</v>
      </c>
      <c r="I69" s="6">
        <f t="shared" si="70"/>
        <v>59.293948493150687</v>
      </c>
      <c r="J69">
        <f t="shared" si="70"/>
        <v>123.40577315068492</v>
      </c>
      <c r="K69">
        <f t="shared" si="70"/>
        <v>114.5874805479452</v>
      </c>
      <c r="L69">
        <f t="shared" si="70"/>
        <v>125.10807846575342</v>
      </c>
      <c r="M69">
        <f t="shared" si="70"/>
        <v>120.9521984</v>
      </c>
      <c r="N69">
        <f t="shared" si="70"/>
        <v>179.65624109589041</v>
      </c>
      <c r="O69">
        <f t="shared" si="70"/>
        <v>158.53882739726026</v>
      </c>
      <c r="P69" t="s">
        <v>47</v>
      </c>
      <c r="Q69" t="s">
        <v>47</v>
      </c>
      <c r="R69" t="s">
        <v>47</v>
      </c>
      <c r="S69" t="s">
        <v>47</v>
      </c>
      <c r="T69">
        <f>T68*T33</f>
        <v>48.58474035938341</v>
      </c>
      <c r="U69" s="6">
        <f>U68*U33</f>
        <v>54.875365114155251</v>
      </c>
      <c r="V69">
        <f>V68*V33</f>
        <v>179.65624109589041</v>
      </c>
      <c r="W69">
        <f>W68*W33</f>
        <v>174.3927101369863</v>
      </c>
      <c r="X69">
        <f>X68*X33</f>
        <v>177.28</v>
      </c>
      <c r="AF69" s="12" t="s">
        <v>664</v>
      </c>
      <c r="AH69" s="12" t="s">
        <v>1142</v>
      </c>
      <c r="AI69" s="12" t="s">
        <v>1142</v>
      </c>
      <c r="AJ69" s="12" t="s">
        <v>1142</v>
      </c>
      <c r="AK69" s="12" t="s">
        <v>1142</v>
      </c>
      <c r="AL69" s="12" t="s">
        <v>1142</v>
      </c>
      <c r="AM69" s="12" t="s">
        <v>1142</v>
      </c>
      <c r="AN69" s="12" t="s">
        <v>1142</v>
      </c>
      <c r="AO69" s="12" t="s">
        <v>1142</v>
      </c>
      <c r="AP69" s="12" t="s">
        <v>1142</v>
      </c>
      <c r="AQ69" s="12" t="s">
        <v>1142</v>
      </c>
      <c r="AR69" s="12" t="s">
        <v>1142</v>
      </c>
      <c r="AS69" s="12" t="s">
        <v>1142</v>
      </c>
      <c r="AT69" s="12" t="s">
        <v>1142</v>
      </c>
      <c r="AU69" s="12" t="s">
        <v>1142</v>
      </c>
      <c r="AV69" s="12" t="s">
        <v>1142</v>
      </c>
      <c r="AW69" s="12" t="s">
        <v>1142</v>
      </c>
      <c r="AX69" s="12" t="s">
        <v>1142</v>
      </c>
      <c r="AY69" s="12" t="s">
        <v>1142</v>
      </c>
      <c r="AZ69" s="12" t="s">
        <v>1142</v>
      </c>
      <c r="BA69" s="12" t="s">
        <v>1142</v>
      </c>
    </row>
    <row r="70" spans="1:54" ht="42.75" x14ac:dyDescent="0.45">
      <c r="B70" s="12" t="s">
        <v>667</v>
      </c>
      <c r="C70" t="s">
        <v>663</v>
      </c>
      <c r="D70" t="s">
        <v>47</v>
      </c>
      <c r="E70" t="s">
        <v>47</v>
      </c>
      <c r="F70" t="s">
        <v>47</v>
      </c>
      <c r="G70" t="s">
        <v>47</v>
      </c>
      <c r="H70">
        <f>H69*(H66/100)</f>
        <v>31.520694038969275</v>
      </c>
      <c r="I70" s="6">
        <f t="shared" ref="I70" si="71">I69*(I66/100)</f>
        <v>37.572598695159812</v>
      </c>
      <c r="J70">
        <f t="shared" ref="J70:O70" si="72">J69*(J66/100)</f>
        <v>78.198124919817332</v>
      </c>
      <c r="K70">
        <f t="shared" si="72"/>
        <v>72.610266840547936</v>
      </c>
      <c r="L70">
        <f t="shared" si="72"/>
        <v>79.276819054465747</v>
      </c>
      <c r="M70">
        <f t="shared" si="72"/>
        <v>76.643376386133326</v>
      </c>
      <c r="N70">
        <f t="shared" si="72"/>
        <v>113.84217144109587</v>
      </c>
      <c r="O70">
        <f t="shared" si="72"/>
        <v>100.46077029406391</v>
      </c>
      <c r="P70" t="s">
        <v>47</v>
      </c>
      <c r="Q70" t="s">
        <v>47</v>
      </c>
      <c r="R70" t="s">
        <v>47</v>
      </c>
      <c r="S70" t="s">
        <v>47</v>
      </c>
      <c r="T70">
        <f>T69*(T66/100)</f>
        <v>30.786530474395953</v>
      </c>
      <c r="U70" s="6">
        <f>U69*(U66/100)</f>
        <v>34.772689694003041</v>
      </c>
      <c r="V70">
        <f>V69*(V66/100)</f>
        <v>113.84217144109587</v>
      </c>
      <c r="W70">
        <f>W69*(W66/100)</f>
        <v>109.8832612690411</v>
      </c>
      <c r="X70">
        <f>X69*(X66/100)</f>
        <v>111.70251636363638</v>
      </c>
      <c r="AF70" s="12" t="s">
        <v>667</v>
      </c>
      <c r="AH70" s="12" t="s">
        <v>1143</v>
      </c>
      <c r="AI70" s="12" t="s">
        <v>1143</v>
      </c>
      <c r="AJ70" s="12" t="s">
        <v>1143</v>
      </c>
      <c r="AK70" s="12" t="s">
        <v>1143</v>
      </c>
      <c r="AL70" s="12" t="s">
        <v>1143</v>
      </c>
      <c r="AM70" s="12" t="s">
        <v>1143</v>
      </c>
      <c r="AN70" s="12" t="s">
        <v>1143</v>
      </c>
      <c r="AO70" s="12" t="s">
        <v>1143</v>
      </c>
      <c r="AP70" s="12" t="s">
        <v>1143</v>
      </c>
      <c r="AQ70" s="12" t="s">
        <v>1143</v>
      </c>
      <c r="AR70" s="12" t="s">
        <v>1143</v>
      </c>
      <c r="AS70" s="12" t="s">
        <v>1143</v>
      </c>
      <c r="AT70" s="12" t="s">
        <v>1143</v>
      </c>
      <c r="AU70" s="12" t="s">
        <v>1143</v>
      </c>
      <c r="AV70" s="12" t="s">
        <v>1143</v>
      </c>
      <c r="AW70" s="12" t="s">
        <v>1143</v>
      </c>
      <c r="AX70" s="12" t="s">
        <v>1143</v>
      </c>
      <c r="AY70" s="12" t="s">
        <v>1143</v>
      </c>
      <c r="AZ70" s="12" t="s">
        <v>1143</v>
      </c>
      <c r="BA70" s="12" t="s">
        <v>1143</v>
      </c>
    </row>
    <row r="71" spans="1:54" x14ac:dyDescent="0.45">
      <c r="B71" s="12" t="s">
        <v>665</v>
      </c>
      <c r="C71" t="s">
        <v>663</v>
      </c>
      <c r="D71" t="s">
        <v>47</v>
      </c>
      <c r="E71" t="s">
        <v>47</v>
      </c>
      <c r="F71" t="s">
        <v>47</v>
      </c>
      <c r="G71" t="s">
        <v>47</v>
      </c>
      <c r="H71">
        <f>H69-H70</f>
        <v>18.222642161403073</v>
      </c>
      <c r="I71" s="6">
        <f t="shared" ref="I71" si="73">I69-I70</f>
        <v>21.721349797990875</v>
      </c>
      <c r="J71">
        <f t="shared" ref="J71:O71" si="74">J69-J70</f>
        <v>45.207648230867591</v>
      </c>
      <c r="K71">
        <f t="shared" si="74"/>
        <v>41.977213707397269</v>
      </c>
      <c r="L71">
        <f t="shared" si="74"/>
        <v>45.831259411287675</v>
      </c>
      <c r="M71">
        <f t="shared" si="74"/>
        <v>44.308822013866674</v>
      </c>
      <c r="N71">
        <f t="shared" si="74"/>
        <v>65.814069654794537</v>
      </c>
      <c r="O71">
        <f t="shared" si="74"/>
        <v>58.078057103196358</v>
      </c>
      <c r="P71" t="s">
        <v>47</v>
      </c>
      <c r="Q71" t="s">
        <v>47</v>
      </c>
      <c r="R71" t="s">
        <v>47</v>
      </c>
      <c r="S71" t="s">
        <v>47</v>
      </c>
      <c r="T71">
        <f>T69-T70</f>
        <v>17.798209884987457</v>
      </c>
      <c r="U71" s="6">
        <f>U69-U70</f>
        <v>20.10267542015221</v>
      </c>
      <c r="V71">
        <f>V69-V70</f>
        <v>65.814069654794537</v>
      </c>
      <c r="W71">
        <f>W69-W70</f>
        <v>64.509448867945196</v>
      </c>
      <c r="X71">
        <f>X69-X70</f>
        <v>65.577483636363624</v>
      </c>
      <c r="AF71" s="12" t="s">
        <v>665</v>
      </c>
      <c r="AH71" s="12" t="s">
        <v>1144</v>
      </c>
      <c r="AI71" s="12" t="s">
        <v>1144</v>
      </c>
      <c r="AJ71" s="12" t="s">
        <v>1144</v>
      </c>
      <c r="AK71" s="12" t="s">
        <v>1144</v>
      </c>
      <c r="AL71" s="12" t="s">
        <v>1144</v>
      </c>
      <c r="AM71" s="12" t="s">
        <v>1144</v>
      </c>
      <c r="AN71" s="12" t="s">
        <v>1144</v>
      </c>
      <c r="AO71" s="12" t="s">
        <v>1144</v>
      </c>
      <c r="AP71" s="12" t="s">
        <v>1144</v>
      </c>
      <c r="AQ71" s="12" t="s">
        <v>1144</v>
      </c>
      <c r="AR71" s="12" t="s">
        <v>1144</v>
      </c>
      <c r="AS71" s="12" t="s">
        <v>1144</v>
      </c>
      <c r="AT71" s="12" t="s">
        <v>1144</v>
      </c>
      <c r="AU71" s="12" t="s">
        <v>1144</v>
      </c>
      <c r="AV71" s="12" t="s">
        <v>1144</v>
      </c>
      <c r="AW71" s="12" t="s">
        <v>1144</v>
      </c>
      <c r="AX71" s="12" t="s">
        <v>1144</v>
      </c>
      <c r="AY71" s="12" t="s">
        <v>1144</v>
      </c>
      <c r="AZ71" s="12" t="s">
        <v>1144</v>
      </c>
      <c r="BA71" s="12" t="s">
        <v>1144</v>
      </c>
    </row>
    <row r="72" spans="1:54" x14ac:dyDescent="0.45">
      <c r="B72" s="12" t="s">
        <v>668</v>
      </c>
      <c r="C72" t="s">
        <v>1155</v>
      </c>
      <c r="D72" t="s">
        <v>47</v>
      </c>
      <c r="E72" t="s">
        <v>47</v>
      </c>
      <c r="F72" t="s">
        <v>47</v>
      </c>
      <c r="G72" t="s">
        <v>47</v>
      </c>
      <c r="H72">
        <f>(H71*365)/1000</f>
        <v>6.6512643889121215</v>
      </c>
      <c r="I72" s="6">
        <f t="shared" ref="I72" si="75">(I71*365)/1000</f>
        <v>7.9282926762666692</v>
      </c>
      <c r="J72">
        <f t="shared" ref="J72:O72" si="76">(J71*365)/1000</f>
        <v>16.50079160426667</v>
      </c>
      <c r="K72">
        <f t="shared" si="76"/>
        <v>15.321683003200004</v>
      </c>
      <c r="L72">
        <f t="shared" si="76"/>
        <v>16.728409685120003</v>
      </c>
      <c r="M72">
        <f t="shared" si="76"/>
        <v>16.172720035061335</v>
      </c>
      <c r="N72">
        <f t="shared" si="76"/>
        <v>24.022135424000009</v>
      </c>
      <c r="O72">
        <f t="shared" si="76"/>
        <v>21.198490842666668</v>
      </c>
      <c r="P72" t="s">
        <v>47</v>
      </c>
      <c r="Q72" t="s">
        <v>47</v>
      </c>
      <c r="R72" t="s">
        <v>47</v>
      </c>
      <c r="S72" t="s">
        <v>47</v>
      </c>
      <c r="T72">
        <f>(T71*365)/1000</f>
        <v>6.4963466080204215</v>
      </c>
      <c r="U72" s="6">
        <f>(U71*365)/1000</f>
        <v>7.3374765283555563</v>
      </c>
      <c r="V72">
        <f>(V71*365)/1000</f>
        <v>24.022135424000009</v>
      </c>
      <c r="W72">
        <f>(W71*365)/1000</f>
        <v>23.545948836799994</v>
      </c>
      <c r="X72">
        <f>(X71*365)/1000</f>
        <v>23.935781527272724</v>
      </c>
      <c r="AF72" s="12" t="s">
        <v>668</v>
      </c>
      <c r="AX72" s="107"/>
      <c r="AY72" s="107"/>
      <c r="BA72" s="94"/>
    </row>
    <row r="73" spans="1:54" ht="71.25" x14ac:dyDescent="0.45">
      <c r="A73" t="s">
        <v>952</v>
      </c>
      <c r="B73" s="12" t="s">
        <v>1031</v>
      </c>
      <c r="C73" t="s">
        <v>544</v>
      </c>
      <c r="D73">
        <v>570</v>
      </c>
      <c r="E73">
        <v>570</v>
      </c>
      <c r="F73">
        <v>570</v>
      </c>
      <c r="G73">
        <v>570</v>
      </c>
      <c r="H73">
        <v>570</v>
      </c>
      <c r="I73" s="6">
        <v>570</v>
      </c>
      <c r="J73" s="54">
        <v>1460</v>
      </c>
      <c r="K73" s="54">
        <v>1460</v>
      </c>
      <c r="L73">
        <f>365*4</f>
        <v>1460</v>
      </c>
      <c r="M73">
        <f>6*365</f>
        <v>2190</v>
      </c>
      <c r="N73">
        <v>570</v>
      </c>
      <c r="O73">
        <v>570</v>
      </c>
      <c r="P73">
        <v>460</v>
      </c>
      <c r="Q73">
        <v>460</v>
      </c>
      <c r="R73">
        <v>460</v>
      </c>
      <c r="S73">
        <v>460</v>
      </c>
      <c r="T73">
        <v>460</v>
      </c>
      <c r="U73" s="6">
        <v>460</v>
      </c>
      <c r="V73">
        <v>2452</v>
      </c>
      <c r="W73">
        <v>2452</v>
      </c>
      <c r="X73">
        <v>2452</v>
      </c>
      <c r="AE73" s="12" t="s">
        <v>952</v>
      </c>
      <c r="AF73" s="12" t="s">
        <v>1031</v>
      </c>
      <c r="AG73" s="12" t="s">
        <v>544</v>
      </c>
      <c r="AH73" s="104" t="s">
        <v>787</v>
      </c>
      <c r="AI73" s="104" t="s">
        <v>1059</v>
      </c>
      <c r="AJ73" s="104" t="s">
        <v>1060</v>
      </c>
      <c r="AK73" s="104" t="s">
        <v>1061</v>
      </c>
      <c r="AL73" s="104" t="s">
        <v>1062</v>
      </c>
      <c r="AM73" s="104" t="s">
        <v>1063</v>
      </c>
      <c r="AN73" s="104" t="s">
        <v>1064</v>
      </c>
      <c r="AO73" s="104" t="s">
        <v>1065</v>
      </c>
      <c r="AP73" s="104" t="s">
        <v>1066</v>
      </c>
      <c r="AQ73" s="104" t="s">
        <v>1067</v>
      </c>
      <c r="AR73" s="104" t="s">
        <v>1068</v>
      </c>
      <c r="AS73" s="104" t="s">
        <v>1069</v>
      </c>
      <c r="AT73" s="104" t="s">
        <v>1070</v>
      </c>
      <c r="AU73" s="104" t="s">
        <v>1071</v>
      </c>
      <c r="AV73" s="104" t="s">
        <v>1072</v>
      </c>
      <c r="AW73" s="104" t="s">
        <v>1073</v>
      </c>
      <c r="AX73" s="104" t="s">
        <v>1074</v>
      </c>
      <c r="AY73" s="104" t="s">
        <v>1075</v>
      </c>
      <c r="AZ73" s="104" t="s">
        <v>1076</v>
      </c>
      <c r="BA73" s="12" t="s">
        <v>1056</v>
      </c>
    </row>
    <row r="74" spans="1:54" x14ac:dyDescent="0.45">
      <c r="B74" s="12" t="s">
        <v>757</v>
      </c>
      <c r="C74" t="s">
        <v>67</v>
      </c>
      <c r="D74">
        <v>56.5</v>
      </c>
      <c r="E74">
        <v>56.5</v>
      </c>
      <c r="F74">
        <v>56.5</v>
      </c>
      <c r="G74">
        <v>56.5</v>
      </c>
      <c r="H74">
        <v>56.5</v>
      </c>
      <c r="I74" s="6">
        <v>56.5</v>
      </c>
      <c r="J74" s="54">
        <v>56.1</v>
      </c>
      <c r="K74" s="54">
        <v>56.1</v>
      </c>
      <c r="L74">
        <v>56.1</v>
      </c>
      <c r="M74">
        <v>56.1</v>
      </c>
      <c r="N74">
        <v>53.7</v>
      </c>
      <c r="O74">
        <v>53.7</v>
      </c>
      <c r="P74">
        <v>49.5</v>
      </c>
      <c r="Q74">
        <v>49.5</v>
      </c>
      <c r="R74">
        <v>49.5</v>
      </c>
      <c r="S74">
        <v>49.5</v>
      </c>
      <c r="T74">
        <v>49.5</v>
      </c>
      <c r="U74" s="6">
        <v>49.5</v>
      </c>
      <c r="V74">
        <v>46.5</v>
      </c>
      <c r="W74">
        <v>46.5</v>
      </c>
      <c r="X74">
        <v>46.5</v>
      </c>
      <c r="AF74" s="12" t="s">
        <v>757</v>
      </c>
      <c r="AG74" s="12" t="s">
        <v>67</v>
      </c>
      <c r="AH74" s="12" t="s">
        <v>1057</v>
      </c>
      <c r="AI74" s="12" t="s">
        <v>1057</v>
      </c>
      <c r="AJ74" s="12" t="s">
        <v>1057</v>
      </c>
      <c r="AK74" s="12" t="s">
        <v>1057</v>
      </c>
      <c r="AL74" s="12" t="s">
        <v>1057</v>
      </c>
      <c r="AM74" s="12" t="s">
        <v>1057</v>
      </c>
      <c r="AN74" s="12" t="s">
        <v>1057</v>
      </c>
      <c r="AO74" s="12" t="s">
        <v>1057</v>
      </c>
      <c r="AP74" s="12" t="s">
        <v>1057</v>
      </c>
      <c r="AQ74" s="12" t="s">
        <v>1057</v>
      </c>
      <c r="AR74" s="12" t="s">
        <v>1057</v>
      </c>
      <c r="AS74" s="12" t="s">
        <v>1057</v>
      </c>
      <c r="AT74" s="12" t="s">
        <v>1057</v>
      </c>
      <c r="AU74" s="12" t="s">
        <v>1057</v>
      </c>
      <c r="AV74" s="12" t="s">
        <v>1057</v>
      </c>
      <c r="AW74" s="12" t="s">
        <v>1057</v>
      </c>
      <c r="AX74" s="12" t="s">
        <v>1057</v>
      </c>
      <c r="AY74" s="12" t="s">
        <v>1057</v>
      </c>
      <c r="AZ74" s="12" t="s">
        <v>1057</v>
      </c>
      <c r="BA74" s="12" t="s">
        <v>1057</v>
      </c>
    </row>
    <row r="75" spans="1:54" ht="28.5" x14ac:dyDescent="0.45">
      <c r="B75" s="12" t="s">
        <v>1032</v>
      </c>
      <c r="D75">
        <f>($M$11*(1-0.802*EXP(-0.00255*D73))^2)*(D74/100)</f>
        <v>256.41581400631588</v>
      </c>
      <c r="E75">
        <f t="shared" ref="E75:M75" si="77">($M$11*(1-0.802*EXP(-0.00255*E73))^2)*(E74/100)</f>
        <v>256.41581400631588</v>
      </c>
      <c r="F75">
        <f t="shared" si="77"/>
        <v>256.41581400631588</v>
      </c>
      <c r="G75">
        <f t="shared" si="77"/>
        <v>256.41581400631588</v>
      </c>
      <c r="H75">
        <f t="shared" si="77"/>
        <v>256.41581400631588</v>
      </c>
      <c r="I75" s="6">
        <f t="shared" si="77"/>
        <v>256.41581400631588</v>
      </c>
      <c r="J75" s="54">
        <f t="shared" si="77"/>
        <v>370.83621242306032</v>
      </c>
      <c r="K75" s="54">
        <f t="shared" si="77"/>
        <v>370.83621242306032</v>
      </c>
      <c r="L75" s="54">
        <f t="shared" si="77"/>
        <v>370.83621242306032</v>
      </c>
      <c r="M75" s="54">
        <f t="shared" si="77"/>
        <v>383.31711567304222</v>
      </c>
      <c r="N75">
        <f t="shared" ref="N75:U75" si="78">($X$11*(1-0.763*EXP(-0.00285*N73))^2)*(N74/100)</f>
        <v>214.7811291201192</v>
      </c>
      <c r="O75">
        <f t="shared" si="78"/>
        <v>214.7811291201192</v>
      </c>
      <c r="P75">
        <f t="shared" si="78"/>
        <v>173.02953770314193</v>
      </c>
      <c r="Q75">
        <f t="shared" si="78"/>
        <v>173.02953770314193</v>
      </c>
      <c r="R75">
        <f t="shared" si="78"/>
        <v>173.02953770314193</v>
      </c>
      <c r="S75">
        <f t="shared" si="78"/>
        <v>173.02953770314193</v>
      </c>
      <c r="T75">
        <f t="shared" si="78"/>
        <v>173.02953770314193</v>
      </c>
      <c r="U75" s="6">
        <f t="shared" si="78"/>
        <v>173.02953770314193</v>
      </c>
      <c r="V75">
        <f>(X11*(1-0.763*EXP(-0.00285*V73))^2)*(V74/100)</f>
        <v>257.24740012596681</v>
      </c>
      <c r="W75">
        <f>($X$11*(1-0.763*EXP(-0.00285*W73))^2)*(W74/100)</f>
        <v>257.24740012596681</v>
      </c>
      <c r="X75">
        <f>($X$11*(1-0.763*EXP(-0.00285*X73))^2)*(X74/100)</f>
        <v>257.24740012596681</v>
      </c>
      <c r="AF75" s="12" t="s">
        <v>1032</v>
      </c>
      <c r="AH75" s="12" t="s">
        <v>1058</v>
      </c>
      <c r="AI75" s="12" t="s">
        <v>1058</v>
      </c>
      <c r="AJ75" s="12" t="s">
        <v>1058</v>
      </c>
      <c r="AK75" s="12" t="s">
        <v>1058</v>
      </c>
      <c r="AL75" s="12" t="s">
        <v>1058</v>
      </c>
      <c r="AM75" s="12" t="s">
        <v>1058</v>
      </c>
      <c r="AN75" s="12" t="s">
        <v>1058</v>
      </c>
      <c r="AO75" s="12" t="s">
        <v>1058</v>
      </c>
      <c r="AP75" s="12" t="s">
        <v>1058</v>
      </c>
      <c r="AQ75" s="12" t="s">
        <v>1058</v>
      </c>
      <c r="AR75" s="12" t="s">
        <v>1058</v>
      </c>
      <c r="AS75" s="12" t="s">
        <v>1058</v>
      </c>
      <c r="AT75" s="12" t="s">
        <v>1058</v>
      </c>
      <c r="AU75" s="12" t="s">
        <v>1058</v>
      </c>
      <c r="AV75" s="12" t="s">
        <v>1058</v>
      </c>
      <c r="AW75" s="12" t="s">
        <v>1058</v>
      </c>
      <c r="AX75" s="12" t="s">
        <v>1058</v>
      </c>
      <c r="AY75" s="12" t="s">
        <v>1058</v>
      </c>
      <c r="AZ75" s="12" t="s">
        <v>1058</v>
      </c>
      <c r="BA75" s="12" t="s">
        <v>1058</v>
      </c>
    </row>
    <row r="76" spans="1:54" ht="42.75" x14ac:dyDescent="0.45">
      <c r="A76" t="s">
        <v>1116</v>
      </c>
      <c r="B76" s="12" t="s">
        <v>1117</v>
      </c>
      <c r="C76" t="s">
        <v>1119</v>
      </c>
      <c r="D76">
        <f t="shared" ref="D76:X76" si="79">((D20*(D78/100)*365)/55.65)</f>
        <v>11.62247915979237</v>
      </c>
      <c r="E76">
        <f t="shared" si="79"/>
        <v>11.62247915979237</v>
      </c>
      <c r="F76">
        <f t="shared" si="79"/>
        <v>11.62247915979237</v>
      </c>
      <c r="G76">
        <f t="shared" si="79"/>
        <v>11.62247915979237</v>
      </c>
      <c r="H76">
        <f t="shared" si="79"/>
        <v>29.502141762699967</v>
      </c>
      <c r="I76" s="6">
        <f t="shared" si="79"/>
        <v>22.106780625998383</v>
      </c>
      <c r="J76">
        <f t="shared" si="79"/>
        <v>60.1196500033139</v>
      </c>
      <c r="K76">
        <f t="shared" si="79"/>
        <v>64.988033462293672</v>
      </c>
      <c r="L76">
        <f t="shared" si="79"/>
        <v>66.859776600212868</v>
      </c>
      <c r="M76">
        <f t="shared" si="79"/>
        <v>56.726395888358951</v>
      </c>
      <c r="N76">
        <f t="shared" si="79"/>
        <v>22.241455845169437</v>
      </c>
      <c r="O76">
        <f t="shared" si="79"/>
        <v>17.249700762256147</v>
      </c>
      <c r="P76">
        <f t="shared" si="79"/>
        <v>9.9985615435259891</v>
      </c>
      <c r="Q76">
        <f t="shared" si="79"/>
        <v>9.9985615435259891</v>
      </c>
      <c r="R76">
        <f t="shared" si="79"/>
        <v>9.9985615435259891</v>
      </c>
      <c r="S76">
        <f t="shared" si="79"/>
        <v>9.9985615435259891</v>
      </c>
      <c r="T76">
        <f t="shared" si="79"/>
        <v>24.99693590097894</v>
      </c>
      <c r="U76" s="6">
        <f t="shared" si="79"/>
        <v>12.998236415016578</v>
      </c>
      <c r="V76">
        <f t="shared" si="79"/>
        <v>22.241455845169437</v>
      </c>
      <c r="W76">
        <f t="shared" si="79"/>
        <v>78.99476619047617</v>
      </c>
      <c r="X76">
        <f t="shared" si="79"/>
        <v>85.971044025157227</v>
      </c>
      <c r="AH76" s="12" t="s">
        <v>1147</v>
      </c>
      <c r="AI76" s="12" t="s">
        <v>1147</v>
      </c>
      <c r="AJ76" s="12" t="s">
        <v>1147</v>
      </c>
      <c r="AK76" s="12" t="s">
        <v>1147</v>
      </c>
      <c r="AL76" s="12" t="s">
        <v>1147</v>
      </c>
      <c r="AM76" s="12" t="s">
        <v>1147</v>
      </c>
      <c r="AN76" s="12" t="s">
        <v>1147</v>
      </c>
      <c r="AO76" s="12" t="s">
        <v>1147</v>
      </c>
      <c r="AP76" s="12" t="s">
        <v>1147</v>
      </c>
      <c r="AQ76" s="12" t="s">
        <v>1147</v>
      </c>
      <c r="AR76" s="12" t="s">
        <v>1147</v>
      </c>
      <c r="AS76" s="12" t="s">
        <v>1147</v>
      </c>
      <c r="AT76" s="12" t="s">
        <v>1147</v>
      </c>
      <c r="AU76" s="12" t="s">
        <v>1147</v>
      </c>
      <c r="AV76" s="12" t="s">
        <v>1147</v>
      </c>
      <c r="AW76" s="12" t="s">
        <v>1147</v>
      </c>
      <c r="AX76" s="12" t="s">
        <v>1147</v>
      </c>
      <c r="AY76" s="12" t="s">
        <v>1147</v>
      </c>
      <c r="AZ76" s="12" t="s">
        <v>1147</v>
      </c>
      <c r="BA76" s="12" t="s">
        <v>1147</v>
      </c>
    </row>
    <row r="77" spans="1:54" ht="42.75" x14ac:dyDescent="0.45">
      <c r="B77" s="12" t="s">
        <v>1118</v>
      </c>
      <c r="C77" t="s">
        <v>1181</v>
      </c>
      <c r="D77">
        <f t="shared" ref="D77:X77" si="80">(D79*D3)</f>
        <v>540</v>
      </c>
      <c r="E77">
        <f t="shared" si="80"/>
        <v>540</v>
      </c>
      <c r="F77">
        <f t="shared" si="80"/>
        <v>540</v>
      </c>
      <c r="G77">
        <f t="shared" si="80"/>
        <v>540</v>
      </c>
      <c r="H77">
        <f t="shared" si="80"/>
        <v>540</v>
      </c>
      <c r="I77" s="6">
        <f t="shared" si="80"/>
        <v>540</v>
      </c>
      <c r="J77">
        <f t="shared" si="80"/>
        <v>24</v>
      </c>
      <c r="K77">
        <f t="shared" si="80"/>
        <v>24</v>
      </c>
      <c r="L77">
        <f t="shared" si="80"/>
        <v>54</v>
      </c>
      <c r="M77">
        <f t="shared" si="80"/>
        <v>54</v>
      </c>
      <c r="N77">
        <f t="shared" si="80"/>
        <v>540</v>
      </c>
      <c r="O77">
        <f t="shared" si="80"/>
        <v>540</v>
      </c>
      <c r="P77">
        <f t="shared" si="80"/>
        <v>540</v>
      </c>
      <c r="Q77">
        <f t="shared" si="80"/>
        <v>540</v>
      </c>
      <c r="R77">
        <f t="shared" si="80"/>
        <v>540</v>
      </c>
      <c r="S77">
        <f t="shared" si="80"/>
        <v>540</v>
      </c>
      <c r="T77">
        <f t="shared" si="80"/>
        <v>540</v>
      </c>
      <c r="U77" s="6">
        <f t="shared" si="80"/>
        <v>540</v>
      </c>
      <c r="V77">
        <f t="shared" si="80"/>
        <v>540</v>
      </c>
      <c r="W77">
        <f t="shared" si="80"/>
        <v>300</v>
      </c>
      <c r="X77">
        <f t="shared" si="80"/>
        <v>774</v>
      </c>
      <c r="AH77" s="12" t="s">
        <v>1151</v>
      </c>
      <c r="AI77" s="12" t="s">
        <v>1151</v>
      </c>
      <c r="AJ77" s="12" t="s">
        <v>1151</v>
      </c>
      <c r="AK77" s="12" t="s">
        <v>1151</v>
      </c>
      <c r="AL77" s="12" t="s">
        <v>1151</v>
      </c>
      <c r="AM77" s="12" t="s">
        <v>1151</v>
      </c>
      <c r="AN77" s="12" t="s">
        <v>1151</v>
      </c>
      <c r="AO77" s="12" t="s">
        <v>1151</v>
      </c>
      <c r="AP77" s="12" t="s">
        <v>1151</v>
      </c>
      <c r="AQ77" s="12" t="s">
        <v>1151</v>
      </c>
      <c r="AR77" s="12" t="s">
        <v>1151</v>
      </c>
      <c r="AS77" s="12" t="s">
        <v>1151</v>
      </c>
      <c r="AT77" s="12" t="s">
        <v>1151</v>
      </c>
      <c r="AU77" s="12" t="s">
        <v>1151</v>
      </c>
      <c r="AV77" s="12" t="s">
        <v>1151</v>
      </c>
      <c r="AW77" s="12" t="s">
        <v>1151</v>
      </c>
      <c r="AX77" s="12" t="s">
        <v>1151</v>
      </c>
      <c r="AY77" s="12" t="s">
        <v>1151</v>
      </c>
      <c r="AZ77" s="12" t="s">
        <v>1151</v>
      </c>
      <c r="BA77" s="12" t="s">
        <v>1151</v>
      </c>
    </row>
    <row r="78" spans="1:54" x14ac:dyDescent="0.45">
      <c r="B78" s="12" t="s">
        <v>1145</v>
      </c>
      <c r="C78" t="s">
        <v>1146</v>
      </c>
      <c r="D78">
        <v>6.5</v>
      </c>
      <c r="E78">
        <v>6.5</v>
      </c>
      <c r="F78">
        <v>6.5</v>
      </c>
      <c r="G78">
        <v>6.5</v>
      </c>
      <c r="H78">
        <v>6.5</v>
      </c>
      <c r="I78" s="6">
        <v>6.5</v>
      </c>
      <c r="J78">
        <v>6.5</v>
      </c>
      <c r="K78">
        <v>6.5</v>
      </c>
      <c r="L78">
        <v>6.5</v>
      </c>
      <c r="M78">
        <v>6.5</v>
      </c>
      <c r="N78">
        <v>6.5</v>
      </c>
      <c r="O78">
        <v>6.5</v>
      </c>
      <c r="P78">
        <v>6.5</v>
      </c>
      <c r="Q78">
        <v>6.5</v>
      </c>
      <c r="R78">
        <v>6.5</v>
      </c>
      <c r="S78">
        <v>6.5</v>
      </c>
      <c r="T78">
        <v>6.5</v>
      </c>
      <c r="U78" s="6">
        <v>6.5</v>
      </c>
      <c r="V78">
        <v>6.5</v>
      </c>
      <c r="W78">
        <v>6.5</v>
      </c>
      <c r="X78">
        <v>6.5</v>
      </c>
      <c r="AX78" s="107"/>
      <c r="AY78" s="107"/>
      <c r="BA78" s="94"/>
    </row>
    <row r="79" spans="1:54" ht="28.5" x14ac:dyDescent="0.45">
      <c r="B79" s="12" t="s">
        <v>1152</v>
      </c>
      <c r="C79" t="s">
        <v>1153</v>
      </c>
      <c r="D79">
        <v>6</v>
      </c>
      <c r="E79">
        <v>6</v>
      </c>
      <c r="F79">
        <v>6</v>
      </c>
      <c r="G79">
        <v>6</v>
      </c>
      <c r="H79">
        <v>6</v>
      </c>
      <c r="I79" s="6">
        <v>6</v>
      </c>
      <c r="J79">
        <v>6</v>
      </c>
      <c r="K79">
        <v>6</v>
      </c>
      <c r="L79">
        <v>6</v>
      </c>
      <c r="M79">
        <v>6</v>
      </c>
      <c r="N79">
        <v>6</v>
      </c>
      <c r="O79">
        <v>6</v>
      </c>
      <c r="P79">
        <v>6</v>
      </c>
      <c r="Q79">
        <v>6</v>
      </c>
      <c r="R79">
        <v>6</v>
      </c>
      <c r="S79">
        <v>6</v>
      </c>
      <c r="T79">
        <v>6</v>
      </c>
      <c r="U79" s="6">
        <v>6</v>
      </c>
      <c r="V79">
        <v>6</v>
      </c>
      <c r="W79">
        <v>6</v>
      </c>
      <c r="X79">
        <v>6</v>
      </c>
      <c r="AH79" s="12" t="s">
        <v>1154</v>
      </c>
      <c r="AI79" s="12" t="s">
        <v>1154</v>
      </c>
      <c r="AJ79" s="12" t="s">
        <v>1154</v>
      </c>
      <c r="AK79" s="12" t="s">
        <v>1154</v>
      </c>
      <c r="AL79" s="12" t="s">
        <v>1154</v>
      </c>
      <c r="AM79" s="12" t="s">
        <v>1154</v>
      </c>
      <c r="AN79" s="12" t="s">
        <v>1154</v>
      </c>
      <c r="AO79" s="12" t="s">
        <v>1154</v>
      </c>
      <c r="AP79" s="12" t="s">
        <v>1154</v>
      </c>
      <c r="AQ79" s="12" t="s">
        <v>1154</v>
      </c>
      <c r="AR79" s="12" t="s">
        <v>1154</v>
      </c>
      <c r="AS79" s="12" t="s">
        <v>1154</v>
      </c>
      <c r="AT79" s="12" t="s">
        <v>1154</v>
      </c>
      <c r="AU79" s="12" t="s">
        <v>1154</v>
      </c>
      <c r="AV79" s="12" t="s">
        <v>1154</v>
      </c>
      <c r="AW79" s="12" t="s">
        <v>1154</v>
      </c>
      <c r="AX79" s="12" t="s">
        <v>1154</v>
      </c>
      <c r="AY79" s="12" t="s">
        <v>1154</v>
      </c>
      <c r="AZ79" s="12" t="s">
        <v>1154</v>
      </c>
      <c r="BA79" s="12" t="s">
        <v>1154</v>
      </c>
      <c r="BB79" s="106"/>
    </row>
    <row r="80" spans="1:54" x14ac:dyDescent="0.45">
      <c r="A80" t="s">
        <v>1163</v>
      </c>
      <c r="AY80" s="107"/>
      <c r="AZ80" s="107"/>
      <c r="BB80" s="106"/>
    </row>
    <row r="81" spans="1:54" x14ac:dyDescent="0.45">
      <c r="A81" s="140" t="s">
        <v>748</v>
      </c>
      <c r="B81" s="12" t="s">
        <v>751</v>
      </c>
      <c r="C81" t="s">
        <v>799</v>
      </c>
      <c r="D81">
        <f t="shared" ref="D81:I81" si="81">365*(D39/100)</f>
        <v>173.375</v>
      </c>
      <c r="E81">
        <f t="shared" si="81"/>
        <v>173.375</v>
      </c>
      <c r="F81">
        <f t="shared" si="81"/>
        <v>173.375</v>
      </c>
      <c r="G81">
        <f t="shared" si="81"/>
        <v>173.375</v>
      </c>
      <c r="H81">
        <f t="shared" si="81"/>
        <v>173.375</v>
      </c>
      <c r="I81" s="6">
        <f t="shared" si="81"/>
        <v>173.375</v>
      </c>
      <c r="J81">
        <f t="shared" ref="J81:X81" si="82">365*(J39/100)</f>
        <v>173.375</v>
      </c>
      <c r="K81">
        <f t="shared" si="82"/>
        <v>173.375</v>
      </c>
      <c r="L81">
        <f t="shared" si="82"/>
        <v>173.375</v>
      </c>
      <c r="M81">
        <f t="shared" si="82"/>
        <v>173.375</v>
      </c>
      <c r="N81">
        <f t="shared" si="82"/>
        <v>173.375</v>
      </c>
      <c r="O81">
        <f t="shared" si="82"/>
        <v>173.375</v>
      </c>
      <c r="P81">
        <f t="shared" si="82"/>
        <v>173.375</v>
      </c>
      <c r="Q81">
        <f t="shared" si="82"/>
        <v>173.375</v>
      </c>
      <c r="R81">
        <f t="shared" si="82"/>
        <v>173.375</v>
      </c>
      <c r="S81">
        <f t="shared" si="82"/>
        <v>173.375</v>
      </c>
      <c r="T81">
        <f t="shared" si="82"/>
        <v>173.375</v>
      </c>
      <c r="U81" s="6">
        <f t="shared" si="82"/>
        <v>173.375</v>
      </c>
      <c r="V81">
        <f t="shared" si="82"/>
        <v>173.375</v>
      </c>
      <c r="W81">
        <f t="shared" si="82"/>
        <v>173.375</v>
      </c>
      <c r="X81">
        <f t="shared" si="82"/>
        <v>173.375</v>
      </c>
      <c r="AX81" s="107"/>
      <c r="AY81" s="107"/>
      <c r="BA81" s="106"/>
    </row>
    <row r="82" spans="1:54" s="88" customFormat="1" x14ac:dyDescent="0.45">
      <c r="A82" s="140"/>
      <c r="B82" s="113" t="s">
        <v>752</v>
      </c>
      <c r="C82" s="88" t="s">
        <v>775</v>
      </c>
      <c r="D82" s="88">
        <f>($AO$130*D2)</f>
        <v>211.24497991967874</v>
      </c>
      <c r="E82" s="88">
        <f>($AO$130*E2)</f>
        <v>211.24497991967874</v>
      </c>
      <c r="F82" s="88">
        <f>($AO$130*F2)</f>
        <v>211.24497991967874</v>
      </c>
      <c r="G82" s="88">
        <f>($AO$130*G2)</f>
        <v>211.24497991967874</v>
      </c>
      <c r="H82" s="88">
        <f>($AO$130*H2)</f>
        <v>316.86746987951807</v>
      </c>
      <c r="I82" s="88">
        <f>AVERAGE(D82:H82)</f>
        <v>232.36947791164661</v>
      </c>
      <c r="J82" s="88">
        <f t="shared" ref="J82:T82" si="83">($AO$130*J2)</f>
        <v>316.86746987951807</v>
      </c>
      <c r="K82" s="88">
        <f t="shared" si="83"/>
        <v>528.11244979919684</v>
      </c>
      <c r="L82" s="88">
        <f t="shared" si="83"/>
        <v>528.11244979919684</v>
      </c>
      <c r="M82" s="88">
        <f>($AO$130*M2)</f>
        <v>528.11244979919684</v>
      </c>
      <c r="N82" s="88">
        <f t="shared" si="83"/>
        <v>316.86746987951807</v>
      </c>
      <c r="O82" s="88">
        <f t="shared" si="83"/>
        <v>528.11244979919684</v>
      </c>
      <c r="P82" s="88">
        <f t="shared" si="83"/>
        <v>211.24497991967874</v>
      </c>
      <c r="Q82" s="88">
        <f t="shared" si="83"/>
        <v>211.24497991967874</v>
      </c>
      <c r="R82" s="88">
        <f t="shared" si="83"/>
        <v>211.24497991967874</v>
      </c>
      <c r="S82" s="88">
        <f t="shared" si="83"/>
        <v>211.24497991967874</v>
      </c>
      <c r="T82" s="88">
        <f t="shared" si="83"/>
        <v>316.86746987951807</v>
      </c>
      <c r="U82" s="88">
        <f>AVERAGE(P82:T82)</f>
        <v>232.36947791164661</v>
      </c>
      <c r="V82" s="88">
        <f>($AO$130*V2)</f>
        <v>316.86746987951807</v>
      </c>
      <c r="W82" s="88">
        <f>($AO$130*W2)</f>
        <v>528.11244979919684</v>
      </c>
      <c r="X82" s="88">
        <f>($AO$130*X2)</f>
        <v>528.11244979919684</v>
      </c>
      <c r="AE82" s="113"/>
      <c r="AF82" s="113"/>
      <c r="AG82" s="113"/>
      <c r="AH82" s="113"/>
      <c r="AI82" s="113"/>
      <c r="AJ82" s="113"/>
      <c r="AK82" s="113"/>
      <c r="AL82" s="113"/>
      <c r="AM82" s="113"/>
      <c r="AN82" s="113"/>
      <c r="AO82" s="113"/>
      <c r="AP82" s="113"/>
      <c r="AQ82" s="113"/>
      <c r="AR82" s="113"/>
      <c r="AS82" s="113"/>
      <c r="AT82" s="113"/>
      <c r="AU82" s="113"/>
      <c r="AV82" s="113"/>
      <c r="AW82" s="113"/>
      <c r="AX82" s="114"/>
      <c r="AY82" s="114"/>
      <c r="AZ82" s="113"/>
    </row>
    <row r="83" spans="1:54" x14ac:dyDescent="0.45">
      <c r="A83" s="140"/>
      <c r="B83" s="12" t="s">
        <v>1164</v>
      </c>
      <c r="C83" t="s">
        <v>1165</v>
      </c>
      <c r="D83">
        <v>0</v>
      </c>
      <c r="E83">
        <v>0</v>
      </c>
      <c r="F83">
        <v>0</v>
      </c>
      <c r="G83">
        <v>0</v>
      </c>
      <c r="H83">
        <v>0</v>
      </c>
      <c r="I83" s="6">
        <v>0</v>
      </c>
      <c r="J83">
        <v>0.6</v>
      </c>
      <c r="K83">
        <v>1</v>
      </c>
      <c r="L83">
        <v>1</v>
      </c>
      <c r="M83">
        <v>1</v>
      </c>
      <c r="N83">
        <v>0.6</v>
      </c>
      <c r="O83">
        <v>1</v>
      </c>
      <c r="P83">
        <v>0</v>
      </c>
      <c r="Q83">
        <v>0</v>
      </c>
      <c r="R83">
        <v>0</v>
      </c>
      <c r="S83">
        <v>0</v>
      </c>
      <c r="T83">
        <v>0</v>
      </c>
      <c r="U83" s="6">
        <v>0</v>
      </c>
      <c r="V83">
        <v>0.6</v>
      </c>
      <c r="W83">
        <v>1</v>
      </c>
      <c r="X83">
        <v>1</v>
      </c>
      <c r="AX83" s="107"/>
      <c r="AY83" s="107"/>
      <c r="BA83" s="106"/>
    </row>
    <row r="84" spans="1:54" x14ac:dyDescent="0.45">
      <c r="A84" s="140"/>
      <c r="B84" s="12" t="s">
        <v>957</v>
      </c>
      <c r="C84" t="s">
        <v>771</v>
      </c>
      <c r="D84">
        <v>0</v>
      </c>
      <c r="E84">
        <v>0</v>
      </c>
      <c r="F84">
        <v>0</v>
      </c>
      <c r="G84">
        <v>0</v>
      </c>
      <c r="H84">
        <v>0</v>
      </c>
      <c r="I84" s="6">
        <v>0</v>
      </c>
      <c r="J84">
        <f>530*J83</f>
        <v>318</v>
      </c>
      <c r="K84">
        <f>530*K83</f>
        <v>530</v>
      </c>
      <c r="L84">
        <f t="shared" ref="L84:M84" si="84">530*L83</f>
        <v>530</v>
      </c>
      <c r="M84">
        <f t="shared" si="84"/>
        <v>530</v>
      </c>
      <c r="N84">
        <f>530*N83</f>
        <v>318</v>
      </c>
      <c r="O84">
        <f>530*O83</f>
        <v>530</v>
      </c>
      <c r="P84">
        <v>0</v>
      </c>
      <c r="Q84">
        <v>0</v>
      </c>
      <c r="R84">
        <v>0</v>
      </c>
      <c r="S84">
        <v>0</v>
      </c>
      <c r="T84">
        <v>0</v>
      </c>
      <c r="U84" s="6">
        <v>0</v>
      </c>
      <c r="V84">
        <f>530*V83</f>
        <v>318</v>
      </c>
      <c r="W84">
        <f>530*W83</f>
        <v>530</v>
      </c>
      <c r="X84">
        <f>530*X83</f>
        <v>530</v>
      </c>
      <c r="AX84" s="107"/>
      <c r="AY84" s="107"/>
      <c r="BA84" s="106"/>
    </row>
    <row r="85" spans="1:54" ht="42.75" x14ac:dyDescent="0.45">
      <c r="A85" s="140"/>
      <c r="B85" s="12" t="s">
        <v>957</v>
      </c>
      <c r="C85" t="s">
        <v>942</v>
      </c>
      <c r="D85">
        <v>0</v>
      </c>
      <c r="E85">
        <v>0</v>
      </c>
      <c r="F85">
        <v>0</v>
      </c>
      <c r="G85">
        <v>0</v>
      </c>
      <c r="H85">
        <v>0</v>
      </c>
      <c r="I85" s="6">
        <v>0</v>
      </c>
      <c r="J85">
        <f t="shared" ref="J85:O85" si="85">J84/J11</f>
        <v>0.98934297423145023</v>
      </c>
      <c r="K85">
        <f t="shared" si="85"/>
        <v>1.0062574730260625</v>
      </c>
      <c r="L85">
        <f t="shared" si="85"/>
        <v>0.85277710013425778</v>
      </c>
      <c r="M85">
        <f t="shared" si="85"/>
        <v>0.77101063777633361</v>
      </c>
      <c r="N85">
        <f t="shared" si="85"/>
        <v>1.0760137911004664</v>
      </c>
      <c r="O85">
        <f t="shared" si="85"/>
        <v>1.1687780887417722</v>
      </c>
      <c r="P85">
        <v>0</v>
      </c>
      <c r="Q85">
        <v>0</v>
      </c>
      <c r="R85">
        <v>0</v>
      </c>
      <c r="S85">
        <v>0</v>
      </c>
      <c r="T85">
        <v>0</v>
      </c>
      <c r="U85" s="6">
        <v>0</v>
      </c>
      <c r="V85">
        <f>V84/V11</f>
        <v>1.0760137911004664</v>
      </c>
      <c r="W85">
        <f>W84/W11</f>
        <v>1.1687780887417722</v>
      </c>
      <c r="X85">
        <f>X84/X11</f>
        <v>0.95667870036101088</v>
      </c>
      <c r="AH85" s="12" t="s">
        <v>1169</v>
      </c>
      <c r="AI85" s="12" t="s">
        <v>1169</v>
      </c>
      <c r="AJ85" s="12" t="s">
        <v>1169</v>
      </c>
      <c r="AK85" s="12" t="s">
        <v>1169</v>
      </c>
      <c r="AL85" s="12" t="s">
        <v>1169</v>
      </c>
      <c r="AM85" s="12" t="s">
        <v>1169</v>
      </c>
      <c r="AN85" s="12" t="s">
        <v>1169</v>
      </c>
      <c r="AO85" s="12" t="s">
        <v>1169</v>
      </c>
      <c r="AP85" s="12" t="s">
        <v>1169</v>
      </c>
      <c r="AQ85" s="12" t="s">
        <v>1169</v>
      </c>
      <c r="AR85" s="12" t="s">
        <v>1169</v>
      </c>
      <c r="AS85" s="12" t="s">
        <v>1169</v>
      </c>
      <c r="AT85" s="12" t="s">
        <v>1169</v>
      </c>
      <c r="AU85" s="12" t="s">
        <v>1169</v>
      </c>
      <c r="AV85" s="12" t="s">
        <v>1169</v>
      </c>
      <c r="AW85" s="12" t="s">
        <v>1169</v>
      </c>
      <c r="AX85" s="12" t="s">
        <v>1169</v>
      </c>
      <c r="AY85" s="12" t="s">
        <v>1169</v>
      </c>
      <c r="AZ85" s="12" t="s">
        <v>1169</v>
      </c>
      <c r="BA85" s="12" t="s">
        <v>1169</v>
      </c>
    </row>
    <row r="86" spans="1:54" x14ac:dyDescent="0.45">
      <c r="A86" s="140"/>
      <c r="B86" s="12" t="s">
        <v>1167</v>
      </c>
      <c r="C86" t="s">
        <v>1168</v>
      </c>
      <c r="D86">
        <f>AVERAGE(400.05,401.83,478.6)</f>
        <v>426.82666666666665</v>
      </c>
      <c r="E86">
        <f t="shared" ref="E86:H86" si="86">AVERAGE(400.05,401.83,478.6)</f>
        <v>426.82666666666665</v>
      </c>
      <c r="F86">
        <f t="shared" si="86"/>
        <v>426.82666666666665</v>
      </c>
      <c r="G86">
        <f t="shared" si="86"/>
        <v>426.82666666666665</v>
      </c>
      <c r="H86">
        <f t="shared" si="86"/>
        <v>426.82666666666665</v>
      </c>
      <c r="I86" s="6">
        <f>AVERAGE(D86:H86)</f>
        <v>426.82666666666665</v>
      </c>
      <c r="J86">
        <f>AVERAGE(400.05,401.83,478.6)</f>
        <v>426.82666666666665</v>
      </c>
      <c r="K86">
        <f>AVERAGE(400.05,401.83,478.6)</f>
        <v>426.82666666666665</v>
      </c>
      <c r="L86">
        <f>AVERAGE(400.05,401.83,478.6)</f>
        <v>426.82666666666665</v>
      </c>
      <c r="M86">
        <f>AVERAGE(400.05,401.83,478.6)</f>
        <v>426.82666666666665</v>
      </c>
      <c r="N86">
        <f>AVERAGE(354.76,360.24,438.82)</f>
        <v>384.60666666666663</v>
      </c>
      <c r="O86">
        <f>AVERAGE(354.76,360.24,438.82)</f>
        <v>384.60666666666663</v>
      </c>
      <c r="P86">
        <f>AVERAGE(354.76,360.24,438.82)</f>
        <v>384.60666666666663</v>
      </c>
      <c r="Q86">
        <f t="shared" ref="Q86:T86" si="87">AVERAGE(354.76,360.24,438.82)</f>
        <v>384.60666666666663</v>
      </c>
      <c r="R86">
        <f t="shared" si="87"/>
        <v>384.60666666666663</v>
      </c>
      <c r="S86">
        <f t="shared" si="87"/>
        <v>384.60666666666663</v>
      </c>
      <c r="T86">
        <f t="shared" si="87"/>
        <v>384.60666666666663</v>
      </c>
      <c r="U86" s="6">
        <f>AVERAGE(354.76,360.24,438.82)</f>
        <v>384.60666666666663</v>
      </c>
      <c r="V86">
        <f>AVERAGE(354.76,360.24,438.82)</f>
        <v>384.60666666666663</v>
      </c>
      <c r="W86">
        <f>AVERAGE(322.27,332.06,352.69)</f>
        <v>335.67333333333335</v>
      </c>
      <c r="X86">
        <f>AVERAGE(322.27,332.06,352.69)</f>
        <v>335.67333333333335</v>
      </c>
      <c r="AX86" s="107"/>
      <c r="AY86" s="107"/>
      <c r="BA86" s="106"/>
    </row>
    <row r="87" spans="1:54" s="9" customFormat="1" ht="28.5" x14ac:dyDescent="0.45">
      <c r="A87" s="140"/>
      <c r="B87" s="115" t="s">
        <v>1183</v>
      </c>
      <c r="C87" s="9" t="s">
        <v>942</v>
      </c>
      <c r="D87" s="9">
        <f t="shared" ref="D87:X87" si="88">(D89*D75)/((D105*365)*D106)</f>
        <v>7.9227725219461345</v>
      </c>
      <c r="E87" s="9">
        <f t="shared" si="88"/>
        <v>7.4279839428081331</v>
      </c>
      <c r="F87" s="9">
        <f t="shared" si="88"/>
        <v>6.7607996270468469</v>
      </c>
      <c r="G87" s="9">
        <f t="shared" si="88"/>
        <v>6.2041851433508572</v>
      </c>
      <c r="H87" s="9">
        <f t="shared" si="88"/>
        <v>6.3701454804831705</v>
      </c>
      <c r="I87" s="9">
        <f t="shared" si="88"/>
        <v>6.5389577670514845</v>
      </c>
      <c r="J87" s="9">
        <f t="shared" si="88"/>
        <v>16.930261832557154</v>
      </c>
      <c r="K87" s="9">
        <f t="shared" si="88"/>
        <v>28.82085036833794</v>
      </c>
      <c r="L87" s="9">
        <f t="shared" si="88"/>
        <v>85.638718474904834</v>
      </c>
      <c r="M87" s="9">
        <f t="shared" si="88"/>
        <v>943.34541616766239</v>
      </c>
      <c r="N87" s="9">
        <f>(N89*N75)/((N105*365)*N106)</f>
        <v>12.465407502571237</v>
      </c>
      <c r="O87" s="9">
        <f t="shared" si="88"/>
        <v>23.830416737956703</v>
      </c>
      <c r="P87" s="9">
        <f t="shared" si="88"/>
        <v>4.5065577688131455</v>
      </c>
      <c r="Q87" s="9">
        <f t="shared" si="88"/>
        <v>5.2932505856807079</v>
      </c>
      <c r="R87" s="9">
        <f t="shared" si="88"/>
        <v>4.9337298814993602</v>
      </c>
      <c r="S87" s="9">
        <f t="shared" si="88"/>
        <v>4.700448904321906</v>
      </c>
      <c r="T87" s="9">
        <f t="shared" si="88"/>
        <v>5.1648900129357802</v>
      </c>
      <c r="U87" s="9">
        <f t="shared" si="88"/>
        <v>4.9742179706885494</v>
      </c>
      <c r="V87" s="9">
        <f t="shared" si="88"/>
        <v>17.241803305304394</v>
      </c>
      <c r="W87" s="9">
        <f t="shared" si="88"/>
        <v>29.745276845843975</v>
      </c>
      <c r="X87" s="9">
        <f t="shared" si="88"/>
        <v>28.351190202852578</v>
      </c>
      <c r="AE87" s="115"/>
      <c r="AF87" s="115"/>
      <c r="AG87" s="115"/>
      <c r="AH87" s="115"/>
      <c r="AI87" s="115"/>
      <c r="AJ87" s="115"/>
      <c r="AK87" s="115"/>
      <c r="AL87" s="115"/>
      <c r="AM87" s="115"/>
      <c r="AN87" s="115"/>
      <c r="AO87" s="115"/>
      <c r="AP87" s="115"/>
      <c r="AQ87" s="115"/>
      <c r="AR87" s="115"/>
      <c r="AS87" s="115"/>
      <c r="AT87" s="115"/>
      <c r="AU87" s="115"/>
      <c r="AV87" s="115"/>
      <c r="AW87" s="115"/>
      <c r="AX87" s="116"/>
      <c r="AY87" s="116"/>
      <c r="AZ87" s="115"/>
    </row>
    <row r="88" spans="1:54" ht="57" x14ac:dyDescent="0.45">
      <c r="A88" s="140"/>
      <c r="B88" s="109" t="s">
        <v>1249</v>
      </c>
      <c r="C88" s="54" t="s">
        <v>942</v>
      </c>
      <c r="I88">
        <f t="shared" ref="I88:W88" si="89">I87*(1-I5)</f>
        <v>0</v>
      </c>
      <c r="J88">
        <f t="shared" si="89"/>
        <v>0</v>
      </c>
      <c r="K88">
        <f t="shared" si="89"/>
        <v>0</v>
      </c>
      <c r="L88">
        <f t="shared" si="89"/>
        <v>33.399100205212889</v>
      </c>
      <c r="M88">
        <f t="shared" si="89"/>
        <v>943.34541616766239</v>
      </c>
      <c r="N88">
        <f>N87*(1-N5)</f>
        <v>12.465407502571237</v>
      </c>
      <c r="O88">
        <f t="shared" si="89"/>
        <v>23.830416737956703</v>
      </c>
      <c r="P88">
        <f t="shared" si="89"/>
        <v>4.5065577688131455</v>
      </c>
      <c r="Q88">
        <f t="shared" si="89"/>
        <v>5.2932505856807079</v>
      </c>
      <c r="R88">
        <f t="shared" si="89"/>
        <v>4.9337298814993602</v>
      </c>
      <c r="S88">
        <f t="shared" si="89"/>
        <v>4.700448904321906</v>
      </c>
      <c r="T88">
        <f t="shared" si="89"/>
        <v>5.1648900129357802</v>
      </c>
      <c r="U88">
        <f t="shared" si="89"/>
        <v>0</v>
      </c>
      <c r="V88">
        <f>V87*(1-V5)</f>
        <v>6.896721322121758</v>
      </c>
      <c r="W88">
        <f t="shared" si="89"/>
        <v>0</v>
      </c>
      <c r="X88">
        <f>X87*(1-X5)</f>
        <v>11.056964179112505</v>
      </c>
      <c r="AX88" s="109"/>
      <c r="AY88" s="109"/>
      <c r="BA88"/>
    </row>
    <row r="89" spans="1:54" ht="42.75" x14ac:dyDescent="0.45">
      <c r="A89" s="140"/>
      <c r="B89" s="12" t="s">
        <v>1166</v>
      </c>
      <c r="C89" t="s">
        <v>942</v>
      </c>
      <c r="D89">
        <f>(D86/100)+D85</f>
        <v>4.2682666666666664</v>
      </c>
      <c r="E89">
        <f t="shared" ref="E89:X89" si="90">(E86/100)+E85</f>
        <v>4.2682666666666664</v>
      </c>
      <c r="F89">
        <f t="shared" si="90"/>
        <v>4.2682666666666664</v>
      </c>
      <c r="G89">
        <f t="shared" si="90"/>
        <v>4.2682666666666664</v>
      </c>
      <c r="H89">
        <f t="shared" si="90"/>
        <v>4.2682666666666664</v>
      </c>
      <c r="I89" s="6">
        <f t="shared" si="90"/>
        <v>4.2682666666666664</v>
      </c>
      <c r="J89">
        <f t="shared" si="90"/>
        <v>5.2576096408981163</v>
      </c>
      <c r="K89">
        <f t="shared" si="90"/>
        <v>5.2745241396927289</v>
      </c>
      <c r="L89">
        <f t="shared" si="90"/>
        <v>5.1210437668009243</v>
      </c>
      <c r="M89">
        <f t="shared" si="90"/>
        <v>5.0392773044429999</v>
      </c>
      <c r="N89">
        <f t="shared" si="90"/>
        <v>4.9220804577671329</v>
      </c>
      <c r="O89">
        <f t="shared" si="90"/>
        <v>5.0148447554084381</v>
      </c>
      <c r="P89">
        <f t="shared" si="90"/>
        <v>3.8460666666666663</v>
      </c>
      <c r="Q89">
        <f t="shared" si="90"/>
        <v>3.8460666666666663</v>
      </c>
      <c r="R89">
        <f t="shared" si="90"/>
        <v>3.8460666666666663</v>
      </c>
      <c r="S89">
        <f t="shared" si="90"/>
        <v>3.8460666666666663</v>
      </c>
      <c r="T89">
        <f t="shared" si="90"/>
        <v>3.8460666666666663</v>
      </c>
      <c r="U89" s="6">
        <f t="shared" si="90"/>
        <v>3.8460666666666663</v>
      </c>
      <c r="V89">
        <f t="shared" si="90"/>
        <v>4.9220804577671329</v>
      </c>
      <c r="W89">
        <f t="shared" si="90"/>
        <v>4.5255114220751054</v>
      </c>
      <c r="X89">
        <f t="shared" si="90"/>
        <v>4.3134120336943447</v>
      </c>
      <c r="AX89" s="107"/>
      <c r="AY89" s="107"/>
      <c r="BA89" s="106"/>
    </row>
    <row r="90" spans="1:54" ht="19.5" customHeight="1" x14ac:dyDescent="0.45">
      <c r="A90" s="140"/>
      <c r="B90" s="12" t="s">
        <v>54</v>
      </c>
      <c r="C90" t="s">
        <v>782</v>
      </c>
      <c r="D90" s="6">
        <f>((((5.17*D75)/60)/D73)*365)*'Financial data Palopuro Baselin'!$D$36</f>
        <v>9.6465203712244492</v>
      </c>
      <c r="E90" s="6">
        <f>((((5.17*E75)/60)/E73)*365)*'Financial data Palopuro Baselin'!$D$36</f>
        <v>9.6465203712244492</v>
      </c>
      <c r="F90" s="6">
        <f>((((5.17*F75)/60)/F73)*365)*'Financial data Palopuro Baselin'!$D$36</f>
        <v>9.6465203712244492</v>
      </c>
      <c r="G90" s="6">
        <f>((((5.17*G75)/60)/G73)*365)*'Financial data Palopuro Baselin'!$D$36</f>
        <v>9.6465203712244492</v>
      </c>
      <c r="H90" s="6">
        <f>((((5.17*H75)/60)/H73)*365)*'Financial data Palopuro Baselin'!$D$36</f>
        <v>9.6465203712244492</v>
      </c>
      <c r="I90" s="6">
        <f>((((5.17*I75)/60)/I73)*365)*'Financial data Palopuro Baselin'!$D$36</f>
        <v>9.6465203712244492</v>
      </c>
      <c r="J90" s="6">
        <f>((((5.17*J75)/60)/J73)*365)*'Financial data Palopuro Baselin'!$D$36</f>
        <v>5.4466568699636975</v>
      </c>
      <c r="K90" s="6">
        <f>((((5.17*K75)/60)/K73)*365)*'Financial data Palopuro Baselin'!$D$36</f>
        <v>5.4466568699636975</v>
      </c>
      <c r="L90" s="6">
        <f>((((5.17*L75)/60)/L73)*365)*'Financial data Palopuro Baselin'!$D$36</f>
        <v>5.4466568699636975</v>
      </c>
      <c r="M90" s="6">
        <f>((((5.17*M75)/60)/M73)*365)*'Financial data Palopuro Baselin'!$D$36</f>
        <v>3.7533134242985384</v>
      </c>
      <c r="N90" s="6">
        <f>((((5.17*N75)/60)/N73)*365)*'Financial data Palopuro Baselin'!$D$36</f>
        <v>8.0801979606483432</v>
      </c>
      <c r="O90" s="6">
        <f>((((5.17*O75)/60)/O73)*365)*'Financial data Palopuro Baselin'!$D$36</f>
        <v>8.0801979606483432</v>
      </c>
      <c r="P90" s="6">
        <f>((((5.17*P75)/60)/P73)*365)*'Financial data Palopuro Baselin'!$D$36</f>
        <v>8.0660916285255411</v>
      </c>
      <c r="Q90" s="6">
        <f>((((5.17*Q75)/60)/Q73)*365)*'Financial data Palopuro Baselin'!$D$36</f>
        <v>8.0660916285255411</v>
      </c>
      <c r="R90" s="6">
        <f>((((5.17*R75)/60)/R73)*365)*'Financial data Palopuro Baselin'!$D$36</f>
        <v>8.0660916285255411</v>
      </c>
      <c r="S90" s="6">
        <f>((((5.17*S75)/60)/S73)*365)*'Financial data Palopuro Baselin'!$D$36</f>
        <v>8.0660916285255411</v>
      </c>
      <c r="T90" s="6">
        <f>((((5.17*T75)/60)/T73)*365)*'Financial data Palopuro Baselin'!$D$36</f>
        <v>8.0660916285255411</v>
      </c>
      <c r="U90" s="6">
        <f>((((5.17*U75)/60)/U73)*365)*'Financial data Palopuro Baselin'!$D$36</f>
        <v>8.0660916285255411</v>
      </c>
      <c r="V90" s="6">
        <f>((((5.17*V75)/60)/V73)*365)*'Financial data Palopuro Baselin'!$D$36</f>
        <v>2.2497344765298535</v>
      </c>
      <c r="W90" s="6">
        <f>((((5.17*W75)/60)/W73)*365)*'Financial data Palopuro Baselin'!$D$36</f>
        <v>2.2497344765298535</v>
      </c>
      <c r="X90" s="6">
        <f>((((5.17*X75)/60)/X73)*365)*'Financial data Palopuro Baselin'!$D$36</f>
        <v>2.2497344765298535</v>
      </c>
      <c r="AH90" s="84" t="s">
        <v>747</v>
      </c>
      <c r="AI90" s="84" t="s">
        <v>747</v>
      </c>
      <c r="AJ90" s="84" t="s">
        <v>747</v>
      </c>
      <c r="AK90" s="84" t="s">
        <v>747</v>
      </c>
      <c r="AL90" s="84" t="s">
        <v>747</v>
      </c>
      <c r="AM90" s="84" t="s">
        <v>747</v>
      </c>
      <c r="AN90" s="84" t="s">
        <v>747</v>
      </c>
      <c r="AO90" s="84" t="s">
        <v>747</v>
      </c>
      <c r="AP90" s="84" t="s">
        <v>747</v>
      </c>
      <c r="AQ90" s="84" t="s">
        <v>747</v>
      </c>
      <c r="AR90" s="84" t="s">
        <v>747</v>
      </c>
      <c r="AS90" s="84" t="s">
        <v>747</v>
      </c>
      <c r="AT90" s="84" t="s">
        <v>747</v>
      </c>
      <c r="AU90" s="84" t="s">
        <v>747</v>
      </c>
      <c r="AV90" s="84" t="s">
        <v>747</v>
      </c>
      <c r="AW90" s="84" t="s">
        <v>747</v>
      </c>
      <c r="AX90" s="84" t="s">
        <v>747</v>
      </c>
      <c r="AY90" s="84" t="s">
        <v>747</v>
      </c>
      <c r="AZ90" s="84" t="s">
        <v>747</v>
      </c>
      <c r="BA90" s="84" t="s">
        <v>747</v>
      </c>
      <c r="BB90" t="s">
        <v>1170</v>
      </c>
    </row>
    <row r="91" spans="1:54" ht="18" customHeight="1" x14ac:dyDescent="0.45">
      <c r="A91" s="140"/>
      <c r="B91" s="12" t="s">
        <v>753</v>
      </c>
      <c r="C91" t="s">
        <v>782</v>
      </c>
      <c r="D91" s="6">
        <f>((((5.17*D75)/60)/D73)*365)*'Financial data Palopuro Baselin'!$D$37</f>
        <v>4.5017095065714097</v>
      </c>
      <c r="E91" s="6">
        <f>((((5.17*E75)/60)/E73)*365)*'Financial data Palopuro Baselin'!$D$37</f>
        <v>4.5017095065714097</v>
      </c>
      <c r="F91" s="6">
        <f>((((5.17*F75)/60)/F73)*365)*'Financial data Palopuro Baselin'!$D$37</f>
        <v>4.5017095065714097</v>
      </c>
      <c r="G91" s="6">
        <f>((((5.17*G75)/60)/G73)*365)*'Financial data Palopuro Baselin'!$D$37</f>
        <v>4.5017095065714097</v>
      </c>
      <c r="H91" s="6">
        <f>((((5.17*H75)/60)/H73)*365)*'Financial data Palopuro Baselin'!$D$37</f>
        <v>4.5017095065714097</v>
      </c>
      <c r="I91" s="6">
        <f>((((5.17*I75)/60)/I73)*365)*'Financial data Palopuro Baselin'!$D$37</f>
        <v>4.5017095065714097</v>
      </c>
      <c r="J91" s="6">
        <f>((((5.17*J75)/60)/J73)*365)*'Financial data Palopuro Baselin'!$D$37</f>
        <v>2.5417732059830591</v>
      </c>
      <c r="K91" s="6">
        <f>((((5.17*K75)/60)/K73)*365)*'Financial data Palopuro Baselin'!$D$37</f>
        <v>2.5417732059830591</v>
      </c>
      <c r="L91" s="6">
        <f>((((5.17*L75)/60)/L73)*365)*'Financial data Palopuro Baselin'!$D$37</f>
        <v>2.5417732059830591</v>
      </c>
      <c r="M91" s="6">
        <f>((((5.17*M75)/60)/M73)*365)*'Financial data Palopuro Baselin'!$D$37</f>
        <v>1.7515462646726514</v>
      </c>
      <c r="N91" s="6">
        <f>((((5.17*N75)/60)/N73)*365)*'Financial data Palopuro Baselin'!$D$37</f>
        <v>3.7707590483025606</v>
      </c>
      <c r="O91" s="6">
        <f>((((5.17*O75)/60)/O73)*365)*'Financial data Palopuro Baselin'!$D$37</f>
        <v>3.7707590483025606</v>
      </c>
      <c r="P91" s="6">
        <f>((((5.17*P75)/60)/P73)*365)*'Financial data Palopuro Baselin'!$D$37</f>
        <v>3.7641760933119195</v>
      </c>
      <c r="Q91" s="6">
        <f>((((5.17*Q75)/60)/Q73)*365)*'Financial data Palopuro Baselin'!$D$37</f>
        <v>3.7641760933119195</v>
      </c>
      <c r="R91" s="6">
        <f>((((5.17*R75)/60)/R73)*365)*'Financial data Palopuro Baselin'!$D$37</f>
        <v>3.7641760933119195</v>
      </c>
      <c r="S91" s="6">
        <f>((((5.17*S75)/60)/S73)*365)*'Financial data Palopuro Baselin'!$D$37</f>
        <v>3.7641760933119195</v>
      </c>
      <c r="T91" s="6">
        <f>((((5.17*T75)/60)/T73)*365)*'Financial data Palopuro Baselin'!$D$37</f>
        <v>3.7641760933119195</v>
      </c>
      <c r="U91" s="6">
        <f>((((5.17*U75)/60)/U73)*365)*'Financial data Palopuro Baselin'!$D$37</f>
        <v>3.7641760933119195</v>
      </c>
      <c r="V91" s="6">
        <f>((((5.17*V75)/60)/V73)*365)*'Financial data Palopuro Baselin'!$D$37</f>
        <v>1.0498760890472651</v>
      </c>
      <c r="W91" s="6">
        <f>((((5.17*W75)/60)/W73)*365)*'Financial data Palopuro Baselin'!$D$37</f>
        <v>1.0498760890472651</v>
      </c>
      <c r="X91" s="6">
        <f>((((5.17*X75)/60)/X73)*365)*'Financial data Palopuro Baselin'!$D$37</f>
        <v>1.0498760890472651</v>
      </c>
      <c r="AH91" s="84" t="s">
        <v>747</v>
      </c>
      <c r="AI91" s="84" t="s">
        <v>747</v>
      </c>
      <c r="AJ91" s="84" t="s">
        <v>747</v>
      </c>
      <c r="AK91" s="84" t="s">
        <v>747</v>
      </c>
      <c r="AL91" s="84" t="s">
        <v>747</v>
      </c>
      <c r="AM91" s="84" t="s">
        <v>747</v>
      </c>
      <c r="AN91" s="84" t="s">
        <v>747</v>
      </c>
      <c r="AO91" s="84" t="s">
        <v>747</v>
      </c>
      <c r="AP91" s="84" t="s">
        <v>747</v>
      </c>
      <c r="AQ91" s="84" t="s">
        <v>747</v>
      </c>
      <c r="AR91" s="84" t="s">
        <v>747</v>
      </c>
      <c r="AS91" s="84" t="s">
        <v>747</v>
      </c>
      <c r="AT91" s="84" t="s">
        <v>747</v>
      </c>
      <c r="AU91" s="84" t="s">
        <v>747</v>
      </c>
      <c r="AV91" s="84" t="s">
        <v>747</v>
      </c>
      <c r="AW91" s="84" t="s">
        <v>747</v>
      </c>
      <c r="AX91" s="84" t="s">
        <v>747</v>
      </c>
      <c r="AY91" s="84" t="s">
        <v>747</v>
      </c>
      <c r="AZ91" s="84" t="s">
        <v>747</v>
      </c>
      <c r="BA91" s="84" t="s">
        <v>747</v>
      </c>
    </row>
    <row r="92" spans="1:54" ht="28.5" x14ac:dyDescent="0.45">
      <c r="A92" s="140"/>
      <c r="B92" s="12" t="s">
        <v>754</v>
      </c>
      <c r="C92" t="s">
        <v>178</v>
      </c>
      <c r="D92">
        <f t="shared" ref="D92:X92" si="91">D76</f>
        <v>11.62247915979237</v>
      </c>
      <c r="E92">
        <f t="shared" si="91"/>
        <v>11.62247915979237</v>
      </c>
      <c r="F92">
        <f t="shared" si="91"/>
        <v>11.62247915979237</v>
      </c>
      <c r="G92">
        <f t="shared" si="91"/>
        <v>11.62247915979237</v>
      </c>
      <c r="H92">
        <f t="shared" si="91"/>
        <v>29.502141762699967</v>
      </c>
      <c r="I92" s="6">
        <f t="shared" si="91"/>
        <v>22.106780625998383</v>
      </c>
      <c r="J92">
        <f t="shared" si="91"/>
        <v>60.1196500033139</v>
      </c>
      <c r="K92">
        <f t="shared" si="91"/>
        <v>64.988033462293672</v>
      </c>
      <c r="L92">
        <f t="shared" si="91"/>
        <v>66.859776600212868</v>
      </c>
      <c r="M92">
        <f t="shared" si="91"/>
        <v>56.726395888358951</v>
      </c>
      <c r="N92">
        <f t="shared" si="91"/>
        <v>22.241455845169437</v>
      </c>
      <c r="O92">
        <f t="shared" si="91"/>
        <v>17.249700762256147</v>
      </c>
      <c r="P92">
        <f t="shared" si="91"/>
        <v>9.9985615435259891</v>
      </c>
      <c r="Q92">
        <f t="shared" si="91"/>
        <v>9.9985615435259891</v>
      </c>
      <c r="R92">
        <f t="shared" si="91"/>
        <v>9.9985615435259891</v>
      </c>
      <c r="S92">
        <f t="shared" si="91"/>
        <v>9.9985615435259891</v>
      </c>
      <c r="T92">
        <f t="shared" si="91"/>
        <v>24.99693590097894</v>
      </c>
      <c r="U92" s="6">
        <f t="shared" si="91"/>
        <v>12.998236415016578</v>
      </c>
      <c r="V92">
        <f t="shared" si="91"/>
        <v>22.241455845169437</v>
      </c>
      <c r="W92">
        <f>W76</f>
        <v>78.99476619047617</v>
      </c>
      <c r="X92">
        <f t="shared" si="91"/>
        <v>85.971044025157227</v>
      </c>
      <c r="AH92" s="12" t="s">
        <v>1184</v>
      </c>
      <c r="AI92" s="12" t="s">
        <v>1184</v>
      </c>
      <c r="AJ92" s="12" t="s">
        <v>1184</v>
      </c>
      <c r="AK92" s="12" t="s">
        <v>1184</v>
      </c>
      <c r="AL92" s="12" t="s">
        <v>1184</v>
      </c>
      <c r="AM92" s="12" t="s">
        <v>1184</v>
      </c>
      <c r="AN92" s="12" t="s">
        <v>1184</v>
      </c>
      <c r="AO92" s="12" t="s">
        <v>1184</v>
      </c>
      <c r="AP92" s="12" t="s">
        <v>1184</v>
      </c>
      <c r="AQ92" s="12" t="s">
        <v>1184</v>
      </c>
      <c r="AR92" s="12" t="s">
        <v>1184</v>
      </c>
      <c r="AS92" s="12" t="s">
        <v>1184</v>
      </c>
      <c r="AT92" s="12" t="s">
        <v>1184</v>
      </c>
      <c r="AU92" s="12" t="s">
        <v>1184</v>
      </c>
      <c r="AV92" s="12" t="s">
        <v>1184</v>
      </c>
      <c r="AW92" s="12" t="s">
        <v>1184</v>
      </c>
      <c r="AX92" s="12" t="s">
        <v>1184</v>
      </c>
      <c r="AY92" s="12" t="s">
        <v>1184</v>
      </c>
      <c r="AZ92" s="12" t="s">
        <v>1184</v>
      </c>
      <c r="BA92" s="12" t="s">
        <v>1184</v>
      </c>
    </row>
    <row r="93" spans="1:54" x14ac:dyDescent="0.45">
      <c r="A93" s="140"/>
      <c r="B93" s="12" t="s">
        <v>755</v>
      </c>
      <c r="C93" t="s">
        <v>178</v>
      </c>
      <c r="D93">
        <f t="shared" ref="D93:X93" si="92">D79</f>
        <v>6</v>
      </c>
      <c r="E93">
        <f t="shared" si="92"/>
        <v>6</v>
      </c>
      <c r="F93">
        <f t="shared" si="92"/>
        <v>6</v>
      </c>
      <c r="G93">
        <f t="shared" si="92"/>
        <v>6</v>
      </c>
      <c r="H93">
        <f t="shared" si="92"/>
        <v>6</v>
      </c>
      <c r="I93" s="6">
        <f t="shared" si="92"/>
        <v>6</v>
      </c>
      <c r="J93">
        <f t="shared" si="92"/>
        <v>6</v>
      </c>
      <c r="K93">
        <f t="shared" si="92"/>
        <v>6</v>
      </c>
      <c r="L93">
        <f t="shared" si="92"/>
        <v>6</v>
      </c>
      <c r="M93">
        <f t="shared" si="92"/>
        <v>6</v>
      </c>
      <c r="N93">
        <f t="shared" si="92"/>
        <v>6</v>
      </c>
      <c r="O93">
        <f t="shared" si="92"/>
        <v>6</v>
      </c>
      <c r="P93">
        <f t="shared" si="92"/>
        <v>6</v>
      </c>
      <c r="Q93">
        <f t="shared" si="92"/>
        <v>6</v>
      </c>
      <c r="R93">
        <f t="shared" si="92"/>
        <v>6</v>
      </c>
      <c r="S93">
        <f t="shared" si="92"/>
        <v>6</v>
      </c>
      <c r="T93">
        <f t="shared" si="92"/>
        <v>6</v>
      </c>
      <c r="U93" s="6">
        <f t="shared" si="92"/>
        <v>6</v>
      </c>
      <c r="V93">
        <f t="shared" si="92"/>
        <v>6</v>
      </c>
      <c r="W93">
        <f t="shared" si="92"/>
        <v>6</v>
      </c>
      <c r="X93">
        <f t="shared" si="92"/>
        <v>6</v>
      </c>
      <c r="AX93" s="107"/>
      <c r="AY93" s="107"/>
      <c r="BA93" s="106"/>
    </row>
    <row r="94" spans="1:54" x14ac:dyDescent="0.45">
      <c r="A94" s="140"/>
      <c r="B94" s="12" t="s">
        <v>756</v>
      </c>
      <c r="C94" t="s">
        <v>62</v>
      </c>
      <c r="D94">
        <f t="shared" ref="D94:X94" si="93">D11</f>
        <v>26</v>
      </c>
      <c r="E94">
        <f t="shared" si="93"/>
        <v>45.425662981026072</v>
      </c>
      <c r="F94">
        <f t="shared" si="93"/>
        <v>67.574237290534171</v>
      </c>
      <c r="G94">
        <f t="shared" si="93"/>
        <v>91.123549559744845</v>
      </c>
      <c r="H94">
        <f t="shared" si="93"/>
        <v>168.96513655017779</v>
      </c>
      <c r="I94" s="6">
        <f t="shared" si="93"/>
        <v>26</v>
      </c>
      <c r="J94">
        <f t="shared" si="93"/>
        <v>321.42543918809497</v>
      </c>
      <c r="K94">
        <f t="shared" si="93"/>
        <v>526.7041629078891</v>
      </c>
      <c r="L94">
        <f>L11</f>
        <v>621.49886519766881</v>
      </c>
      <c r="M94">
        <f t="shared" si="93"/>
        <v>687.40945199999999</v>
      </c>
      <c r="N94">
        <f t="shared" si="93"/>
        <v>295.53524557968109</v>
      </c>
      <c r="O94">
        <f t="shared" si="93"/>
        <v>453.46503763649633</v>
      </c>
      <c r="P94">
        <f t="shared" si="93"/>
        <v>26</v>
      </c>
      <c r="Q94">
        <f t="shared" si="93"/>
        <v>49.702384953387202</v>
      </c>
      <c r="R94">
        <f t="shared" si="93"/>
        <v>70.577928509783305</v>
      </c>
      <c r="S94">
        <f t="shared" si="93"/>
        <v>93.721230231604878</v>
      </c>
      <c r="T94">
        <f t="shared" si="93"/>
        <v>165.02968872073168</v>
      </c>
      <c r="U94" s="6">
        <f t="shared" si="93"/>
        <v>26</v>
      </c>
      <c r="V94">
        <f t="shared" si="93"/>
        <v>295.53524557968109</v>
      </c>
      <c r="W94">
        <f t="shared" si="93"/>
        <v>453.46503763649633</v>
      </c>
      <c r="X94">
        <f t="shared" si="93"/>
        <v>554</v>
      </c>
      <c r="AX94" s="107"/>
      <c r="AY94" s="107"/>
      <c r="BA94" s="106"/>
    </row>
    <row r="95" spans="1:54" x14ac:dyDescent="0.45">
      <c r="A95" s="140"/>
      <c r="B95" s="12" t="s">
        <v>757</v>
      </c>
      <c r="C95" t="s">
        <v>67</v>
      </c>
      <c r="D95">
        <f t="shared" ref="D95:X95" si="94">D74</f>
        <v>56.5</v>
      </c>
      <c r="E95">
        <f t="shared" si="94"/>
        <v>56.5</v>
      </c>
      <c r="F95">
        <f t="shared" si="94"/>
        <v>56.5</v>
      </c>
      <c r="G95">
        <f t="shared" si="94"/>
        <v>56.5</v>
      </c>
      <c r="H95">
        <f t="shared" si="94"/>
        <v>56.5</v>
      </c>
      <c r="I95" s="6">
        <f t="shared" si="94"/>
        <v>56.5</v>
      </c>
      <c r="J95">
        <f t="shared" si="94"/>
        <v>56.1</v>
      </c>
      <c r="K95">
        <f t="shared" si="94"/>
        <v>56.1</v>
      </c>
      <c r="L95">
        <f t="shared" si="94"/>
        <v>56.1</v>
      </c>
      <c r="M95">
        <f t="shared" si="94"/>
        <v>56.1</v>
      </c>
      <c r="N95">
        <f t="shared" si="94"/>
        <v>53.7</v>
      </c>
      <c r="O95">
        <f t="shared" si="94"/>
        <v>53.7</v>
      </c>
      <c r="P95">
        <f t="shared" si="94"/>
        <v>49.5</v>
      </c>
      <c r="Q95">
        <f t="shared" si="94"/>
        <v>49.5</v>
      </c>
      <c r="R95">
        <f t="shared" si="94"/>
        <v>49.5</v>
      </c>
      <c r="S95">
        <f t="shared" si="94"/>
        <v>49.5</v>
      </c>
      <c r="T95">
        <f t="shared" si="94"/>
        <v>49.5</v>
      </c>
      <c r="U95" s="6">
        <f t="shared" si="94"/>
        <v>49.5</v>
      </c>
      <c r="V95">
        <f t="shared" si="94"/>
        <v>46.5</v>
      </c>
      <c r="W95">
        <f t="shared" si="94"/>
        <v>46.5</v>
      </c>
      <c r="X95">
        <f t="shared" si="94"/>
        <v>46.5</v>
      </c>
      <c r="AX95" s="107"/>
      <c r="AY95" s="107"/>
      <c r="BA95" s="106"/>
    </row>
    <row r="96" spans="1:54" x14ac:dyDescent="0.45">
      <c r="A96" s="140"/>
      <c r="B96" s="12" t="s">
        <v>758</v>
      </c>
      <c r="C96" t="s">
        <v>766</v>
      </c>
      <c r="D96">
        <f t="shared" ref="D96:I96" si="95">D89*100</f>
        <v>426.82666666666665</v>
      </c>
      <c r="E96">
        <f t="shared" si="95"/>
        <v>426.82666666666665</v>
      </c>
      <c r="F96">
        <f t="shared" si="95"/>
        <v>426.82666666666665</v>
      </c>
      <c r="G96">
        <f t="shared" si="95"/>
        <v>426.82666666666665</v>
      </c>
      <c r="H96">
        <f t="shared" si="95"/>
        <v>426.82666666666665</v>
      </c>
      <c r="I96" s="6">
        <f t="shared" si="95"/>
        <v>426.82666666666665</v>
      </c>
      <c r="J96">
        <f t="shared" ref="J96:X96" si="96">J89*100</f>
        <v>525.76096408981164</v>
      </c>
      <c r="K96">
        <f t="shared" si="96"/>
        <v>527.45241396927292</v>
      </c>
      <c r="L96">
        <f t="shared" si="96"/>
        <v>512.1043766800924</v>
      </c>
      <c r="M96">
        <f t="shared" si="96"/>
        <v>503.92773044429998</v>
      </c>
      <c r="N96">
        <f>N89*100</f>
        <v>492.20804577671328</v>
      </c>
      <c r="O96">
        <f t="shared" si="96"/>
        <v>501.48447554084379</v>
      </c>
      <c r="P96">
        <f t="shared" si="96"/>
        <v>384.60666666666663</v>
      </c>
      <c r="Q96">
        <f t="shared" si="96"/>
        <v>384.60666666666663</v>
      </c>
      <c r="R96">
        <f t="shared" si="96"/>
        <v>384.60666666666663</v>
      </c>
      <c r="S96">
        <f t="shared" si="96"/>
        <v>384.60666666666663</v>
      </c>
      <c r="T96">
        <f t="shared" si="96"/>
        <v>384.60666666666663</v>
      </c>
      <c r="U96" s="6">
        <f t="shared" si="96"/>
        <v>384.60666666666663</v>
      </c>
      <c r="V96">
        <f t="shared" si="96"/>
        <v>492.20804577671328</v>
      </c>
      <c r="W96">
        <f t="shared" si="96"/>
        <v>452.55114220751057</v>
      </c>
      <c r="X96">
        <f t="shared" si="96"/>
        <v>431.34120336943448</v>
      </c>
      <c r="AX96" s="107"/>
      <c r="AY96" s="107"/>
      <c r="BA96" s="106"/>
    </row>
    <row r="97" spans="1:54" x14ac:dyDescent="0.45">
      <c r="A97" s="140" t="s">
        <v>750</v>
      </c>
      <c r="B97" s="12" t="s">
        <v>759</v>
      </c>
      <c r="C97" t="s">
        <v>591</v>
      </c>
      <c r="D97">
        <v>1.2</v>
      </c>
      <c r="E97">
        <v>1.2</v>
      </c>
      <c r="F97">
        <v>1.2</v>
      </c>
      <c r="G97">
        <v>1.2</v>
      </c>
      <c r="H97">
        <v>1.2</v>
      </c>
      <c r="I97" s="6">
        <v>1.2</v>
      </c>
      <c r="J97">
        <v>1.2</v>
      </c>
      <c r="K97">
        <v>1.2</v>
      </c>
      <c r="L97">
        <v>1.2</v>
      </c>
      <c r="M97">
        <v>1.2</v>
      </c>
      <c r="N97">
        <v>1.2</v>
      </c>
      <c r="O97">
        <v>1.2</v>
      </c>
      <c r="P97">
        <v>1.2</v>
      </c>
      <c r="Q97">
        <v>1.2</v>
      </c>
      <c r="R97">
        <v>1.2</v>
      </c>
      <c r="S97">
        <v>1.2</v>
      </c>
      <c r="T97">
        <v>1.2</v>
      </c>
      <c r="U97" s="6">
        <v>1.2</v>
      </c>
      <c r="V97">
        <v>1.2</v>
      </c>
      <c r="W97">
        <v>1.2</v>
      </c>
      <c r="X97">
        <v>1.2</v>
      </c>
      <c r="AX97" s="107"/>
      <c r="AY97" s="107"/>
      <c r="BA97" s="106"/>
    </row>
    <row r="98" spans="1:54" ht="85.5" x14ac:dyDescent="0.45">
      <c r="A98" s="140"/>
      <c r="B98" s="12" t="s">
        <v>761</v>
      </c>
      <c r="C98" t="s">
        <v>1171</v>
      </c>
      <c r="D98">
        <f>(D33/D11)*100</f>
        <v>2</v>
      </c>
      <c r="E98">
        <f t="shared" ref="E98:X98" si="97">(E33/E11)*100</f>
        <v>2</v>
      </c>
      <c r="F98">
        <f t="shared" si="97"/>
        <v>2</v>
      </c>
      <c r="G98">
        <f t="shared" si="97"/>
        <v>2</v>
      </c>
      <c r="H98">
        <f t="shared" si="97"/>
        <v>2</v>
      </c>
      <c r="I98">
        <f t="shared" si="97"/>
        <v>13.362518440463647</v>
      </c>
      <c r="J98">
        <f t="shared" si="97"/>
        <v>2.6369011906107511</v>
      </c>
      <c r="K98">
        <f t="shared" si="97"/>
        <v>2.2290540638841327</v>
      </c>
      <c r="L98">
        <f t="shared" si="97"/>
        <v>2.1691872226210638</v>
      </c>
      <c r="M98">
        <f t="shared" si="97"/>
        <v>1.9994732338943746</v>
      </c>
      <c r="N98">
        <f t="shared" si="97"/>
        <v>2.5329218170394188</v>
      </c>
      <c r="O98">
        <f t="shared" si="97"/>
        <v>2.1851026848671173</v>
      </c>
      <c r="P98">
        <f t="shared" si="97"/>
        <v>2</v>
      </c>
      <c r="Q98">
        <f t="shared" si="97"/>
        <v>2</v>
      </c>
      <c r="R98">
        <f t="shared" si="97"/>
        <v>2</v>
      </c>
      <c r="S98">
        <f t="shared" si="97"/>
        <v>2</v>
      </c>
      <c r="T98">
        <f t="shared" si="97"/>
        <v>2</v>
      </c>
      <c r="U98">
        <f t="shared" si="97"/>
        <v>12.366743940990517</v>
      </c>
      <c r="V98">
        <f t="shared" si="97"/>
        <v>2.5329218170394188</v>
      </c>
      <c r="W98">
        <f t="shared" si="97"/>
        <v>2.1851026848671173</v>
      </c>
      <c r="X98">
        <f t="shared" si="97"/>
        <v>2</v>
      </c>
      <c r="AH98" s="12" t="s">
        <v>1172</v>
      </c>
      <c r="AI98" s="12" t="s">
        <v>1172</v>
      </c>
      <c r="AJ98" s="12" t="s">
        <v>1172</v>
      </c>
      <c r="AK98" s="12" t="s">
        <v>1172</v>
      </c>
      <c r="AL98" s="12" t="s">
        <v>1172</v>
      </c>
      <c r="AM98" s="12" t="s">
        <v>1172</v>
      </c>
      <c r="AN98" s="12" t="s">
        <v>1172</v>
      </c>
      <c r="AO98" s="12" t="s">
        <v>1172</v>
      </c>
      <c r="AP98" s="12" t="s">
        <v>1172</v>
      </c>
      <c r="AQ98" s="12" t="s">
        <v>1172</v>
      </c>
      <c r="AR98" s="12" t="s">
        <v>1172</v>
      </c>
      <c r="AS98" s="12" t="s">
        <v>1172</v>
      </c>
      <c r="AT98" s="12" t="s">
        <v>1172</v>
      </c>
      <c r="AU98" s="12" t="s">
        <v>1172</v>
      </c>
      <c r="AV98" s="12" t="s">
        <v>1172</v>
      </c>
      <c r="AW98" s="12" t="s">
        <v>1172</v>
      </c>
      <c r="AX98" s="104" t="s">
        <v>1172</v>
      </c>
      <c r="AY98" s="12" t="s">
        <v>1172</v>
      </c>
      <c r="AZ98" s="12" t="s">
        <v>1172</v>
      </c>
      <c r="BA98" s="12" t="s">
        <v>1172</v>
      </c>
      <c r="BB98" s="12" t="s">
        <v>1173</v>
      </c>
    </row>
    <row r="99" spans="1:54" s="12" customFormat="1" ht="28.5" customHeight="1" x14ac:dyDescent="0.45">
      <c r="A99" s="140"/>
      <c r="B99" s="12" t="s">
        <v>762</v>
      </c>
      <c r="C99" s="12" t="s">
        <v>956</v>
      </c>
      <c r="D99" s="12">
        <v>1.48</v>
      </c>
      <c r="E99" s="12">
        <v>1.48</v>
      </c>
      <c r="F99" s="12">
        <v>1.48</v>
      </c>
      <c r="G99" s="12">
        <v>1.48</v>
      </c>
      <c r="H99" s="12">
        <v>1.48</v>
      </c>
      <c r="I99" s="112">
        <v>1.48</v>
      </c>
      <c r="J99" s="109">
        <v>0.6</v>
      </c>
      <c r="K99" s="12">
        <v>0.6</v>
      </c>
      <c r="L99" s="12">
        <v>0.6</v>
      </c>
      <c r="M99" s="12">
        <v>0.6</v>
      </c>
      <c r="N99" s="109">
        <v>1.3</v>
      </c>
      <c r="O99" s="109">
        <v>1.3</v>
      </c>
      <c r="P99" s="12">
        <v>1.48</v>
      </c>
      <c r="Q99" s="12">
        <v>1.48</v>
      </c>
      <c r="R99" s="12">
        <v>1.48</v>
      </c>
      <c r="S99" s="12">
        <v>1.48</v>
      </c>
      <c r="T99" s="12">
        <v>1.48</v>
      </c>
      <c r="U99" s="112">
        <v>1.48</v>
      </c>
      <c r="V99" s="12">
        <v>1.3</v>
      </c>
      <c r="W99" s="12">
        <v>0.65</v>
      </c>
      <c r="X99" s="12">
        <v>0.65</v>
      </c>
      <c r="AH99" s="12" t="s">
        <v>1172</v>
      </c>
      <c r="AI99" s="12" t="s">
        <v>1172</v>
      </c>
      <c r="AJ99" s="12" t="s">
        <v>1172</v>
      </c>
      <c r="AK99" s="12" t="s">
        <v>1172</v>
      </c>
      <c r="AL99" s="12" t="s">
        <v>1172</v>
      </c>
      <c r="AM99" s="12" t="s">
        <v>1172</v>
      </c>
      <c r="AN99" s="12" t="s">
        <v>1172</v>
      </c>
      <c r="AO99" s="12" t="s">
        <v>1172</v>
      </c>
      <c r="AP99" s="12" t="s">
        <v>1172</v>
      </c>
      <c r="AQ99" s="12" t="s">
        <v>1172</v>
      </c>
      <c r="AR99" s="12" t="s">
        <v>1172</v>
      </c>
      <c r="AS99" s="12" t="s">
        <v>1172</v>
      </c>
      <c r="AT99" s="12" t="s">
        <v>1172</v>
      </c>
      <c r="AU99" s="12" t="s">
        <v>1172</v>
      </c>
      <c r="AV99" s="12" t="s">
        <v>1172</v>
      </c>
      <c r="AW99" s="12" t="s">
        <v>1172</v>
      </c>
      <c r="AX99" s="104" t="s">
        <v>1172</v>
      </c>
      <c r="AY99" s="12" t="s">
        <v>1172</v>
      </c>
      <c r="AZ99" s="12" t="s">
        <v>1172</v>
      </c>
      <c r="BA99" s="12" t="s">
        <v>1172</v>
      </c>
      <c r="BB99" s="12" t="s">
        <v>1173</v>
      </c>
    </row>
    <row r="100" spans="1:54" x14ac:dyDescent="0.45">
      <c r="A100" s="140"/>
      <c r="B100" s="12" t="s">
        <v>763</v>
      </c>
      <c r="C100" t="s">
        <v>1001</v>
      </c>
      <c r="D100">
        <f t="shared" ref="D100:L100" si="98">D15/D102</f>
        <v>0.72369155690262921</v>
      </c>
      <c r="E100">
        <f t="shared" si="98"/>
        <v>0.47621992355934462</v>
      </c>
      <c r="F100">
        <f t="shared" si="98"/>
        <v>0.27319572112600998</v>
      </c>
      <c r="G100">
        <f t="shared" si="98"/>
        <v>0.21831661348469944</v>
      </c>
      <c r="H100">
        <f t="shared" si="98"/>
        <v>0.34875199376707261</v>
      </c>
      <c r="I100">
        <f t="shared" si="98"/>
        <v>0.7312723865198425</v>
      </c>
      <c r="J100">
        <f t="shared" si="98"/>
        <v>0.60328140407808151</v>
      </c>
      <c r="K100">
        <f t="shared" si="98"/>
        <v>0.48028689339222175</v>
      </c>
      <c r="L100">
        <f t="shared" si="98"/>
        <v>0.43644253455677345</v>
      </c>
      <c r="M100">
        <f>M18/M102</f>
        <v>0.51500000000000001</v>
      </c>
      <c r="N100">
        <f>N15/N102</f>
        <v>0.23769493574326334</v>
      </c>
      <c r="O100">
        <f t="shared" ref="O100:V100" si="99">O15/O102</f>
        <v>0.13371723532560706</v>
      </c>
      <c r="P100">
        <f t="shared" si="99"/>
        <v>0.48108132056598552</v>
      </c>
      <c r="Q100">
        <f t="shared" si="99"/>
        <v>0.38294759228543768</v>
      </c>
      <c r="R100">
        <f t="shared" si="99"/>
        <v>0.22748188838946484</v>
      </c>
      <c r="S100">
        <f t="shared" si="99"/>
        <v>0.18389504178796773</v>
      </c>
      <c r="T100">
        <f t="shared" si="99"/>
        <v>0.38922430954006132</v>
      </c>
      <c r="U100">
        <f t="shared" si="99"/>
        <v>0.80935520028412267</v>
      </c>
      <c r="V100">
        <f t="shared" si="99"/>
        <v>0.23769493574326334</v>
      </c>
      <c r="W100" t="s">
        <v>47</v>
      </c>
      <c r="X100">
        <f>X18/X102</f>
        <v>1.0188182970981094</v>
      </c>
      <c r="AX100" s="107"/>
      <c r="AY100" s="107"/>
      <c r="BA100" s="106"/>
    </row>
    <row r="101" spans="1:54" x14ac:dyDescent="0.45">
      <c r="A101" s="140"/>
      <c r="B101" s="12" t="s">
        <v>764</v>
      </c>
      <c r="C101" t="s">
        <v>1000</v>
      </c>
      <c r="D101" t="s">
        <v>47</v>
      </c>
      <c r="E101" t="s">
        <v>47</v>
      </c>
      <c r="F101" t="s">
        <v>47</v>
      </c>
      <c r="G101" t="s">
        <v>47</v>
      </c>
      <c r="H101" t="s">
        <v>47</v>
      </c>
      <c r="I101" s="6" t="s">
        <v>47</v>
      </c>
      <c r="J101" t="s">
        <v>47</v>
      </c>
      <c r="K101" t="s">
        <v>47</v>
      </c>
      <c r="L101" t="s">
        <v>47</v>
      </c>
      <c r="M101">
        <f>(M31*M33)/(M11^0.75)</f>
        <v>5.6309563287171009</v>
      </c>
      <c r="N101" t="s">
        <v>47</v>
      </c>
      <c r="O101" t="s">
        <v>47</v>
      </c>
      <c r="P101" t="s">
        <v>47</v>
      </c>
      <c r="Q101" t="s">
        <v>47</v>
      </c>
      <c r="R101" t="s">
        <v>47</v>
      </c>
      <c r="S101" t="s">
        <v>47</v>
      </c>
      <c r="T101" t="s">
        <v>47</v>
      </c>
      <c r="U101" s="6" t="s">
        <v>47</v>
      </c>
      <c r="V101" t="s">
        <v>47</v>
      </c>
      <c r="W101" t="s">
        <v>47</v>
      </c>
      <c r="X101">
        <f>(X31*X33)/X102</f>
        <v>9.7030314009343748</v>
      </c>
      <c r="AX101" s="107"/>
      <c r="AY101" s="107"/>
      <c r="BA101" s="106"/>
    </row>
    <row r="102" spans="1:54" ht="14.65" thickBot="1" x14ac:dyDescent="0.5">
      <c r="A102" s="151"/>
      <c r="B102" s="83" t="s">
        <v>796</v>
      </c>
      <c r="C102" s="41" t="s">
        <v>62</v>
      </c>
      <c r="D102">
        <f>D94^0.75</f>
        <v>11.514100370997834</v>
      </c>
      <c r="E102">
        <f t="shared" ref="E102:I102" si="100">E94^0.75</f>
        <v>17.497498133931352</v>
      </c>
      <c r="F102">
        <f t="shared" si="100"/>
        <v>23.568712806318729</v>
      </c>
      <c r="G102">
        <f t="shared" si="100"/>
        <v>29.493273042114748</v>
      </c>
      <c r="H102">
        <f t="shared" si="100"/>
        <v>46.864914358089067</v>
      </c>
      <c r="I102" s="6">
        <f t="shared" si="100"/>
        <v>11.514100370997834</v>
      </c>
      <c r="J102">
        <f t="shared" ref="J102:X102" si="101">J94^0.75</f>
        <v>75.911956452272733</v>
      </c>
      <c r="K102">
        <f t="shared" si="101"/>
        <v>109.94489356331776</v>
      </c>
      <c r="L102">
        <f t="shared" si="101"/>
        <v>124.47446118025434</v>
      </c>
      <c r="M102">
        <f>M94^0.75</f>
        <v>134.24917471740153</v>
      </c>
      <c r="N102">
        <f t="shared" si="101"/>
        <v>71.278239043905543</v>
      </c>
      <c r="O102">
        <f t="shared" si="101"/>
        <v>98.267035894784016</v>
      </c>
      <c r="P102">
        <f t="shared" si="101"/>
        <v>11.514100370997834</v>
      </c>
      <c r="Q102">
        <f t="shared" si="101"/>
        <v>18.719011949960759</v>
      </c>
      <c r="R102">
        <f t="shared" si="101"/>
        <v>24.350152228934437</v>
      </c>
      <c r="S102">
        <f t="shared" si="101"/>
        <v>30.121631109530945</v>
      </c>
      <c r="T102">
        <f t="shared" si="101"/>
        <v>46.043842574171016</v>
      </c>
      <c r="U102" s="6">
        <f t="shared" si="101"/>
        <v>11.514100370997834</v>
      </c>
      <c r="V102">
        <f t="shared" si="101"/>
        <v>71.278239043905543</v>
      </c>
      <c r="W102">
        <f t="shared" si="101"/>
        <v>98.267035894784016</v>
      </c>
      <c r="X102">
        <f t="shared" si="101"/>
        <v>114.19111762261252</v>
      </c>
      <c r="AX102" s="107"/>
      <c r="AY102" s="107"/>
      <c r="BA102" s="106"/>
    </row>
    <row r="103" spans="1:54" ht="14.65" thickBot="1" x14ac:dyDescent="0.5">
      <c r="A103" s="26"/>
      <c r="B103" s="12" t="s">
        <v>1322</v>
      </c>
      <c r="K103"/>
      <c r="M103">
        <f>M100*M102*(1+0.2*0.475)</f>
        <v>75.706465852510647</v>
      </c>
      <c r="O103" s="54"/>
      <c r="X103">
        <f>X100*X102*(1+0.2*0.475)</f>
        <v>127.39230000000001</v>
      </c>
      <c r="AX103" s="107"/>
      <c r="AY103" s="107"/>
      <c r="BA103" s="106"/>
    </row>
    <row r="104" spans="1:54" x14ac:dyDescent="0.45">
      <c r="A104" s="166" t="s">
        <v>929</v>
      </c>
      <c r="B104" s="49" t="s">
        <v>31</v>
      </c>
      <c r="C104" s="44" t="s">
        <v>942</v>
      </c>
      <c r="D104">
        <f t="shared" ref="D104:I104" si="102">D89</f>
        <v>4.2682666666666664</v>
      </c>
      <c r="E104">
        <f t="shared" si="102"/>
        <v>4.2682666666666664</v>
      </c>
      <c r="F104">
        <f t="shared" si="102"/>
        <v>4.2682666666666664</v>
      </c>
      <c r="G104">
        <f t="shared" si="102"/>
        <v>4.2682666666666664</v>
      </c>
      <c r="H104">
        <f t="shared" si="102"/>
        <v>4.2682666666666664</v>
      </c>
      <c r="I104" s="6">
        <f t="shared" si="102"/>
        <v>4.2682666666666664</v>
      </c>
      <c r="J104">
        <f t="shared" ref="J104:X104" si="103">J89</f>
        <v>5.2576096408981163</v>
      </c>
      <c r="K104">
        <f t="shared" si="103"/>
        <v>5.2745241396927289</v>
      </c>
      <c r="L104">
        <f t="shared" si="103"/>
        <v>5.1210437668009243</v>
      </c>
      <c r="M104">
        <f t="shared" si="103"/>
        <v>5.0392773044429999</v>
      </c>
      <c r="N104">
        <f t="shared" si="103"/>
        <v>4.9220804577671329</v>
      </c>
      <c r="O104">
        <f t="shared" si="103"/>
        <v>5.0148447554084381</v>
      </c>
      <c r="P104">
        <f t="shared" si="103"/>
        <v>3.8460666666666663</v>
      </c>
      <c r="Q104">
        <f t="shared" si="103"/>
        <v>3.8460666666666663</v>
      </c>
      <c r="R104">
        <f t="shared" si="103"/>
        <v>3.8460666666666663</v>
      </c>
      <c r="S104">
        <f t="shared" si="103"/>
        <v>3.8460666666666663</v>
      </c>
      <c r="T104">
        <f t="shared" si="103"/>
        <v>3.8460666666666663</v>
      </c>
      <c r="U104" s="6">
        <f t="shared" si="103"/>
        <v>3.8460666666666663</v>
      </c>
      <c r="V104">
        <f t="shared" si="103"/>
        <v>4.9220804577671329</v>
      </c>
      <c r="W104">
        <f t="shared" si="103"/>
        <v>4.5255114220751054</v>
      </c>
      <c r="X104">
        <f t="shared" si="103"/>
        <v>4.3134120336943447</v>
      </c>
      <c r="AX104" s="107"/>
      <c r="AY104" s="107"/>
      <c r="BA104" s="106"/>
    </row>
    <row r="105" spans="1:54" x14ac:dyDescent="0.45">
      <c r="A105" s="140"/>
      <c r="B105" s="12" t="s">
        <v>929</v>
      </c>
      <c r="C105" t="s">
        <v>631</v>
      </c>
      <c r="D105">
        <f t="shared" ref="D105:L105" si="104">D10</f>
        <v>0.66985044762158874</v>
      </c>
      <c r="E105">
        <f t="shared" si="104"/>
        <v>0.71447013901639034</v>
      </c>
      <c r="F105">
        <f t="shared" si="104"/>
        <v>0.78497707564035579</v>
      </c>
      <c r="G105">
        <f t="shared" si="104"/>
        <v>0.85540205483992249</v>
      </c>
      <c r="H105">
        <f t="shared" si="104"/>
        <v>0.83311640785747099</v>
      </c>
      <c r="I105">
        <f t="shared" si="104"/>
        <v>0.81160834941784332</v>
      </c>
      <c r="J105">
        <f t="shared" si="104"/>
        <v>0.56240746224601135</v>
      </c>
      <c r="K105">
        <f t="shared" si="104"/>
        <v>0.33143846170886715</v>
      </c>
      <c r="L105">
        <f t="shared" si="104"/>
        <v>0.10829657923555334</v>
      </c>
      <c r="M105">
        <v>0.01</v>
      </c>
      <c r="N105">
        <f t="shared" ref="N105:X105" si="105">N10</f>
        <v>0.43268436179949382</v>
      </c>
      <c r="O105">
        <f t="shared" si="105"/>
        <v>0.23059762333965775</v>
      </c>
      <c r="P105">
        <f t="shared" si="105"/>
        <v>0.81732361908231732</v>
      </c>
      <c r="Q105">
        <f t="shared" si="105"/>
        <v>0.69585145187987008</v>
      </c>
      <c r="R105">
        <f t="shared" si="105"/>
        <v>0.74655812005876043</v>
      </c>
      <c r="S105">
        <f t="shared" si="105"/>
        <v>0.78360943394644844</v>
      </c>
      <c r="T105">
        <f t="shared" si="105"/>
        <v>0.713145119447811</v>
      </c>
      <c r="U105">
        <f>U10</f>
        <v>0.74048144390022275</v>
      </c>
      <c r="V105">
        <f t="shared" si="105"/>
        <v>0.43268436179949382</v>
      </c>
      <c r="W105">
        <f t="shared" si="105"/>
        <v>0.23059762333965775</v>
      </c>
      <c r="X105">
        <f t="shared" si="105"/>
        <v>0.23059762333965775</v>
      </c>
      <c r="AX105" s="107"/>
      <c r="AY105" s="107"/>
      <c r="BA105" s="106"/>
    </row>
    <row r="106" spans="1:54" x14ac:dyDescent="0.45">
      <c r="A106" s="140"/>
      <c r="B106" s="12" t="s">
        <v>930</v>
      </c>
      <c r="C106" t="s">
        <v>943</v>
      </c>
      <c r="D106">
        <f t="shared" ref="D106:I106" si="106">D95/100</f>
        <v>0.56499999999999995</v>
      </c>
      <c r="E106">
        <f t="shared" si="106"/>
        <v>0.56499999999999995</v>
      </c>
      <c r="F106">
        <f t="shared" si="106"/>
        <v>0.56499999999999995</v>
      </c>
      <c r="G106">
        <f t="shared" si="106"/>
        <v>0.56499999999999995</v>
      </c>
      <c r="H106">
        <f t="shared" si="106"/>
        <v>0.56499999999999995</v>
      </c>
      <c r="I106">
        <f t="shared" si="106"/>
        <v>0.56499999999999995</v>
      </c>
      <c r="J106">
        <f>J95/100</f>
        <v>0.56100000000000005</v>
      </c>
      <c r="K106">
        <f>K95/100</f>
        <v>0.56100000000000005</v>
      </c>
      <c r="L106">
        <f t="shared" ref="L106:M106" si="107">L95/100</f>
        <v>0.56100000000000005</v>
      </c>
      <c r="M106">
        <f t="shared" si="107"/>
        <v>0.56100000000000005</v>
      </c>
      <c r="N106">
        <f t="shared" ref="N106:X106" si="108">N95/100</f>
        <v>0.53700000000000003</v>
      </c>
      <c r="O106">
        <f t="shared" si="108"/>
        <v>0.53700000000000003</v>
      </c>
      <c r="P106">
        <f t="shared" si="108"/>
        <v>0.495</v>
      </c>
      <c r="Q106">
        <f t="shared" si="108"/>
        <v>0.495</v>
      </c>
      <c r="R106">
        <f t="shared" si="108"/>
        <v>0.495</v>
      </c>
      <c r="S106">
        <f t="shared" si="108"/>
        <v>0.495</v>
      </c>
      <c r="T106">
        <f t="shared" si="108"/>
        <v>0.495</v>
      </c>
      <c r="U106">
        <f t="shared" si="108"/>
        <v>0.495</v>
      </c>
      <c r="V106">
        <f t="shared" si="108"/>
        <v>0.46500000000000002</v>
      </c>
      <c r="W106">
        <f t="shared" si="108"/>
        <v>0.46500000000000002</v>
      </c>
      <c r="X106">
        <f t="shared" si="108"/>
        <v>0.46500000000000002</v>
      </c>
      <c r="AX106" s="107"/>
      <c r="AY106" s="107"/>
      <c r="BA106" s="106"/>
    </row>
    <row r="107" spans="1:54" ht="116.65" customHeight="1" x14ac:dyDescent="0.45">
      <c r="A107" s="140"/>
      <c r="B107" s="12" t="s">
        <v>32</v>
      </c>
      <c r="C107" t="s">
        <v>45</v>
      </c>
      <c r="D107">
        <v>30.9</v>
      </c>
      <c r="E107">
        <v>30.9</v>
      </c>
      <c r="F107">
        <v>30.9</v>
      </c>
      <c r="G107">
        <v>30.9</v>
      </c>
      <c r="H107">
        <v>30.9</v>
      </c>
      <c r="I107" s="6">
        <v>30.9</v>
      </c>
      <c r="J107">
        <v>30.9</v>
      </c>
      <c r="K107">
        <v>30.9</v>
      </c>
      <c r="L107">
        <v>30.9</v>
      </c>
      <c r="M107">
        <v>30.9</v>
      </c>
      <c r="N107">
        <v>30.9</v>
      </c>
      <c r="O107">
        <v>30.9</v>
      </c>
      <c r="P107">
        <v>30.9</v>
      </c>
      <c r="Q107">
        <v>30.9</v>
      </c>
      <c r="R107">
        <v>30.9</v>
      </c>
      <c r="S107">
        <v>30.9</v>
      </c>
      <c r="T107">
        <v>30.9</v>
      </c>
      <c r="U107" s="6">
        <v>30.9</v>
      </c>
      <c r="V107">
        <v>30.9</v>
      </c>
      <c r="W107">
        <v>30.9</v>
      </c>
      <c r="X107">
        <v>30.9</v>
      </c>
      <c r="BA107"/>
    </row>
    <row r="108" spans="1:54" x14ac:dyDescent="0.45">
      <c r="A108" s="140"/>
      <c r="B108" s="12" t="s">
        <v>33</v>
      </c>
      <c r="C108" t="s">
        <v>46</v>
      </c>
      <c r="D108">
        <v>1.1000000000000001</v>
      </c>
      <c r="E108">
        <v>1.1000000000000001</v>
      </c>
      <c r="F108">
        <v>1.1000000000000001</v>
      </c>
      <c r="G108">
        <v>1.1000000000000001</v>
      </c>
      <c r="H108">
        <v>1.1000000000000001</v>
      </c>
      <c r="I108" s="6">
        <v>1.1000000000000001</v>
      </c>
      <c r="J108">
        <v>1.1000000000000001</v>
      </c>
      <c r="K108">
        <v>1.1000000000000001</v>
      </c>
      <c r="L108">
        <v>1.1000000000000001</v>
      </c>
      <c r="M108">
        <v>1.1000000000000001</v>
      </c>
      <c r="N108">
        <v>1.1000000000000001</v>
      </c>
      <c r="O108">
        <v>1.1000000000000001</v>
      </c>
      <c r="P108">
        <v>1.1000000000000001</v>
      </c>
      <c r="Q108">
        <v>1.1000000000000001</v>
      </c>
      <c r="R108">
        <v>1.1000000000000001</v>
      </c>
      <c r="S108">
        <v>1.1000000000000001</v>
      </c>
      <c r="T108">
        <v>1.1000000000000001</v>
      </c>
      <c r="U108" s="6">
        <v>1.1000000000000001</v>
      </c>
      <c r="V108">
        <v>1.1000000000000001</v>
      </c>
      <c r="W108">
        <v>1.1000000000000001</v>
      </c>
      <c r="X108">
        <v>1.1000000000000001</v>
      </c>
      <c r="BA108"/>
    </row>
    <row r="109" spans="1:54" x14ac:dyDescent="0.45">
      <c r="A109" s="140"/>
      <c r="B109" s="12" t="s">
        <v>64</v>
      </c>
      <c r="C109" t="s">
        <v>46</v>
      </c>
      <c r="D109">
        <f t="shared" ref="D109:I109" si="109">D115/6.25</f>
        <v>3.3680000000000003</v>
      </c>
      <c r="E109">
        <f t="shared" si="109"/>
        <v>3.3680000000000003</v>
      </c>
      <c r="F109">
        <f t="shared" si="109"/>
        <v>3.3680000000000003</v>
      </c>
      <c r="G109">
        <f t="shared" si="109"/>
        <v>3.3680000000000003</v>
      </c>
      <c r="H109">
        <f t="shared" si="109"/>
        <v>3.3680000000000003</v>
      </c>
      <c r="I109" s="6">
        <f t="shared" si="109"/>
        <v>3.3680000000000003</v>
      </c>
      <c r="J109">
        <f t="shared" ref="J109:X109" si="110">J115/6.25</f>
        <v>3.3680000000000003</v>
      </c>
      <c r="K109">
        <f t="shared" si="110"/>
        <v>3.3680000000000003</v>
      </c>
      <c r="L109">
        <f t="shared" si="110"/>
        <v>3.3680000000000003</v>
      </c>
      <c r="M109">
        <f t="shared" si="110"/>
        <v>3.3680000000000003</v>
      </c>
      <c r="N109">
        <f t="shared" si="110"/>
        <v>3.3680000000000003</v>
      </c>
      <c r="O109">
        <f t="shared" si="110"/>
        <v>3.3680000000000003</v>
      </c>
      <c r="P109">
        <f t="shared" si="110"/>
        <v>3.3680000000000003</v>
      </c>
      <c r="Q109">
        <f t="shared" si="110"/>
        <v>3.3680000000000003</v>
      </c>
      <c r="R109">
        <f t="shared" si="110"/>
        <v>3.3680000000000003</v>
      </c>
      <c r="S109">
        <f t="shared" si="110"/>
        <v>3.3680000000000003</v>
      </c>
      <c r="T109">
        <f t="shared" si="110"/>
        <v>3.3680000000000003</v>
      </c>
      <c r="U109" s="6">
        <f t="shared" si="110"/>
        <v>3.3680000000000003</v>
      </c>
      <c r="V109">
        <f t="shared" si="110"/>
        <v>3.3680000000000003</v>
      </c>
      <c r="W109">
        <f t="shared" si="110"/>
        <v>3.3680000000000003</v>
      </c>
      <c r="X109">
        <f t="shared" si="110"/>
        <v>3.3680000000000003</v>
      </c>
      <c r="BA109"/>
    </row>
    <row r="110" spans="1:54" x14ac:dyDescent="0.45">
      <c r="A110" s="140"/>
      <c r="B110" s="12" t="s">
        <v>65</v>
      </c>
      <c r="C110" t="s">
        <v>46</v>
      </c>
      <c r="D110" t="s">
        <v>47</v>
      </c>
      <c r="E110" t="s">
        <v>47</v>
      </c>
      <c r="F110" t="s">
        <v>47</v>
      </c>
      <c r="G110" t="s">
        <v>47</v>
      </c>
      <c r="H110" t="s">
        <v>47</v>
      </c>
      <c r="I110" s="6" t="s">
        <v>47</v>
      </c>
      <c r="J110" t="s">
        <v>47</v>
      </c>
      <c r="K110" t="s">
        <v>47</v>
      </c>
      <c r="L110" t="s">
        <v>47</v>
      </c>
      <c r="M110" t="s">
        <v>47</v>
      </c>
      <c r="N110" t="s">
        <v>47</v>
      </c>
      <c r="O110" t="s">
        <v>47</v>
      </c>
      <c r="P110" t="s">
        <v>47</v>
      </c>
      <c r="Q110" t="s">
        <v>47</v>
      </c>
      <c r="R110" t="s">
        <v>47</v>
      </c>
      <c r="S110" t="s">
        <v>47</v>
      </c>
      <c r="T110" t="s">
        <v>47</v>
      </c>
      <c r="U110" s="6" t="s">
        <v>47</v>
      </c>
      <c r="V110" t="s">
        <v>47</v>
      </c>
      <c r="W110" t="s">
        <v>47</v>
      </c>
      <c r="X110" t="s">
        <v>47</v>
      </c>
      <c r="BA110"/>
    </row>
    <row r="111" spans="1:54" x14ac:dyDescent="0.45">
      <c r="A111" s="140"/>
      <c r="B111" s="12" t="s">
        <v>66</v>
      </c>
      <c r="C111" t="s">
        <v>46</v>
      </c>
      <c r="D111" t="s">
        <v>47</v>
      </c>
      <c r="E111" t="s">
        <v>47</v>
      </c>
      <c r="F111" t="s">
        <v>47</v>
      </c>
      <c r="G111" t="s">
        <v>47</v>
      </c>
      <c r="H111" t="s">
        <v>47</v>
      </c>
      <c r="I111" s="6" t="s">
        <v>47</v>
      </c>
      <c r="J111" t="s">
        <v>47</v>
      </c>
      <c r="K111" t="s">
        <v>47</v>
      </c>
      <c r="L111" t="s">
        <v>47</v>
      </c>
      <c r="M111" t="s">
        <v>47</v>
      </c>
      <c r="N111" t="s">
        <v>47</v>
      </c>
      <c r="O111" t="s">
        <v>47</v>
      </c>
      <c r="P111" t="s">
        <v>47</v>
      </c>
      <c r="Q111" t="s">
        <v>47</v>
      </c>
      <c r="R111" t="s">
        <v>47</v>
      </c>
      <c r="S111" t="s">
        <v>47</v>
      </c>
      <c r="T111" t="s">
        <v>47</v>
      </c>
      <c r="U111" s="6" t="s">
        <v>47</v>
      </c>
      <c r="V111" t="s">
        <v>47</v>
      </c>
      <c r="W111" t="s">
        <v>47</v>
      </c>
      <c r="X111" t="s">
        <v>47</v>
      </c>
      <c r="BA111"/>
    </row>
    <row r="112" spans="1:54" x14ac:dyDescent="0.45">
      <c r="A112" s="140" t="s">
        <v>931</v>
      </c>
      <c r="B112" s="12" t="s">
        <v>932</v>
      </c>
      <c r="C112" t="s">
        <v>941</v>
      </c>
      <c r="D112">
        <v>162</v>
      </c>
      <c r="E112">
        <v>162</v>
      </c>
      <c r="F112">
        <v>162</v>
      </c>
      <c r="G112">
        <v>162</v>
      </c>
      <c r="H112">
        <v>162</v>
      </c>
      <c r="I112" s="6">
        <v>162</v>
      </c>
      <c r="J112">
        <v>162</v>
      </c>
      <c r="K112">
        <v>162</v>
      </c>
      <c r="L112">
        <v>162</v>
      </c>
      <c r="M112">
        <v>162</v>
      </c>
      <c r="N112">
        <v>162</v>
      </c>
      <c r="O112">
        <v>162</v>
      </c>
      <c r="P112">
        <v>162</v>
      </c>
      <c r="Q112">
        <v>162</v>
      </c>
      <c r="R112">
        <v>162</v>
      </c>
      <c r="S112">
        <v>162</v>
      </c>
      <c r="T112">
        <v>162</v>
      </c>
      <c r="U112" s="6">
        <v>162</v>
      </c>
      <c r="V112">
        <v>162</v>
      </c>
      <c r="W112">
        <v>162</v>
      </c>
      <c r="X112">
        <v>162</v>
      </c>
      <c r="BA112"/>
    </row>
    <row r="113" spans="1:53" x14ac:dyDescent="0.45">
      <c r="A113" s="140"/>
      <c r="B113" s="12" t="s">
        <v>933</v>
      </c>
      <c r="C113" t="s">
        <v>45</v>
      </c>
      <c r="D113">
        <v>0</v>
      </c>
      <c r="E113">
        <v>0</v>
      </c>
      <c r="F113">
        <v>0</v>
      </c>
      <c r="G113">
        <v>0</v>
      </c>
      <c r="H113">
        <v>0</v>
      </c>
      <c r="I113" s="6">
        <v>0</v>
      </c>
      <c r="J113">
        <v>0</v>
      </c>
      <c r="K113">
        <v>0</v>
      </c>
      <c r="L113">
        <v>0</v>
      </c>
      <c r="M113">
        <v>0</v>
      </c>
      <c r="N113">
        <v>0</v>
      </c>
      <c r="O113">
        <v>0</v>
      </c>
      <c r="P113">
        <v>0</v>
      </c>
      <c r="Q113">
        <v>0</v>
      </c>
      <c r="R113">
        <v>0</v>
      </c>
      <c r="S113">
        <v>0</v>
      </c>
      <c r="T113">
        <v>0</v>
      </c>
      <c r="U113" s="6">
        <v>0</v>
      </c>
      <c r="V113">
        <v>0</v>
      </c>
      <c r="W113">
        <v>0</v>
      </c>
      <c r="X113">
        <v>0</v>
      </c>
      <c r="BA113"/>
    </row>
    <row r="114" spans="1:53" x14ac:dyDescent="0.45">
      <c r="A114" s="140"/>
      <c r="B114" s="12" t="s">
        <v>934</v>
      </c>
      <c r="C114" t="s">
        <v>45</v>
      </c>
      <c r="D114">
        <v>0</v>
      </c>
      <c r="E114">
        <v>0</v>
      </c>
      <c r="F114">
        <v>0</v>
      </c>
      <c r="G114">
        <v>0</v>
      </c>
      <c r="H114">
        <v>0</v>
      </c>
      <c r="I114" s="6">
        <v>0</v>
      </c>
      <c r="J114">
        <v>0</v>
      </c>
      <c r="K114">
        <v>0</v>
      </c>
      <c r="L114">
        <v>0</v>
      </c>
      <c r="M114">
        <v>0</v>
      </c>
      <c r="N114">
        <v>0</v>
      </c>
      <c r="O114">
        <v>0</v>
      </c>
      <c r="P114">
        <v>0</v>
      </c>
      <c r="Q114">
        <v>0</v>
      </c>
      <c r="R114">
        <v>0</v>
      </c>
      <c r="S114">
        <v>0</v>
      </c>
      <c r="T114">
        <v>0</v>
      </c>
      <c r="U114" s="6">
        <v>0</v>
      </c>
      <c r="V114">
        <v>0</v>
      </c>
      <c r="W114">
        <v>0</v>
      </c>
      <c r="X114">
        <v>0</v>
      </c>
      <c r="BA114"/>
    </row>
    <row r="115" spans="1:53" x14ac:dyDescent="0.45">
      <c r="A115" s="140"/>
      <c r="B115" s="12" t="s">
        <v>38</v>
      </c>
      <c r="C115" t="s">
        <v>45</v>
      </c>
      <c r="D115">
        <v>21.05</v>
      </c>
      <c r="E115">
        <v>21.05</v>
      </c>
      <c r="F115">
        <v>21.05</v>
      </c>
      <c r="G115">
        <v>21.05</v>
      </c>
      <c r="H115">
        <v>21.05</v>
      </c>
      <c r="I115" s="6">
        <v>21.05</v>
      </c>
      <c r="J115">
        <v>21.05</v>
      </c>
      <c r="K115">
        <v>21.05</v>
      </c>
      <c r="L115">
        <v>21.05</v>
      </c>
      <c r="M115">
        <v>21.05</v>
      </c>
      <c r="N115">
        <v>21.05</v>
      </c>
      <c r="O115">
        <v>21.05</v>
      </c>
      <c r="P115">
        <v>21.05</v>
      </c>
      <c r="Q115">
        <v>21.05</v>
      </c>
      <c r="R115">
        <v>21.05</v>
      </c>
      <c r="S115">
        <v>21.05</v>
      </c>
      <c r="T115">
        <v>21.05</v>
      </c>
      <c r="U115" s="6">
        <v>21.05</v>
      </c>
      <c r="V115">
        <v>21.05</v>
      </c>
      <c r="W115">
        <v>21.05</v>
      </c>
      <c r="X115">
        <v>21.05</v>
      </c>
      <c r="BA115"/>
    </row>
    <row r="116" spans="1:53" x14ac:dyDescent="0.45">
      <c r="A116" s="140"/>
      <c r="B116" s="12" t="s">
        <v>935</v>
      </c>
      <c r="C116" t="s">
        <v>45</v>
      </c>
      <c r="D116">
        <v>9.4</v>
      </c>
      <c r="E116">
        <v>9.4</v>
      </c>
      <c r="F116">
        <v>9.4</v>
      </c>
      <c r="G116">
        <v>9.4</v>
      </c>
      <c r="H116">
        <v>9.4</v>
      </c>
      <c r="I116" s="6">
        <v>9.4</v>
      </c>
      <c r="J116">
        <v>9.4</v>
      </c>
      <c r="K116">
        <v>9.4</v>
      </c>
      <c r="L116">
        <v>9.4</v>
      </c>
      <c r="M116">
        <v>9.4</v>
      </c>
      <c r="N116">
        <v>9.4</v>
      </c>
      <c r="O116">
        <v>9.4</v>
      </c>
      <c r="P116">
        <v>9.4</v>
      </c>
      <c r="Q116">
        <v>9.4</v>
      </c>
      <c r="R116">
        <v>9.4</v>
      </c>
      <c r="S116">
        <v>9.4</v>
      </c>
      <c r="T116">
        <v>9.4</v>
      </c>
      <c r="U116" s="6">
        <v>9.4</v>
      </c>
      <c r="V116">
        <v>9.4</v>
      </c>
      <c r="W116">
        <v>9.4</v>
      </c>
      <c r="X116">
        <v>9.4</v>
      </c>
      <c r="BA116"/>
    </row>
    <row r="117" spans="1:53" x14ac:dyDescent="0.45">
      <c r="A117" s="140" t="s">
        <v>750</v>
      </c>
      <c r="B117" s="12" t="s">
        <v>936</v>
      </c>
      <c r="C117" t="s">
        <v>940</v>
      </c>
      <c r="K117"/>
      <c r="O117" s="54"/>
      <c r="BA117"/>
    </row>
    <row r="118" spans="1:53" x14ac:dyDescent="0.45">
      <c r="A118" s="140"/>
      <c r="B118" s="12" t="s">
        <v>937</v>
      </c>
      <c r="C118" t="s">
        <v>48</v>
      </c>
      <c r="K118"/>
      <c r="O118" s="54"/>
      <c r="BA118"/>
    </row>
    <row r="119" spans="1:53" x14ac:dyDescent="0.45">
      <c r="A119" s="140"/>
      <c r="B119" s="12" t="s">
        <v>938</v>
      </c>
      <c r="C119" t="s">
        <v>995</v>
      </c>
      <c r="D119">
        <f t="shared" ref="D119:L119" si="111">D24/D10</f>
        <v>8.7077049472533705</v>
      </c>
      <c r="E119">
        <f t="shared" si="111"/>
        <v>8.1638962052416648</v>
      </c>
      <c r="F119">
        <f t="shared" si="111"/>
        <v>9.8431483276855811</v>
      </c>
      <c r="G119">
        <f t="shared" si="111"/>
        <v>9.0327650554999295</v>
      </c>
      <c r="H119">
        <f t="shared" si="111"/>
        <v>23.541822726270684</v>
      </c>
      <c r="I119">
        <f t="shared" si="111"/>
        <v>12.449271123888433</v>
      </c>
      <c r="J119">
        <f t="shared" si="111"/>
        <v>48.857394059407575</v>
      </c>
      <c r="K119">
        <f t="shared" si="111"/>
        <v>79.66047618856004</v>
      </c>
      <c r="L119">
        <f t="shared" si="111"/>
        <v>250.8202461637122</v>
      </c>
      <c r="M119">
        <v>0</v>
      </c>
      <c r="N119">
        <f>N24/N10</f>
        <v>23.49399878327738</v>
      </c>
      <c r="O119">
        <f t="shared" ref="O119:V119" si="112">O24/O10</f>
        <v>34.189414894718695</v>
      </c>
      <c r="P119">
        <f t="shared" si="112"/>
        <v>8.1327177861248963</v>
      </c>
      <c r="Q119">
        <f t="shared" si="112"/>
        <v>7.2111373422931919</v>
      </c>
      <c r="R119">
        <f t="shared" si="112"/>
        <v>8.9036099874013175</v>
      </c>
      <c r="S119">
        <f t="shared" si="112"/>
        <v>8.4826216300823507</v>
      </c>
      <c r="T119">
        <f t="shared" si="112"/>
        <v>17.59104513519727</v>
      </c>
      <c r="U119">
        <f t="shared" si="112"/>
        <v>8.8095359607435384</v>
      </c>
      <c r="V119">
        <f t="shared" si="112"/>
        <v>23.49399878327738</v>
      </c>
      <c r="W119">
        <f>(W18)/W10</f>
        <v>559.69844776705372</v>
      </c>
      <c r="X119">
        <v>0</v>
      </c>
      <c r="BA119"/>
    </row>
    <row r="120" spans="1:53" ht="14.65" thickBot="1" x14ac:dyDescent="0.5">
      <c r="A120" s="151"/>
      <c r="B120" s="83" t="s">
        <v>939</v>
      </c>
      <c r="C120" s="41" t="s">
        <v>996</v>
      </c>
      <c r="D120" t="s">
        <v>47</v>
      </c>
      <c r="E120" t="s">
        <v>47</v>
      </c>
      <c r="F120">
        <f t="shared" ref="F120:L120" si="113">(F32*1000)/(F10)</f>
        <v>0</v>
      </c>
      <c r="G120">
        <f t="shared" si="113"/>
        <v>0</v>
      </c>
      <c r="H120">
        <f t="shared" si="113"/>
        <v>0</v>
      </c>
      <c r="I120">
        <f t="shared" si="113"/>
        <v>456.60838549530621</v>
      </c>
      <c r="J120">
        <f t="shared" si="113"/>
        <v>1371.400868529729</v>
      </c>
      <c r="K120">
        <f t="shared" si="113"/>
        <v>2160.7985679517697</v>
      </c>
      <c r="L120">
        <f t="shared" si="113"/>
        <v>7220.2233526712889</v>
      </c>
      <c r="M120">
        <v>0</v>
      </c>
      <c r="N120">
        <f>(N32*1000)/(N10)</f>
        <v>2595.0822492855541</v>
      </c>
      <c r="O120">
        <f>(O32*1000)/(O10)</f>
        <v>4296.9552629490136</v>
      </c>
      <c r="P120" t="s">
        <v>47</v>
      </c>
      <c r="Q120" t="s">
        <v>47</v>
      </c>
      <c r="R120">
        <f t="shared" ref="R120:W120" si="114">(R32*1000)/(R10)</f>
        <v>0</v>
      </c>
      <c r="S120">
        <f t="shared" si="114"/>
        <v>0</v>
      </c>
      <c r="T120">
        <f t="shared" si="114"/>
        <v>0</v>
      </c>
      <c r="U120">
        <f t="shared" si="114"/>
        <v>463.17302720915245</v>
      </c>
      <c r="V120">
        <f t="shared" si="114"/>
        <v>2595.0822492855541</v>
      </c>
      <c r="W120">
        <f t="shared" si="114"/>
        <v>4726.6507892439158</v>
      </c>
      <c r="X120">
        <v>0</v>
      </c>
      <c r="BA120"/>
    </row>
    <row r="124" spans="1:53" x14ac:dyDescent="0.45">
      <c r="A124" t="s">
        <v>1182</v>
      </c>
    </row>
    <row r="126" spans="1:53" ht="14.65" thickBot="1" x14ac:dyDescent="0.5"/>
    <row r="127" spans="1:53" ht="28.5" x14ac:dyDescent="0.45">
      <c r="AI127" s="101"/>
      <c r="AJ127" s="49" t="s">
        <v>1120</v>
      </c>
      <c r="AK127" s="50"/>
      <c r="AM127" s="101"/>
      <c r="AN127" s="49" t="s">
        <v>959</v>
      </c>
      <c r="AO127" s="49" t="s">
        <v>775</v>
      </c>
      <c r="AP127" s="50"/>
    </row>
    <row r="128" spans="1:53" ht="28.5" x14ac:dyDescent="0.45">
      <c r="AI128" s="110" t="s">
        <v>1122</v>
      </c>
      <c r="AJ128" s="12">
        <v>0.9</v>
      </c>
      <c r="AK128" s="52">
        <v>0.1</v>
      </c>
      <c r="AM128" s="62" t="s">
        <v>806</v>
      </c>
      <c r="AN128" s="12">
        <v>11100</v>
      </c>
      <c r="AO128" s="12">
        <f>AN128/AN130</f>
        <v>222.89156626506025</v>
      </c>
      <c r="AP128" s="52" t="s">
        <v>809</v>
      </c>
    </row>
    <row r="129" spans="35:42" ht="28.5" x14ac:dyDescent="0.45">
      <c r="AI129" s="62" t="s">
        <v>1121</v>
      </c>
      <c r="AJ129" s="12">
        <v>0.6</v>
      </c>
      <c r="AK129" s="52">
        <f t="shared" ref="AK129:AK130" si="115">1-AJ129</f>
        <v>0.4</v>
      </c>
      <c r="AM129" s="62" t="s">
        <v>807</v>
      </c>
      <c r="AN129" s="12">
        <v>15200</v>
      </c>
      <c r="AO129" s="12">
        <f>AN129/AN130</f>
        <v>305.22088353413659</v>
      </c>
      <c r="AP129" s="84" t="s">
        <v>809</v>
      </c>
    </row>
    <row r="130" spans="35:42" ht="14.65" thickBot="1" x14ac:dyDescent="0.5">
      <c r="AI130" s="62" t="s">
        <v>1123</v>
      </c>
      <c r="AJ130" s="12">
        <v>0.3</v>
      </c>
      <c r="AK130" s="52">
        <f t="shared" si="115"/>
        <v>0.7</v>
      </c>
      <c r="AM130" s="51" t="s">
        <v>949</v>
      </c>
      <c r="AN130" s="83">
        <v>49.8</v>
      </c>
      <c r="AO130" s="83">
        <f>SUM(AO128:AO129)</f>
        <v>528.11244979919684</v>
      </c>
      <c r="AP130" s="85"/>
    </row>
    <row r="131" spans="35:42" ht="14.65" thickBot="1" x14ac:dyDescent="0.5">
      <c r="AI131" s="51" t="s">
        <v>1124</v>
      </c>
      <c r="AJ131" s="83">
        <v>0.1</v>
      </c>
      <c r="AK131" s="85">
        <v>0.9</v>
      </c>
    </row>
    <row r="132" spans="35:42" ht="14.65" thickBot="1" x14ac:dyDescent="0.5"/>
    <row r="133" spans="35:42" x14ac:dyDescent="0.45">
      <c r="AI133" s="101" t="s">
        <v>1185</v>
      </c>
      <c r="AJ133" s="49"/>
      <c r="AK133" s="50"/>
    </row>
    <row r="134" spans="35:42" x14ac:dyDescent="0.45">
      <c r="AI134" s="62" t="s">
        <v>1186</v>
      </c>
      <c r="AJ134" s="12" t="s">
        <v>1187</v>
      </c>
      <c r="AK134" s="52">
        <v>387</v>
      </c>
      <c r="AL134" s="12">
        <f>AK134*3.6</f>
        <v>1393.2</v>
      </c>
    </row>
    <row r="135" spans="35:42" x14ac:dyDescent="0.45">
      <c r="AI135" s="62" t="s">
        <v>1189</v>
      </c>
      <c r="AJ135" s="12" t="s">
        <v>688</v>
      </c>
      <c r="AK135" s="120">
        <f>ROUND(SUM(U3,I3,J3:N3,J3:L3),0)</f>
        <v>313</v>
      </c>
    </row>
    <row r="136" spans="35:42" ht="28.5" x14ac:dyDescent="0.45">
      <c r="AI136" s="62" t="s">
        <v>1199</v>
      </c>
      <c r="AJ136" s="12" t="s">
        <v>1200</v>
      </c>
      <c r="AK136" s="123">
        <f>(ROUND(U3,0)*U2)+(ROUND(I3,0)*I2)+(ROUND(V3,0)*V2)+(ROUND(W3,0)*W2)+(ROUND(N3,0)*N2)*(ROUND(J3,0)*J2)+(ROUND(K3,0)*K2)+(ROUND(X3,0)*X2)+(ROUND(L3,0)*L2)</f>
        <v>447.6</v>
      </c>
    </row>
    <row r="137" spans="35:42" x14ac:dyDescent="0.45">
      <c r="AI137" s="62" t="s">
        <v>1190</v>
      </c>
      <c r="AJ137" s="12" t="s">
        <v>1188</v>
      </c>
      <c r="AK137" s="52">
        <f>AK134*AK135</f>
        <v>121131</v>
      </c>
    </row>
    <row r="138" spans="35:42" ht="28.5" x14ac:dyDescent="0.45">
      <c r="AI138" s="62" t="s">
        <v>1191</v>
      </c>
      <c r="AJ138" s="12" t="s">
        <v>673</v>
      </c>
      <c r="AK138" s="52">
        <f>AK137*3.6</f>
        <v>436071.60000000003</v>
      </c>
    </row>
    <row r="139" spans="35:42" ht="42.75" x14ac:dyDescent="0.45">
      <c r="AI139" s="62" t="s">
        <v>1195</v>
      </c>
      <c r="AJ139" s="12" t="s">
        <v>1193</v>
      </c>
      <c r="AK139" s="52">
        <v>2800</v>
      </c>
      <c r="AL139" s="12">
        <f>AK139*3600</f>
        <v>10080000</v>
      </c>
    </row>
    <row r="140" spans="35:42" ht="42.75" x14ac:dyDescent="0.45">
      <c r="AI140" s="62" t="s">
        <v>1197</v>
      </c>
      <c r="AJ140" s="12" t="s">
        <v>673</v>
      </c>
      <c r="AK140" s="122">
        <f>(AK139*3600)+AK138</f>
        <v>10516071.6</v>
      </c>
      <c r="AL140" s="12">
        <v>10737590.4</v>
      </c>
    </row>
    <row r="141" spans="35:42" ht="57" x14ac:dyDescent="0.45">
      <c r="AI141" s="62" t="s">
        <v>1194</v>
      </c>
      <c r="AJ141" s="12" t="s">
        <v>1193</v>
      </c>
      <c r="AK141" s="52">
        <v>73</v>
      </c>
      <c r="AL141" s="12">
        <f>AK141*3600</f>
        <v>262800</v>
      </c>
    </row>
    <row r="142" spans="35:42" ht="28.5" x14ac:dyDescent="0.45">
      <c r="AI142" s="62" t="s">
        <v>1192</v>
      </c>
      <c r="AJ142" s="12" t="s">
        <v>1193</v>
      </c>
      <c r="AK142" s="52">
        <v>164.94565217391306</v>
      </c>
      <c r="AL142" s="12">
        <f>AK142*3600</f>
        <v>593804.34782608703</v>
      </c>
    </row>
    <row r="143" spans="35:42" ht="42.75" x14ac:dyDescent="0.45">
      <c r="AI143" s="62" t="s">
        <v>1196</v>
      </c>
      <c r="AJ143" s="12" t="s">
        <v>1193</v>
      </c>
      <c r="AK143" s="52">
        <f>SUM((AK137/1000),AK139,AK141:AK142)</f>
        <v>3159.0766521739129</v>
      </c>
      <c r="AL143" s="12">
        <f>AL142+AL141</f>
        <v>856604.34782608703</v>
      </c>
    </row>
    <row r="144" spans="35:42" ht="71.650000000000006" thickBot="1" x14ac:dyDescent="0.5">
      <c r="AI144" s="51" t="s">
        <v>1198</v>
      </c>
      <c r="AJ144" s="83" t="s">
        <v>673</v>
      </c>
      <c r="AK144" s="121">
        <f>AK143*3600</f>
        <v>11372675.947826086</v>
      </c>
    </row>
  </sheetData>
  <mergeCells count="10">
    <mergeCell ref="A104:A111"/>
    <mergeCell ref="A112:A116"/>
    <mergeCell ref="A117:A120"/>
    <mergeCell ref="AH1:AL1"/>
    <mergeCell ref="AN1:AR1"/>
    <mergeCell ref="A81:A93"/>
    <mergeCell ref="A94:A96"/>
    <mergeCell ref="A97:A102"/>
    <mergeCell ref="D1:H1"/>
    <mergeCell ref="P1:T1"/>
  </mergeCells>
  <phoneticPr fontId="4" type="noConversion"/>
  <conditionalFormatting sqref="D21:X22">
    <cfRule type="colorScale" priority="16">
      <colorScale>
        <cfvo type="min"/>
        <cfvo type="percentile" val="50"/>
        <cfvo type="max"/>
        <color rgb="FF63BE7B"/>
        <color rgb="FFFFEB84"/>
        <color rgb="FFF8696B"/>
      </colorScale>
    </cfRule>
  </conditionalFormatting>
  <conditionalFormatting sqref="D76:X76">
    <cfRule type="colorScale" priority="20">
      <colorScale>
        <cfvo type="min"/>
        <cfvo type="percentile" val="50"/>
        <cfvo type="max"/>
        <color rgb="FF63BE7B"/>
        <color rgb="FFFFEB84"/>
        <color rgb="FFF8696B"/>
      </colorScale>
    </cfRule>
  </conditionalFormatting>
  <conditionalFormatting sqref="V61:X61 D61:H61 J61:T61">
    <cfRule type="colorScale" priority="10">
      <colorScale>
        <cfvo type="min"/>
        <cfvo type="percentile" val="50"/>
        <cfvo type="max"/>
        <color rgb="FFF8696B"/>
        <color rgb="FFFFEB84"/>
        <color rgb="FF63BE7B"/>
      </colorScale>
    </cfRule>
  </conditionalFormatting>
  <hyperlinks>
    <hyperlink ref="AH73" r:id="rId1" xr:uid="{6C8403C4-DFF1-49D0-9D0F-B920CE208E2F}"/>
    <hyperlink ref="AI73:AZ73" r:id="rId2" display="https://www.sciencedirect.com/science/article/pii/S0308521X21002031" xr:uid="{F96F8BA5-1BEC-4D9E-9C74-1B218C2DBE16}"/>
    <hyperlink ref="AV31:AW31" r:id="rId3" display="https://www.feedinglivestock.vic.gov.au/beef-resources/useful-tables-beef/" xr:uid="{106F9A09-408A-4595-85CC-632F4E41A3D1}"/>
    <hyperlink ref="AZ31" r:id="rId4" xr:uid="{EC29B002-DB70-4DC8-A799-650287454599}"/>
    <hyperlink ref="AH58" r:id="rId5" xr:uid="{81767560-7FA6-4E03-9A0C-E03DB93952BB}"/>
    <hyperlink ref="AI58:AR58" r:id="rId6" display="https://www.sciencedirect.com/science/article/pii/S0022030207718969" xr:uid="{CBEEC2D7-6896-4715-B6DF-D2D8BCEF085F}"/>
    <hyperlink ref="AU18" r:id="rId7" xr:uid="{8155DBAC-12F9-40EB-8E2D-B15CF0E99ABD}"/>
    <hyperlink ref="AH90" r:id="rId8" xr:uid="{C6721618-471F-4B88-AF95-422C5AABC9BE}"/>
    <hyperlink ref="AI90:BA90" r:id="rId9" display="https://www.sciencedirect.com/science/article/pii/S0959652622041245?casa_token=aHYTlWo8aEcAAAAA:kE57TrgaVEwFnx34SXo4NTehpC4-46WMaGOZonysNT7y-9W4J6nNGQGUo7h1Nc11gMOJlgY3b7-q" xr:uid="{01B34212-EBC3-48AF-96C2-B90E42BF0138}"/>
    <hyperlink ref="AH91" r:id="rId10" xr:uid="{9C303814-5057-4BBA-AFD7-794DF34F1841}"/>
    <hyperlink ref="AI91:BA91" r:id="rId11" display="https://www.sciencedirect.com/science/article/pii/S0959652622041245?casa_token=aHYTlWo8aEcAAAAA:kE57TrgaVEwFnx34SXo4NTehpC4-46WMaGOZonysNT7y-9W4J6nNGQGUo7h1Nc11gMOJlgY3b7-q" xr:uid="{9362928B-1465-4A03-B0B7-06BDCCCF8729}"/>
    <hyperlink ref="AZ26" r:id="rId12" xr:uid="{32F7D733-4673-454A-BDE3-47BACEC27D6C}"/>
    <hyperlink ref="AX98" r:id="rId13" xr:uid="{6D7AAFEC-8630-4333-91D8-4ED8EE4EBF91}"/>
    <hyperlink ref="AX99" r:id="rId14" xr:uid="{697E0337-A706-4346-BF40-579097C810B7}"/>
    <hyperlink ref="AP129" r:id="rId15" xr:uid="{8E5563E1-50E7-4A98-9154-E26100217A0A}"/>
  </hyperlinks>
  <pageMargins left="0.7" right="0.7" top="0.75" bottom="0.75" header="0.3" footer="0.3"/>
  <pageSetup paperSize="9" orientation="portrait" r:id="rId16"/>
  <legacyDrawing r:id="rId1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1253C-37AB-43B0-A442-D2C358574D1D}">
  <dimension ref="A10:NB26"/>
  <sheetViews>
    <sheetView workbookViewId="0">
      <selection activeCell="B15" sqref="B15"/>
    </sheetView>
  </sheetViews>
  <sheetFormatPr defaultRowHeight="14.25" x14ac:dyDescent="0.45"/>
  <cols>
    <col min="1" max="1" width="29.796875" customWidth="1"/>
  </cols>
  <sheetData>
    <row r="10" spans="1:366" x14ac:dyDescent="0.45">
      <c r="A10" t="s">
        <v>1320</v>
      </c>
      <c r="B10">
        <v>0.74048144390022275</v>
      </c>
      <c r="C10">
        <f t="shared" ref="C10:BN10" si="0">$B$10</f>
        <v>0.74048144390022275</v>
      </c>
      <c r="D10">
        <f t="shared" si="0"/>
        <v>0.74048144390022275</v>
      </c>
      <c r="E10">
        <f t="shared" si="0"/>
        <v>0.74048144390022275</v>
      </c>
      <c r="F10">
        <f t="shared" si="0"/>
        <v>0.74048144390022275</v>
      </c>
      <c r="G10">
        <f t="shared" si="0"/>
        <v>0.74048144390022275</v>
      </c>
      <c r="H10">
        <f t="shared" si="0"/>
        <v>0.74048144390022275</v>
      </c>
      <c r="I10">
        <f t="shared" si="0"/>
        <v>0.74048144390022275</v>
      </c>
      <c r="J10">
        <f t="shared" si="0"/>
        <v>0.74048144390022275</v>
      </c>
      <c r="K10">
        <f t="shared" si="0"/>
        <v>0.74048144390022275</v>
      </c>
      <c r="L10">
        <f t="shared" si="0"/>
        <v>0.74048144390022275</v>
      </c>
      <c r="M10">
        <f t="shared" si="0"/>
        <v>0.74048144390022275</v>
      </c>
      <c r="N10">
        <f t="shared" si="0"/>
        <v>0.74048144390022275</v>
      </c>
      <c r="O10">
        <f t="shared" si="0"/>
        <v>0.74048144390022275</v>
      </c>
      <c r="P10">
        <f t="shared" si="0"/>
        <v>0.74048144390022275</v>
      </c>
      <c r="Q10">
        <f t="shared" si="0"/>
        <v>0.74048144390022275</v>
      </c>
      <c r="R10">
        <f t="shared" si="0"/>
        <v>0.74048144390022275</v>
      </c>
      <c r="S10">
        <f t="shared" si="0"/>
        <v>0.74048144390022275</v>
      </c>
      <c r="T10">
        <f t="shared" si="0"/>
        <v>0.74048144390022275</v>
      </c>
      <c r="U10">
        <f t="shared" si="0"/>
        <v>0.74048144390022275</v>
      </c>
      <c r="V10">
        <f t="shared" si="0"/>
        <v>0.74048144390022275</v>
      </c>
      <c r="W10">
        <f t="shared" si="0"/>
        <v>0.74048144390022275</v>
      </c>
      <c r="X10">
        <f t="shared" si="0"/>
        <v>0.74048144390022275</v>
      </c>
      <c r="Y10">
        <f t="shared" si="0"/>
        <v>0.74048144390022275</v>
      </c>
      <c r="Z10">
        <f t="shared" si="0"/>
        <v>0.74048144390022275</v>
      </c>
      <c r="AA10">
        <f t="shared" si="0"/>
        <v>0.74048144390022275</v>
      </c>
      <c r="AB10">
        <f t="shared" si="0"/>
        <v>0.74048144390022275</v>
      </c>
      <c r="AC10">
        <f t="shared" si="0"/>
        <v>0.74048144390022275</v>
      </c>
      <c r="AD10">
        <f t="shared" si="0"/>
        <v>0.74048144390022275</v>
      </c>
      <c r="AE10">
        <f t="shared" si="0"/>
        <v>0.74048144390022275</v>
      </c>
      <c r="AF10">
        <f t="shared" si="0"/>
        <v>0.74048144390022275</v>
      </c>
      <c r="AG10">
        <f t="shared" si="0"/>
        <v>0.74048144390022275</v>
      </c>
      <c r="AH10">
        <f t="shared" si="0"/>
        <v>0.74048144390022275</v>
      </c>
      <c r="AI10">
        <f t="shared" si="0"/>
        <v>0.74048144390022275</v>
      </c>
      <c r="AJ10">
        <f t="shared" si="0"/>
        <v>0.74048144390022275</v>
      </c>
      <c r="AK10">
        <f t="shared" si="0"/>
        <v>0.74048144390022275</v>
      </c>
      <c r="AL10">
        <f t="shared" si="0"/>
        <v>0.74048144390022275</v>
      </c>
      <c r="AM10">
        <f t="shared" si="0"/>
        <v>0.74048144390022275</v>
      </c>
      <c r="AN10">
        <f t="shared" si="0"/>
        <v>0.74048144390022275</v>
      </c>
      <c r="AO10">
        <f t="shared" si="0"/>
        <v>0.74048144390022275</v>
      </c>
      <c r="AP10">
        <f t="shared" si="0"/>
        <v>0.74048144390022275</v>
      </c>
      <c r="AQ10">
        <f t="shared" si="0"/>
        <v>0.74048144390022275</v>
      </c>
      <c r="AR10">
        <f t="shared" si="0"/>
        <v>0.74048144390022275</v>
      </c>
      <c r="AS10">
        <f t="shared" si="0"/>
        <v>0.74048144390022275</v>
      </c>
      <c r="AT10">
        <f t="shared" si="0"/>
        <v>0.74048144390022275</v>
      </c>
      <c r="AU10">
        <f t="shared" si="0"/>
        <v>0.74048144390022275</v>
      </c>
      <c r="AV10">
        <f t="shared" si="0"/>
        <v>0.74048144390022275</v>
      </c>
      <c r="AW10">
        <f t="shared" si="0"/>
        <v>0.74048144390022275</v>
      </c>
      <c r="AX10">
        <f t="shared" si="0"/>
        <v>0.74048144390022275</v>
      </c>
      <c r="AY10">
        <f t="shared" si="0"/>
        <v>0.74048144390022275</v>
      </c>
      <c r="AZ10">
        <f t="shared" si="0"/>
        <v>0.74048144390022275</v>
      </c>
      <c r="BA10">
        <f t="shared" si="0"/>
        <v>0.74048144390022275</v>
      </c>
      <c r="BB10">
        <f t="shared" si="0"/>
        <v>0.74048144390022275</v>
      </c>
      <c r="BC10">
        <f t="shared" si="0"/>
        <v>0.74048144390022275</v>
      </c>
      <c r="BD10">
        <f t="shared" si="0"/>
        <v>0.74048144390022275</v>
      </c>
      <c r="BE10">
        <f t="shared" si="0"/>
        <v>0.74048144390022275</v>
      </c>
      <c r="BF10">
        <f t="shared" si="0"/>
        <v>0.74048144390022275</v>
      </c>
      <c r="BG10">
        <f t="shared" si="0"/>
        <v>0.74048144390022275</v>
      </c>
      <c r="BH10">
        <f t="shared" si="0"/>
        <v>0.74048144390022275</v>
      </c>
      <c r="BI10">
        <f t="shared" si="0"/>
        <v>0.74048144390022275</v>
      </c>
      <c r="BJ10">
        <f t="shared" si="0"/>
        <v>0.74048144390022275</v>
      </c>
      <c r="BK10">
        <f t="shared" si="0"/>
        <v>0.74048144390022275</v>
      </c>
      <c r="BL10">
        <f t="shared" si="0"/>
        <v>0.74048144390022275</v>
      </c>
      <c r="BM10">
        <f t="shared" si="0"/>
        <v>0.74048144390022275</v>
      </c>
      <c r="BN10">
        <f t="shared" si="0"/>
        <v>0.74048144390022275</v>
      </c>
      <c r="BO10">
        <f t="shared" ref="BO10:DZ10" si="1">$B$10</f>
        <v>0.74048144390022275</v>
      </c>
      <c r="BP10">
        <f t="shared" si="1"/>
        <v>0.74048144390022275</v>
      </c>
      <c r="BQ10">
        <f t="shared" si="1"/>
        <v>0.74048144390022275</v>
      </c>
      <c r="BR10">
        <f t="shared" si="1"/>
        <v>0.74048144390022275</v>
      </c>
      <c r="BS10">
        <f t="shared" si="1"/>
        <v>0.74048144390022275</v>
      </c>
      <c r="BT10">
        <f t="shared" si="1"/>
        <v>0.74048144390022275</v>
      </c>
      <c r="BU10">
        <f t="shared" si="1"/>
        <v>0.74048144390022275</v>
      </c>
      <c r="BV10">
        <f t="shared" si="1"/>
        <v>0.74048144390022275</v>
      </c>
      <c r="BW10">
        <f t="shared" si="1"/>
        <v>0.74048144390022275</v>
      </c>
      <c r="BX10">
        <f t="shared" si="1"/>
        <v>0.74048144390022275</v>
      </c>
      <c r="BY10">
        <f t="shared" si="1"/>
        <v>0.74048144390022275</v>
      </c>
      <c r="BZ10">
        <f t="shared" si="1"/>
        <v>0.74048144390022275</v>
      </c>
      <c r="CA10">
        <f t="shared" si="1"/>
        <v>0.74048144390022275</v>
      </c>
      <c r="CB10">
        <f t="shared" si="1"/>
        <v>0.74048144390022275</v>
      </c>
      <c r="CC10">
        <f t="shared" si="1"/>
        <v>0.74048144390022275</v>
      </c>
      <c r="CD10">
        <f t="shared" si="1"/>
        <v>0.74048144390022275</v>
      </c>
      <c r="CE10">
        <f t="shared" si="1"/>
        <v>0.74048144390022275</v>
      </c>
      <c r="CF10">
        <f t="shared" si="1"/>
        <v>0.74048144390022275</v>
      </c>
      <c r="CG10">
        <f t="shared" si="1"/>
        <v>0.74048144390022275</v>
      </c>
      <c r="CH10">
        <f t="shared" si="1"/>
        <v>0.74048144390022275</v>
      </c>
      <c r="CI10">
        <f t="shared" si="1"/>
        <v>0.74048144390022275</v>
      </c>
      <c r="CJ10">
        <f t="shared" si="1"/>
        <v>0.74048144390022275</v>
      </c>
      <c r="CK10">
        <f t="shared" si="1"/>
        <v>0.74048144390022275</v>
      </c>
      <c r="CL10">
        <f t="shared" si="1"/>
        <v>0.74048144390022275</v>
      </c>
      <c r="CM10">
        <f t="shared" si="1"/>
        <v>0.74048144390022275</v>
      </c>
      <c r="CN10">
        <f t="shared" si="1"/>
        <v>0.74048144390022275</v>
      </c>
      <c r="CO10">
        <f t="shared" si="1"/>
        <v>0.74048144390022275</v>
      </c>
      <c r="CP10">
        <f t="shared" si="1"/>
        <v>0.74048144390022275</v>
      </c>
      <c r="CQ10">
        <f t="shared" si="1"/>
        <v>0.74048144390022275</v>
      </c>
      <c r="CR10">
        <f t="shared" si="1"/>
        <v>0.74048144390022275</v>
      </c>
      <c r="CS10">
        <f t="shared" si="1"/>
        <v>0.74048144390022275</v>
      </c>
      <c r="CT10">
        <f t="shared" si="1"/>
        <v>0.74048144390022275</v>
      </c>
      <c r="CU10">
        <f t="shared" si="1"/>
        <v>0.74048144390022275</v>
      </c>
      <c r="CV10">
        <f t="shared" si="1"/>
        <v>0.74048144390022275</v>
      </c>
      <c r="CW10">
        <f t="shared" si="1"/>
        <v>0.74048144390022275</v>
      </c>
      <c r="CX10">
        <f t="shared" si="1"/>
        <v>0.74048144390022275</v>
      </c>
      <c r="CY10">
        <f t="shared" si="1"/>
        <v>0.74048144390022275</v>
      </c>
      <c r="CZ10">
        <f t="shared" si="1"/>
        <v>0.74048144390022275</v>
      </c>
      <c r="DA10">
        <f t="shared" si="1"/>
        <v>0.74048144390022275</v>
      </c>
      <c r="DB10">
        <f t="shared" si="1"/>
        <v>0.74048144390022275</v>
      </c>
      <c r="DC10">
        <f t="shared" si="1"/>
        <v>0.74048144390022275</v>
      </c>
      <c r="DD10">
        <f t="shared" si="1"/>
        <v>0.74048144390022275</v>
      </c>
      <c r="DE10">
        <f t="shared" si="1"/>
        <v>0.74048144390022275</v>
      </c>
      <c r="DF10">
        <f t="shared" si="1"/>
        <v>0.74048144390022275</v>
      </c>
      <c r="DG10">
        <f t="shared" si="1"/>
        <v>0.74048144390022275</v>
      </c>
      <c r="DH10">
        <f t="shared" si="1"/>
        <v>0.74048144390022275</v>
      </c>
      <c r="DI10">
        <f t="shared" si="1"/>
        <v>0.74048144390022275</v>
      </c>
      <c r="DJ10">
        <f t="shared" si="1"/>
        <v>0.74048144390022275</v>
      </c>
      <c r="DK10">
        <f t="shared" si="1"/>
        <v>0.74048144390022275</v>
      </c>
      <c r="DL10">
        <f t="shared" si="1"/>
        <v>0.74048144390022275</v>
      </c>
      <c r="DM10">
        <f t="shared" si="1"/>
        <v>0.74048144390022275</v>
      </c>
      <c r="DN10">
        <f t="shared" si="1"/>
        <v>0.74048144390022275</v>
      </c>
      <c r="DO10">
        <f t="shared" si="1"/>
        <v>0.74048144390022275</v>
      </c>
      <c r="DP10">
        <f t="shared" si="1"/>
        <v>0.74048144390022275</v>
      </c>
      <c r="DQ10">
        <f t="shared" si="1"/>
        <v>0.74048144390022275</v>
      </c>
      <c r="DR10">
        <f t="shared" si="1"/>
        <v>0.74048144390022275</v>
      </c>
      <c r="DS10">
        <f t="shared" si="1"/>
        <v>0.74048144390022275</v>
      </c>
      <c r="DT10">
        <f t="shared" si="1"/>
        <v>0.74048144390022275</v>
      </c>
      <c r="DU10">
        <f t="shared" si="1"/>
        <v>0.74048144390022275</v>
      </c>
      <c r="DV10">
        <f t="shared" si="1"/>
        <v>0.74048144390022275</v>
      </c>
      <c r="DW10">
        <f t="shared" si="1"/>
        <v>0.74048144390022275</v>
      </c>
      <c r="DX10">
        <f t="shared" si="1"/>
        <v>0.74048144390022275</v>
      </c>
      <c r="DY10">
        <f t="shared" si="1"/>
        <v>0.74048144390022275</v>
      </c>
      <c r="DZ10">
        <f t="shared" si="1"/>
        <v>0.74048144390022275</v>
      </c>
      <c r="EA10">
        <f t="shared" ref="EA10:GL10" si="2">$B$10</f>
        <v>0.74048144390022275</v>
      </c>
      <c r="EB10">
        <f t="shared" si="2"/>
        <v>0.74048144390022275</v>
      </c>
      <c r="EC10">
        <f t="shared" si="2"/>
        <v>0.74048144390022275</v>
      </c>
      <c r="ED10">
        <f t="shared" si="2"/>
        <v>0.74048144390022275</v>
      </c>
      <c r="EE10">
        <f t="shared" si="2"/>
        <v>0.74048144390022275</v>
      </c>
      <c r="EF10">
        <f t="shared" si="2"/>
        <v>0.74048144390022275</v>
      </c>
      <c r="EG10">
        <f t="shared" si="2"/>
        <v>0.74048144390022275</v>
      </c>
      <c r="EH10">
        <f t="shared" si="2"/>
        <v>0.74048144390022275</v>
      </c>
      <c r="EI10">
        <f t="shared" si="2"/>
        <v>0.74048144390022275</v>
      </c>
      <c r="EJ10">
        <f t="shared" si="2"/>
        <v>0.74048144390022275</v>
      </c>
      <c r="EK10">
        <f t="shared" si="2"/>
        <v>0.74048144390022275</v>
      </c>
      <c r="EL10">
        <f t="shared" si="2"/>
        <v>0.74048144390022275</v>
      </c>
      <c r="EM10">
        <f t="shared" si="2"/>
        <v>0.74048144390022275</v>
      </c>
      <c r="EN10">
        <f t="shared" si="2"/>
        <v>0.74048144390022275</v>
      </c>
      <c r="EO10">
        <f t="shared" si="2"/>
        <v>0.74048144390022275</v>
      </c>
      <c r="EP10">
        <f t="shared" si="2"/>
        <v>0.74048144390022275</v>
      </c>
      <c r="EQ10">
        <f t="shared" si="2"/>
        <v>0.74048144390022275</v>
      </c>
      <c r="ER10">
        <f t="shared" si="2"/>
        <v>0.74048144390022275</v>
      </c>
      <c r="ES10">
        <f t="shared" si="2"/>
        <v>0.74048144390022275</v>
      </c>
      <c r="ET10">
        <f t="shared" si="2"/>
        <v>0.74048144390022275</v>
      </c>
      <c r="EU10">
        <f t="shared" si="2"/>
        <v>0.74048144390022275</v>
      </c>
      <c r="EV10">
        <f t="shared" si="2"/>
        <v>0.74048144390022275</v>
      </c>
      <c r="EW10">
        <f t="shared" si="2"/>
        <v>0.74048144390022275</v>
      </c>
      <c r="EX10">
        <f t="shared" si="2"/>
        <v>0.74048144390022275</v>
      </c>
      <c r="EY10">
        <f t="shared" si="2"/>
        <v>0.74048144390022275</v>
      </c>
      <c r="EZ10">
        <f t="shared" si="2"/>
        <v>0.74048144390022275</v>
      </c>
      <c r="FA10">
        <f t="shared" si="2"/>
        <v>0.74048144390022275</v>
      </c>
      <c r="FB10">
        <f t="shared" si="2"/>
        <v>0.74048144390022275</v>
      </c>
      <c r="FC10">
        <f t="shared" si="2"/>
        <v>0.74048144390022275</v>
      </c>
      <c r="FD10">
        <f t="shared" si="2"/>
        <v>0.74048144390022275</v>
      </c>
      <c r="FE10">
        <f t="shared" si="2"/>
        <v>0.74048144390022275</v>
      </c>
      <c r="FF10">
        <f t="shared" si="2"/>
        <v>0.74048144390022275</v>
      </c>
      <c r="FG10">
        <f t="shared" si="2"/>
        <v>0.74048144390022275</v>
      </c>
      <c r="FH10">
        <f t="shared" si="2"/>
        <v>0.74048144390022275</v>
      </c>
      <c r="FI10">
        <f t="shared" si="2"/>
        <v>0.74048144390022275</v>
      </c>
      <c r="FJ10">
        <f t="shared" si="2"/>
        <v>0.74048144390022275</v>
      </c>
      <c r="FK10">
        <f t="shared" si="2"/>
        <v>0.74048144390022275</v>
      </c>
      <c r="FL10">
        <f t="shared" si="2"/>
        <v>0.74048144390022275</v>
      </c>
      <c r="FM10">
        <f t="shared" si="2"/>
        <v>0.74048144390022275</v>
      </c>
      <c r="FN10">
        <f t="shared" si="2"/>
        <v>0.74048144390022275</v>
      </c>
      <c r="FO10">
        <f t="shared" si="2"/>
        <v>0.74048144390022275</v>
      </c>
      <c r="FP10">
        <f t="shared" si="2"/>
        <v>0.74048144390022275</v>
      </c>
      <c r="FQ10">
        <f t="shared" si="2"/>
        <v>0.74048144390022275</v>
      </c>
      <c r="FR10">
        <f t="shared" si="2"/>
        <v>0.74048144390022275</v>
      </c>
      <c r="FS10">
        <f t="shared" si="2"/>
        <v>0.74048144390022275</v>
      </c>
      <c r="FT10">
        <f t="shared" si="2"/>
        <v>0.74048144390022275</v>
      </c>
      <c r="FU10">
        <f t="shared" si="2"/>
        <v>0.74048144390022275</v>
      </c>
      <c r="FV10">
        <f t="shared" si="2"/>
        <v>0.74048144390022275</v>
      </c>
      <c r="FW10">
        <f t="shared" si="2"/>
        <v>0.74048144390022275</v>
      </c>
      <c r="FX10">
        <f t="shared" si="2"/>
        <v>0.74048144390022275</v>
      </c>
      <c r="FY10">
        <f t="shared" si="2"/>
        <v>0.74048144390022275</v>
      </c>
      <c r="FZ10">
        <f t="shared" si="2"/>
        <v>0.74048144390022275</v>
      </c>
      <c r="GA10">
        <f t="shared" si="2"/>
        <v>0.74048144390022275</v>
      </c>
      <c r="GB10">
        <f t="shared" si="2"/>
        <v>0.74048144390022275</v>
      </c>
      <c r="GC10">
        <f t="shared" si="2"/>
        <v>0.74048144390022275</v>
      </c>
      <c r="GD10">
        <f t="shared" si="2"/>
        <v>0.74048144390022275</v>
      </c>
      <c r="GE10">
        <f t="shared" si="2"/>
        <v>0.74048144390022275</v>
      </c>
      <c r="GF10">
        <f t="shared" si="2"/>
        <v>0.74048144390022275</v>
      </c>
      <c r="GG10">
        <f t="shared" si="2"/>
        <v>0.74048144390022275</v>
      </c>
      <c r="GH10">
        <f t="shared" si="2"/>
        <v>0.74048144390022275</v>
      </c>
      <c r="GI10">
        <f t="shared" si="2"/>
        <v>0.74048144390022275</v>
      </c>
      <c r="GJ10">
        <f t="shared" si="2"/>
        <v>0.74048144390022275</v>
      </c>
      <c r="GK10">
        <f t="shared" si="2"/>
        <v>0.74048144390022275</v>
      </c>
      <c r="GL10">
        <f t="shared" si="2"/>
        <v>0.74048144390022275</v>
      </c>
      <c r="GM10">
        <f t="shared" ref="GM10:IX10" si="3">$B$10</f>
        <v>0.74048144390022275</v>
      </c>
      <c r="GN10">
        <f t="shared" si="3"/>
        <v>0.74048144390022275</v>
      </c>
      <c r="GO10">
        <f t="shared" si="3"/>
        <v>0.74048144390022275</v>
      </c>
      <c r="GP10">
        <f t="shared" si="3"/>
        <v>0.74048144390022275</v>
      </c>
      <c r="GQ10">
        <f t="shared" si="3"/>
        <v>0.74048144390022275</v>
      </c>
      <c r="GR10">
        <f t="shared" si="3"/>
        <v>0.74048144390022275</v>
      </c>
      <c r="GS10">
        <f t="shared" si="3"/>
        <v>0.74048144390022275</v>
      </c>
      <c r="GT10">
        <f t="shared" si="3"/>
        <v>0.74048144390022275</v>
      </c>
      <c r="GU10">
        <f t="shared" si="3"/>
        <v>0.74048144390022275</v>
      </c>
      <c r="GV10">
        <f t="shared" si="3"/>
        <v>0.74048144390022275</v>
      </c>
      <c r="GW10">
        <f t="shared" si="3"/>
        <v>0.74048144390022275</v>
      </c>
      <c r="GX10">
        <f t="shared" si="3"/>
        <v>0.74048144390022275</v>
      </c>
      <c r="GY10">
        <f t="shared" si="3"/>
        <v>0.74048144390022275</v>
      </c>
      <c r="GZ10">
        <f t="shared" si="3"/>
        <v>0.74048144390022275</v>
      </c>
      <c r="HA10">
        <f t="shared" si="3"/>
        <v>0.74048144390022275</v>
      </c>
      <c r="HB10">
        <f t="shared" si="3"/>
        <v>0.74048144390022275</v>
      </c>
      <c r="HC10">
        <f t="shared" si="3"/>
        <v>0.74048144390022275</v>
      </c>
      <c r="HD10">
        <f t="shared" si="3"/>
        <v>0.74048144390022275</v>
      </c>
      <c r="HE10">
        <f t="shared" si="3"/>
        <v>0.74048144390022275</v>
      </c>
      <c r="HF10">
        <f t="shared" si="3"/>
        <v>0.74048144390022275</v>
      </c>
      <c r="HG10">
        <f t="shared" si="3"/>
        <v>0.74048144390022275</v>
      </c>
      <c r="HH10">
        <f t="shared" si="3"/>
        <v>0.74048144390022275</v>
      </c>
      <c r="HI10">
        <f t="shared" si="3"/>
        <v>0.74048144390022275</v>
      </c>
      <c r="HJ10">
        <f t="shared" si="3"/>
        <v>0.74048144390022275</v>
      </c>
      <c r="HK10">
        <f t="shared" si="3"/>
        <v>0.74048144390022275</v>
      </c>
      <c r="HL10">
        <f t="shared" si="3"/>
        <v>0.74048144390022275</v>
      </c>
      <c r="HM10">
        <f t="shared" si="3"/>
        <v>0.74048144390022275</v>
      </c>
      <c r="HN10">
        <f t="shared" si="3"/>
        <v>0.74048144390022275</v>
      </c>
      <c r="HO10">
        <f t="shared" si="3"/>
        <v>0.74048144390022275</v>
      </c>
      <c r="HP10">
        <f t="shared" si="3"/>
        <v>0.74048144390022275</v>
      </c>
      <c r="HQ10">
        <f t="shared" si="3"/>
        <v>0.74048144390022275</v>
      </c>
      <c r="HR10">
        <f t="shared" si="3"/>
        <v>0.74048144390022275</v>
      </c>
      <c r="HS10">
        <f t="shared" si="3"/>
        <v>0.74048144390022275</v>
      </c>
      <c r="HT10">
        <f t="shared" si="3"/>
        <v>0.74048144390022275</v>
      </c>
      <c r="HU10">
        <f t="shared" si="3"/>
        <v>0.74048144390022275</v>
      </c>
      <c r="HV10">
        <f t="shared" si="3"/>
        <v>0.74048144390022275</v>
      </c>
      <c r="HW10">
        <f t="shared" si="3"/>
        <v>0.74048144390022275</v>
      </c>
      <c r="HX10">
        <f t="shared" si="3"/>
        <v>0.74048144390022275</v>
      </c>
      <c r="HY10">
        <f t="shared" si="3"/>
        <v>0.74048144390022275</v>
      </c>
      <c r="HZ10">
        <f t="shared" si="3"/>
        <v>0.74048144390022275</v>
      </c>
      <c r="IA10">
        <f t="shared" si="3"/>
        <v>0.74048144390022275</v>
      </c>
      <c r="IB10">
        <f t="shared" si="3"/>
        <v>0.74048144390022275</v>
      </c>
      <c r="IC10">
        <f t="shared" si="3"/>
        <v>0.74048144390022275</v>
      </c>
      <c r="ID10">
        <f t="shared" si="3"/>
        <v>0.74048144390022275</v>
      </c>
      <c r="IE10">
        <f t="shared" si="3"/>
        <v>0.74048144390022275</v>
      </c>
      <c r="IF10">
        <f t="shared" si="3"/>
        <v>0.74048144390022275</v>
      </c>
      <c r="IG10">
        <f t="shared" si="3"/>
        <v>0.74048144390022275</v>
      </c>
      <c r="IH10">
        <f t="shared" si="3"/>
        <v>0.74048144390022275</v>
      </c>
      <c r="II10">
        <f t="shared" si="3"/>
        <v>0.74048144390022275</v>
      </c>
      <c r="IJ10">
        <f t="shared" si="3"/>
        <v>0.74048144390022275</v>
      </c>
      <c r="IK10">
        <f t="shared" si="3"/>
        <v>0.74048144390022275</v>
      </c>
      <c r="IL10">
        <f t="shared" si="3"/>
        <v>0.74048144390022275</v>
      </c>
      <c r="IM10">
        <f t="shared" si="3"/>
        <v>0.74048144390022275</v>
      </c>
      <c r="IN10">
        <f t="shared" si="3"/>
        <v>0.74048144390022275</v>
      </c>
      <c r="IO10">
        <f t="shared" si="3"/>
        <v>0.74048144390022275</v>
      </c>
      <c r="IP10">
        <f t="shared" si="3"/>
        <v>0.74048144390022275</v>
      </c>
      <c r="IQ10">
        <f t="shared" si="3"/>
        <v>0.74048144390022275</v>
      </c>
      <c r="IR10">
        <f t="shared" si="3"/>
        <v>0.74048144390022275</v>
      </c>
      <c r="IS10">
        <f t="shared" si="3"/>
        <v>0.74048144390022275</v>
      </c>
      <c r="IT10">
        <f t="shared" si="3"/>
        <v>0.74048144390022275</v>
      </c>
      <c r="IU10">
        <f t="shared" si="3"/>
        <v>0.74048144390022275</v>
      </c>
      <c r="IV10">
        <f t="shared" si="3"/>
        <v>0.74048144390022275</v>
      </c>
      <c r="IW10">
        <f t="shared" si="3"/>
        <v>0.74048144390022275</v>
      </c>
      <c r="IX10">
        <f t="shared" si="3"/>
        <v>0.74048144390022275</v>
      </c>
      <c r="IY10">
        <f t="shared" ref="IY10:LJ10" si="4">$B$10</f>
        <v>0.74048144390022275</v>
      </c>
      <c r="IZ10">
        <f t="shared" si="4"/>
        <v>0.74048144390022275</v>
      </c>
      <c r="JA10">
        <f t="shared" si="4"/>
        <v>0.74048144390022275</v>
      </c>
      <c r="JB10">
        <f t="shared" si="4"/>
        <v>0.74048144390022275</v>
      </c>
      <c r="JC10">
        <f t="shared" si="4"/>
        <v>0.74048144390022275</v>
      </c>
      <c r="JD10">
        <f t="shared" si="4"/>
        <v>0.74048144390022275</v>
      </c>
      <c r="JE10">
        <f t="shared" si="4"/>
        <v>0.74048144390022275</v>
      </c>
      <c r="JF10">
        <f t="shared" si="4"/>
        <v>0.74048144390022275</v>
      </c>
      <c r="JG10">
        <f t="shared" si="4"/>
        <v>0.74048144390022275</v>
      </c>
      <c r="JH10">
        <f t="shared" si="4"/>
        <v>0.74048144390022275</v>
      </c>
      <c r="JI10">
        <f t="shared" si="4"/>
        <v>0.74048144390022275</v>
      </c>
      <c r="JJ10">
        <f t="shared" si="4"/>
        <v>0.74048144390022275</v>
      </c>
      <c r="JK10">
        <f t="shared" si="4"/>
        <v>0.74048144390022275</v>
      </c>
      <c r="JL10">
        <f t="shared" si="4"/>
        <v>0.74048144390022275</v>
      </c>
      <c r="JM10">
        <f t="shared" si="4"/>
        <v>0.74048144390022275</v>
      </c>
      <c r="JN10">
        <f t="shared" si="4"/>
        <v>0.74048144390022275</v>
      </c>
      <c r="JO10">
        <f t="shared" si="4"/>
        <v>0.74048144390022275</v>
      </c>
      <c r="JP10">
        <f t="shared" si="4"/>
        <v>0.74048144390022275</v>
      </c>
      <c r="JQ10">
        <f t="shared" si="4"/>
        <v>0.74048144390022275</v>
      </c>
      <c r="JR10">
        <f t="shared" si="4"/>
        <v>0.74048144390022275</v>
      </c>
      <c r="JS10">
        <f t="shared" si="4"/>
        <v>0.74048144390022275</v>
      </c>
      <c r="JT10">
        <f t="shared" si="4"/>
        <v>0.74048144390022275</v>
      </c>
      <c r="JU10">
        <f t="shared" si="4"/>
        <v>0.74048144390022275</v>
      </c>
      <c r="JV10">
        <f t="shared" si="4"/>
        <v>0.74048144390022275</v>
      </c>
      <c r="JW10">
        <f t="shared" si="4"/>
        <v>0.74048144390022275</v>
      </c>
      <c r="JX10">
        <f t="shared" si="4"/>
        <v>0.74048144390022275</v>
      </c>
      <c r="JY10">
        <f t="shared" si="4"/>
        <v>0.74048144390022275</v>
      </c>
      <c r="JZ10">
        <f t="shared" si="4"/>
        <v>0.74048144390022275</v>
      </c>
      <c r="KA10">
        <f t="shared" si="4"/>
        <v>0.74048144390022275</v>
      </c>
      <c r="KB10">
        <f t="shared" si="4"/>
        <v>0.74048144390022275</v>
      </c>
      <c r="KC10">
        <f t="shared" si="4"/>
        <v>0.74048144390022275</v>
      </c>
      <c r="KD10">
        <f t="shared" si="4"/>
        <v>0.74048144390022275</v>
      </c>
      <c r="KE10">
        <f t="shared" si="4"/>
        <v>0.74048144390022275</v>
      </c>
      <c r="KF10">
        <f t="shared" si="4"/>
        <v>0.74048144390022275</v>
      </c>
      <c r="KG10">
        <f t="shared" si="4"/>
        <v>0.74048144390022275</v>
      </c>
      <c r="KH10">
        <f t="shared" si="4"/>
        <v>0.74048144390022275</v>
      </c>
      <c r="KI10">
        <f t="shared" si="4"/>
        <v>0.74048144390022275</v>
      </c>
      <c r="KJ10">
        <f t="shared" si="4"/>
        <v>0.74048144390022275</v>
      </c>
      <c r="KK10">
        <f t="shared" si="4"/>
        <v>0.74048144390022275</v>
      </c>
      <c r="KL10">
        <f t="shared" si="4"/>
        <v>0.74048144390022275</v>
      </c>
      <c r="KM10">
        <f t="shared" si="4"/>
        <v>0.74048144390022275</v>
      </c>
      <c r="KN10">
        <f t="shared" si="4"/>
        <v>0.74048144390022275</v>
      </c>
      <c r="KO10">
        <f t="shared" si="4"/>
        <v>0.74048144390022275</v>
      </c>
      <c r="KP10">
        <f t="shared" si="4"/>
        <v>0.74048144390022275</v>
      </c>
      <c r="KQ10">
        <f t="shared" si="4"/>
        <v>0.74048144390022275</v>
      </c>
      <c r="KR10">
        <f t="shared" si="4"/>
        <v>0.74048144390022275</v>
      </c>
      <c r="KS10">
        <f t="shared" si="4"/>
        <v>0.74048144390022275</v>
      </c>
      <c r="KT10">
        <f t="shared" si="4"/>
        <v>0.74048144390022275</v>
      </c>
      <c r="KU10">
        <f t="shared" si="4"/>
        <v>0.74048144390022275</v>
      </c>
      <c r="KV10">
        <f t="shared" si="4"/>
        <v>0.74048144390022275</v>
      </c>
      <c r="KW10">
        <f t="shared" si="4"/>
        <v>0.74048144390022275</v>
      </c>
      <c r="KX10">
        <f t="shared" si="4"/>
        <v>0.74048144390022275</v>
      </c>
      <c r="KY10">
        <f t="shared" si="4"/>
        <v>0.74048144390022275</v>
      </c>
      <c r="KZ10">
        <f t="shared" si="4"/>
        <v>0.74048144390022275</v>
      </c>
      <c r="LA10">
        <f t="shared" si="4"/>
        <v>0.74048144390022275</v>
      </c>
      <c r="LB10">
        <f t="shared" si="4"/>
        <v>0.74048144390022275</v>
      </c>
      <c r="LC10">
        <f t="shared" si="4"/>
        <v>0.74048144390022275</v>
      </c>
      <c r="LD10">
        <f t="shared" si="4"/>
        <v>0.74048144390022275</v>
      </c>
      <c r="LE10">
        <f t="shared" si="4"/>
        <v>0.74048144390022275</v>
      </c>
      <c r="LF10">
        <f t="shared" si="4"/>
        <v>0.74048144390022275</v>
      </c>
      <c r="LG10">
        <f t="shared" si="4"/>
        <v>0.74048144390022275</v>
      </c>
      <c r="LH10">
        <f t="shared" si="4"/>
        <v>0.74048144390022275</v>
      </c>
      <c r="LI10">
        <f t="shared" si="4"/>
        <v>0.74048144390022275</v>
      </c>
      <c r="LJ10">
        <f t="shared" si="4"/>
        <v>0.74048144390022275</v>
      </c>
      <c r="LK10">
        <f t="shared" ref="LK10:NB10" si="5">$B$10</f>
        <v>0.74048144390022275</v>
      </c>
      <c r="LL10">
        <f t="shared" si="5"/>
        <v>0.74048144390022275</v>
      </c>
      <c r="LM10">
        <f t="shared" si="5"/>
        <v>0.74048144390022275</v>
      </c>
      <c r="LN10">
        <f t="shared" si="5"/>
        <v>0.74048144390022275</v>
      </c>
      <c r="LO10">
        <f t="shared" si="5"/>
        <v>0.74048144390022275</v>
      </c>
      <c r="LP10">
        <f t="shared" si="5"/>
        <v>0.74048144390022275</v>
      </c>
      <c r="LQ10">
        <f t="shared" si="5"/>
        <v>0.74048144390022275</v>
      </c>
      <c r="LR10">
        <f t="shared" si="5"/>
        <v>0.74048144390022275</v>
      </c>
      <c r="LS10">
        <f t="shared" si="5"/>
        <v>0.74048144390022275</v>
      </c>
      <c r="LT10">
        <f t="shared" si="5"/>
        <v>0.74048144390022275</v>
      </c>
      <c r="LU10">
        <f t="shared" si="5"/>
        <v>0.74048144390022275</v>
      </c>
      <c r="LV10">
        <f t="shared" si="5"/>
        <v>0.74048144390022275</v>
      </c>
      <c r="LW10">
        <f t="shared" si="5"/>
        <v>0.74048144390022275</v>
      </c>
      <c r="LX10">
        <f t="shared" si="5"/>
        <v>0.74048144390022275</v>
      </c>
      <c r="LY10">
        <f t="shared" si="5"/>
        <v>0.74048144390022275</v>
      </c>
      <c r="LZ10">
        <f t="shared" si="5"/>
        <v>0.74048144390022275</v>
      </c>
      <c r="MA10">
        <f t="shared" si="5"/>
        <v>0.74048144390022275</v>
      </c>
      <c r="MB10">
        <f t="shared" si="5"/>
        <v>0.74048144390022275</v>
      </c>
      <c r="MC10">
        <f t="shared" si="5"/>
        <v>0.74048144390022275</v>
      </c>
      <c r="MD10">
        <f t="shared" si="5"/>
        <v>0.74048144390022275</v>
      </c>
      <c r="ME10">
        <f t="shared" si="5"/>
        <v>0.74048144390022275</v>
      </c>
      <c r="MF10">
        <f t="shared" si="5"/>
        <v>0.74048144390022275</v>
      </c>
      <c r="MG10">
        <f t="shared" si="5"/>
        <v>0.74048144390022275</v>
      </c>
      <c r="MH10">
        <f t="shared" si="5"/>
        <v>0.74048144390022275</v>
      </c>
      <c r="MI10">
        <f t="shared" si="5"/>
        <v>0.74048144390022275</v>
      </c>
      <c r="MJ10">
        <f t="shared" si="5"/>
        <v>0.74048144390022275</v>
      </c>
      <c r="MK10">
        <f t="shared" si="5"/>
        <v>0.74048144390022275</v>
      </c>
      <c r="ML10">
        <f t="shared" si="5"/>
        <v>0.74048144390022275</v>
      </c>
      <c r="MM10">
        <f t="shared" si="5"/>
        <v>0.74048144390022275</v>
      </c>
      <c r="MN10">
        <f t="shared" si="5"/>
        <v>0.74048144390022275</v>
      </c>
      <c r="MO10">
        <f t="shared" si="5"/>
        <v>0.74048144390022275</v>
      </c>
      <c r="MP10">
        <f t="shared" si="5"/>
        <v>0.74048144390022275</v>
      </c>
      <c r="MQ10">
        <f t="shared" si="5"/>
        <v>0.74048144390022275</v>
      </c>
      <c r="MR10">
        <f t="shared" si="5"/>
        <v>0.74048144390022275</v>
      </c>
      <c r="MS10">
        <f t="shared" si="5"/>
        <v>0.74048144390022275</v>
      </c>
      <c r="MT10">
        <f t="shared" si="5"/>
        <v>0.74048144390022275</v>
      </c>
      <c r="MU10">
        <f t="shared" si="5"/>
        <v>0.74048144390022275</v>
      </c>
      <c r="MV10">
        <f t="shared" si="5"/>
        <v>0.74048144390022275</v>
      </c>
      <c r="MW10">
        <f t="shared" si="5"/>
        <v>0.74048144390022275</v>
      </c>
      <c r="MX10">
        <f t="shared" si="5"/>
        <v>0.74048144390022275</v>
      </c>
      <c r="MY10">
        <f t="shared" si="5"/>
        <v>0.74048144390022275</v>
      </c>
      <c r="MZ10">
        <f t="shared" si="5"/>
        <v>0.74048144390022275</v>
      </c>
      <c r="NA10">
        <f t="shared" si="5"/>
        <v>0.74048144390022275</v>
      </c>
      <c r="NB10">
        <f t="shared" si="5"/>
        <v>0.74048144390022275</v>
      </c>
    </row>
    <row r="11" spans="1:366" x14ac:dyDescent="0.45">
      <c r="B11" s="127">
        <v>1</v>
      </c>
      <c r="C11" s="127">
        <v>2</v>
      </c>
      <c r="D11" s="127">
        <v>3</v>
      </c>
      <c r="E11" s="127">
        <v>4</v>
      </c>
      <c r="F11" s="127">
        <v>5</v>
      </c>
      <c r="G11" s="127">
        <v>6</v>
      </c>
      <c r="H11" s="127">
        <v>7</v>
      </c>
      <c r="I11" s="127">
        <v>8</v>
      </c>
      <c r="J11" s="127">
        <v>9</v>
      </c>
      <c r="K11" s="127">
        <v>10</v>
      </c>
      <c r="L11" s="127">
        <v>11</v>
      </c>
      <c r="M11" s="127">
        <v>12</v>
      </c>
      <c r="N11" s="127">
        <v>13</v>
      </c>
      <c r="O11" s="127">
        <v>14</v>
      </c>
      <c r="P11" s="127">
        <v>15</v>
      </c>
      <c r="Q11" s="127">
        <v>16</v>
      </c>
      <c r="R11" s="127">
        <v>17</v>
      </c>
      <c r="S11" s="127">
        <v>18</v>
      </c>
      <c r="T11" s="127">
        <v>19</v>
      </c>
      <c r="U11" s="127">
        <v>20</v>
      </c>
      <c r="V11" s="127">
        <v>21</v>
      </c>
      <c r="W11" s="127">
        <v>22</v>
      </c>
      <c r="X11" s="127">
        <v>23</v>
      </c>
      <c r="Y11" s="127">
        <v>24</v>
      </c>
      <c r="Z11" s="127">
        <v>25</v>
      </c>
      <c r="AA11" s="127">
        <v>26</v>
      </c>
      <c r="AB11" s="127">
        <v>27</v>
      </c>
      <c r="AC11" s="127">
        <v>28</v>
      </c>
      <c r="AD11" s="127">
        <v>29</v>
      </c>
      <c r="AE11" s="127">
        <v>30</v>
      </c>
      <c r="AF11" s="127">
        <v>31</v>
      </c>
      <c r="AG11" s="127">
        <v>32</v>
      </c>
      <c r="AH11" s="127">
        <v>33</v>
      </c>
      <c r="AI11" s="127">
        <v>34</v>
      </c>
      <c r="AJ11" s="127">
        <v>35</v>
      </c>
      <c r="AK11" s="127">
        <v>36</v>
      </c>
      <c r="AL11" s="127">
        <v>37</v>
      </c>
      <c r="AM11" s="127">
        <v>38</v>
      </c>
      <c r="AN11" s="127">
        <v>39</v>
      </c>
      <c r="AO11" s="127">
        <v>40</v>
      </c>
      <c r="AP11" s="127">
        <v>41</v>
      </c>
      <c r="AQ11" s="127">
        <v>42</v>
      </c>
      <c r="AR11" s="127">
        <v>43</v>
      </c>
      <c r="AS11" s="127">
        <v>44</v>
      </c>
      <c r="AT11" s="127">
        <v>45</v>
      </c>
      <c r="AU11" s="127">
        <v>46</v>
      </c>
      <c r="AV11" s="127">
        <v>47</v>
      </c>
      <c r="AW11" s="127">
        <v>48</v>
      </c>
      <c r="AX11" s="127">
        <v>49</v>
      </c>
      <c r="AY11" s="127">
        <v>50</v>
      </c>
      <c r="AZ11" s="127">
        <v>51</v>
      </c>
      <c r="BA11" s="127">
        <v>52</v>
      </c>
      <c r="BB11" s="127">
        <v>53</v>
      </c>
      <c r="BC11" s="127">
        <v>54</v>
      </c>
      <c r="BD11" s="127">
        <v>55</v>
      </c>
      <c r="BE11" s="127">
        <v>56</v>
      </c>
      <c r="BF11" s="127">
        <v>57</v>
      </c>
      <c r="BG11" s="127">
        <v>58</v>
      </c>
      <c r="BH11" s="127">
        <v>59</v>
      </c>
      <c r="BI11" s="127">
        <v>60</v>
      </c>
      <c r="BJ11" s="127">
        <v>61</v>
      </c>
      <c r="BK11" s="127">
        <v>62</v>
      </c>
      <c r="BL11" s="127">
        <v>63</v>
      </c>
      <c r="BM11" s="127">
        <v>64</v>
      </c>
      <c r="BN11" s="127">
        <v>65</v>
      </c>
      <c r="BO11" s="127">
        <v>66</v>
      </c>
      <c r="BP11" s="127">
        <v>67</v>
      </c>
      <c r="BQ11" s="127">
        <v>68</v>
      </c>
      <c r="BR11" s="127">
        <v>69</v>
      </c>
      <c r="BS11" s="127">
        <v>70</v>
      </c>
      <c r="BT11" s="127">
        <v>71</v>
      </c>
      <c r="BU11" s="127">
        <v>72</v>
      </c>
      <c r="BV11" s="127">
        <v>73</v>
      </c>
      <c r="BW11" s="127">
        <v>74</v>
      </c>
      <c r="BX11" s="127">
        <v>75</v>
      </c>
      <c r="BY11" s="127">
        <v>76</v>
      </c>
      <c r="BZ11" s="127">
        <v>77</v>
      </c>
      <c r="CA11" s="127">
        <v>78</v>
      </c>
      <c r="CB11" s="127">
        <v>79</v>
      </c>
      <c r="CC11" s="127">
        <v>80</v>
      </c>
      <c r="CD11" s="127">
        <v>81</v>
      </c>
      <c r="CE11" s="127">
        <v>82</v>
      </c>
      <c r="CF11" s="127">
        <v>83</v>
      </c>
      <c r="CG11" s="127">
        <v>84</v>
      </c>
      <c r="CH11" s="127">
        <v>85</v>
      </c>
      <c r="CI11" s="127">
        <v>86</v>
      </c>
      <c r="CJ11" s="127">
        <v>87</v>
      </c>
      <c r="CK11" s="127">
        <v>88</v>
      </c>
      <c r="CL11" s="127">
        <v>89</v>
      </c>
      <c r="CM11" s="127">
        <v>90</v>
      </c>
      <c r="CN11" s="127">
        <v>91</v>
      </c>
      <c r="CO11" s="127">
        <v>92</v>
      </c>
      <c r="CP11" s="127">
        <v>93</v>
      </c>
      <c r="CQ11" s="127">
        <v>94</v>
      </c>
      <c r="CR11" s="127">
        <v>95</v>
      </c>
      <c r="CS11" s="127">
        <v>96</v>
      </c>
      <c r="CT11" s="127">
        <v>97</v>
      </c>
      <c r="CU11" s="127">
        <v>98</v>
      </c>
      <c r="CV11" s="127">
        <v>99</v>
      </c>
      <c r="CW11" s="127">
        <v>100</v>
      </c>
      <c r="CX11" s="127">
        <v>101</v>
      </c>
      <c r="CY11" s="127">
        <v>102</v>
      </c>
      <c r="CZ11" s="127">
        <v>103</v>
      </c>
      <c r="DA11" s="127">
        <v>104</v>
      </c>
      <c r="DB11" s="127">
        <v>105</v>
      </c>
      <c r="DC11" s="127">
        <v>106</v>
      </c>
      <c r="DD11" s="127">
        <v>107</v>
      </c>
      <c r="DE11" s="127">
        <v>108</v>
      </c>
      <c r="DF11" s="127">
        <v>109</v>
      </c>
      <c r="DG11" s="127">
        <v>110</v>
      </c>
      <c r="DH11" s="127">
        <v>111</v>
      </c>
      <c r="DI11" s="127">
        <v>112</v>
      </c>
      <c r="DJ11" s="127">
        <v>113</v>
      </c>
      <c r="DK11" s="127">
        <v>114</v>
      </c>
      <c r="DL11" s="127">
        <v>115</v>
      </c>
      <c r="DM11" s="127">
        <v>116</v>
      </c>
      <c r="DN11" s="127">
        <v>117</v>
      </c>
      <c r="DO11" s="127">
        <v>118</v>
      </c>
      <c r="DP11" s="127">
        <v>119</v>
      </c>
      <c r="DQ11" s="127">
        <v>120</v>
      </c>
      <c r="DR11" s="127">
        <v>121</v>
      </c>
      <c r="DS11" s="127">
        <v>122</v>
      </c>
      <c r="DT11" s="127">
        <v>123</v>
      </c>
      <c r="DU11" s="127">
        <v>124</v>
      </c>
      <c r="DV11" s="127">
        <v>125</v>
      </c>
      <c r="DW11" s="127">
        <v>126</v>
      </c>
      <c r="DX11" s="127">
        <v>127</v>
      </c>
      <c r="DY11" s="127">
        <v>128</v>
      </c>
      <c r="DZ11" s="127">
        <v>129</v>
      </c>
      <c r="EA11" s="127">
        <v>130</v>
      </c>
      <c r="EB11" s="127">
        <v>131</v>
      </c>
      <c r="EC11" s="127">
        <v>132</v>
      </c>
      <c r="ED11" s="127">
        <v>133</v>
      </c>
      <c r="EE11" s="127">
        <v>134</v>
      </c>
      <c r="EF11" s="127">
        <v>135</v>
      </c>
      <c r="EG11" s="127">
        <v>136</v>
      </c>
      <c r="EH11" s="127">
        <v>137</v>
      </c>
      <c r="EI11" s="127">
        <v>138</v>
      </c>
      <c r="EJ11" s="127">
        <v>139</v>
      </c>
      <c r="EK11" s="127">
        <v>140</v>
      </c>
      <c r="EL11" s="127">
        <v>141</v>
      </c>
      <c r="EM11" s="127">
        <v>142</v>
      </c>
      <c r="EN11" s="127">
        <v>143</v>
      </c>
      <c r="EO11" s="127">
        <v>144</v>
      </c>
      <c r="EP11" s="127">
        <v>145</v>
      </c>
      <c r="EQ11" s="127">
        <v>146</v>
      </c>
      <c r="ER11" s="127">
        <v>147</v>
      </c>
      <c r="ES11" s="127">
        <v>148</v>
      </c>
      <c r="ET11" s="127">
        <v>149</v>
      </c>
      <c r="EU11" s="127">
        <v>150</v>
      </c>
      <c r="EV11" s="127">
        <v>151</v>
      </c>
      <c r="EW11" s="127">
        <v>152</v>
      </c>
      <c r="EX11" s="127">
        <v>153</v>
      </c>
      <c r="EY11" s="127">
        <v>154</v>
      </c>
      <c r="EZ11" s="127">
        <v>155</v>
      </c>
      <c r="FA11" s="127">
        <v>156</v>
      </c>
      <c r="FB11" s="127">
        <v>157</v>
      </c>
      <c r="FC11" s="127">
        <v>158</v>
      </c>
      <c r="FD11" s="127">
        <v>159</v>
      </c>
      <c r="FE11" s="127">
        <v>160</v>
      </c>
      <c r="FF11" s="127">
        <v>161</v>
      </c>
      <c r="FG11" s="127">
        <v>162</v>
      </c>
      <c r="FH11" s="127">
        <v>163</v>
      </c>
      <c r="FI11" s="127">
        <v>164</v>
      </c>
      <c r="FJ11" s="127">
        <v>165</v>
      </c>
      <c r="FK11" s="127">
        <v>166</v>
      </c>
      <c r="FL11" s="127">
        <v>167</v>
      </c>
      <c r="FM11" s="127">
        <v>168</v>
      </c>
      <c r="FN11" s="127">
        <v>169</v>
      </c>
      <c r="FO11" s="127">
        <v>170</v>
      </c>
      <c r="FP11" s="127">
        <v>171</v>
      </c>
      <c r="FQ11" s="127">
        <v>172</v>
      </c>
      <c r="FR11" s="127">
        <v>173</v>
      </c>
      <c r="FS11" s="127">
        <v>174</v>
      </c>
      <c r="FT11" s="127">
        <v>175</v>
      </c>
      <c r="FU11" s="127">
        <v>176</v>
      </c>
      <c r="FV11" s="127">
        <v>177</v>
      </c>
      <c r="FW11" s="127">
        <v>178</v>
      </c>
      <c r="FX11" s="127">
        <v>179</v>
      </c>
      <c r="FY11" s="127">
        <v>180</v>
      </c>
      <c r="FZ11" s="127">
        <v>181</v>
      </c>
      <c r="GA11" s="127">
        <v>182</v>
      </c>
      <c r="GB11" s="127">
        <v>183</v>
      </c>
      <c r="GC11" s="127">
        <v>184</v>
      </c>
      <c r="GD11" s="127">
        <v>185</v>
      </c>
      <c r="GE11" s="127">
        <v>186</v>
      </c>
      <c r="GF11" s="127">
        <v>187</v>
      </c>
      <c r="GG11" s="127">
        <v>188</v>
      </c>
      <c r="GH11" s="127">
        <v>189</v>
      </c>
      <c r="GI11" s="127">
        <v>190</v>
      </c>
      <c r="GJ11" s="127">
        <v>191</v>
      </c>
      <c r="GK11" s="127">
        <v>192</v>
      </c>
      <c r="GL11" s="127">
        <v>193</v>
      </c>
      <c r="GM11" s="127">
        <v>194</v>
      </c>
      <c r="GN11" s="127">
        <v>195</v>
      </c>
      <c r="GO11" s="127">
        <v>196</v>
      </c>
      <c r="GP11" s="127">
        <v>197</v>
      </c>
      <c r="GQ11" s="127">
        <v>198</v>
      </c>
      <c r="GR11" s="127">
        <v>199</v>
      </c>
      <c r="GS11" s="127">
        <v>200</v>
      </c>
      <c r="GT11" s="127">
        <v>201</v>
      </c>
      <c r="GU11" s="127">
        <v>202</v>
      </c>
      <c r="GV11" s="127">
        <v>203</v>
      </c>
      <c r="GW11" s="127">
        <v>204</v>
      </c>
      <c r="GX11" s="127">
        <v>205</v>
      </c>
      <c r="GY11" s="127">
        <v>206</v>
      </c>
      <c r="GZ11" s="127">
        <v>207</v>
      </c>
      <c r="HA11" s="127">
        <v>208</v>
      </c>
      <c r="HB11" s="127">
        <v>209</v>
      </c>
      <c r="HC11" s="127">
        <v>210</v>
      </c>
      <c r="HD11" s="127">
        <v>211</v>
      </c>
      <c r="HE11" s="127">
        <v>212</v>
      </c>
      <c r="HF11" s="127">
        <v>213</v>
      </c>
      <c r="HG11" s="127">
        <v>214</v>
      </c>
      <c r="HH11" s="127">
        <v>215</v>
      </c>
      <c r="HI11" s="127">
        <v>216</v>
      </c>
      <c r="HJ11" s="127">
        <v>217</v>
      </c>
      <c r="HK11" s="127">
        <v>218</v>
      </c>
      <c r="HL11" s="127">
        <v>219</v>
      </c>
      <c r="HM11" s="127">
        <v>220</v>
      </c>
      <c r="HN11" s="127">
        <v>221</v>
      </c>
      <c r="HO11" s="127">
        <v>222</v>
      </c>
      <c r="HP11" s="127">
        <v>223</v>
      </c>
      <c r="HQ11" s="127">
        <v>224</v>
      </c>
      <c r="HR11" s="127">
        <v>225</v>
      </c>
      <c r="HS11" s="127">
        <v>226</v>
      </c>
      <c r="HT11" s="127">
        <v>227</v>
      </c>
      <c r="HU11" s="127">
        <v>228</v>
      </c>
      <c r="HV11" s="127">
        <v>229</v>
      </c>
      <c r="HW11" s="127">
        <v>230</v>
      </c>
      <c r="HX11" s="127">
        <v>231</v>
      </c>
      <c r="HY11" s="127">
        <v>232</v>
      </c>
      <c r="HZ11" s="127">
        <v>233</v>
      </c>
      <c r="IA11" s="127">
        <v>234</v>
      </c>
      <c r="IB11" s="127">
        <v>235</v>
      </c>
      <c r="IC11" s="127">
        <v>236</v>
      </c>
      <c r="ID11" s="127">
        <v>237</v>
      </c>
      <c r="IE11" s="127">
        <v>238</v>
      </c>
      <c r="IF11" s="127">
        <v>239</v>
      </c>
      <c r="IG11" s="127">
        <v>240</v>
      </c>
      <c r="IH11" s="127">
        <v>241</v>
      </c>
      <c r="II11" s="127">
        <v>242</v>
      </c>
      <c r="IJ11" s="127">
        <v>243</v>
      </c>
      <c r="IK11" s="127">
        <v>244</v>
      </c>
      <c r="IL11" s="127">
        <v>245</v>
      </c>
      <c r="IM11" s="127">
        <v>246</v>
      </c>
      <c r="IN11" s="127">
        <v>247</v>
      </c>
      <c r="IO11" s="127">
        <v>248</v>
      </c>
      <c r="IP11" s="127">
        <v>249</v>
      </c>
      <c r="IQ11" s="127">
        <v>250</v>
      </c>
      <c r="IR11" s="127">
        <v>251</v>
      </c>
      <c r="IS11" s="127">
        <v>252</v>
      </c>
      <c r="IT11" s="127">
        <v>253</v>
      </c>
      <c r="IU11" s="127">
        <v>254</v>
      </c>
      <c r="IV11" s="127">
        <v>255</v>
      </c>
      <c r="IW11" s="127">
        <v>256</v>
      </c>
      <c r="IX11" s="127">
        <v>257</v>
      </c>
      <c r="IY11" s="127">
        <v>258</v>
      </c>
      <c r="IZ11" s="127">
        <v>259</v>
      </c>
      <c r="JA11" s="127">
        <v>260</v>
      </c>
      <c r="JB11" s="127">
        <v>261</v>
      </c>
      <c r="JC11" s="127">
        <v>262</v>
      </c>
      <c r="JD11" s="127">
        <v>263</v>
      </c>
      <c r="JE11" s="127">
        <v>264</v>
      </c>
      <c r="JF11" s="127">
        <v>265</v>
      </c>
      <c r="JG11" s="127">
        <v>266</v>
      </c>
      <c r="JH11" s="127">
        <v>267</v>
      </c>
      <c r="JI11" s="127">
        <v>268</v>
      </c>
      <c r="JJ11" s="127">
        <v>269</v>
      </c>
      <c r="JK11" s="127">
        <v>270</v>
      </c>
      <c r="JL11" s="127">
        <v>271</v>
      </c>
      <c r="JM11" s="127">
        <v>272</v>
      </c>
      <c r="JN11" s="127">
        <v>273</v>
      </c>
      <c r="JO11" s="127">
        <v>274</v>
      </c>
      <c r="JP11" s="127">
        <v>275</v>
      </c>
      <c r="JQ11" s="127">
        <v>276</v>
      </c>
      <c r="JR11" s="127">
        <v>277</v>
      </c>
      <c r="JS11" s="127">
        <v>278</v>
      </c>
      <c r="JT11" s="127">
        <v>279</v>
      </c>
      <c r="JU11" s="127">
        <v>280</v>
      </c>
      <c r="JV11" s="127">
        <v>281</v>
      </c>
      <c r="JW11" s="127">
        <v>282</v>
      </c>
      <c r="JX11" s="127">
        <v>283</v>
      </c>
      <c r="JY11" s="127">
        <v>284</v>
      </c>
      <c r="JZ11" s="127">
        <v>285</v>
      </c>
      <c r="KA11" s="127">
        <v>286</v>
      </c>
      <c r="KB11" s="127">
        <v>287</v>
      </c>
      <c r="KC11" s="127">
        <v>288</v>
      </c>
      <c r="KD11" s="127">
        <v>289</v>
      </c>
      <c r="KE11" s="127">
        <v>290</v>
      </c>
      <c r="KF11" s="127">
        <v>291</v>
      </c>
      <c r="KG11" s="127">
        <v>292</v>
      </c>
      <c r="KH11" s="127">
        <v>293</v>
      </c>
      <c r="KI11" s="127">
        <v>294</v>
      </c>
      <c r="KJ11" s="127">
        <v>295</v>
      </c>
      <c r="KK11" s="127">
        <v>296</v>
      </c>
      <c r="KL11" s="127">
        <v>297</v>
      </c>
      <c r="KM11" s="127">
        <v>298</v>
      </c>
      <c r="KN11" s="127">
        <v>299</v>
      </c>
      <c r="KO11" s="127">
        <v>300</v>
      </c>
      <c r="KP11" s="127">
        <v>301</v>
      </c>
      <c r="KQ11" s="127">
        <v>302</v>
      </c>
      <c r="KR11" s="127">
        <v>303</v>
      </c>
      <c r="KS11" s="127">
        <v>304</v>
      </c>
      <c r="KT11" s="127">
        <v>305</v>
      </c>
      <c r="KU11" s="127">
        <v>306</v>
      </c>
      <c r="KV11" s="127">
        <v>307</v>
      </c>
      <c r="KW11" s="127">
        <v>308</v>
      </c>
      <c r="KX11" s="127">
        <v>309</v>
      </c>
      <c r="KY11" s="127">
        <v>310</v>
      </c>
      <c r="KZ11" s="127">
        <v>311</v>
      </c>
      <c r="LA11" s="127">
        <v>312</v>
      </c>
      <c r="LB11" s="127">
        <v>313</v>
      </c>
      <c r="LC11" s="127">
        <v>314</v>
      </c>
      <c r="LD11" s="127">
        <v>315</v>
      </c>
      <c r="LE11" s="127">
        <v>316</v>
      </c>
      <c r="LF11" s="127">
        <v>317</v>
      </c>
      <c r="LG11" s="127">
        <v>318</v>
      </c>
      <c r="LH11" s="127">
        <v>319</v>
      </c>
      <c r="LI11" s="127">
        <v>320</v>
      </c>
      <c r="LJ11" s="127">
        <v>321</v>
      </c>
      <c r="LK11" s="127">
        <v>322</v>
      </c>
      <c r="LL11" s="127">
        <v>323</v>
      </c>
      <c r="LM11" s="127">
        <v>324</v>
      </c>
      <c r="LN11" s="127">
        <v>325</v>
      </c>
      <c r="LO11" s="127">
        <v>326</v>
      </c>
      <c r="LP11" s="127">
        <v>327</v>
      </c>
      <c r="LQ11" s="127">
        <v>328</v>
      </c>
      <c r="LR11" s="127">
        <v>329</v>
      </c>
      <c r="LS11" s="127">
        <v>330</v>
      </c>
      <c r="LT11" s="127">
        <v>331</v>
      </c>
      <c r="LU11" s="127">
        <v>332</v>
      </c>
      <c r="LV11" s="127">
        <v>333</v>
      </c>
      <c r="LW11" s="127">
        <v>334</v>
      </c>
      <c r="LX11" s="127">
        <v>335</v>
      </c>
      <c r="LY11" s="127">
        <v>336</v>
      </c>
      <c r="LZ11" s="127">
        <v>337</v>
      </c>
      <c r="MA11" s="127">
        <v>338</v>
      </c>
      <c r="MB11" s="127">
        <v>339</v>
      </c>
      <c r="MC11" s="127">
        <v>340</v>
      </c>
      <c r="MD11" s="127">
        <v>341</v>
      </c>
      <c r="ME11" s="127">
        <v>342</v>
      </c>
      <c r="MF11" s="127">
        <v>343</v>
      </c>
      <c r="MG11" s="127">
        <v>344</v>
      </c>
      <c r="MH11" s="127">
        <v>345</v>
      </c>
      <c r="MI11" s="127">
        <v>346</v>
      </c>
      <c r="MJ11" s="127">
        <v>347</v>
      </c>
      <c r="MK11" s="127">
        <v>348</v>
      </c>
      <c r="ML11" s="127">
        <v>349</v>
      </c>
      <c r="MM11" s="127">
        <v>350</v>
      </c>
      <c r="MN11" s="127">
        <v>351</v>
      </c>
      <c r="MO11" s="127">
        <v>352</v>
      </c>
      <c r="MP11" s="127">
        <v>353</v>
      </c>
      <c r="MQ11" s="127">
        <v>354</v>
      </c>
      <c r="MR11" s="127">
        <v>355</v>
      </c>
      <c r="MS11" s="127">
        <v>356</v>
      </c>
      <c r="MT11" s="127">
        <v>357</v>
      </c>
      <c r="MU11" s="127">
        <v>358</v>
      </c>
      <c r="MV11" s="127">
        <v>359</v>
      </c>
      <c r="MW11" s="127">
        <v>360</v>
      </c>
      <c r="MX11" s="127">
        <v>361</v>
      </c>
      <c r="MY11" s="127">
        <v>362</v>
      </c>
      <c r="MZ11" s="127">
        <v>363</v>
      </c>
      <c r="NA11" s="127">
        <v>364</v>
      </c>
      <c r="NB11" s="127">
        <v>365</v>
      </c>
    </row>
    <row r="12" spans="1:366" x14ac:dyDescent="0.45">
      <c r="A12" t="s">
        <v>1321</v>
      </c>
      <c r="B12">
        <v>26</v>
      </c>
      <c r="C12">
        <f>B12+B10</f>
        <v>26.740481443900222</v>
      </c>
      <c r="D12">
        <f>C12+C10</f>
        <v>27.480962887800445</v>
      </c>
      <c r="E12">
        <f t="shared" ref="E12:BP12" si="6">D12+D10</f>
        <v>28.221444331700667</v>
      </c>
      <c r="F12">
        <f t="shared" si="6"/>
        <v>28.961925775600889</v>
      </c>
      <c r="G12">
        <f t="shared" si="6"/>
        <v>29.702407219501112</v>
      </c>
      <c r="H12">
        <f t="shared" si="6"/>
        <v>30.442888663401334</v>
      </c>
      <c r="I12">
        <f t="shared" si="6"/>
        <v>31.183370107301556</v>
      </c>
      <c r="J12">
        <f t="shared" si="6"/>
        <v>31.923851551201778</v>
      </c>
      <c r="K12">
        <f t="shared" si="6"/>
        <v>32.664332995102001</v>
      </c>
      <c r="L12">
        <f t="shared" si="6"/>
        <v>33.404814439002223</v>
      </c>
      <c r="M12">
        <f t="shared" si="6"/>
        <v>34.145295882902445</v>
      </c>
      <c r="N12">
        <f t="shared" si="6"/>
        <v>34.885777326802668</v>
      </c>
      <c r="O12">
        <f t="shared" si="6"/>
        <v>35.62625877070289</v>
      </c>
      <c r="P12">
        <f t="shared" si="6"/>
        <v>36.366740214603112</v>
      </c>
      <c r="Q12">
        <f t="shared" si="6"/>
        <v>37.107221658503335</v>
      </c>
      <c r="R12">
        <f t="shared" si="6"/>
        <v>37.847703102403557</v>
      </c>
      <c r="S12">
        <f t="shared" si="6"/>
        <v>38.588184546303779</v>
      </c>
      <c r="T12">
        <f t="shared" si="6"/>
        <v>39.328665990204001</v>
      </c>
      <c r="U12">
        <f t="shared" si="6"/>
        <v>40.069147434104224</v>
      </c>
      <c r="V12">
        <f t="shared" si="6"/>
        <v>40.809628878004446</v>
      </c>
      <c r="W12">
        <f t="shared" si="6"/>
        <v>41.550110321904668</v>
      </c>
      <c r="X12">
        <f t="shared" si="6"/>
        <v>42.290591765804891</v>
      </c>
      <c r="Y12">
        <f t="shared" si="6"/>
        <v>43.031073209705113</v>
      </c>
      <c r="Z12">
        <f t="shared" si="6"/>
        <v>43.771554653605335</v>
      </c>
      <c r="AA12">
        <f t="shared" si="6"/>
        <v>44.512036097505558</v>
      </c>
      <c r="AB12">
        <f t="shared" si="6"/>
        <v>45.25251754140578</v>
      </c>
      <c r="AC12">
        <f t="shared" si="6"/>
        <v>45.992998985306002</v>
      </c>
      <c r="AD12">
        <f t="shared" si="6"/>
        <v>46.733480429206224</v>
      </c>
      <c r="AE12">
        <f t="shared" si="6"/>
        <v>47.473961873106447</v>
      </c>
      <c r="AF12">
        <f t="shared" si="6"/>
        <v>48.214443317006669</v>
      </c>
      <c r="AG12">
        <f t="shared" si="6"/>
        <v>48.954924760906891</v>
      </c>
      <c r="AH12">
        <f t="shared" si="6"/>
        <v>49.695406204807114</v>
      </c>
      <c r="AI12">
        <f t="shared" si="6"/>
        <v>50.435887648707336</v>
      </c>
      <c r="AJ12">
        <f t="shared" si="6"/>
        <v>51.176369092607558</v>
      </c>
      <c r="AK12">
        <f t="shared" si="6"/>
        <v>51.916850536507781</v>
      </c>
      <c r="AL12">
        <f t="shared" si="6"/>
        <v>52.657331980408003</v>
      </c>
      <c r="AM12">
        <f t="shared" si="6"/>
        <v>53.397813424308225</v>
      </c>
      <c r="AN12">
        <f t="shared" si="6"/>
        <v>54.138294868208447</v>
      </c>
      <c r="AO12">
        <f t="shared" si="6"/>
        <v>54.87877631210867</v>
      </c>
      <c r="AP12">
        <f t="shared" si="6"/>
        <v>55.619257756008892</v>
      </c>
      <c r="AQ12">
        <f t="shared" si="6"/>
        <v>56.359739199909114</v>
      </c>
      <c r="AR12">
        <f t="shared" si="6"/>
        <v>57.100220643809337</v>
      </c>
      <c r="AS12">
        <f t="shared" si="6"/>
        <v>57.840702087709559</v>
      </c>
      <c r="AT12">
        <f t="shared" si="6"/>
        <v>58.581183531609781</v>
      </c>
      <c r="AU12">
        <f t="shared" si="6"/>
        <v>59.321664975510004</v>
      </c>
      <c r="AV12">
        <f t="shared" si="6"/>
        <v>60.062146419410226</v>
      </c>
      <c r="AW12">
        <f t="shared" si="6"/>
        <v>60.802627863310448</v>
      </c>
      <c r="AX12">
        <f t="shared" si="6"/>
        <v>61.543109307210671</v>
      </c>
      <c r="AY12">
        <f t="shared" si="6"/>
        <v>62.283590751110893</v>
      </c>
      <c r="AZ12">
        <f t="shared" si="6"/>
        <v>63.024072195011115</v>
      </c>
      <c r="BA12">
        <f t="shared" si="6"/>
        <v>63.764553638911337</v>
      </c>
      <c r="BB12">
        <f t="shared" si="6"/>
        <v>64.50503508281156</v>
      </c>
      <c r="BC12">
        <f t="shared" si="6"/>
        <v>65.245516526711782</v>
      </c>
      <c r="BD12">
        <f t="shared" si="6"/>
        <v>65.985997970612004</v>
      </c>
      <c r="BE12">
        <f t="shared" si="6"/>
        <v>66.726479414512227</v>
      </c>
      <c r="BF12">
        <f t="shared" si="6"/>
        <v>67.466960858412449</v>
      </c>
      <c r="BG12">
        <f t="shared" si="6"/>
        <v>68.207442302312671</v>
      </c>
      <c r="BH12">
        <f t="shared" si="6"/>
        <v>68.947923746212894</v>
      </c>
      <c r="BI12">
        <f t="shared" si="6"/>
        <v>69.688405190113116</v>
      </c>
      <c r="BJ12">
        <f t="shared" si="6"/>
        <v>70.428886634013338</v>
      </c>
      <c r="BK12">
        <f t="shared" si="6"/>
        <v>71.16936807791356</v>
      </c>
      <c r="BL12">
        <f t="shared" si="6"/>
        <v>71.909849521813783</v>
      </c>
      <c r="BM12">
        <f t="shared" si="6"/>
        <v>72.650330965714005</v>
      </c>
      <c r="BN12">
        <f t="shared" si="6"/>
        <v>73.390812409614227</v>
      </c>
      <c r="BO12">
        <f t="shared" si="6"/>
        <v>74.13129385351445</v>
      </c>
      <c r="BP12">
        <f t="shared" si="6"/>
        <v>74.871775297414672</v>
      </c>
      <c r="BQ12">
        <f t="shared" ref="BQ12:EB12" si="7">BP12+BP10</f>
        <v>75.612256741314894</v>
      </c>
      <c r="BR12">
        <f t="shared" si="7"/>
        <v>76.352738185215117</v>
      </c>
      <c r="BS12">
        <f t="shared" si="7"/>
        <v>77.093219629115339</v>
      </c>
      <c r="BT12">
        <f t="shared" si="7"/>
        <v>77.833701073015561</v>
      </c>
      <c r="BU12">
        <f t="shared" si="7"/>
        <v>78.574182516915783</v>
      </c>
      <c r="BV12">
        <f t="shared" si="7"/>
        <v>79.314663960816006</v>
      </c>
      <c r="BW12">
        <f t="shared" si="7"/>
        <v>80.055145404716228</v>
      </c>
      <c r="BX12">
        <f t="shared" si="7"/>
        <v>80.79562684861645</v>
      </c>
      <c r="BY12">
        <f t="shared" si="7"/>
        <v>81.536108292516673</v>
      </c>
      <c r="BZ12">
        <f t="shared" si="7"/>
        <v>82.276589736416895</v>
      </c>
      <c r="CA12">
        <f t="shared" si="7"/>
        <v>83.017071180317117</v>
      </c>
      <c r="CB12">
        <f t="shared" si="7"/>
        <v>83.75755262421734</v>
      </c>
      <c r="CC12">
        <f t="shared" si="7"/>
        <v>84.498034068117562</v>
      </c>
      <c r="CD12">
        <f t="shared" si="7"/>
        <v>85.238515512017784</v>
      </c>
      <c r="CE12">
        <f t="shared" si="7"/>
        <v>85.978996955918007</v>
      </c>
      <c r="CF12">
        <f t="shared" si="7"/>
        <v>86.719478399818229</v>
      </c>
      <c r="CG12">
        <f t="shared" si="7"/>
        <v>87.459959843718451</v>
      </c>
      <c r="CH12">
        <f t="shared" si="7"/>
        <v>88.200441287618673</v>
      </c>
      <c r="CI12">
        <f t="shared" si="7"/>
        <v>88.940922731518896</v>
      </c>
      <c r="CJ12">
        <f t="shared" si="7"/>
        <v>89.681404175419118</v>
      </c>
      <c r="CK12">
        <f t="shared" si="7"/>
        <v>90.42188561931934</v>
      </c>
      <c r="CL12">
        <f t="shared" si="7"/>
        <v>91.162367063219563</v>
      </c>
      <c r="CM12">
        <f t="shared" si="7"/>
        <v>91.902848507119785</v>
      </c>
      <c r="CN12">
        <f t="shared" si="7"/>
        <v>92.643329951020007</v>
      </c>
      <c r="CO12">
        <f t="shared" si="7"/>
        <v>93.38381139492023</v>
      </c>
      <c r="CP12">
        <f t="shared" si="7"/>
        <v>94.124292838820452</v>
      </c>
      <c r="CQ12">
        <f t="shared" si="7"/>
        <v>94.864774282720674</v>
      </c>
      <c r="CR12">
        <f t="shared" si="7"/>
        <v>95.605255726620896</v>
      </c>
      <c r="CS12">
        <f t="shared" si="7"/>
        <v>96.345737170521119</v>
      </c>
      <c r="CT12">
        <f t="shared" si="7"/>
        <v>97.086218614421341</v>
      </c>
      <c r="CU12">
        <f t="shared" si="7"/>
        <v>97.826700058321563</v>
      </c>
      <c r="CV12">
        <f t="shared" si="7"/>
        <v>98.567181502221786</v>
      </c>
      <c r="CW12">
        <f t="shared" si="7"/>
        <v>99.307662946122008</v>
      </c>
      <c r="CX12">
        <f t="shared" si="7"/>
        <v>100.04814439002223</v>
      </c>
      <c r="CY12">
        <f t="shared" si="7"/>
        <v>100.78862583392245</v>
      </c>
      <c r="CZ12">
        <f t="shared" si="7"/>
        <v>101.52910727782267</v>
      </c>
      <c r="DA12">
        <f t="shared" si="7"/>
        <v>102.2695887217229</v>
      </c>
      <c r="DB12">
        <f t="shared" si="7"/>
        <v>103.01007016562312</v>
      </c>
      <c r="DC12">
        <f t="shared" si="7"/>
        <v>103.75055160952334</v>
      </c>
      <c r="DD12">
        <f t="shared" si="7"/>
        <v>104.49103305342356</v>
      </c>
      <c r="DE12">
        <f t="shared" si="7"/>
        <v>105.23151449732379</v>
      </c>
      <c r="DF12">
        <f t="shared" si="7"/>
        <v>105.97199594122401</v>
      </c>
      <c r="DG12">
        <f t="shared" si="7"/>
        <v>106.71247738512423</v>
      </c>
      <c r="DH12">
        <f t="shared" si="7"/>
        <v>107.45295882902445</v>
      </c>
      <c r="DI12">
        <f t="shared" si="7"/>
        <v>108.19344027292468</v>
      </c>
      <c r="DJ12">
        <f t="shared" si="7"/>
        <v>108.9339217168249</v>
      </c>
      <c r="DK12">
        <f t="shared" si="7"/>
        <v>109.67440316072512</v>
      </c>
      <c r="DL12">
        <f t="shared" si="7"/>
        <v>110.41488460462534</v>
      </c>
      <c r="DM12">
        <f t="shared" si="7"/>
        <v>111.15536604852556</v>
      </c>
      <c r="DN12">
        <f t="shared" si="7"/>
        <v>111.89584749242579</v>
      </c>
      <c r="DO12">
        <f t="shared" si="7"/>
        <v>112.63632893632601</v>
      </c>
      <c r="DP12">
        <f t="shared" si="7"/>
        <v>113.37681038022623</v>
      </c>
      <c r="DQ12">
        <f t="shared" si="7"/>
        <v>114.11729182412645</v>
      </c>
      <c r="DR12">
        <f t="shared" si="7"/>
        <v>114.85777326802668</v>
      </c>
      <c r="DS12">
        <f t="shared" si="7"/>
        <v>115.5982547119269</v>
      </c>
      <c r="DT12">
        <f t="shared" si="7"/>
        <v>116.33873615582712</v>
      </c>
      <c r="DU12">
        <f t="shared" si="7"/>
        <v>117.07921759972734</v>
      </c>
      <c r="DV12">
        <f t="shared" si="7"/>
        <v>117.81969904362757</v>
      </c>
      <c r="DW12">
        <f t="shared" si="7"/>
        <v>118.56018048752779</v>
      </c>
      <c r="DX12">
        <f t="shared" si="7"/>
        <v>119.30066193142801</v>
      </c>
      <c r="DY12">
        <f t="shared" si="7"/>
        <v>120.04114337532823</v>
      </c>
      <c r="DZ12">
        <f t="shared" si="7"/>
        <v>120.78162481922845</v>
      </c>
      <c r="EA12">
        <f t="shared" si="7"/>
        <v>121.52210626312868</v>
      </c>
      <c r="EB12">
        <f t="shared" si="7"/>
        <v>122.2625877070289</v>
      </c>
      <c r="EC12">
        <f t="shared" ref="EC12:GN12" si="8">EB12+EB10</f>
        <v>123.00306915092912</v>
      </c>
      <c r="ED12">
        <f t="shared" si="8"/>
        <v>123.74355059482934</v>
      </c>
      <c r="EE12">
        <f t="shared" si="8"/>
        <v>124.48403203872957</v>
      </c>
      <c r="EF12">
        <f t="shared" si="8"/>
        <v>125.22451348262979</v>
      </c>
      <c r="EG12">
        <f t="shared" si="8"/>
        <v>125.96499492653001</v>
      </c>
      <c r="EH12">
        <f t="shared" si="8"/>
        <v>126.70547637043023</v>
      </c>
      <c r="EI12">
        <f t="shared" si="8"/>
        <v>127.44595781433046</v>
      </c>
      <c r="EJ12">
        <f t="shared" si="8"/>
        <v>128.18643925823068</v>
      </c>
      <c r="EK12">
        <f t="shared" si="8"/>
        <v>128.9269207021309</v>
      </c>
      <c r="EL12">
        <f t="shared" si="8"/>
        <v>129.66740214603112</v>
      </c>
      <c r="EM12">
        <f t="shared" si="8"/>
        <v>130.40788358993134</v>
      </c>
      <c r="EN12">
        <f t="shared" si="8"/>
        <v>131.14836503383157</v>
      </c>
      <c r="EO12">
        <f t="shared" si="8"/>
        <v>131.88884647773179</v>
      </c>
      <c r="EP12">
        <f t="shared" si="8"/>
        <v>132.62932792163201</v>
      </c>
      <c r="EQ12">
        <f t="shared" si="8"/>
        <v>133.36980936553223</v>
      </c>
      <c r="ER12">
        <f t="shared" si="8"/>
        <v>134.11029080943246</v>
      </c>
      <c r="ES12">
        <f t="shared" si="8"/>
        <v>134.85077225333268</v>
      </c>
      <c r="ET12">
        <f t="shared" si="8"/>
        <v>135.5912536972329</v>
      </c>
      <c r="EU12">
        <f t="shared" si="8"/>
        <v>136.33173514113312</v>
      </c>
      <c r="EV12">
        <f t="shared" si="8"/>
        <v>137.07221658503335</v>
      </c>
      <c r="EW12">
        <f t="shared" si="8"/>
        <v>137.81269802893357</v>
      </c>
      <c r="EX12">
        <f t="shared" si="8"/>
        <v>138.55317947283379</v>
      </c>
      <c r="EY12">
        <f t="shared" si="8"/>
        <v>139.29366091673401</v>
      </c>
      <c r="EZ12">
        <f t="shared" si="8"/>
        <v>140.03414236063423</v>
      </c>
      <c r="FA12">
        <f t="shared" si="8"/>
        <v>140.77462380453446</v>
      </c>
      <c r="FB12">
        <f t="shared" si="8"/>
        <v>141.51510524843468</v>
      </c>
      <c r="FC12">
        <f t="shared" si="8"/>
        <v>142.2555866923349</v>
      </c>
      <c r="FD12">
        <f t="shared" si="8"/>
        <v>142.99606813623512</v>
      </c>
      <c r="FE12">
        <f t="shared" si="8"/>
        <v>143.73654958013535</v>
      </c>
      <c r="FF12">
        <f t="shared" si="8"/>
        <v>144.47703102403557</v>
      </c>
      <c r="FG12">
        <f t="shared" si="8"/>
        <v>145.21751246793579</v>
      </c>
      <c r="FH12">
        <f t="shared" si="8"/>
        <v>145.95799391183601</v>
      </c>
      <c r="FI12">
        <f t="shared" si="8"/>
        <v>146.69847535573624</v>
      </c>
      <c r="FJ12">
        <f t="shared" si="8"/>
        <v>147.43895679963646</v>
      </c>
      <c r="FK12">
        <f t="shared" si="8"/>
        <v>148.17943824353668</v>
      </c>
      <c r="FL12">
        <f t="shared" si="8"/>
        <v>148.9199196874369</v>
      </c>
      <c r="FM12">
        <f t="shared" si="8"/>
        <v>149.66040113133712</v>
      </c>
      <c r="FN12">
        <f t="shared" si="8"/>
        <v>150.40088257523735</v>
      </c>
      <c r="FO12">
        <f t="shared" si="8"/>
        <v>151.14136401913757</v>
      </c>
      <c r="FP12">
        <f t="shared" si="8"/>
        <v>151.88184546303779</v>
      </c>
      <c r="FQ12">
        <f t="shared" si="8"/>
        <v>152.62232690693801</v>
      </c>
      <c r="FR12">
        <f t="shared" si="8"/>
        <v>153.36280835083824</v>
      </c>
      <c r="FS12">
        <f t="shared" si="8"/>
        <v>154.10328979473846</v>
      </c>
      <c r="FT12">
        <f t="shared" si="8"/>
        <v>154.84377123863868</v>
      </c>
      <c r="FU12">
        <f t="shared" si="8"/>
        <v>155.5842526825389</v>
      </c>
      <c r="FV12">
        <f t="shared" si="8"/>
        <v>156.32473412643913</v>
      </c>
      <c r="FW12">
        <f t="shared" si="8"/>
        <v>157.06521557033935</v>
      </c>
      <c r="FX12">
        <f t="shared" si="8"/>
        <v>157.80569701423957</v>
      </c>
      <c r="FY12">
        <f t="shared" si="8"/>
        <v>158.54617845813979</v>
      </c>
      <c r="FZ12">
        <f t="shared" si="8"/>
        <v>159.28665990204001</v>
      </c>
      <c r="GA12">
        <f t="shared" si="8"/>
        <v>160.02714134594024</v>
      </c>
      <c r="GB12">
        <f t="shared" si="8"/>
        <v>160.76762278984046</v>
      </c>
      <c r="GC12">
        <f t="shared" si="8"/>
        <v>161.50810423374068</v>
      </c>
      <c r="GD12">
        <f t="shared" si="8"/>
        <v>162.2485856776409</v>
      </c>
      <c r="GE12">
        <f t="shared" si="8"/>
        <v>162.98906712154113</v>
      </c>
      <c r="GF12">
        <f t="shared" si="8"/>
        <v>163.72954856544135</v>
      </c>
      <c r="GG12">
        <f t="shared" si="8"/>
        <v>164.47003000934157</v>
      </c>
      <c r="GH12">
        <f t="shared" si="8"/>
        <v>165.21051145324179</v>
      </c>
      <c r="GI12">
        <f t="shared" si="8"/>
        <v>165.95099289714202</v>
      </c>
      <c r="GJ12">
        <f t="shared" si="8"/>
        <v>166.69147434104224</v>
      </c>
      <c r="GK12">
        <f t="shared" si="8"/>
        <v>167.43195578494246</v>
      </c>
      <c r="GL12">
        <f t="shared" si="8"/>
        <v>168.17243722884268</v>
      </c>
      <c r="GM12">
        <f t="shared" si="8"/>
        <v>168.9129186727429</v>
      </c>
      <c r="GN12">
        <f t="shared" si="8"/>
        <v>169.65340011664313</v>
      </c>
      <c r="GO12">
        <f t="shared" ref="GO12:IZ12" si="9">GN12+GN10</f>
        <v>170.39388156054335</v>
      </c>
      <c r="GP12">
        <f t="shared" si="9"/>
        <v>171.13436300444357</v>
      </c>
      <c r="GQ12">
        <f t="shared" si="9"/>
        <v>171.87484444834379</v>
      </c>
      <c r="GR12">
        <f t="shared" si="9"/>
        <v>172.61532589224402</v>
      </c>
      <c r="GS12">
        <f t="shared" si="9"/>
        <v>173.35580733614424</v>
      </c>
      <c r="GT12">
        <f t="shared" si="9"/>
        <v>174.09628878004446</v>
      </c>
      <c r="GU12">
        <f t="shared" si="9"/>
        <v>174.83677022394468</v>
      </c>
      <c r="GV12">
        <f t="shared" si="9"/>
        <v>175.57725166784491</v>
      </c>
      <c r="GW12">
        <f t="shared" si="9"/>
        <v>176.31773311174513</v>
      </c>
      <c r="GX12">
        <f t="shared" si="9"/>
        <v>177.05821455564535</v>
      </c>
      <c r="GY12">
        <f t="shared" si="9"/>
        <v>177.79869599954557</v>
      </c>
      <c r="GZ12">
        <f t="shared" si="9"/>
        <v>178.53917744344579</v>
      </c>
      <c r="HA12">
        <f t="shared" si="9"/>
        <v>179.27965888734602</v>
      </c>
      <c r="HB12">
        <f t="shared" si="9"/>
        <v>180.02014033124624</v>
      </c>
      <c r="HC12">
        <f t="shared" si="9"/>
        <v>180.76062177514646</v>
      </c>
      <c r="HD12">
        <f t="shared" si="9"/>
        <v>181.50110321904668</v>
      </c>
      <c r="HE12">
        <f t="shared" si="9"/>
        <v>182.24158466294691</v>
      </c>
      <c r="HF12">
        <f t="shared" si="9"/>
        <v>182.98206610684713</v>
      </c>
      <c r="HG12">
        <f t="shared" si="9"/>
        <v>183.72254755074735</v>
      </c>
      <c r="HH12">
        <f t="shared" si="9"/>
        <v>184.46302899464757</v>
      </c>
      <c r="HI12">
        <f t="shared" si="9"/>
        <v>185.2035104385478</v>
      </c>
      <c r="HJ12">
        <f t="shared" si="9"/>
        <v>185.94399188244802</v>
      </c>
      <c r="HK12">
        <f t="shared" si="9"/>
        <v>186.68447332634824</v>
      </c>
      <c r="HL12">
        <f t="shared" si="9"/>
        <v>187.42495477024846</v>
      </c>
      <c r="HM12">
        <f t="shared" si="9"/>
        <v>188.16543621414868</v>
      </c>
      <c r="HN12">
        <f t="shared" si="9"/>
        <v>188.90591765804891</v>
      </c>
      <c r="HO12">
        <f t="shared" si="9"/>
        <v>189.64639910194913</v>
      </c>
      <c r="HP12">
        <f t="shared" si="9"/>
        <v>190.38688054584935</v>
      </c>
      <c r="HQ12">
        <f t="shared" si="9"/>
        <v>191.12736198974957</v>
      </c>
      <c r="HR12">
        <f t="shared" si="9"/>
        <v>191.8678434336498</v>
      </c>
      <c r="HS12">
        <f t="shared" si="9"/>
        <v>192.60832487755002</v>
      </c>
      <c r="HT12">
        <f t="shared" si="9"/>
        <v>193.34880632145024</v>
      </c>
      <c r="HU12">
        <f t="shared" si="9"/>
        <v>194.08928776535046</v>
      </c>
      <c r="HV12">
        <f t="shared" si="9"/>
        <v>194.82976920925068</v>
      </c>
      <c r="HW12">
        <f t="shared" si="9"/>
        <v>195.57025065315091</v>
      </c>
      <c r="HX12">
        <f t="shared" si="9"/>
        <v>196.31073209705113</v>
      </c>
      <c r="HY12">
        <f t="shared" si="9"/>
        <v>197.05121354095135</v>
      </c>
      <c r="HZ12">
        <f t="shared" si="9"/>
        <v>197.79169498485157</v>
      </c>
      <c r="IA12">
        <f t="shared" si="9"/>
        <v>198.5321764287518</v>
      </c>
      <c r="IB12">
        <f t="shared" si="9"/>
        <v>199.27265787265202</v>
      </c>
      <c r="IC12">
        <f t="shared" si="9"/>
        <v>200.01313931655224</v>
      </c>
      <c r="ID12">
        <f t="shared" si="9"/>
        <v>200.75362076045246</v>
      </c>
      <c r="IE12">
        <f t="shared" si="9"/>
        <v>201.49410220435269</v>
      </c>
      <c r="IF12">
        <f t="shared" si="9"/>
        <v>202.23458364825291</v>
      </c>
      <c r="IG12">
        <f t="shared" si="9"/>
        <v>202.97506509215313</v>
      </c>
      <c r="IH12">
        <f t="shared" si="9"/>
        <v>203.71554653605335</v>
      </c>
      <c r="II12">
        <f t="shared" si="9"/>
        <v>204.45602797995357</v>
      </c>
      <c r="IJ12">
        <f t="shared" si="9"/>
        <v>205.1965094238538</v>
      </c>
      <c r="IK12">
        <f t="shared" si="9"/>
        <v>205.93699086775402</v>
      </c>
      <c r="IL12">
        <f t="shared" si="9"/>
        <v>206.67747231165424</v>
      </c>
      <c r="IM12">
        <f t="shared" si="9"/>
        <v>207.41795375555446</v>
      </c>
      <c r="IN12">
        <f t="shared" si="9"/>
        <v>208.15843519945469</v>
      </c>
      <c r="IO12">
        <f t="shared" si="9"/>
        <v>208.89891664335491</v>
      </c>
      <c r="IP12">
        <f t="shared" si="9"/>
        <v>209.63939808725513</v>
      </c>
      <c r="IQ12">
        <f t="shared" si="9"/>
        <v>210.37987953115535</v>
      </c>
      <c r="IR12">
        <f t="shared" si="9"/>
        <v>211.12036097505558</v>
      </c>
      <c r="IS12">
        <f t="shared" si="9"/>
        <v>211.8608424189558</v>
      </c>
      <c r="IT12">
        <f t="shared" si="9"/>
        <v>212.60132386285602</v>
      </c>
      <c r="IU12">
        <f t="shared" si="9"/>
        <v>213.34180530675624</v>
      </c>
      <c r="IV12">
        <f t="shared" si="9"/>
        <v>214.08228675065646</v>
      </c>
      <c r="IW12">
        <f t="shared" si="9"/>
        <v>214.82276819455669</v>
      </c>
      <c r="IX12">
        <f t="shared" si="9"/>
        <v>215.56324963845691</v>
      </c>
      <c r="IY12">
        <f t="shared" si="9"/>
        <v>216.30373108235713</v>
      </c>
      <c r="IZ12">
        <f t="shared" si="9"/>
        <v>217.04421252625735</v>
      </c>
      <c r="JA12">
        <f t="shared" ref="JA12:LL12" si="10">IZ12+IZ10</f>
        <v>217.78469397015758</v>
      </c>
      <c r="JB12">
        <f t="shared" si="10"/>
        <v>218.5251754140578</v>
      </c>
      <c r="JC12">
        <f t="shared" si="10"/>
        <v>219.26565685795802</v>
      </c>
      <c r="JD12">
        <f t="shared" si="10"/>
        <v>220.00613830185824</v>
      </c>
      <c r="JE12">
        <f t="shared" si="10"/>
        <v>220.74661974575847</v>
      </c>
      <c r="JF12">
        <f t="shared" si="10"/>
        <v>221.48710118965869</v>
      </c>
      <c r="JG12">
        <f t="shared" si="10"/>
        <v>222.22758263355891</v>
      </c>
      <c r="JH12">
        <f t="shared" si="10"/>
        <v>222.96806407745913</v>
      </c>
      <c r="JI12">
        <f t="shared" si="10"/>
        <v>223.70854552135935</v>
      </c>
      <c r="JJ12">
        <f t="shared" si="10"/>
        <v>224.44902696525958</v>
      </c>
      <c r="JK12">
        <f t="shared" si="10"/>
        <v>225.1895084091598</v>
      </c>
      <c r="JL12">
        <f t="shared" si="10"/>
        <v>225.92998985306002</v>
      </c>
      <c r="JM12">
        <f t="shared" si="10"/>
        <v>226.67047129696024</v>
      </c>
      <c r="JN12">
        <f t="shared" si="10"/>
        <v>227.41095274086047</v>
      </c>
      <c r="JO12">
        <f t="shared" si="10"/>
        <v>228.15143418476069</v>
      </c>
      <c r="JP12">
        <f t="shared" si="10"/>
        <v>228.89191562866091</v>
      </c>
      <c r="JQ12">
        <f t="shared" si="10"/>
        <v>229.63239707256113</v>
      </c>
      <c r="JR12">
        <f t="shared" si="10"/>
        <v>230.37287851646136</v>
      </c>
      <c r="JS12">
        <f t="shared" si="10"/>
        <v>231.11335996036158</v>
      </c>
      <c r="JT12">
        <f t="shared" si="10"/>
        <v>231.8538414042618</v>
      </c>
      <c r="JU12">
        <f t="shared" si="10"/>
        <v>232.59432284816202</v>
      </c>
      <c r="JV12">
        <f t="shared" si="10"/>
        <v>233.33480429206224</v>
      </c>
      <c r="JW12">
        <f t="shared" si="10"/>
        <v>234.07528573596247</v>
      </c>
      <c r="JX12">
        <f t="shared" si="10"/>
        <v>234.81576717986269</v>
      </c>
      <c r="JY12">
        <f t="shared" si="10"/>
        <v>235.55624862376291</v>
      </c>
      <c r="JZ12">
        <f t="shared" si="10"/>
        <v>236.29673006766313</v>
      </c>
      <c r="KA12">
        <f t="shared" si="10"/>
        <v>237.03721151156336</v>
      </c>
      <c r="KB12">
        <f t="shared" si="10"/>
        <v>237.77769295546358</v>
      </c>
      <c r="KC12">
        <f t="shared" si="10"/>
        <v>238.5181743993638</v>
      </c>
      <c r="KD12">
        <f t="shared" si="10"/>
        <v>239.25865584326402</v>
      </c>
      <c r="KE12">
        <f t="shared" si="10"/>
        <v>239.99913728716425</v>
      </c>
      <c r="KF12">
        <f t="shared" si="10"/>
        <v>240.73961873106447</v>
      </c>
      <c r="KG12">
        <f t="shared" si="10"/>
        <v>241.48010017496469</v>
      </c>
      <c r="KH12">
        <f t="shared" si="10"/>
        <v>242.22058161886491</v>
      </c>
      <c r="KI12">
        <f t="shared" si="10"/>
        <v>242.96106306276513</v>
      </c>
      <c r="KJ12">
        <f t="shared" si="10"/>
        <v>243.70154450666536</v>
      </c>
      <c r="KK12">
        <f t="shared" si="10"/>
        <v>244.44202595056558</v>
      </c>
      <c r="KL12">
        <f t="shared" si="10"/>
        <v>245.1825073944658</v>
      </c>
      <c r="KM12">
        <f t="shared" si="10"/>
        <v>245.92298883836602</v>
      </c>
      <c r="KN12">
        <f t="shared" si="10"/>
        <v>246.66347028226625</v>
      </c>
      <c r="KO12">
        <f t="shared" si="10"/>
        <v>247.40395172616647</v>
      </c>
      <c r="KP12">
        <f t="shared" si="10"/>
        <v>248.14443317006669</v>
      </c>
      <c r="KQ12">
        <f t="shared" si="10"/>
        <v>248.88491461396691</v>
      </c>
      <c r="KR12">
        <f t="shared" si="10"/>
        <v>249.62539605786714</v>
      </c>
      <c r="KS12">
        <f t="shared" si="10"/>
        <v>250.36587750176736</v>
      </c>
      <c r="KT12">
        <f t="shared" si="10"/>
        <v>251.10635894566758</v>
      </c>
      <c r="KU12">
        <f t="shared" si="10"/>
        <v>251.8468403895678</v>
      </c>
      <c r="KV12">
        <f t="shared" si="10"/>
        <v>252.58732183346802</v>
      </c>
      <c r="KW12">
        <f t="shared" si="10"/>
        <v>253.32780327736825</v>
      </c>
      <c r="KX12">
        <f t="shared" si="10"/>
        <v>254.06828472126847</v>
      </c>
      <c r="KY12">
        <f t="shared" si="10"/>
        <v>254.80876616516869</v>
      </c>
      <c r="KZ12">
        <f t="shared" si="10"/>
        <v>255.54924760906891</v>
      </c>
      <c r="LA12">
        <f t="shared" si="10"/>
        <v>256.28972905296916</v>
      </c>
      <c r="LB12">
        <f t="shared" si="10"/>
        <v>257.03021049686942</v>
      </c>
      <c r="LC12">
        <f t="shared" si="10"/>
        <v>257.77069194076967</v>
      </c>
      <c r="LD12">
        <f t="shared" si="10"/>
        <v>258.51117338466992</v>
      </c>
      <c r="LE12">
        <f t="shared" si="10"/>
        <v>259.25165482857017</v>
      </c>
      <c r="LF12">
        <f t="shared" si="10"/>
        <v>259.99213627247042</v>
      </c>
      <c r="LG12">
        <f t="shared" si="10"/>
        <v>260.73261771637067</v>
      </c>
      <c r="LH12">
        <f t="shared" si="10"/>
        <v>261.47309916027092</v>
      </c>
      <c r="LI12">
        <f t="shared" si="10"/>
        <v>262.21358060417117</v>
      </c>
      <c r="LJ12">
        <f t="shared" si="10"/>
        <v>262.95406204807142</v>
      </c>
      <c r="LK12">
        <f t="shared" si="10"/>
        <v>263.69454349197167</v>
      </c>
      <c r="LL12">
        <f t="shared" si="10"/>
        <v>264.43502493587192</v>
      </c>
      <c r="LM12">
        <f t="shared" ref="LM12:NB12" si="11">LL12+LL10</f>
        <v>265.17550637977217</v>
      </c>
      <c r="LN12">
        <f t="shared" si="11"/>
        <v>265.91598782367242</v>
      </c>
      <c r="LO12">
        <f t="shared" si="11"/>
        <v>266.65646926757267</v>
      </c>
      <c r="LP12">
        <f t="shared" si="11"/>
        <v>267.39695071147293</v>
      </c>
      <c r="LQ12">
        <f t="shared" si="11"/>
        <v>268.13743215537318</v>
      </c>
      <c r="LR12">
        <f t="shared" si="11"/>
        <v>268.87791359927343</v>
      </c>
      <c r="LS12">
        <f t="shared" si="11"/>
        <v>269.61839504317368</v>
      </c>
      <c r="LT12">
        <f t="shared" si="11"/>
        <v>270.35887648707393</v>
      </c>
      <c r="LU12">
        <f t="shared" si="11"/>
        <v>271.09935793097418</v>
      </c>
      <c r="LV12">
        <f t="shared" si="11"/>
        <v>271.83983937487443</v>
      </c>
      <c r="LW12">
        <f t="shared" si="11"/>
        <v>272.58032081877468</v>
      </c>
      <c r="LX12">
        <f t="shared" si="11"/>
        <v>273.32080226267493</v>
      </c>
      <c r="LY12">
        <f t="shared" si="11"/>
        <v>274.06128370657518</v>
      </c>
      <c r="LZ12">
        <f t="shared" si="11"/>
        <v>274.80176515047543</v>
      </c>
      <c r="MA12">
        <f t="shared" si="11"/>
        <v>275.54224659437568</v>
      </c>
      <c r="MB12">
        <f t="shared" si="11"/>
        <v>276.28272803827593</v>
      </c>
      <c r="MC12">
        <f t="shared" si="11"/>
        <v>277.02320948217618</v>
      </c>
      <c r="MD12">
        <f t="shared" si="11"/>
        <v>277.76369092607644</v>
      </c>
      <c r="ME12">
        <f t="shared" si="11"/>
        <v>278.50417236997669</v>
      </c>
      <c r="MF12">
        <f t="shared" si="11"/>
        <v>279.24465381387694</v>
      </c>
      <c r="MG12">
        <f t="shared" si="11"/>
        <v>279.98513525777719</v>
      </c>
      <c r="MH12">
        <f t="shared" si="11"/>
        <v>280.72561670167744</v>
      </c>
      <c r="MI12">
        <f t="shared" si="11"/>
        <v>281.46609814557769</v>
      </c>
      <c r="MJ12">
        <f t="shared" si="11"/>
        <v>282.20657958947794</v>
      </c>
      <c r="MK12">
        <f t="shared" si="11"/>
        <v>282.94706103337819</v>
      </c>
      <c r="ML12">
        <f t="shared" si="11"/>
        <v>283.68754247727844</v>
      </c>
      <c r="MM12">
        <f t="shared" si="11"/>
        <v>284.42802392117869</v>
      </c>
      <c r="MN12">
        <f t="shared" si="11"/>
        <v>285.16850536507894</v>
      </c>
      <c r="MO12">
        <f t="shared" si="11"/>
        <v>285.90898680897919</v>
      </c>
      <c r="MP12">
        <f t="shared" si="11"/>
        <v>286.64946825287944</v>
      </c>
      <c r="MQ12">
        <f t="shared" si="11"/>
        <v>287.38994969677969</v>
      </c>
      <c r="MR12">
        <f t="shared" si="11"/>
        <v>288.13043114067995</v>
      </c>
      <c r="MS12">
        <f t="shared" si="11"/>
        <v>288.8709125845802</v>
      </c>
      <c r="MT12">
        <f t="shared" si="11"/>
        <v>289.61139402848045</v>
      </c>
      <c r="MU12">
        <f t="shared" si="11"/>
        <v>290.3518754723807</v>
      </c>
      <c r="MV12">
        <f t="shared" si="11"/>
        <v>291.09235691628095</v>
      </c>
      <c r="MW12">
        <f t="shared" si="11"/>
        <v>291.8328383601812</v>
      </c>
      <c r="MX12">
        <f t="shared" si="11"/>
        <v>292.57331980408145</v>
      </c>
      <c r="MY12">
        <f t="shared" si="11"/>
        <v>293.3138012479817</v>
      </c>
      <c r="MZ12">
        <f t="shared" si="11"/>
        <v>294.05428269188195</v>
      </c>
      <c r="NA12">
        <f t="shared" si="11"/>
        <v>294.7947641357822</v>
      </c>
      <c r="NB12">
        <f t="shared" si="11"/>
        <v>295.53524557968245</v>
      </c>
    </row>
    <row r="13" spans="1:366" x14ac:dyDescent="0.45">
      <c r="B13">
        <f>B12*0.02</f>
        <v>0.52</v>
      </c>
      <c r="C13">
        <f>C12*0.02</f>
        <v>0.53480962887800443</v>
      </c>
      <c r="D13">
        <f t="shared" ref="D13:F13" si="12">D12*0.02</f>
        <v>0.54961925775600895</v>
      </c>
      <c r="E13">
        <f t="shared" si="12"/>
        <v>0.56442888663401336</v>
      </c>
      <c r="F13">
        <f t="shared" si="12"/>
        <v>0.57923851551201777</v>
      </c>
      <c r="G13">
        <f t="shared" ref="G13" si="13">G12*0.02</f>
        <v>0.59404814439002229</v>
      </c>
      <c r="H13">
        <f t="shared" ref="H13" si="14">H12*0.02</f>
        <v>0.6088577732680267</v>
      </c>
      <c r="I13">
        <f t="shared" ref="I13" si="15">I12*0.02</f>
        <v>0.62366740214603111</v>
      </c>
      <c r="J13">
        <f t="shared" ref="J13" si="16">J12*0.02</f>
        <v>0.63847703102403564</v>
      </c>
      <c r="K13">
        <f t="shared" ref="K13" si="17">K12*0.02</f>
        <v>0.65328665990204005</v>
      </c>
      <c r="L13">
        <f t="shared" ref="L13" si="18">L12*0.02</f>
        <v>0.66809628878004446</v>
      </c>
      <c r="M13">
        <f t="shared" ref="M13" si="19">M12*0.02</f>
        <v>0.68290591765804887</v>
      </c>
      <c r="N13">
        <f t="shared" ref="N13" si="20">N12*0.02</f>
        <v>0.69771554653605339</v>
      </c>
      <c r="O13">
        <f t="shared" ref="O13" si="21">O12*0.02</f>
        <v>0.7125251754140578</v>
      </c>
      <c r="P13">
        <f t="shared" ref="P13" si="22">P12*0.02</f>
        <v>0.72733480429206221</v>
      </c>
      <c r="Q13">
        <f t="shared" ref="Q13" si="23">Q12*0.02</f>
        <v>0.74214443317006673</v>
      </c>
      <c r="R13">
        <f t="shared" ref="R13" si="24">R12*0.02</f>
        <v>0.75695406204807114</v>
      </c>
      <c r="S13">
        <f t="shared" ref="S13" si="25">S12*0.02</f>
        <v>0.77176369092607555</v>
      </c>
      <c r="T13">
        <f t="shared" ref="T13" si="26">T12*0.02</f>
        <v>0.78657331980408007</v>
      </c>
      <c r="U13">
        <f t="shared" ref="U13" si="27">U12*0.02</f>
        <v>0.80138294868208448</v>
      </c>
      <c r="V13">
        <f t="shared" ref="V13" si="28">V12*0.02</f>
        <v>0.81619257756008889</v>
      </c>
      <c r="W13">
        <f t="shared" ref="W13" si="29">W12*0.02</f>
        <v>0.83100220643809342</v>
      </c>
      <c r="X13">
        <f t="shared" ref="X13" si="30">X12*0.02</f>
        <v>0.84581183531609783</v>
      </c>
      <c r="Y13">
        <f t="shared" ref="Y13" si="31">Y12*0.02</f>
        <v>0.86062146419410224</v>
      </c>
      <c r="Z13">
        <f t="shared" ref="Z13" si="32">Z12*0.02</f>
        <v>0.87543109307210676</v>
      </c>
      <c r="AA13">
        <f t="shared" ref="AA13" si="33">AA12*0.02</f>
        <v>0.89024072195011117</v>
      </c>
      <c r="AB13">
        <f t="shared" ref="AB13" si="34">AB12*0.02</f>
        <v>0.90505035082811558</v>
      </c>
      <c r="AC13">
        <f t="shared" ref="AC13" si="35">AC12*0.02</f>
        <v>0.9198599797061201</v>
      </c>
      <c r="AD13">
        <f t="shared" ref="AD13" si="36">AD12*0.02</f>
        <v>0.93466960858412451</v>
      </c>
      <c r="AE13">
        <f t="shared" ref="AE13" si="37">AE12*0.02</f>
        <v>0.94947923746212892</v>
      </c>
      <c r="AF13">
        <f t="shared" ref="AF13" si="38">AF12*0.02</f>
        <v>0.96428886634013344</v>
      </c>
      <c r="AG13">
        <f t="shared" ref="AG13" si="39">AG12*0.02</f>
        <v>0.97909849521813785</v>
      </c>
      <c r="AH13">
        <f t="shared" ref="AH13" si="40">AH12*0.02</f>
        <v>0.99390812409614226</v>
      </c>
      <c r="AI13">
        <f t="shared" ref="AI13" si="41">AI12*0.02</f>
        <v>1.0087177529741467</v>
      </c>
      <c r="AJ13">
        <f t="shared" ref="AJ13" si="42">AJ12*0.02</f>
        <v>1.0235273818521511</v>
      </c>
      <c r="AK13">
        <f t="shared" ref="AK13" si="43">AK12*0.02</f>
        <v>1.0383370107301557</v>
      </c>
      <c r="AL13">
        <f t="shared" ref="AL13" si="44">AL12*0.02</f>
        <v>1.0531466396081601</v>
      </c>
      <c r="AM13">
        <f t="shared" ref="AM13" si="45">AM12*0.02</f>
        <v>1.0679562684861645</v>
      </c>
      <c r="AN13">
        <f t="shared" ref="AN13" si="46">AN12*0.02</f>
        <v>1.0827658973641689</v>
      </c>
      <c r="AO13">
        <f t="shared" ref="AO13" si="47">AO12*0.02</f>
        <v>1.0975755262421734</v>
      </c>
      <c r="AP13">
        <f t="shared" ref="AP13" si="48">AP12*0.02</f>
        <v>1.1123851551201778</v>
      </c>
      <c r="AQ13">
        <f t="shared" ref="AQ13" si="49">AQ12*0.02</f>
        <v>1.1271947839981824</v>
      </c>
      <c r="AR13">
        <f t="shared" ref="AR13" si="50">AR12*0.02</f>
        <v>1.1420044128761868</v>
      </c>
      <c r="AS13">
        <f t="shared" ref="AS13" si="51">AS12*0.02</f>
        <v>1.1568140417541912</v>
      </c>
      <c r="AT13">
        <f t="shared" ref="AT13" si="52">AT12*0.02</f>
        <v>1.1716236706321956</v>
      </c>
      <c r="AU13">
        <f t="shared" ref="AU13" si="53">AU12*0.02</f>
        <v>1.1864332995102</v>
      </c>
      <c r="AV13">
        <f t="shared" ref="AV13" si="54">AV12*0.02</f>
        <v>1.2012429283882045</v>
      </c>
      <c r="AW13">
        <f t="shared" ref="AW13" si="55">AW12*0.02</f>
        <v>1.2160525572662091</v>
      </c>
      <c r="AX13">
        <f t="shared" ref="AX13" si="56">AX12*0.02</f>
        <v>1.2308621861442135</v>
      </c>
      <c r="AY13">
        <f t="shared" ref="AY13" si="57">AY12*0.02</f>
        <v>1.2456718150222179</v>
      </c>
      <c r="AZ13">
        <f t="shared" ref="AZ13" si="58">AZ12*0.02</f>
        <v>1.2604814439002223</v>
      </c>
      <c r="BA13">
        <f t="shared" ref="BA13" si="59">BA12*0.02</f>
        <v>1.2752910727782267</v>
      </c>
      <c r="BB13">
        <f t="shared" ref="BB13" si="60">BB12*0.02</f>
        <v>1.2901007016562311</v>
      </c>
      <c r="BC13">
        <f t="shared" ref="BC13" si="61">BC12*0.02</f>
        <v>1.3049103305342358</v>
      </c>
      <c r="BD13">
        <f t="shared" ref="BD13" si="62">BD12*0.02</f>
        <v>1.3197199594122402</v>
      </c>
      <c r="BE13">
        <f t="shared" ref="BE13" si="63">BE12*0.02</f>
        <v>1.3345295882902446</v>
      </c>
      <c r="BF13">
        <f t="shared" ref="BF13" si="64">BF12*0.02</f>
        <v>1.349339217168249</v>
      </c>
      <c r="BG13">
        <f t="shared" ref="BG13" si="65">BG12*0.02</f>
        <v>1.3641488460462534</v>
      </c>
      <c r="BH13">
        <f t="shared" ref="BH13" si="66">BH12*0.02</f>
        <v>1.3789584749242578</v>
      </c>
      <c r="BI13">
        <f t="shared" ref="BI13" si="67">BI12*0.02</f>
        <v>1.3937681038022622</v>
      </c>
      <c r="BJ13">
        <f t="shared" ref="BJ13" si="68">BJ12*0.02</f>
        <v>1.4085777326802669</v>
      </c>
      <c r="BK13">
        <f t="shared" ref="BK13" si="69">BK12*0.02</f>
        <v>1.4233873615582713</v>
      </c>
      <c r="BL13">
        <f t="shared" ref="BL13" si="70">BL12*0.02</f>
        <v>1.4381969904362757</v>
      </c>
      <c r="BM13">
        <f t="shared" ref="BM13" si="71">BM12*0.02</f>
        <v>1.4530066193142801</v>
      </c>
      <c r="BN13">
        <f t="shared" ref="BN13" si="72">BN12*0.02</f>
        <v>1.4678162481922845</v>
      </c>
      <c r="BO13">
        <f t="shared" ref="BO13" si="73">BO12*0.02</f>
        <v>1.4826258770702889</v>
      </c>
      <c r="BP13">
        <f t="shared" ref="BP13" si="74">BP12*0.02</f>
        <v>1.4974355059482936</v>
      </c>
      <c r="BQ13">
        <f t="shared" ref="BQ13" si="75">BQ12*0.02</f>
        <v>1.512245134826298</v>
      </c>
      <c r="BR13">
        <f t="shared" ref="BR13" si="76">BR12*0.02</f>
        <v>1.5270547637043024</v>
      </c>
      <c r="BS13">
        <f t="shared" ref="BS13" si="77">BS12*0.02</f>
        <v>1.5418643925823068</v>
      </c>
      <c r="BT13">
        <f t="shared" ref="BT13" si="78">BT12*0.02</f>
        <v>1.5566740214603112</v>
      </c>
      <c r="BU13">
        <f t="shared" ref="BU13" si="79">BU12*0.02</f>
        <v>1.5714836503383156</v>
      </c>
      <c r="BV13">
        <f t="shared" ref="BV13" si="80">BV12*0.02</f>
        <v>1.5862932792163202</v>
      </c>
      <c r="BW13">
        <f t="shared" ref="BW13" si="81">BW12*0.02</f>
        <v>1.6011029080943247</v>
      </c>
      <c r="BX13">
        <f t="shared" ref="BX13" si="82">BX12*0.02</f>
        <v>1.6159125369723291</v>
      </c>
      <c r="BY13">
        <f t="shared" ref="BY13" si="83">BY12*0.02</f>
        <v>1.6307221658503335</v>
      </c>
      <c r="BZ13">
        <f t="shared" ref="BZ13" si="84">BZ12*0.02</f>
        <v>1.6455317947283379</v>
      </c>
      <c r="CA13">
        <f t="shared" ref="CA13" si="85">CA12*0.02</f>
        <v>1.6603414236063423</v>
      </c>
      <c r="CB13">
        <f t="shared" ref="CB13" si="86">CB12*0.02</f>
        <v>1.6751510524843469</v>
      </c>
      <c r="CC13">
        <f t="shared" ref="CC13" si="87">CC12*0.02</f>
        <v>1.6899606813623513</v>
      </c>
      <c r="CD13">
        <f t="shared" ref="CD13" si="88">CD12*0.02</f>
        <v>1.7047703102403557</v>
      </c>
      <c r="CE13">
        <f t="shared" ref="CE13" si="89">CE12*0.02</f>
        <v>1.7195799391183602</v>
      </c>
      <c r="CF13">
        <f t="shared" ref="CF13" si="90">CF12*0.02</f>
        <v>1.7343895679963646</v>
      </c>
      <c r="CG13">
        <f t="shared" ref="CG13" si="91">CG12*0.02</f>
        <v>1.749199196874369</v>
      </c>
      <c r="CH13">
        <f t="shared" ref="CH13" si="92">CH12*0.02</f>
        <v>1.7640088257523736</v>
      </c>
      <c r="CI13">
        <f t="shared" ref="CI13" si="93">CI12*0.02</f>
        <v>1.778818454630378</v>
      </c>
      <c r="CJ13">
        <f t="shared" ref="CJ13" si="94">CJ12*0.02</f>
        <v>1.7936280835083824</v>
      </c>
      <c r="CK13">
        <f t="shared" ref="CK13" si="95">CK12*0.02</f>
        <v>1.8084377123863868</v>
      </c>
      <c r="CL13">
        <f t="shared" ref="CL13" si="96">CL12*0.02</f>
        <v>1.8232473412643913</v>
      </c>
      <c r="CM13">
        <f t="shared" ref="CM13" si="97">CM12*0.02</f>
        <v>1.8380569701423957</v>
      </c>
      <c r="CN13">
        <f t="shared" ref="CN13" si="98">CN12*0.02</f>
        <v>1.8528665990204001</v>
      </c>
      <c r="CO13">
        <f t="shared" ref="CO13" si="99">CO12*0.02</f>
        <v>1.8676762278984047</v>
      </c>
      <c r="CP13">
        <f t="shared" ref="CP13" si="100">CP12*0.02</f>
        <v>1.8824858567764091</v>
      </c>
      <c r="CQ13">
        <f t="shared" ref="CQ13" si="101">CQ12*0.02</f>
        <v>1.8972954856544135</v>
      </c>
      <c r="CR13">
        <f t="shared" ref="CR13" si="102">CR12*0.02</f>
        <v>1.9121051145324179</v>
      </c>
      <c r="CS13">
        <f t="shared" ref="CS13" si="103">CS12*0.02</f>
        <v>1.9269147434104223</v>
      </c>
      <c r="CT13">
        <f t="shared" ref="CT13" si="104">CT12*0.02</f>
        <v>1.9417243722884268</v>
      </c>
      <c r="CU13">
        <f t="shared" ref="CU13" si="105">CU12*0.02</f>
        <v>1.9565340011664314</v>
      </c>
      <c r="CV13">
        <f t="shared" ref="CV13" si="106">CV12*0.02</f>
        <v>1.9713436300444358</v>
      </c>
      <c r="CW13">
        <f t="shared" ref="CW13" si="107">CW12*0.02</f>
        <v>1.9861532589224402</v>
      </c>
      <c r="CX13">
        <f t="shared" ref="CX13" si="108">CX12*0.02</f>
        <v>2.0009628878004446</v>
      </c>
      <c r="CY13">
        <f t="shared" ref="CY13" si="109">CY12*0.02</f>
        <v>2.015772516678449</v>
      </c>
      <c r="CZ13">
        <f t="shared" ref="CZ13" si="110">CZ12*0.02</f>
        <v>2.0305821455564534</v>
      </c>
      <c r="DA13">
        <f t="shared" ref="DA13" si="111">DA12*0.02</f>
        <v>2.0453917744344579</v>
      </c>
      <c r="DB13">
        <f t="shared" ref="DB13" si="112">DB12*0.02</f>
        <v>2.0602014033124623</v>
      </c>
      <c r="DC13">
        <f t="shared" ref="DC13" si="113">DC12*0.02</f>
        <v>2.0750110321904667</v>
      </c>
      <c r="DD13">
        <f t="shared" ref="DD13" si="114">DD12*0.02</f>
        <v>2.0898206610684715</v>
      </c>
      <c r="DE13">
        <f t="shared" ref="DE13" si="115">DE12*0.02</f>
        <v>2.1046302899464759</v>
      </c>
      <c r="DF13">
        <f t="shared" ref="DF13" si="116">DF12*0.02</f>
        <v>2.1194399188244804</v>
      </c>
      <c r="DG13">
        <f t="shared" ref="DG13" si="117">DG12*0.02</f>
        <v>2.1342495477024848</v>
      </c>
      <c r="DH13">
        <f t="shared" ref="DH13" si="118">DH12*0.02</f>
        <v>2.1490591765804892</v>
      </c>
      <c r="DI13">
        <f t="shared" ref="DI13" si="119">DI12*0.02</f>
        <v>2.1638688054584936</v>
      </c>
      <c r="DJ13">
        <f t="shared" ref="DJ13" si="120">DJ12*0.02</f>
        <v>2.178678434336498</v>
      </c>
      <c r="DK13">
        <f t="shared" ref="DK13" si="121">DK12*0.02</f>
        <v>2.1934880632145024</v>
      </c>
      <c r="DL13">
        <f t="shared" ref="DL13" si="122">DL12*0.02</f>
        <v>2.2082976920925068</v>
      </c>
      <c r="DM13">
        <f t="shared" ref="DM13" si="123">DM12*0.02</f>
        <v>2.2231073209705112</v>
      </c>
      <c r="DN13">
        <f t="shared" ref="DN13" si="124">DN12*0.02</f>
        <v>2.2379169498485156</v>
      </c>
      <c r="DO13">
        <f t="shared" ref="DO13" si="125">DO12*0.02</f>
        <v>2.25272657872652</v>
      </c>
      <c r="DP13">
        <f t="shared" ref="DP13" si="126">DP12*0.02</f>
        <v>2.2675362076045249</v>
      </c>
      <c r="DQ13">
        <f t="shared" ref="DQ13" si="127">DQ12*0.02</f>
        <v>2.2823458364825293</v>
      </c>
      <c r="DR13">
        <f t="shared" ref="DR13" si="128">DR12*0.02</f>
        <v>2.2971554653605337</v>
      </c>
      <c r="DS13">
        <f t="shared" ref="DS13" si="129">DS12*0.02</f>
        <v>2.3119650942385381</v>
      </c>
      <c r="DT13">
        <f t="shared" ref="DT13" si="130">DT12*0.02</f>
        <v>2.3267747231165425</v>
      </c>
      <c r="DU13">
        <f t="shared" ref="DU13" si="131">DU12*0.02</f>
        <v>2.341584351994547</v>
      </c>
      <c r="DV13">
        <f t="shared" ref="DV13" si="132">DV12*0.02</f>
        <v>2.3563939808725514</v>
      </c>
      <c r="DW13">
        <f t="shared" ref="DW13" si="133">DW12*0.02</f>
        <v>2.3712036097505558</v>
      </c>
      <c r="DX13">
        <f t="shared" ref="DX13" si="134">DX12*0.02</f>
        <v>2.3860132386285602</v>
      </c>
      <c r="DY13">
        <f t="shared" ref="DY13" si="135">DY12*0.02</f>
        <v>2.4008228675065646</v>
      </c>
      <c r="DZ13">
        <f t="shared" ref="DZ13" si="136">DZ12*0.02</f>
        <v>2.415632496384569</v>
      </c>
      <c r="EA13">
        <f t="shared" ref="EA13" si="137">EA12*0.02</f>
        <v>2.4304421252625734</v>
      </c>
      <c r="EB13">
        <f t="shared" ref="EB13" si="138">EB12*0.02</f>
        <v>2.4452517541405778</v>
      </c>
      <c r="EC13">
        <f t="shared" ref="EC13" si="139">EC12*0.02</f>
        <v>2.4600613830185827</v>
      </c>
      <c r="ED13">
        <f t="shared" ref="ED13" si="140">ED12*0.02</f>
        <v>2.4748710118965871</v>
      </c>
      <c r="EE13">
        <f t="shared" ref="EE13" si="141">EE12*0.02</f>
        <v>2.4896806407745915</v>
      </c>
      <c r="EF13">
        <f t="shared" ref="EF13" si="142">EF12*0.02</f>
        <v>2.5044902696525959</v>
      </c>
      <c r="EG13">
        <f t="shared" ref="EG13" si="143">EG12*0.02</f>
        <v>2.5192998985306003</v>
      </c>
      <c r="EH13">
        <f t="shared" ref="EH13" si="144">EH12*0.02</f>
        <v>2.5341095274086047</v>
      </c>
      <c r="EI13">
        <f t="shared" ref="EI13" si="145">EI12*0.02</f>
        <v>2.5489191562866091</v>
      </c>
      <c r="EJ13">
        <f t="shared" ref="EJ13" si="146">EJ12*0.02</f>
        <v>2.5637287851646136</v>
      </c>
      <c r="EK13">
        <f t="shared" ref="EK13" si="147">EK12*0.02</f>
        <v>2.578538414042618</v>
      </c>
      <c r="EL13">
        <f t="shared" ref="EL13" si="148">EL12*0.02</f>
        <v>2.5933480429206224</v>
      </c>
      <c r="EM13">
        <f t="shared" ref="EM13" si="149">EM12*0.02</f>
        <v>2.6081576717986268</v>
      </c>
      <c r="EN13">
        <f t="shared" ref="EN13" si="150">EN12*0.02</f>
        <v>2.6229673006766312</v>
      </c>
      <c r="EO13">
        <f t="shared" ref="EO13" si="151">EO12*0.02</f>
        <v>2.6377769295546361</v>
      </c>
      <c r="EP13">
        <f t="shared" ref="EP13" si="152">EP12*0.02</f>
        <v>2.6525865584326405</v>
      </c>
      <c r="EQ13">
        <f t="shared" ref="EQ13" si="153">EQ12*0.02</f>
        <v>2.6673961873106449</v>
      </c>
      <c r="ER13">
        <f t="shared" ref="ER13" si="154">ER12*0.02</f>
        <v>2.6822058161886493</v>
      </c>
      <c r="ES13">
        <f t="shared" ref="ES13" si="155">ES12*0.02</f>
        <v>2.6970154450666537</v>
      </c>
      <c r="ET13">
        <f t="shared" ref="ET13" si="156">ET12*0.02</f>
        <v>2.7118250739446581</v>
      </c>
      <c r="EU13">
        <f t="shared" ref="EU13" si="157">EU12*0.02</f>
        <v>2.7266347028226625</v>
      </c>
      <c r="EV13">
        <f t="shared" ref="EV13" si="158">EV12*0.02</f>
        <v>2.7414443317006669</v>
      </c>
      <c r="EW13">
        <f t="shared" ref="EW13" si="159">EW12*0.02</f>
        <v>2.7562539605786713</v>
      </c>
      <c r="EX13">
        <f t="shared" ref="EX13" si="160">EX12*0.02</f>
        <v>2.7710635894566757</v>
      </c>
      <c r="EY13">
        <f t="shared" ref="EY13" si="161">EY12*0.02</f>
        <v>2.7858732183346802</v>
      </c>
      <c r="EZ13">
        <f t="shared" ref="EZ13" si="162">EZ12*0.02</f>
        <v>2.8006828472126846</v>
      </c>
      <c r="FA13">
        <f t="shared" ref="FA13" si="163">FA12*0.02</f>
        <v>2.815492476090689</v>
      </c>
      <c r="FB13">
        <f t="shared" ref="FB13" si="164">FB12*0.02</f>
        <v>2.8303021049686938</v>
      </c>
      <c r="FC13">
        <f t="shared" ref="FC13" si="165">FC12*0.02</f>
        <v>2.8451117338466982</v>
      </c>
      <c r="FD13">
        <f t="shared" ref="FD13" si="166">FD12*0.02</f>
        <v>2.8599213627247027</v>
      </c>
      <c r="FE13">
        <f t="shared" ref="FE13" si="167">FE12*0.02</f>
        <v>2.8747309916027071</v>
      </c>
      <c r="FF13">
        <f t="shared" ref="FF13" si="168">FF12*0.02</f>
        <v>2.8895406204807115</v>
      </c>
      <c r="FG13">
        <f t="shared" ref="FG13" si="169">FG12*0.02</f>
        <v>2.9043502493587159</v>
      </c>
      <c r="FH13">
        <f t="shared" ref="FH13" si="170">FH12*0.02</f>
        <v>2.9191598782367203</v>
      </c>
      <c r="FI13">
        <f t="shared" ref="FI13" si="171">FI12*0.02</f>
        <v>2.9339695071147247</v>
      </c>
      <c r="FJ13">
        <f t="shared" ref="FJ13" si="172">FJ12*0.02</f>
        <v>2.9487791359927291</v>
      </c>
      <c r="FK13">
        <f t="shared" ref="FK13" si="173">FK12*0.02</f>
        <v>2.9635887648707335</v>
      </c>
      <c r="FL13">
        <f t="shared" ref="FL13" si="174">FL12*0.02</f>
        <v>2.9783983937487379</v>
      </c>
      <c r="FM13">
        <f t="shared" ref="FM13" si="175">FM12*0.02</f>
        <v>2.9932080226267423</v>
      </c>
      <c r="FN13">
        <f t="shared" ref="FN13" si="176">FN12*0.02</f>
        <v>3.0080176515047472</v>
      </c>
      <c r="FO13">
        <f t="shared" ref="FO13" si="177">FO12*0.02</f>
        <v>3.0228272803827516</v>
      </c>
      <c r="FP13">
        <f t="shared" ref="FP13" si="178">FP12*0.02</f>
        <v>3.037636909260756</v>
      </c>
      <c r="FQ13">
        <f t="shared" ref="FQ13" si="179">FQ12*0.02</f>
        <v>3.0524465381387604</v>
      </c>
      <c r="FR13">
        <f t="shared" ref="FR13" si="180">FR12*0.02</f>
        <v>3.0672561670167648</v>
      </c>
      <c r="FS13">
        <f t="shared" ref="FS13" si="181">FS12*0.02</f>
        <v>3.0820657958947693</v>
      </c>
      <c r="FT13">
        <f t="shared" ref="FT13" si="182">FT12*0.02</f>
        <v>3.0968754247727737</v>
      </c>
      <c r="FU13">
        <f t="shared" ref="FU13" si="183">FU12*0.02</f>
        <v>3.1116850536507781</v>
      </c>
      <c r="FV13">
        <f t="shared" ref="FV13" si="184">FV12*0.02</f>
        <v>3.1264946825287825</v>
      </c>
      <c r="FW13">
        <f t="shared" ref="FW13" si="185">FW12*0.02</f>
        <v>3.1413043114067869</v>
      </c>
      <c r="FX13">
        <f t="shared" ref="FX13" si="186">FX12*0.02</f>
        <v>3.1561139402847913</v>
      </c>
      <c r="FY13">
        <f t="shared" ref="FY13" si="187">FY12*0.02</f>
        <v>3.1709235691627957</v>
      </c>
      <c r="FZ13">
        <f t="shared" ref="FZ13" si="188">FZ12*0.02</f>
        <v>3.1857331980408006</v>
      </c>
      <c r="GA13">
        <f t="shared" ref="GA13" si="189">GA12*0.02</f>
        <v>3.200542826918805</v>
      </c>
      <c r="GB13">
        <f t="shared" ref="GB13" si="190">GB12*0.02</f>
        <v>3.2153524557968094</v>
      </c>
      <c r="GC13">
        <f t="shared" ref="GC13" si="191">GC12*0.02</f>
        <v>3.2301620846748138</v>
      </c>
      <c r="GD13">
        <f t="shared" ref="GD13" si="192">GD12*0.02</f>
        <v>3.2449717135528182</v>
      </c>
      <c r="GE13">
        <f t="shared" ref="GE13" si="193">GE12*0.02</f>
        <v>3.2597813424308226</v>
      </c>
      <c r="GF13">
        <f t="shared" ref="GF13" si="194">GF12*0.02</f>
        <v>3.274590971308827</v>
      </c>
      <c r="GG13">
        <f t="shared" ref="GG13" si="195">GG12*0.02</f>
        <v>3.2894006001868314</v>
      </c>
      <c r="GH13">
        <f t="shared" ref="GH13" si="196">GH12*0.02</f>
        <v>3.3042102290648359</v>
      </c>
      <c r="GI13">
        <f t="shared" ref="GI13" si="197">GI12*0.02</f>
        <v>3.3190198579428403</v>
      </c>
      <c r="GJ13">
        <f t="shared" ref="GJ13" si="198">GJ12*0.02</f>
        <v>3.3338294868208447</v>
      </c>
      <c r="GK13">
        <f t="shared" ref="GK13" si="199">GK12*0.02</f>
        <v>3.3486391156988491</v>
      </c>
      <c r="GL13">
        <f t="shared" ref="GL13" si="200">GL12*0.02</f>
        <v>3.3634487445768535</v>
      </c>
      <c r="GM13">
        <f t="shared" ref="GM13" si="201">GM12*0.02</f>
        <v>3.3782583734548584</v>
      </c>
      <c r="GN13">
        <f t="shared" ref="GN13" si="202">GN12*0.02</f>
        <v>3.3930680023328628</v>
      </c>
      <c r="GO13">
        <f t="shared" ref="GO13" si="203">GO12*0.02</f>
        <v>3.4078776312108672</v>
      </c>
      <c r="GP13">
        <f t="shared" ref="GP13" si="204">GP12*0.02</f>
        <v>3.4226872600888716</v>
      </c>
      <c r="GQ13">
        <f t="shared" ref="GQ13" si="205">GQ12*0.02</f>
        <v>3.437496888966876</v>
      </c>
      <c r="GR13">
        <f t="shared" ref="GR13" si="206">GR12*0.02</f>
        <v>3.4523065178448804</v>
      </c>
      <c r="GS13">
        <f t="shared" ref="GS13" si="207">GS12*0.02</f>
        <v>3.4671161467228848</v>
      </c>
      <c r="GT13">
        <f t="shared" ref="GT13" si="208">GT12*0.02</f>
        <v>3.4819257756008892</v>
      </c>
      <c r="GU13">
        <f t="shared" ref="GU13" si="209">GU12*0.02</f>
        <v>3.4967354044788936</v>
      </c>
      <c r="GV13">
        <f t="shared" ref="GV13" si="210">GV12*0.02</f>
        <v>3.511545033356898</v>
      </c>
      <c r="GW13">
        <f t="shared" ref="GW13" si="211">GW12*0.02</f>
        <v>3.5263546622349025</v>
      </c>
      <c r="GX13">
        <f t="shared" ref="GX13" si="212">GX12*0.02</f>
        <v>3.5411642911129069</v>
      </c>
      <c r="GY13">
        <f t="shared" ref="GY13" si="213">GY12*0.02</f>
        <v>3.5559739199909117</v>
      </c>
      <c r="GZ13">
        <f t="shared" ref="GZ13" si="214">GZ12*0.02</f>
        <v>3.5707835488689161</v>
      </c>
      <c r="HA13">
        <f t="shared" ref="HA13" si="215">HA12*0.02</f>
        <v>3.5855931777469205</v>
      </c>
      <c r="HB13">
        <f t="shared" ref="HB13" si="216">HB12*0.02</f>
        <v>3.600402806624925</v>
      </c>
      <c r="HC13">
        <f t="shared" ref="HC13" si="217">HC12*0.02</f>
        <v>3.6152124355029294</v>
      </c>
      <c r="HD13">
        <f t="shared" ref="HD13" si="218">HD12*0.02</f>
        <v>3.6300220643809338</v>
      </c>
      <c r="HE13">
        <f t="shared" ref="HE13" si="219">HE12*0.02</f>
        <v>3.6448316932589382</v>
      </c>
      <c r="HF13">
        <f t="shared" ref="HF13" si="220">HF12*0.02</f>
        <v>3.6596413221369426</v>
      </c>
      <c r="HG13">
        <f t="shared" ref="HG13" si="221">HG12*0.02</f>
        <v>3.674450951014947</v>
      </c>
      <c r="HH13">
        <f t="shared" ref="HH13" si="222">HH12*0.02</f>
        <v>3.6892605798929514</v>
      </c>
      <c r="HI13">
        <f t="shared" ref="HI13" si="223">HI12*0.02</f>
        <v>3.7040702087709558</v>
      </c>
      <c r="HJ13">
        <f t="shared" ref="HJ13" si="224">HJ12*0.02</f>
        <v>3.7188798376489602</v>
      </c>
      <c r="HK13">
        <f t="shared" ref="HK13" si="225">HK12*0.02</f>
        <v>3.7336894665269647</v>
      </c>
      <c r="HL13">
        <f t="shared" ref="HL13" si="226">HL12*0.02</f>
        <v>3.7484990954049695</v>
      </c>
      <c r="HM13">
        <f t="shared" ref="HM13" si="227">HM12*0.02</f>
        <v>3.7633087242829739</v>
      </c>
      <c r="HN13">
        <f t="shared" ref="HN13" si="228">HN12*0.02</f>
        <v>3.7781183531609783</v>
      </c>
      <c r="HO13">
        <f t="shared" ref="HO13" si="229">HO12*0.02</f>
        <v>3.7929279820389827</v>
      </c>
      <c r="HP13">
        <f t="shared" ref="HP13" si="230">HP12*0.02</f>
        <v>3.8077376109169871</v>
      </c>
      <c r="HQ13">
        <f t="shared" ref="HQ13" si="231">HQ12*0.02</f>
        <v>3.8225472397949916</v>
      </c>
      <c r="HR13">
        <f t="shared" ref="HR13" si="232">HR12*0.02</f>
        <v>3.837356868672996</v>
      </c>
      <c r="HS13">
        <f t="shared" ref="HS13" si="233">HS12*0.02</f>
        <v>3.8521664975510004</v>
      </c>
      <c r="HT13">
        <f t="shared" ref="HT13" si="234">HT12*0.02</f>
        <v>3.8669761264290048</v>
      </c>
      <c r="HU13">
        <f t="shared" ref="HU13" si="235">HU12*0.02</f>
        <v>3.8817857553070092</v>
      </c>
      <c r="HV13">
        <f t="shared" ref="HV13" si="236">HV12*0.02</f>
        <v>3.8965953841850136</v>
      </c>
      <c r="HW13">
        <f t="shared" ref="HW13" si="237">HW12*0.02</f>
        <v>3.911405013063018</v>
      </c>
      <c r="HX13">
        <f t="shared" ref="HX13" si="238">HX12*0.02</f>
        <v>3.9262146419410229</v>
      </c>
      <c r="HY13">
        <f t="shared" ref="HY13" si="239">HY12*0.02</f>
        <v>3.9410242708190273</v>
      </c>
      <c r="HZ13">
        <f t="shared" ref="HZ13" si="240">HZ12*0.02</f>
        <v>3.9558338996970317</v>
      </c>
      <c r="IA13">
        <f t="shared" ref="IA13" si="241">IA12*0.02</f>
        <v>3.9706435285750361</v>
      </c>
      <c r="IB13">
        <f t="shared" ref="IB13" si="242">IB12*0.02</f>
        <v>3.9854531574530405</v>
      </c>
      <c r="IC13">
        <f t="shared" ref="IC13" si="243">IC12*0.02</f>
        <v>4.0002627863310449</v>
      </c>
      <c r="ID13">
        <f t="shared" ref="ID13" si="244">ID12*0.02</f>
        <v>4.0150724152090493</v>
      </c>
      <c r="IE13">
        <f t="shared" ref="IE13" si="245">IE12*0.02</f>
        <v>4.0298820440870537</v>
      </c>
      <c r="IF13">
        <f t="shared" ref="IF13" si="246">IF12*0.02</f>
        <v>4.0446916729650582</v>
      </c>
      <c r="IG13">
        <f t="shared" ref="IG13" si="247">IG12*0.02</f>
        <v>4.0595013018430626</v>
      </c>
      <c r="IH13">
        <f t="shared" ref="IH13" si="248">IH12*0.02</f>
        <v>4.074310930721067</v>
      </c>
      <c r="II13">
        <f t="shared" ref="II13" si="249">II12*0.02</f>
        <v>4.0891205595990714</v>
      </c>
      <c r="IJ13">
        <f t="shared" ref="IJ13" si="250">IJ12*0.02</f>
        <v>4.1039301884770758</v>
      </c>
      <c r="IK13">
        <f t="shared" ref="IK13" si="251">IK12*0.02</f>
        <v>4.1187398173550802</v>
      </c>
      <c r="IL13">
        <f t="shared" ref="IL13" si="252">IL12*0.02</f>
        <v>4.1335494462330846</v>
      </c>
      <c r="IM13">
        <f t="shared" ref="IM13" si="253">IM12*0.02</f>
        <v>4.148359075111089</v>
      </c>
      <c r="IN13">
        <f t="shared" ref="IN13" si="254">IN12*0.02</f>
        <v>4.1631687039890934</v>
      </c>
      <c r="IO13">
        <f t="shared" ref="IO13" si="255">IO12*0.02</f>
        <v>4.1779783328670979</v>
      </c>
      <c r="IP13">
        <f t="shared" ref="IP13" si="256">IP12*0.02</f>
        <v>4.1927879617451023</v>
      </c>
      <c r="IQ13">
        <f t="shared" ref="IQ13" si="257">IQ12*0.02</f>
        <v>4.2075975906231076</v>
      </c>
      <c r="IR13">
        <f t="shared" ref="IR13" si="258">IR12*0.02</f>
        <v>4.222407219501112</v>
      </c>
      <c r="IS13">
        <f t="shared" ref="IS13" si="259">IS12*0.02</f>
        <v>4.2372168483791164</v>
      </c>
      <c r="IT13">
        <f t="shared" ref="IT13" si="260">IT12*0.02</f>
        <v>4.2520264772571208</v>
      </c>
      <c r="IU13">
        <f t="shared" ref="IU13" si="261">IU12*0.02</f>
        <v>4.2668361061351252</v>
      </c>
      <c r="IV13">
        <f t="shared" ref="IV13" si="262">IV12*0.02</f>
        <v>4.2816457350131296</v>
      </c>
      <c r="IW13">
        <f t="shared" ref="IW13" si="263">IW12*0.02</f>
        <v>4.296455363891134</v>
      </c>
      <c r="IX13">
        <f t="shared" ref="IX13" si="264">IX12*0.02</f>
        <v>4.3112649927691384</v>
      </c>
      <c r="IY13">
        <f t="shared" ref="IY13" si="265">IY12*0.02</f>
        <v>4.3260746216471428</v>
      </c>
      <c r="IZ13">
        <f t="shared" ref="IZ13" si="266">IZ12*0.02</f>
        <v>4.3408842505251473</v>
      </c>
      <c r="JA13">
        <f t="shared" ref="JA13" si="267">JA12*0.02</f>
        <v>4.3556938794031517</v>
      </c>
      <c r="JB13">
        <f t="shared" ref="JB13" si="268">JB12*0.02</f>
        <v>4.3705035082811561</v>
      </c>
      <c r="JC13">
        <f t="shared" ref="JC13" si="269">JC12*0.02</f>
        <v>4.3853131371591605</v>
      </c>
      <c r="JD13">
        <f t="shared" ref="JD13" si="270">JD12*0.02</f>
        <v>4.4001227660371649</v>
      </c>
      <c r="JE13">
        <f t="shared" ref="JE13" si="271">JE12*0.02</f>
        <v>4.4149323949151693</v>
      </c>
      <c r="JF13">
        <f t="shared" ref="JF13" si="272">JF12*0.02</f>
        <v>4.4297420237931737</v>
      </c>
      <c r="JG13">
        <f t="shared" ref="JG13" si="273">JG12*0.02</f>
        <v>4.4445516526711781</v>
      </c>
      <c r="JH13">
        <f t="shared" ref="JH13" si="274">JH12*0.02</f>
        <v>4.4593612815491825</v>
      </c>
      <c r="JI13">
        <f t="shared" ref="JI13" si="275">JI12*0.02</f>
        <v>4.474170910427187</v>
      </c>
      <c r="JJ13">
        <f t="shared" ref="JJ13" si="276">JJ12*0.02</f>
        <v>4.4889805393051914</v>
      </c>
      <c r="JK13">
        <f t="shared" ref="JK13" si="277">JK12*0.02</f>
        <v>4.5037901681831958</v>
      </c>
      <c r="JL13">
        <f t="shared" ref="JL13" si="278">JL12*0.02</f>
        <v>4.5185997970612002</v>
      </c>
      <c r="JM13">
        <f t="shared" ref="JM13" si="279">JM12*0.02</f>
        <v>4.5334094259392046</v>
      </c>
      <c r="JN13">
        <f t="shared" ref="JN13" si="280">JN12*0.02</f>
        <v>4.548219054817209</v>
      </c>
      <c r="JO13">
        <f t="shared" ref="JO13" si="281">JO12*0.02</f>
        <v>4.5630286836952143</v>
      </c>
      <c r="JP13">
        <f t="shared" ref="JP13" si="282">JP12*0.02</f>
        <v>4.5778383125732187</v>
      </c>
      <c r="JQ13">
        <f t="shared" ref="JQ13" si="283">JQ12*0.02</f>
        <v>4.5926479414512231</v>
      </c>
      <c r="JR13">
        <f t="shared" ref="JR13" si="284">JR12*0.02</f>
        <v>4.6074575703292275</v>
      </c>
      <c r="JS13">
        <f t="shared" ref="JS13" si="285">JS12*0.02</f>
        <v>4.6222671992072319</v>
      </c>
      <c r="JT13">
        <f t="shared" ref="JT13" si="286">JT12*0.02</f>
        <v>4.6370768280852364</v>
      </c>
      <c r="JU13">
        <f t="shared" ref="JU13" si="287">JU12*0.02</f>
        <v>4.6518864569632408</v>
      </c>
      <c r="JV13">
        <f t="shared" ref="JV13" si="288">JV12*0.02</f>
        <v>4.6666960858412452</v>
      </c>
      <c r="JW13">
        <f t="shared" ref="JW13" si="289">JW12*0.02</f>
        <v>4.6815057147192496</v>
      </c>
      <c r="JX13">
        <f t="shared" ref="JX13" si="290">JX12*0.02</f>
        <v>4.696315343597254</v>
      </c>
      <c r="JY13">
        <f t="shared" ref="JY13" si="291">JY12*0.02</f>
        <v>4.7111249724752584</v>
      </c>
      <c r="JZ13">
        <f t="shared" ref="JZ13" si="292">JZ12*0.02</f>
        <v>4.7259346013532628</v>
      </c>
      <c r="KA13">
        <f t="shared" ref="KA13" si="293">KA12*0.02</f>
        <v>4.7407442302312672</v>
      </c>
      <c r="KB13">
        <f t="shared" ref="KB13" si="294">KB12*0.02</f>
        <v>4.7555538591092716</v>
      </c>
      <c r="KC13">
        <f t="shared" ref="KC13" si="295">KC12*0.02</f>
        <v>4.7703634879872761</v>
      </c>
      <c r="KD13">
        <f t="shared" ref="KD13" si="296">KD12*0.02</f>
        <v>4.7851731168652805</v>
      </c>
      <c r="KE13">
        <f t="shared" ref="KE13" si="297">KE12*0.02</f>
        <v>4.7999827457432849</v>
      </c>
      <c r="KF13">
        <f t="shared" ref="KF13" si="298">KF12*0.02</f>
        <v>4.8147923746212893</v>
      </c>
      <c r="KG13">
        <f t="shared" ref="KG13" si="299">KG12*0.02</f>
        <v>4.8296020034992937</v>
      </c>
      <c r="KH13">
        <f t="shared" ref="KH13" si="300">KH12*0.02</f>
        <v>4.8444116323772981</v>
      </c>
      <c r="KI13">
        <f t="shared" ref="KI13" si="301">KI12*0.02</f>
        <v>4.8592212612553025</v>
      </c>
      <c r="KJ13">
        <f t="shared" ref="KJ13" si="302">KJ12*0.02</f>
        <v>4.8740308901333069</v>
      </c>
      <c r="KK13">
        <f t="shared" ref="KK13" si="303">KK12*0.02</f>
        <v>4.8888405190113113</v>
      </c>
      <c r="KL13">
        <f t="shared" ref="KL13" si="304">KL12*0.02</f>
        <v>4.9036501478893157</v>
      </c>
      <c r="KM13">
        <f t="shared" ref="KM13" si="305">KM12*0.02</f>
        <v>4.9184597767673202</v>
      </c>
      <c r="KN13">
        <f t="shared" ref="KN13" si="306">KN12*0.02</f>
        <v>4.9332694056453255</v>
      </c>
      <c r="KO13">
        <f t="shared" ref="KO13" si="307">KO12*0.02</f>
        <v>4.9480790345233299</v>
      </c>
      <c r="KP13">
        <f t="shared" ref="KP13" si="308">KP12*0.02</f>
        <v>4.9628886634013343</v>
      </c>
      <c r="KQ13">
        <f t="shared" ref="KQ13" si="309">KQ12*0.02</f>
        <v>4.9776982922793387</v>
      </c>
      <c r="KR13">
        <f t="shared" ref="KR13" si="310">KR12*0.02</f>
        <v>4.9925079211573431</v>
      </c>
      <c r="KS13">
        <f t="shared" ref="KS13" si="311">KS12*0.02</f>
        <v>5.0073175500353475</v>
      </c>
      <c r="KT13">
        <f t="shared" ref="KT13" si="312">KT12*0.02</f>
        <v>5.0221271789133519</v>
      </c>
      <c r="KU13">
        <f t="shared" ref="KU13" si="313">KU12*0.02</f>
        <v>5.0369368077913563</v>
      </c>
      <c r="KV13">
        <f t="shared" ref="KV13" si="314">KV12*0.02</f>
        <v>5.0517464366693607</v>
      </c>
      <c r="KW13">
        <f t="shared" ref="KW13" si="315">KW12*0.02</f>
        <v>5.0665560655473652</v>
      </c>
      <c r="KX13">
        <f t="shared" ref="KX13" si="316">KX12*0.02</f>
        <v>5.0813656944253696</v>
      </c>
      <c r="KY13">
        <f t="shared" ref="KY13" si="317">KY12*0.02</f>
        <v>5.096175323303374</v>
      </c>
      <c r="KZ13">
        <f t="shared" ref="KZ13" si="318">KZ12*0.02</f>
        <v>5.1109849521813784</v>
      </c>
      <c r="LA13">
        <f t="shared" ref="LA13" si="319">LA12*0.02</f>
        <v>5.1257945810593837</v>
      </c>
      <c r="LB13">
        <f t="shared" ref="LB13" si="320">LB12*0.02</f>
        <v>5.1406042099373881</v>
      </c>
      <c r="LC13">
        <f t="shared" ref="LC13" si="321">LC12*0.02</f>
        <v>5.1554138388153934</v>
      </c>
      <c r="LD13">
        <f t="shared" ref="LD13" si="322">LD12*0.02</f>
        <v>5.1702234676933987</v>
      </c>
      <c r="LE13">
        <f t="shared" ref="LE13" si="323">LE12*0.02</f>
        <v>5.1850330965714031</v>
      </c>
      <c r="LF13">
        <f t="shared" ref="LF13" si="324">LF12*0.02</f>
        <v>5.1998427254494084</v>
      </c>
      <c r="LG13">
        <f t="shared" ref="LG13" si="325">LG12*0.02</f>
        <v>5.2146523543274137</v>
      </c>
      <c r="LH13">
        <f t="shared" ref="LH13" si="326">LH12*0.02</f>
        <v>5.2294619832054181</v>
      </c>
      <c r="LI13">
        <f t="shared" ref="LI13" si="327">LI12*0.02</f>
        <v>5.2442716120834234</v>
      </c>
      <c r="LJ13">
        <f t="shared" ref="LJ13" si="328">LJ12*0.02</f>
        <v>5.2590812409614287</v>
      </c>
      <c r="LK13">
        <f t="shared" ref="LK13" si="329">LK12*0.02</f>
        <v>5.2738908698394331</v>
      </c>
      <c r="LL13">
        <f t="shared" ref="LL13" si="330">LL12*0.02</f>
        <v>5.2887004987174384</v>
      </c>
      <c r="LM13">
        <f t="shared" ref="LM13" si="331">LM12*0.02</f>
        <v>5.3035101275954437</v>
      </c>
      <c r="LN13">
        <f t="shared" ref="LN13" si="332">LN12*0.02</f>
        <v>5.318319756473449</v>
      </c>
      <c r="LO13">
        <f t="shared" ref="LO13" si="333">LO12*0.02</f>
        <v>5.3331293853514534</v>
      </c>
      <c r="LP13">
        <f t="shared" ref="LP13" si="334">LP12*0.02</f>
        <v>5.3479390142294587</v>
      </c>
      <c r="LQ13">
        <f t="shared" ref="LQ13" si="335">LQ12*0.02</f>
        <v>5.362748643107464</v>
      </c>
      <c r="LR13">
        <f t="shared" ref="LR13" si="336">LR12*0.02</f>
        <v>5.3775582719854684</v>
      </c>
      <c r="LS13">
        <f t="shared" ref="LS13" si="337">LS12*0.02</f>
        <v>5.3923679008634737</v>
      </c>
      <c r="LT13">
        <f t="shared" ref="LT13" si="338">LT12*0.02</f>
        <v>5.407177529741479</v>
      </c>
      <c r="LU13">
        <f t="shared" ref="LU13" si="339">LU12*0.02</f>
        <v>5.4219871586194834</v>
      </c>
      <c r="LV13">
        <f t="shared" ref="LV13" si="340">LV12*0.02</f>
        <v>5.4367967874974887</v>
      </c>
      <c r="LW13">
        <f t="shared" ref="LW13" si="341">LW12*0.02</f>
        <v>5.451606416375494</v>
      </c>
      <c r="LX13">
        <f t="shared" ref="LX13" si="342">LX12*0.02</f>
        <v>5.4664160452534984</v>
      </c>
      <c r="LY13">
        <f t="shared" ref="LY13" si="343">LY12*0.02</f>
        <v>5.4812256741315037</v>
      </c>
      <c r="LZ13">
        <f t="shared" ref="LZ13" si="344">LZ12*0.02</f>
        <v>5.496035303009509</v>
      </c>
      <c r="MA13">
        <f t="shared" ref="MA13" si="345">MA12*0.02</f>
        <v>5.5108449318875135</v>
      </c>
      <c r="MB13">
        <f t="shared" ref="MB13" si="346">MB12*0.02</f>
        <v>5.5256545607655188</v>
      </c>
      <c r="MC13">
        <f t="shared" ref="MC13" si="347">MC12*0.02</f>
        <v>5.5404641896435241</v>
      </c>
      <c r="MD13">
        <f t="shared" ref="MD13" si="348">MD12*0.02</f>
        <v>5.5552738185215285</v>
      </c>
      <c r="ME13">
        <f t="shared" ref="ME13" si="349">ME12*0.02</f>
        <v>5.5700834473995338</v>
      </c>
      <c r="MF13">
        <f t="shared" ref="MF13" si="350">MF12*0.02</f>
        <v>5.5848930762775391</v>
      </c>
      <c r="MG13">
        <f t="shared" ref="MG13" si="351">MG12*0.02</f>
        <v>5.5997027051555435</v>
      </c>
      <c r="MH13">
        <f t="shared" ref="MH13" si="352">MH12*0.02</f>
        <v>5.6145123340335488</v>
      </c>
      <c r="MI13">
        <f t="shared" ref="MI13" si="353">MI12*0.02</f>
        <v>5.6293219629115541</v>
      </c>
      <c r="MJ13">
        <f t="shared" ref="MJ13" si="354">MJ12*0.02</f>
        <v>5.6441315917895585</v>
      </c>
      <c r="MK13">
        <f t="shared" ref="MK13" si="355">MK12*0.02</f>
        <v>5.6589412206675638</v>
      </c>
      <c r="ML13">
        <f t="shared" ref="ML13" si="356">ML12*0.02</f>
        <v>5.6737508495455691</v>
      </c>
      <c r="MM13">
        <f t="shared" ref="MM13" si="357">MM12*0.02</f>
        <v>5.6885604784235744</v>
      </c>
      <c r="MN13">
        <f t="shared" ref="MN13" si="358">MN12*0.02</f>
        <v>5.7033701073015788</v>
      </c>
      <c r="MO13">
        <f t="shared" ref="MO13" si="359">MO12*0.02</f>
        <v>5.7181797361795841</v>
      </c>
      <c r="MP13">
        <f t="shared" ref="MP13" si="360">MP12*0.02</f>
        <v>5.7329893650575894</v>
      </c>
      <c r="MQ13">
        <f t="shared" ref="MQ13" si="361">MQ12*0.02</f>
        <v>5.7477989939355938</v>
      </c>
      <c r="MR13">
        <f t="shared" ref="MR13" si="362">MR12*0.02</f>
        <v>5.7626086228135991</v>
      </c>
      <c r="MS13">
        <f t="shared" ref="MS13" si="363">MS12*0.02</f>
        <v>5.7774182516916044</v>
      </c>
      <c r="MT13">
        <f t="shared" ref="MT13" si="364">MT12*0.02</f>
        <v>5.7922278805696088</v>
      </c>
      <c r="MU13">
        <f t="shared" ref="MU13" si="365">MU12*0.02</f>
        <v>5.8070375094476141</v>
      </c>
      <c r="MV13">
        <f t="shared" ref="MV13" si="366">MV12*0.02</f>
        <v>5.8218471383256194</v>
      </c>
      <c r="MW13">
        <f t="shared" ref="MW13" si="367">MW12*0.02</f>
        <v>5.8366567672036238</v>
      </c>
      <c r="MX13">
        <f t="shared" ref="MX13" si="368">MX12*0.02</f>
        <v>5.8514663960816291</v>
      </c>
      <c r="MY13">
        <f t="shared" ref="MY13" si="369">MY12*0.02</f>
        <v>5.8662760249596344</v>
      </c>
      <c r="MZ13">
        <f t="shared" ref="MZ13" si="370">MZ12*0.02</f>
        <v>5.8810856538376388</v>
      </c>
      <c r="NA13">
        <f t="shared" ref="NA13" si="371">NA12*0.02</f>
        <v>5.8958952827156441</v>
      </c>
      <c r="NB13">
        <f t="shared" ref="NB13" si="372">NB12*0.02</f>
        <v>5.9107049115936494</v>
      </c>
    </row>
    <row r="15" spans="1:366" x14ac:dyDescent="0.45">
      <c r="A15" t="s">
        <v>1316</v>
      </c>
      <c r="B15">
        <f>SUM(B13:NB13)</f>
        <v>1173.6036463658361</v>
      </c>
      <c r="C15">
        <f>B12/(B15/365)</f>
        <v>8.086205278406041</v>
      </c>
      <c r="D15">
        <v>26</v>
      </c>
    </row>
    <row r="16" spans="1:366" x14ac:dyDescent="0.45">
      <c r="A16" t="s">
        <v>1250</v>
      </c>
      <c r="B16">
        <f>B15*0.7</f>
        <v>821.52255245608524</v>
      </c>
      <c r="C16">
        <f>(B15/365)/B12</f>
        <v>0.1236674021460312</v>
      </c>
      <c r="D16">
        <v>0.74048144390022275</v>
      </c>
      <c r="MV16">
        <f>(554-NB12)/((365*5)-(365*3))</f>
        <v>0.35406130742509251</v>
      </c>
    </row>
    <row r="18" spans="1:360" x14ac:dyDescent="0.45">
      <c r="A18" t="s">
        <v>1317</v>
      </c>
      <c r="B18">
        <v>150</v>
      </c>
      <c r="MV18">
        <v>537.40257253212928</v>
      </c>
    </row>
    <row r="19" spans="1:360" x14ac:dyDescent="0.45">
      <c r="A19" t="s">
        <v>1318</v>
      </c>
      <c r="B19">
        <f>B15*B18</f>
        <v>176040.5469548754</v>
      </c>
    </row>
    <row r="20" spans="1:360" x14ac:dyDescent="0.45">
      <c r="A20" t="s">
        <v>1319</v>
      </c>
      <c r="B20">
        <f>B19/1000</f>
        <v>176.0405469548754</v>
      </c>
    </row>
    <row r="22" spans="1:360" x14ac:dyDescent="0.45">
      <c r="A22">
        <v>0.43268436179949382</v>
      </c>
    </row>
    <row r="23" spans="1:360" x14ac:dyDescent="0.45">
      <c r="A23">
        <v>295.53524557968109</v>
      </c>
    </row>
    <row r="25" spans="1:360" x14ac:dyDescent="0.45">
      <c r="B25">
        <v>0.43268436179949382</v>
      </c>
    </row>
    <row r="26" spans="1:360" x14ac:dyDescent="0.45">
      <c r="B26">
        <v>295.53524557968109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Legend</vt:lpstr>
      <vt:lpstr>Baseline_crop_data</vt:lpstr>
      <vt:lpstr>Environmental data</vt:lpstr>
      <vt:lpstr>Baseline_biogas_production</vt:lpstr>
      <vt:lpstr>Basline_manure_data</vt:lpstr>
      <vt:lpstr>3 cut Silage data</vt:lpstr>
      <vt:lpstr>Financial data Palopuro Baselin</vt:lpstr>
      <vt:lpstr>Suckler cow system</vt:lpstr>
      <vt:lpstr>Sheet1</vt:lpstr>
      <vt:lpstr>Replacement rate Diagram</vt:lpstr>
      <vt:lpstr>Eco</vt:lpstr>
      <vt:lpstr>Eco_brew</vt:lpstr>
      <vt:lpstr>Fin</vt:lpstr>
      <vt:lpstr>Fin_brew</vt:lpstr>
      <vt:lpstr>Constraints and DVs</vt:lpstr>
      <vt:lpstr>Optimisations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Hookey, Millie</dc:creator>
  <cp:lastModifiedBy>Hookey, Millie</cp:lastModifiedBy>
  <cp:lastPrinted>2023-12-06T14:14:09Z</cp:lastPrinted>
  <dcterms:created xsi:type="dcterms:W3CDTF">2023-09-21T12:34:46Z</dcterms:created>
  <dcterms:modified xsi:type="dcterms:W3CDTF">2024-01-03T14:26:16Z</dcterms:modified>
</cp:coreProperties>
</file>