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claussiegaard/Downloads/2021-2022/WIP/"/>
    </mc:Choice>
  </mc:AlternateContent>
  <xr:revisionPtr revIDLastSave="0" documentId="13_ncr:1_{2F6E3A24-29CA-6F47-BD7D-3896CC48CCD0}" xr6:coauthVersionLast="47" xr6:coauthVersionMax="47" xr10:uidLastSave="{00000000-0000-0000-0000-000000000000}"/>
  <bookViews>
    <workbookView xWindow="0" yWindow="660" windowWidth="30240" windowHeight="18980" xr2:uid="{294E67F4-75F5-4812-9373-6C30F4795D91}"/>
  </bookViews>
  <sheets>
    <sheet name="External Prices" sheetId="26" r:id="rId1"/>
    <sheet name="Internal Sales price" sheetId="2" r:id="rId2"/>
    <sheet name="Rules" sheetId="25" r:id="rId3"/>
    <sheet name="Cost prices" sheetId="23" r:id="rId4"/>
    <sheet name="Cost tables" sheetId="31" r:id="rId5"/>
    <sheet name="Margins" sheetId="28" r:id="rId6"/>
    <sheet name="Unit parts" sheetId="24" r:id="rId7"/>
    <sheet name="Logistics" sheetId="21" r:id="rId8"/>
    <sheet name="Price Split Quote" sheetId="29" r:id="rId9"/>
    <sheet name="Finance model" sheetId="30" r:id="rId10"/>
    <sheet name="AL details" sheetId="32" r:id="rId11"/>
    <sheet name="Promo24" sheetId="33" r:id="rId12"/>
    <sheet name="GPT prices" sheetId="34" r:id="rId13"/>
  </sheets>
  <definedNames>
    <definedName name="_xlnm._FilterDatabase" localSheetId="0" hidden="1">'External Prices'!$R$31:$V$31</definedName>
    <definedName name="FOOT_BRAND" comment="FOR TANKS, ETC">Rules!$I$49:$I$51</definedName>
    <definedName name="NO_NAME_CN">Rules!$I$54:$I$56</definedName>
    <definedName name="SITE_GLASS">Rules!$I$54:$I$56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31" l="1"/>
  <c r="AB197" i="2"/>
  <c r="AB177" i="2"/>
  <c r="AB189" i="2"/>
  <c r="AB187" i="2"/>
  <c r="AB188" i="2"/>
  <c r="Z187" i="2"/>
  <c r="AB164" i="2"/>
  <c r="C443" i="23"/>
  <c r="C433" i="23"/>
  <c r="D433" i="23" s="1"/>
  <c r="E42" i="23"/>
  <c r="E43" i="23"/>
  <c r="E44" i="23"/>
  <c r="E45" i="23"/>
  <c r="G43" i="23"/>
  <c r="G44" i="23"/>
  <c r="G45" i="23"/>
  <c r="G42" i="23"/>
  <c r="G34" i="23"/>
  <c r="G35" i="23"/>
  <c r="G36" i="23"/>
  <c r="G37" i="23"/>
  <c r="G38" i="23"/>
  <c r="G39" i="23"/>
  <c r="G30" i="23"/>
  <c r="G31" i="23"/>
  <c r="G32" i="23"/>
  <c r="G33" i="23"/>
  <c r="C218" i="23"/>
  <c r="D218" i="23" s="1"/>
  <c r="H218" i="23" s="1"/>
  <c r="V80" i="2" s="1"/>
  <c r="C213" i="23"/>
  <c r="D213" i="23" s="1"/>
  <c r="H213" i="23" s="1"/>
  <c r="C214" i="23"/>
  <c r="D214" i="23" s="1"/>
  <c r="H214" i="23" s="1"/>
  <c r="C215" i="23"/>
  <c r="D215" i="23" s="1"/>
  <c r="H215" i="23" s="1"/>
  <c r="C216" i="23"/>
  <c r="D216" i="23" s="1"/>
  <c r="H216" i="23" s="1"/>
  <c r="V78" i="2" s="1"/>
  <c r="C217" i="23"/>
  <c r="D217" i="23" s="1"/>
  <c r="H217" i="23" s="1"/>
  <c r="C212" i="23"/>
  <c r="D212" i="23" s="1"/>
  <c r="C210" i="23"/>
  <c r="R257" i="2"/>
  <c r="R256" i="2"/>
  <c r="R212" i="2"/>
  <c r="R211" i="2"/>
  <c r="R209" i="2"/>
  <c r="V210" i="2"/>
  <c r="V209" i="2"/>
  <c r="H42" i="23" l="1"/>
  <c r="H43" i="23"/>
  <c r="H44" i="23"/>
  <c r="H45" i="23"/>
  <c r="V79" i="2"/>
  <c r="X79" i="2"/>
  <c r="R86" i="2"/>
  <c r="X75" i="2"/>
  <c r="R87" i="2"/>
  <c r="X76" i="2"/>
  <c r="P73" i="2"/>
  <c r="L73" i="2"/>
  <c r="V74" i="2"/>
  <c r="L74" i="2"/>
  <c r="V82" i="2"/>
  <c r="P74" i="2"/>
  <c r="V83" i="2"/>
  <c r="X74" i="2"/>
  <c r="V75" i="2"/>
  <c r="P86" i="2"/>
  <c r="V76" i="2"/>
  <c r="P87" i="2"/>
  <c r="X78" i="2"/>
  <c r="R74" i="2"/>
  <c r="Z74" i="2"/>
  <c r="Z171" i="2"/>
  <c r="Z163" i="2"/>
  <c r="Z164" i="2"/>
  <c r="Z160" i="2"/>
  <c r="AK160" i="2"/>
  <c r="Z72" i="2"/>
  <c r="H212" i="23"/>
  <c r="R59" i="2" s="1"/>
  <c r="C204" i="23"/>
  <c r="C435" i="23"/>
  <c r="C445" i="23"/>
  <c r="Z54" i="2"/>
  <c r="Z53" i="2"/>
  <c r="Z50" i="2"/>
  <c r="G245" i="23"/>
  <c r="G246" i="23"/>
  <c r="G247" i="23"/>
  <c r="G244" i="23"/>
  <c r="AE43" i="2" a="1"/>
  <c r="AE43" i="2" s="1"/>
  <c r="AF43" i="2" a="1"/>
  <c r="AF43" i="2" s="1"/>
  <c r="AE44" i="2" a="1"/>
  <c r="AE44" i="2" s="1"/>
  <c r="AF44" i="2" a="1"/>
  <c r="AF44" i="2" s="1"/>
  <c r="AD44" i="2" a="1"/>
  <c r="AD44" i="2" s="1"/>
  <c r="AD43" i="2" a="1"/>
  <c r="AD43" i="2" s="1"/>
  <c r="AO50" i="2"/>
  <c r="D179" i="23" l="1"/>
  <c r="H179" i="23" s="1"/>
  <c r="AC19" i="26"/>
  <c r="C247" i="23"/>
  <c r="D247" i="23" s="1"/>
  <c r="H247" i="23" s="1"/>
  <c r="AO49" i="2" s="1"/>
  <c r="C246" i="23"/>
  <c r="AH56" i="25"/>
  <c r="X56" i="25"/>
  <c r="Z197" i="2" l="1"/>
  <c r="X197" i="2"/>
  <c r="R197" i="2"/>
  <c r="P197" i="2"/>
  <c r="N197" i="2"/>
  <c r="L197" i="2"/>
  <c r="AD197" i="2"/>
  <c r="AP197" i="2"/>
  <c r="AQ197" i="2"/>
  <c r="AO197" i="2"/>
  <c r="AL197" i="2"/>
  <c r="AM197" i="2"/>
  <c r="AK197" i="2"/>
  <c r="AI197" i="2"/>
  <c r="AH197" i="2"/>
  <c r="AE197" i="2"/>
  <c r="AF197" i="2"/>
  <c r="AD72" i="2"/>
  <c r="L25" i="2"/>
  <c r="C444" i="23"/>
  <c r="D444" i="23" s="1"/>
  <c r="D443" i="23"/>
  <c r="D450" i="23"/>
  <c r="D449" i="23"/>
  <c r="D448" i="23"/>
  <c r="C447" i="23"/>
  <c r="D447" i="23" s="1"/>
  <c r="D446" i="23"/>
  <c r="D445" i="23"/>
  <c r="D423" i="23"/>
  <c r="H423" i="23" s="1"/>
  <c r="AI72" i="2"/>
  <c r="AH72" i="2"/>
  <c r="AE72" i="2"/>
  <c r="AF72" i="2"/>
  <c r="AQ72" i="2"/>
  <c r="AM72" i="2"/>
  <c r="AK72" i="2"/>
  <c r="AC18" i="26"/>
  <c r="D245" i="23"/>
  <c r="H245" i="23" s="1"/>
  <c r="AO48" i="2" s="1"/>
  <c r="D246" i="23"/>
  <c r="H246" i="23" s="1"/>
  <c r="D244" i="23"/>
  <c r="H244" i="23" s="1"/>
  <c r="P48" i="2" s="1"/>
  <c r="AD66" i="2"/>
  <c r="BL25" i="2" l="1"/>
  <c r="L48" i="2"/>
  <c r="AE48" i="2"/>
  <c r="AF48" i="2"/>
  <c r="X48" i="2"/>
  <c r="AD48" i="2"/>
  <c r="N48" i="2"/>
  <c r="R48" i="2"/>
  <c r="D429" i="23"/>
  <c r="H442" i="23"/>
  <c r="BE25" i="2"/>
  <c r="N25" i="2"/>
  <c r="P25" i="2"/>
  <c r="R25" i="2"/>
  <c r="D138" i="23"/>
  <c r="H138" i="23" s="1"/>
  <c r="D137" i="23"/>
  <c r="H137" i="23" s="1"/>
  <c r="D136" i="23"/>
  <c r="H136" i="23" s="1"/>
  <c r="D135" i="23"/>
  <c r="H135" i="23" s="1"/>
  <c r="G251" i="23"/>
  <c r="G252" i="23"/>
  <c r="G253" i="23"/>
  <c r="G254" i="23"/>
  <c r="G255" i="23"/>
  <c r="G256" i="23"/>
  <c r="G257" i="23"/>
  <c r="G258" i="23"/>
  <c r="G259" i="23"/>
  <c r="G250" i="23"/>
  <c r="D88" i="23"/>
  <c r="D87" i="23"/>
  <c r="D86" i="23"/>
  <c r="D85" i="23"/>
  <c r="D17" i="23"/>
  <c r="D16" i="23"/>
  <c r="D15" i="23"/>
  <c r="H84" i="23" l="1"/>
  <c r="D313" i="23"/>
  <c r="D311" i="23"/>
  <c r="D59" i="23"/>
  <c r="H59" i="23" s="1"/>
  <c r="AS27" i="2" s="1"/>
  <c r="H15" i="23"/>
  <c r="D14" i="23"/>
  <c r="AC36" i="26"/>
  <c r="AK50" i="2"/>
  <c r="AK53" i="2"/>
  <c r="AC34" i="26"/>
  <c r="AC35" i="26"/>
  <c r="D255" i="23"/>
  <c r="D256" i="23"/>
  <c r="D257" i="23"/>
  <c r="D258" i="23"/>
  <c r="D259" i="23"/>
  <c r="AH45" i="25"/>
  <c r="X45" i="25"/>
  <c r="P212" i="2"/>
  <c r="P211" i="2"/>
  <c r="P210" i="2"/>
  <c r="P209" i="2"/>
  <c r="AU13" i="25"/>
  <c r="P141" i="2"/>
  <c r="P12" i="2"/>
  <c r="C190" i="23"/>
  <c r="D190" i="23" s="1"/>
  <c r="H190" i="23" s="1"/>
  <c r="Z64" i="2" s="1"/>
  <c r="C189" i="23"/>
  <c r="D189" i="23" s="1"/>
  <c r="H189" i="23" s="1"/>
  <c r="Z63" i="2" s="1"/>
  <c r="D188" i="23"/>
  <c r="H188" i="23" s="1"/>
  <c r="D187" i="23"/>
  <c r="H187" i="23" s="1"/>
  <c r="AO61" i="2" l="1"/>
  <c r="Z61" i="2"/>
  <c r="AQ62" i="2"/>
  <c r="Z62" i="2"/>
  <c r="H259" i="23"/>
  <c r="AL53" i="2" s="1"/>
  <c r="H258" i="23"/>
  <c r="AL50" i="2" s="1"/>
  <c r="H257" i="23"/>
  <c r="H255" i="23"/>
  <c r="H256" i="23"/>
  <c r="AM52" i="2" s="1"/>
  <c r="AI50" i="2"/>
  <c r="AH50" i="2"/>
  <c r="AD50" i="2"/>
  <c r="AF50" i="2"/>
  <c r="AE50" i="2"/>
  <c r="AP50" i="2"/>
  <c r="AQ50" i="2"/>
  <c r="AM50" i="2"/>
  <c r="AQ53" i="2"/>
  <c r="AO53" i="2"/>
  <c r="AI53" i="2"/>
  <c r="AH53" i="2"/>
  <c r="AF53" i="2"/>
  <c r="AD53" i="2"/>
  <c r="AE53" i="2"/>
  <c r="AP53" i="2"/>
  <c r="AM53" i="2"/>
  <c r="AK54" i="2"/>
  <c r="AM62" i="2"/>
  <c r="AM54" i="2"/>
  <c r="AO54" i="2"/>
  <c r="AL64" i="2"/>
  <c r="AM64" i="2"/>
  <c r="AO64" i="2"/>
  <c r="AK64" i="2"/>
  <c r="AL63" i="2"/>
  <c r="AO63" i="2"/>
  <c r="AK63" i="2"/>
  <c r="AM63" i="2"/>
  <c r="AP63" i="2"/>
  <c r="AQ63" i="2"/>
  <c r="AP64" i="2"/>
  <c r="AM61" i="2"/>
  <c r="AQ64" i="2"/>
  <c r="AO62" i="2"/>
  <c r="AP62" i="2"/>
  <c r="AL62" i="2"/>
  <c r="AP61" i="2"/>
  <c r="AK62" i="2"/>
  <c r="AK61" i="2"/>
  <c r="AQ61" i="2"/>
  <c r="AL61" i="2"/>
  <c r="D409" i="23"/>
  <c r="H409" i="23" s="1"/>
  <c r="C147" i="23"/>
  <c r="D147" i="23" s="1"/>
  <c r="H147" i="23" s="1"/>
  <c r="AO156" i="2" s="1"/>
  <c r="C99" i="23"/>
  <c r="C177" i="23"/>
  <c r="D33" i="23"/>
  <c r="D34" i="23"/>
  <c r="D51" i="23" s="1"/>
  <c r="T12" i="2"/>
  <c r="D73" i="23"/>
  <c r="H73" i="23" s="1"/>
  <c r="V151" i="2" s="1"/>
  <c r="D74" i="23"/>
  <c r="H74" i="23" s="1"/>
  <c r="V152" i="2" s="1"/>
  <c r="D75" i="23"/>
  <c r="H75" i="23" s="1"/>
  <c r="V153" i="2" s="1"/>
  <c r="D76" i="23"/>
  <c r="H76" i="23" s="1"/>
  <c r="E252" i="2"/>
  <c r="AU11" i="25"/>
  <c r="L183" i="2"/>
  <c r="L141" i="2"/>
  <c r="L212" i="2"/>
  <c r="L211" i="2"/>
  <c r="L210" i="2"/>
  <c r="L209" i="2"/>
  <c r="L12" i="2"/>
  <c r="BK183" i="2"/>
  <c r="N212" i="2"/>
  <c r="N211" i="2"/>
  <c r="N210" i="2"/>
  <c r="N209" i="2"/>
  <c r="AU12" i="25"/>
  <c r="N141" i="2"/>
  <c r="N12" i="2"/>
  <c r="BL212" i="2"/>
  <c r="BL211" i="2"/>
  <c r="BL209" i="2"/>
  <c r="BL200" i="2"/>
  <c r="BM183" i="2"/>
  <c r="D78" i="23"/>
  <c r="H78" i="23" s="1"/>
  <c r="D79" i="23"/>
  <c r="H79" i="23" s="1"/>
  <c r="P147" i="2" s="1"/>
  <c r="D80" i="23"/>
  <c r="H80" i="23" s="1"/>
  <c r="D81" i="23"/>
  <c r="H81" i="23" s="1"/>
  <c r="R149" i="2" s="1"/>
  <c r="D82" i="23"/>
  <c r="H82" i="23" s="1"/>
  <c r="D83" i="23"/>
  <c r="H83" i="23" s="1"/>
  <c r="R210" i="2"/>
  <c r="AU14" i="25"/>
  <c r="R141" i="2"/>
  <c r="R12" i="2"/>
  <c r="D77" i="23"/>
  <c r="H77" i="23" s="1"/>
  <c r="D20" i="23"/>
  <c r="AF156" i="2"/>
  <c r="AF157" i="2"/>
  <c r="AE157" i="2"/>
  <c r="AE156" i="2"/>
  <c r="AH15" i="25"/>
  <c r="X15" i="25"/>
  <c r="AQ156" i="2"/>
  <c r="AM157" i="2"/>
  <c r="AM156" i="2"/>
  <c r="AI156" i="2"/>
  <c r="AI157" i="2"/>
  <c r="AD157" i="2"/>
  <c r="AC33" i="26"/>
  <c r="AF12" i="2"/>
  <c r="C94" i="23"/>
  <c r="AH17" i="25"/>
  <c r="X17" i="25"/>
  <c r="H429" i="23"/>
  <c r="AU31" i="25"/>
  <c r="AC32" i="26"/>
  <c r="B118" i="26"/>
  <c r="B119" i="26"/>
  <c r="B120" i="26"/>
  <c r="B121" i="26"/>
  <c r="D163" i="23"/>
  <c r="H163" i="23" s="1"/>
  <c r="D162" i="23"/>
  <c r="H162" i="23" s="1"/>
  <c r="D161" i="23"/>
  <c r="H161" i="23" s="1"/>
  <c r="D160" i="23"/>
  <c r="H160" i="23" s="1"/>
  <c r="AD167" i="2"/>
  <c r="AF167" i="2"/>
  <c r="AE167" i="2"/>
  <c r="AQ160" i="2"/>
  <c r="AP160" i="2"/>
  <c r="AO160" i="2"/>
  <c r="AM160" i="2"/>
  <c r="AL160" i="2"/>
  <c r="AI160" i="2"/>
  <c r="AH160" i="2"/>
  <c r="AF160" i="2"/>
  <c r="AE160" i="2"/>
  <c r="AD160" i="2"/>
  <c r="AD162" i="2"/>
  <c r="AE162" i="2"/>
  <c r="AF162" i="2"/>
  <c r="AL156" i="2"/>
  <c r="AL157" i="2"/>
  <c r="AK157" i="2"/>
  <c r="AK156" i="2"/>
  <c r="AH157" i="2"/>
  <c r="AH156" i="2"/>
  <c r="AD156" i="2"/>
  <c r="D148" i="23"/>
  <c r="H148" i="23" s="1"/>
  <c r="AQ157" i="2" s="1"/>
  <c r="D146" i="23"/>
  <c r="H146" i="23" s="1"/>
  <c r="AD158" i="2" s="1"/>
  <c r="AC26" i="26"/>
  <c r="AF69" i="2"/>
  <c r="AD69" i="2"/>
  <c r="AF66" i="2"/>
  <c r="AC21" i="26"/>
  <c r="AP155" i="2"/>
  <c r="AQ155" i="2"/>
  <c r="AO155" i="2"/>
  <c r="AM155" i="2"/>
  <c r="AL155" i="2"/>
  <c r="AK155" i="2"/>
  <c r="D343" i="23"/>
  <c r="AC31" i="26"/>
  <c r="AP162" i="2"/>
  <c r="AQ162" i="2"/>
  <c r="AO162" i="2"/>
  <c r="AQ101" i="2"/>
  <c r="AQ100" i="2"/>
  <c r="AO101" i="2"/>
  <c r="AO100" i="2"/>
  <c r="AO99" i="2"/>
  <c r="AC30" i="26"/>
  <c r="AU34" i="25"/>
  <c r="AU33" i="25"/>
  <c r="D334" i="23"/>
  <c r="D333" i="23"/>
  <c r="D332" i="23"/>
  <c r="D331" i="23"/>
  <c r="D327" i="23"/>
  <c r="D326" i="23"/>
  <c r="AC29" i="26"/>
  <c r="AC15" i="26"/>
  <c r="AC16" i="26"/>
  <c r="AC17" i="26"/>
  <c r="AC20" i="26"/>
  <c r="AC22" i="26"/>
  <c r="AC23" i="26"/>
  <c r="AC24" i="26"/>
  <c r="AC25" i="26"/>
  <c r="AC27" i="26"/>
  <c r="AC28" i="26"/>
  <c r="AC14" i="26"/>
  <c r="AQ209" i="2"/>
  <c r="AQ210" i="2"/>
  <c r="AQ211" i="2"/>
  <c r="AQ212" i="2"/>
  <c r="AP209" i="2"/>
  <c r="AP210" i="2"/>
  <c r="AP211" i="2"/>
  <c r="AP212" i="2"/>
  <c r="AO212" i="2"/>
  <c r="AO211" i="2"/>
  <c r="AO209" i="2"/>
  <c r="AO210" i="2"/>
  <c r="AU32" i="25"/>
  <c r="AH44" i="25"/>
  <c r="X44" i="25"/>
  <c r="AQ99" i="2"/>
  <c r="D312" i="23"/>
  <c r="D240" i="23"/>
  <c r="H240" i="23" s="1"/>
  <c r="D70" i="23"/>
  <c r="D69" i="23"/>
  <c r="D68" i="23"/>
  <c r="D67" i="23"/>
  <c r="D66" i="23"/>
  <c r="D65" i="23"/>
  <c r="D64" i="23"/>
  <c r="D63" i="23"/>
  <c r="D39" i="23"/>
  <c r="D38" i="23"/>
  <c r="D37" i="23"/>
  <c r="D36" i="23"/>
  <c r="D35" i="23"/>
  <c r="D32" i="23"/>
  <c r="D31" i="23"/>
  <c r="D30" i="23"/>
  <c r="C185" i="23"/>
  <c r="C262" i="23"/>
  <c r="D262" i="23" s="1"/>
  <c r="H262" i="23" s="1"/>
  <c r="V135" i="2" s="1"/>
  <c r="C263" i="23"/>
  <c r="C264" i="23"/>
  <c r="C265" i="23"/>
  <c r="C266" i="23"/>
  <c r="C268" i="23"/>
  <c r="D268" i="23" s="1"/>
  <c r="D235" i="23"/>
  <c r="D226" i="23"/>
  <c r="H226" i="23" s="1"/>
  <c r="V48" i="2" s="1"/>
  <c r="D234" i="23"/>
  <c r="H234" i="23" s="1"/>
  <c r="D233" i="23"/>
  <c r="H233" i="23" s="1"/>
  <c r="AD42" i="2" s="1"/>
  <c r="D225" i="23"/>
  <c r="H225" i="23" s="1"/>
  <c r="V25" i="2" s="1"/>
  <c r="D224" i="23"/>
  <c r="H224" i="23" s="1"/>
  <c r="D232" i="23"/>
  <c r="D227" i="23"/>
  <c r="H227" i="23" s="1"/>
  <c r="D228" i="23"/>
  <c r="H228" i="23" s="1"/>
  <c r="D239" i="23"/>
  <c r="H239" i="23" s="1"/>
  <c r="D238" i="23"/>
  <c r="H238" i="23" s="1"/>
  <c r="G268" i="23"/>
  <c r="D237" i="23"/>
  <c r="H237" i="23" s="1"/>
  <c r="D236" i="23"/>
  <c r="H236" i="23" s="1"/>
  <c r="D427" i="23"/>
  <c r="H229" i="23"/>
  <c r="H230" i="23"/>
  <c r="D254" i="23"/>
  <c r="B114" i="26"/>
  <c r="B115" i="26"/>
  <c r="B116" i="26"/>
  <c r="B117" i="26"/>
  <c r="B110" i="26"/>
  <c r="B111" i="26"/>
  <c r="B112" i="26"/>
  <c r="B113" i="26"/>
  <c r="D211" i="23"/>
  <c r="H211" i="23" s="1"/>
  <c r="D342" i="23" s="1"/>
  <c r="B109" i="26"/>
  <c r="D151" i="23"/>
  <c r="H151" i="23" s="1"/>
  <c r="D152" i="23"/>
  <c r="H152" i="23" s="1"/>
  <c r="D153" i="23"/>
  <c r="H153" i="23" s="1"/>
  <c r="D154" i="23"/>
  <c r="H154" i="23" s="1"/>
  <c r="D155" i="23"/>
  <c r="H155" i="23" s="1"/>
  <c r="D156" i="23"/>
  <c r="H156" i="23" s="1"/>
  <c r="D157" i="23"/>
  <c r="H157" i="23" s="1"/>
  <c r="D158" i="23"/>
  <c r="H158" i="23" s="1"/>
  <c r="D159" i="23"/>
  <c r="H159" i="23" s="1"/>
  <c r="D412" i="23"/>
  <c r="H412" i="23" s="1"/>
  <c r="AK51" i="2" l="1"/>
  <c r="AQ51" i="2"/>
  <c r="C98" i="23"/>
  <c r="C129" i="23"/>
  <c r="AK52" i="2"/>
  <c r="AO51" i="2"/>
  <c r="Z52" i="2"/>
  <c r="AO52" i="2"/>
  <c r="Z51" i="2"/>
  <c r="AL51" i="2"/>
  <c r="AP51" i="2"/>
  <c r="AQ52" i="2"/>
  <c r="AP52" i="2"/>
  <c r="AM51" i="2"/>
  <c r="AL52" i="2"/>
  <c r="AP54" i="2"/>
  <c r="AQ54" i="2"/>
  <c r="AL54" i="2"/>
  <c r="R145" i="2"/>
  <c r="P145" i="2"/>
  <c r="N146" i="2"/>
  <c r="P146" i="2"/>
  <c r="V181" i="2"/>
  <c r="P180" i="2"/>
  <c r="N180" i="2"/>
  <c r="N145" i="2"/>
  <c r="AH158" i="2"/>
  <c r="AI158" i="2"/>
  <c r="R147" i="2"/>
  <c r="R148" i="2"/>
  <c r="R180" i="2"/>
  <c r="R146" i="2"/>
  <c r="BL150" i="2"/>
  <c r="BL183" i="2" s="1"/>
  <c r="AF158" i="2"/>
  <c r="AE158" i="2"/>
  <c r="AK158" i="2"/>
  <c r="AL158" i="2"/>
  <c r="AO158" i="2"/>
  <c r="AP158" i="2"/>
  <c r="AQ158" i="2"/>
  <c r="AM158" i="2"/>
  <c r="AO157" i="2"/>
  <c r="AP157" i="2"/>
  <c r="AP156" i="2"/>
  <c r="D315" i="23"/>
  <c r="H310" i="23" s="1"/>
  <c r="AP99" i="2" s="1"/>
  <c r="H268" i="23"/>
  <c r="H254" i="23"/>
  <c r="B55" i="26"/>
  <c r="B56" i="26"/>
  <c r="B57" i="26"/>
  <c r="B58" i="26"/>
  <c r="B59" i="26"/>
  <c r="B54" i="26"/>
  <c r="C143" i="23"/>
  <c r="C142" i="23"/>
  <c r="C141" i="23"/>
  <c r="C140" i="23"/>
  <c r="D144" i="23"/>
  <c r="H144" i="23" s="1"/>
  <c r="C145" i="23"/>
  <c r="AV154" i="2" l="1"/>
  <c r="D145" i="23"/>
  <c r="H145" i="23" s="1"/>
  <c r="D114" i="23"/>
  <c r="D113" i="23"/>
  <c r="D112" i="23"/>
  <c r="D110" i="23"/>
  <c r="D106" i="23"/>
  <c r="D107" i="23"/>
  <c r="D108" i="23"/>
  <c r="D109" i="23"/>
  <c r="D141" i="23"/>
  <c r="H141" i="23" s="1"/>
  <c r="D143" i="23"/>
  <c r="H143" i="23" s="1"/>
  <c r="D142" i="23"/>
  <c r="H142" i="23" s="1"/>
  <c r="D134" i="23"/>
  <c r="D139" i="23"/>
  <c r="D140" i="23"/>
  <c r="H140" i="23" s="1"/>
  <c r="D132" i="23"/>
  <c r="D133" i="23"/>
  <c r="D131" i="23"/>
  <c r="D435" i="23"/>
  <c r="D404" i="23"/>
  <c r="D405" i="23"/>
  <c r="D401" i="23"/>
  <c r="D402" i="23"/>
  <c r="D403" i="23"/>
  <c r="C400" i="23"/>
  <c r="D400" i="23" s="1"/>
  <c r="D392" i="23"/>
  <c r="D399" i="23"/>
  <c r="D398" i="23"/>
  <c r="D397" i="23"/>
  <c r="D396" i="23"/>
  <c r="D395" i="23"/>
  <c r="C393" i="23"/>
  <c r="D393" i="23" s="1"/>
  <c r="C394" i="23"/>
  <c r="D394" i="23" s="1"/>
  <c r="D391" i="23"/>
  <c r="D390" i="23"/>
  <c r="C267" i="23"/>
  <c r="D267" i="23" s="1"/>
  <c r="H370" i="23"/>
  <c r="G267" i="23"/>
  <c r="D37" i="33"/>
  <c r="E37" i="33" s="1"/>
  <c r="D38" i="33"/>
  <c r="E38" i="33" s="1"/>
  <c r="D39" i="33"/>
  <c r="E39" i="33" s="1"/>
  <c r="D40" i="33"/>
  <c r="E40" i="33" s="1"/>
  <c r="D41" i="33"/>
  <c r="E41" i="33" s="1"/>
  <c r="D42" i="33"/>
  <c r="E42" i="33" s="1"/>
  <c r="D43" i="33"/>
  <c r="E43" i="33" s="1"/>
  <c r="D36" i="33"/>
  <c r="E36" i="33" s="1"/>
  <c r="D4" i="33"/>
  <c r="I17" i="33"/>
  <c r="I15" i="33"/>
  <c r="I7" i="33"/>
  <c r="D15" i="33"/>
  <c r="B15" i="33"/>
  <c r="B27" i="33" s="1"/>
  <c r="D7" i="33"/>
  <c r="A5" i="33"/>
  <c r="A7" i="33"/>
  <c r="A8" i="33"/>
  <c r="A9" i="33"/>
  <c r="A6" i="33"/>
  <c r="H353" i="23"/>
  <c r="P110" i="2" s="1"/>
  <c r="C363" i="23"/>
  <c r="D363" i="23" s="1"/>
  <c r="D365" i="23"/>
  <c r="H365" i="23" s="1"/>
  <c r="P120" i="2" s="1"/>
  <c r="H9" i="21"/>
  <c r="C364" i="23"/>
  <c r="D364" i="23" s="1"/>
  <c r="F110" i="2" l="1"/>
  <c r="E110" i="2"/>
  <c r="L110" i="2"/>
  <c r="N110" i="2"/>
  <c r="R120" i="2"/>
  <c r="N120" i="2"/>
  <c r="AH110" i="2"/>
  <c r="R110" i="2"/>
  <c r="AK110" i="2"/>
  <c r="AI110" i="2"/>
  <c r="H267" i="23"/>
  <c r="AM110" i="2"/>
  <c r="AL110" i="2"/>
  <c r="AO110" i="2"/>
  <c r="AQ110" i="2"/>
  <c r="Z110" i="2"/>
  <c r="AE110" i="2"/>
  <c r="V110" i="2"/>
  <c r="AD110" i="2"/>
  <c r="AF110" i="2"/>
  <c r="AP110" i="2"/>
  <c r="X110" i="2"/>
  <c r="AO120" i="2"/>
  <c r="AF120" i="2"/>
  <c r="AM120" i="2"/>
  <c r="AH120" i="2"/>
  <c r="X120" i="2"/>
  <c r="AQ120" i="2"/>
  <c r="AE120" i="2"/>
  <c r="V120" i="2"/>
  <c r="AP120" i="2"/>
  <c r="AD120" i="2"/>
  <c r="AI120" i="2"/>
  <c r="AK120" i="2"/>
  <c r="AL120" i="2"/>
  <c r="Z120" i="2"/>
  <c r="AD138" i="2" l="1"/>
  <c r="Z138" i="2"/>
  <c r="AK138" i="2"/>
  <c r="AI138" i="2"/>
  <c r="AH138" i="2"/>
  <c r="AL138" i="2"/>
  <c r="AE138" i="2"/>
  <c r="AM138" i="2"/>
  <c r="AF138" i="2"/>
  <c r="C434" i="23"/>
  <c r="AH14" i="25"/>
  <c r="X14" i="25"/>
  <c r="E14" i="32"/>
  <c r="F109" i="32" l="1"/>
  <c r="F108" i="32"/>
  <c r="C205" i="23"/>
  <c r="C206" i="23"/>
  <c r="C208" i="23"/>
  <c r="C209" i="23"/>
  <c r="D209" i="23" s="1"/>
  <c r="H209" i="23" s="1"/>
  <c r="C207" i="23"/>
  <c r="C201" i="23"/>
  <c r="C200" i="23"/>
  <c r="C197" i="23"/>
  <c r="C186" i="23"/>
  <c r="C191" i="23"/>
  <c r="C192" i="23"/>
  <c r="C196" i="23"/>
  <c r="I31" i="31"/>
  <c r="I30" i="31"/>
  <c r="I29" i="31"/>
  <c r="I28" i="31"/>
  <c r="C2" i="31"/>
  <c r="C3" i="31"/>
  <c r="C4" i="31"/>
  <c r="B3" i="31"/>
  <c r="B4" i="31"/>
  <c r="B2" i="31"/>
  <c r="D91" i="23"/>
  <c r="H91" i="23" s="1"/>
  <c r="H139" i="23"/>
  <c r="H133" i="23"/>
  <c r="H134" i="23"/>
  <c r="H132" i="23"/>
  <c r="H131" i="23"/>
  <c r="F177" i="23"/>
  <c r="F176" i="23"/>
  <c r="G177" i="23"/>
  <c r="G176" i="23"/>
  <c r="AH23" i="25"/>
  <c r="X23" i="25"/>
  <c r="D439" i="23"/>
  <c r="D438" i="23"/>
  <c r="C437" i="23"/>
  <c r="D437" i="23" s="1"/>
  <c r="AM209" i="2"/>
  <c r="C455" i="23"/>
  <c r="D455" i="23" s="1"/>
  <c r="D436" i="23"/>
  <c r="D440" i="23"/>
  <c r="C457" i="23"/>
  <c r="D457" i="23" s="1"/>
  <c r="C456" i="23"/>
  <c r="D456" i="23" s="1"/>
  <c r="D458" i="23"/>
  <c r="D460" i="23"/>
  <c r="D459" i="23"/>
  <c r="D434" i="23"/>
  <c r="D90" i="23"/>
  <c r="H90" i="23" s="1"/>
  <c r="D304" i="23" s="1"/>
  <c r="AH22" i="25"/>
  <c r="X22" i="25"/>
  <c r="AH42" i="25"/>
  <c r="X42" i="25"/>
  <c r="AH43" i="25"/>
  <c r="X43" i="25"/>
  <c r="BB209" i="2"/>
  <c r="BC209" i="2"/>
  <c r="BD209" i="2"/>
  <c r="BB211" i="2"/>
  <c r="BC211" i="2"/>
  <c r="BD211" i="2"/>
  <c r="BB212" i="2"/>
  <c r="BC212" i="2"/>
  <c r="BD212" i="2"/>
  <c r="AU44" i="25"/>
  <c r="AU46" i="25"/>
  <c r="AU47" i="25"/>
  <c r="D389" i="23"/>
  <c r="H389" i="23" s="1"/>
  <c r="D408" i="23"/>
  <c r="H408" i="23" s="1"/>
  <c r="BD31" i="2" s="1"/>
  <c r="BD127" i="2" s="1"/>
  <c r="D388" i="23"/>
  <c r="H388" i="23" s="1"/>
  <c r="BB31" i="2" s="1"/>
  <c r="BB127" i="2" s="1"/>
  <c r="D101" i="23"/>
  <c r="D115" i="23"/>
  <c r="H115" i="23" s="1"/>
  <c r="AH41" i="25"/>
  <c r="X41" i="25"/>
  <c r="H454" i="23" l="1"/>
  <c r="BC31" i="2"/>
  <c r="BC127" i="2" s="1"/>
  <c r="K19" i="31"/>
  <c r="K16" i="31"/>
  <c r="K18" i="31"/>
  <c r="K14" i="31"/>
  <c r="K8" i="31"/>
  <c r="K21" i="31"/>
  <c r="K23" i="31"/>
  <c r="K22" i="31"/>
  <c r="K20" i="31"/>
  <c r="K15" i="31"/>
  <c r="K13" i="31"/>
  <c r="K12" i="31"/>
  <c r="K10" i="31"/>
  <c r="K24" i="31"/>
  <c r="K17" i="31"/>
  <c r="K27" i="31"/>
  <c r="K11" i="31"/>
  <c r="K26" i="31"/>
  <c r="K25" i="31"/>
  <c r="K9" i="31"/>
  <c r="H432" i="23"/>
  <c r="AD179" i="2"/>
  <c r="AE179" i="2"/>
  <c r="C105" i="23"/>
  <c r="C104" i="23"/>
  <c r="D104" i="23" s="1"/>
  <c r="D111" i="23"/>
  <c r="D99" i="23"/>
  <c r="H369" i="23"/>
  <c r="H368" i="23"/>
  <c r="AH46" i="25"/>
  <c r="X46" i="25"/>
  <c r="C102" i="23"/>
  <c r="D102" i="23" s="1"/>
  <c r="H261" i="2"/>
  <c r="H357" i="23"/>
  <c r="P114" i="2" s="1"/>
  <c r="G264" i="23"/>
  <c r="G265" i="23"/>
  <c r="G266" i="23"/>
  <c r="G263" i="23"/>
  <c r="H363" i="23"/>
  <c r="N121" i="2" l="1"/>
  <c r="P121" i="2"/>
  <c r="R114" i="2"/>
  <c r="N114" i="2"/>
  <c r="F114" i="2"/>
  <c r="E114" i="2"/>
  <c r="L114" i="2"/>
  <c r="AQ121" i="2"/>
  <c r="R121" i="2"/>
  <c r="X121" i="2"/>
  <c r="K30" i="31"/>
  <c r="C194" i="23" s="1"/>
  <c r="K31" i="31"/>
  <c r="C199" i="23" s="1"/>
  <c r="K29" i="31"/>
  <c r="C193" i="23" s="1"/>
  <c r="D193" i="23" s="1"/>
  <c r="H193" i="23" s="1"/>
  <c r="Z66" i="2" s="1"/>
  <c r="AK114" i="2"/>
  <c r="AB114" i="2"/>
  <c r="AP114" i="2"/>
  <c r="AQ114" i="2"/>
  <c r="C96" i="23"/>
  <c r="C95" i="23" s="1"/>
  <c r="AP121" i="2"/>
  <c r="AO121" i="2"/>
  <c r="AO114" i="2"/>
  <c r="Z121" i="2"/>
  <c r="AF121" i="2"/>
  <c r="AI114" i="2"/>
  <c r="AF114" i="2"/>
  <c r="AE114" i="2"/>
  <c r="Z114" i="2"/>
  <c r="AI121" i="2"/>
  <c r="AM121" i="2"/>
  <c r="AD114" i="2"/>
  <c r="AE121" i="2"/>
  <c r="AH114" i="2"/>
  <c r="AL121" i="2"/>
  <c r="AM114" i="2"/>
  <c r="AD121" i="2"/>
  <c r="AH121" i="2"/>
  <c r="AL114" i="2"/>
  <c r="V121" i="2"/>
  <c r="AK121" i="2"/>
  <c r="AH51" i="25"/>
  <c r="X51" i="25"/>
  <c r="AH69" i="2"/>
  <c r="AE66" i="2" l="1"/>
  <c r="AH66" i="2"/>
  <c r="AK66" i="2"/>
  <c r="AQ66" i="2"/>
  <c r="AP66" i="2"/>
  <c r="AO66" i="2"/>
  <c r="AL66" i="2"/>
  <c r="AM66" i="2"/>
  <c r="AI66" i="2"/>
  <c r="C198" i="23"/>
  <c r="C195" i="23"/>
  <c r="AF47" i="2"/>
  <c r="F24" i="23" l="1"/>
  <c r="F23" i="23"/>
  <c r="G23" i="23"/>
  <c r="AH40" i="25"/>
  <c r="X40" i="25"/>
  <c r="D231" i="23"/>
  <c r="H231" i="23" s="1"/>
  <c r="I22" i="30"/>
  <c r="N10" i="30"/>
  <c r="N11" i="30"/>
  <c r="N12" i="30"/>
  <c r="N13" i="30"/>
  <c r="H24" i="30" s="1"/>
  <c r="I25" i="30" s="1"/>
  <c r="N8" i="30"/>
  <c r="D11" i="30"/>
  <c r="E11" i="30" s="1"/>
  <c r="F11" i="30" s="1"/>
  <c r="D12" i="30"/>
  <c r="E12" i="30" s="1"/>
  <c r="F12" i="30" s="1"/>
  <c r="D13" i="30"/>
  <c r="E13" i="30" s="1"/>
  <c r="F13" i="30" s="1"/>
  <c r="D14" i="30"/>
  <c r="E14" i="30" s="1"/>
  <c r="F14" i="30" s="1"/>
  <c r="D10" i="30"/>
  <c r="E10" i="30" s="1"/>
  <c r="F10" i="30" s="1"/>
  <c r="AH13" i="25"/>
  <c r="X13" i="25"/>
  <c r="D381" i="23"/>
  <c r="C463" i="23"/>
  <c r="D463" i="23" s="1"/>
  <c r="H463" i="23" s="1"/>
  <c r="G8" i="21"/>
  <c r="H8" i="21" s="1"/>
  <c r="D186" i="23"/>
  <c r="D191" i="23"/>
  <c r="D200" i="23"/>
  <c r="D204" i="23"/>
  <c r="D207" i="23"/>
  <c r="D185" i="23"/>
  <c r="D320" i="23"/>
  <c r="I26" i="30" l="1"/>
  <c r="D24" i="23" l="1"/>
  <c r="C23" i="23"/>
  <c r="D23" i="23" s="1"/>
  <c r="D199" i="23"/>
  <c r="H27" i="23"/>
  <c r="D285" i="23" s="1"/>
  <c r="D300" i="23" l="1"/>
  <c r="J141" i="2" l="1"/>
  <c r="H141" i="2"/>
  <c r="F141" i="2"/>
  <c r="E141" i="2"/>
  <c r="D195" i="23"/>
  <c r="D198" i="23"/>
  <c r="D196" i="23"/>
  <c r="E183" i="2"/>
  <c r="F183" i="2"/>
  <c r="H183" i="2"/>
  <c r="J183" i="2"/>
  <c r="AM212" i="2"/>
  <c r="AM211" i="2"/>
  <c r="AM210" i="2"/>
  <c r="AL212" i="2"/>
  <c r="AL211" i="2"/>
  <c r="AL210" i="2"/>
  <c r="AL209" i="2"/>
  <c r="AK212" i="2"/>
  <c r="AK211" i="2"/>
  <c r="AK210" i="2"/>
  <c r="AK209" i="2"/>
  <c r="AI212" i="2"/>
  <c r="AI211" i="2"/>
  <c r="AI210" i="2"/>
  <c r="AI209" i="2"/>
  <c r="AH212" i="2"/>
  <c r="AH211" i="2"/>
  <c r="AH210" i="2"/>
  <c r="AH209" i="2"/>
  <c r="AF212" i="2"/>
  <c r="AF211" i="2"/>
  <c r="AF210" i="2"/>
  <c r="AF209" i="2"/>
  <c r="AE212" i="2"/>
  <c r="AE211" i="2"/>
  <c r="AE210" i="2"/>
  <c r="AE209" i="2"/>
  <c r="AD212" i="2"/>
  <c r="AD211" i="2"/>
  <c r="AD210" i="2"/>
  <c r="AD209" i="2"/>
  <c r="AB212" i="2"/>
  <c r="AB211" i="2"/>
  <c r="AB210" i="2"/>
  <c r="AB209" i="2"/>
  <c r="Z212" i="2"/>
  <c r="Z211" i="2"/>
  <c r="Z210" i="2"/>
  <c r="Z209" i="2"/>
  <c r="X212" i="2"/>
  <c r="X211" i="2"/>
  <c r="X210" i="2"/>
  <c r="X209" i="2"/>
  <c r="V212" i="2"/>
  <c r="V211" i="2"/>
  <c r="J212" i="2"/>
  <c r="J211" i="2"/>
  <c r="J210" i="2"/>
  <c r="J209" i="2"/>
  <c r="H212" i="2"/>
  <c r="H211" i="2"/>
  <c r="H210" i="2"/>
  <c r="H209" i="2"/>
  <c r="F212" i="2"/>
  <c r="F211" i="2"/>
  <c r="F210" i="2"/>
  <c r="F209" i="2"/>
  <c r="E212" i="2"/>
  <c r="E211" i="2"/>
  <c r="E210" i="2"/>
  <c r="D201" i="23" l="1"/>
  <c r="H201" i="23" s="1"/>
  <c r="D386" i="23" s="1"/>
  <c r="D194" i="23"/>
  <c r="H194" i="23" s="1"/>
  <c r="Z67" i="2" s="1"/>
  <c r="D130" i="23"/>
  <c r="H130" i="23" s="1"/>
  <c r="D417" i="23"/>
  <c r="H417" i="23" s="1"/>
  <c r="AD67" i="2" l="1"/>
  <c r="AM67" i="2"/>
  <c r="AK67" i="2"/>
  <c r="AL67" i="2"/>
  <c r="D105" i="23"/>
  <c r="H105" i="23" s="1"/>
  <c r="C176" i="23"/>
  <c r="D176" i="23" s="1"/>
  <c r="D177" i="23"/>
  <c r="AH164" i="2" l="1"/>
  <c r="AQ164" i="2"/>
  <c r="AL164" i="2"/>
  <c r="AP164" i="2"/>
  <c r="AD164" i="2"/>
  <c r="AO164" i="2"/>
  <c r="AE164" i="2"/>
  <c r="AM164" i="2"/>
  <c r="AK164" i="2"/>
  <c r="AF164" i="2"/>
  <c r="AI164" i="2"/>
  <c r="D192" i="23"/>
  <c r="H223" i="23"/>
  <c r="H232" i="23"/>
  <c r="H235" i="23"/>
  <c r="D197" i="23"/>
  <c r="D210" i="23"/>
  <c r="H210" i="23" s="1"/>
  <c r="D301" i="23" s="1"/>
  <c r="D208" i="23"/>
  <c r="H21" i="23"/>
  <c r="AO45" i="2" s="1"/>
  <c r="Z49" i="2" l="1"/>
  <c r="AQ49" i="2"/>
  <c r="AM49" i="2"/>
  <c r="AP49" i="2"/>
  <c r="AL49" i="2"/>
  <c r="AK49" i="2"/>
  <c r="Z48" i="2"/>
  <c r="AI48" i="2"/>
  <c r="AM48" i="2"/>
  <c r="AK48" i="2"/>
  <c r="AQ48" i="2"/>
  <c r="AP48" i="2"/>
  <c r="AL48" i="2"/>
  <c r="AH48" i="2"/>
  <c r="D286" i="23"/>
  <c r="D251" i="23"/>
  <c r="H251" i="23" s="1"/>
  <c r="D252" i="23"/>
  <c r="H252" i="23" s="1"/>
  <c r="D253" i="23"/>
  <c r="H253" i="23" s="1"/>
  <c r="D250" i="23"/>
  <c r="H250" i="23" s="1"/>
  <c r="D266" i="23"/>
  <c r="H266" i="23" s="1"/>
  <c r="D265" i="23"/>
  <c r="H265" i="23" s="1"/>
  <c r="D264" i="23"/>
  <c r="H264" i="23" s="1"/>
  <c r="D263" i="23"/>
  <c r="H263" i="23" s="1"/>
  <c r="AQ12" i="2"/>
  <c r="H36" i="23"/>
  <c r="AM26" i="2" s="1"/>
  <c r="H37" i="23"/>
  <c r="H38" i="23"/>
  <c r="H39" i="23"/>
  <c r="AH39" i="25"/>
  <c r="X39" i="25"/>
  <c r="C100" i="23"/>
  <c r="AU17" i="25"/>
  <c r="Z167" i="2"/>
  <c r="Z170" i="2"/>
  <c r="Z162" i="2"/>
  <c r="D129" i="23"/>
  <c r="H129" i="23" s="1"/>
  <c r="Z144" i="2" s="1"/>
  <c r="Z12" i="2"/>
  <c r="L25" i="29"/>
  <c r="L24" i="29"/>
  <c r="L22" i="29"/>
  <c r="I25" i="29"/>
  <c r="I24" i="29"/>
  <c r="I22" i="29"/>
  <c r="F25" i="29"/>
  <c r="F24" i="29"/>
  <c r="F22" i="29"/>
  <c r="X72" i="2"/>
  <c r="AU16" i="25"/>
  <c r="C128" i="23"/>
  <c r="D128" i="23" s="1"/>
  <c r="H128" i="23" s="1"/>
  <c r="X12" i="2"/>
  <c r="D182" i="23"/>
  <c r="H182" i="23" s="1"/>
  <c r="X56" i="2" s="1"/>
  <c r="L75" i="29"/>
  <c r="L74" i="29"/>
  <c r="L72" i="29"/>
  <c r="I75" i="29"/>
  <c r="I74" i="29"/>
  <c r="I72" i="29"/>
  <c r="F75" i="29"/>
  <c r="F74" i="29"/>
  <c r="F72" i="29"/>
  <c r="J72" i="2"/>
  <c r="AP167" i="2"/>
  <c r="AQ167" i="2"/>
  <c r="AP168" i="2"/>
  <c r="AQ168" i="2"/>
  <c r="AP169" i="2"/>
  <c r="AQ169" i="2"/>
  <c r="AP170" i="2"/>
  <c r="AQ170" i="2"/>
  <c r="AO167" i="2"/>
  <c r="AO168" i="2"/>
  <c r="AO169" i="2"/>
  <c r="AO170" i="2"/>
  <c r="AL162" i="2"/>
  <c r="AM162" i="2"/>
  <c r="AL167" i="2"/>
  <c r="AM167" i="2"/>
  <c r="AL168" i="2"/>
  <c r="AM168" i="2"/>
  <c r="AL169" i="2"/>
  <c r="AM169" i="2"/>
  <c r="AL170" i="2"/>
  <c r="AM170" i="2"/>
  <c r="AK167" i="2"/>
  <c r="AK168" i="2"/>
  <c r="AK169" i="2"/>
  <c r="AK170" i="2"/>
  <c r="AK162" i="2"/>
  <c r="AI162" i="2"/>
  <c r="AI167" i="2"/>
  <c r="AI168" i="2"/>
  <c r="AI169" i="2"/>
  <c r="AI170" i="2"/>
  <c r="AH167" i="2"/>
  <c r="AH168" i="2"/>
  <c r="AH169" i="2"/>
  <c r="AH170" i="2"/>
  <c r="AH162" i="2"/>
  <c r="AP12" i="2"/>
  <c r="AO12" i="2"/>
  <c r="AM12" i="2"/>
  <c r="AL12" i="2"/>
  <c r="AK12" i="2"/>
  <c r="AI12" i="2"/>
  <c r="AH12" i="2"/>
  <c r="AE12" i="2"/>
  <c r="AD12" i="2"/>
  <c r="AB12" i="2"/>
  <c r="V12" i="2"/>
  <c r="J12" i="2"/>
  <c r="H12" i="2"/>
  <c r="F12" i="2"/>
  <c r="E12" i="2"/>
  <c r="H428" i="23"/>
  <c r="H427" i="23"/>
  <c r="D426" i="23"/>
  <c r="H426" i="23" s="1"/>
  <c r="H424" i="23"/>
  <c r="H425" i="23"/>
  <c r="D422" i="23"/>
  <c r="H422" i="23" s="1"/>
  <c r="D421" i="23"/>
  <c r="H421" i="23" s="1"/>
  <c r="AU8" i="25"/>
  <c r="AU9" i="25"/>
  <c r="AU10" i="25"/>
  <c r="AU15" i="25"/>
  <c r="AU18" i="25"/>
  <c r="AU20" i="25"/>
  <c r="AU21" i="25"/>
  <c r="AU22" i="25"/>
  <c r="AU23" i="25"/>
  <c r="AU24" i="25"/>
  <c r="AU25" i="25"/>
  <c r="AU26" i="25"/>
  <c r="AU27" i="25"/>
  <c r="AU28" i="25"/>
  <c r="AU29" i="25"/>
  <c r="AU30" i="25"/>
  <c r="AU35" i="25"/>
  <c r="AU36" i="25"/>
  <c r="AU37" i="25"/>
  <c r="AU38" i="25"/>
  <c r="AU39" i="25"/>
  <c r="AU40" i="25"/>
  <c r="AU41" i="25"/>
  <c r="AU42" i="25"/>
  <c r="AU43" i="25"/>
  <c r="AU48" i="25"/>
  <c r="AU49" i="25"/>
  <c r="AU50" i="25"/>
  <c r="AU51" i="25"/>
  <c r="AU52" i="25"/>
  <c r="AU53" i="25"/>
  <c r="AU54" i="25"/>
  <c r="AU7" i="25"/>
  <c r="BI209" i="2"/>
  <c r="BJ209" i="2"/>
  <c r="BK209" i="2"/>
  <c r="BI211" i="2"/>
  <c r="BJ211" i="2"/>
  <c r="BK211" i="2"/>
  <c r="BI212" i="2"/>
  <c r="BJ212" i="2"/>
  <c r="BK212" i="2"/>
  <c r="BA209" i="2"/>
  <c r="BE209" i="2"/>
  <c r="BG209" i="2"/>
  <c r="BH209" i="2"/>
  <c r="BA211" i="2"/>
  <c r="BE211" i="2"/>
  <c r="BG211" i="2"/>
  <c r="BH211" i="2"/>
  <c r="BA212" i="2"/>
  <c r="BE212" i="2"/>
  <c r="BG212" i="2"/>
  <c r="BH212" i="2"/>
  <c r="AX209" i="2"/>
  <c r="AY209" i="2"/>
  <c r="AZ209" i="2"/>
  <c r="AX211" i="2"/>
  <c r="AY211" i="2"/>
  <c r="AZ211" i="2"/>
  <c r="AX212" i="2"/>
  <c r="AY212" i="2"/>
  <c r="AZ212" i="2"/>
  <c r="AW212" i="2"/>
  <c r="AW211" i="2"/>
  <c r="AW209" i="2"/>
  <c r="AV212" i="2"/>
  <c r="AV211" i="2"/>
  <c r="AV209" i="2"/>
  <c r="AU212" i="2"/>
  <c r="AU211" i="2"/>
  <c r="AU209" i="2"/>
  <c r="AT212" i="2"/>
  <c r="AT211" i="2"/>
  <c r="AT209" i="2"/>
  <c r="AS212" i="2"/>
  <c r="AS211" i="2"/>
  <c r="AS209" i="2"/>
  <c r="E209" i="2"/>
  <c r="AH38" i="25"/>
  <c r="X38" i="25"/>
  <c r="AH7" i="25"/>
  <c r="X7" i="25"/>
  <c r="D414" i="23"/>
  <c r="H414" i="23" s="1"/>
  <c r="D415" i="23"/>
  <c r="H415" i="23" s="1"/>
  <c r="D416" i="23"/>
  <c r="H416" i="23" s="1"/>
  <c r="D413" i="23"/>
  <c r="H413" i="23" s="1"/>
  <c r="D344" i="23" l="1"/>
  <c r="V137" i="2"/>
  <c r="D308" i="23"/>
  <c r="V133" i="2"/>
  <c r="AQ26" i="2"/>
  <c r="D328" i="23"/>
  <c r="H326" i="23" s="1"/>
  <c r="AP100" i="2" s="1"/>
  <c r="D335" i="23"/>
  <c r="H331" i="23" s="1"/>
  <c r="AP101" i="2" s="1"/>
  <c r="D306" i="23"/>
  <c r="Z136" i="2"/>
  <c r="AK136" i="2"/>
  <c r="AO136" i="2"/>
  <c r="AM136" i="2"/>
  <c r="AP136" i="2"/>
  <c r="AQ136" i="2"/>
  <c r="AL136" i="2"/>
  <c r="D125" i="23"/>
  <c r="D126" i="23"/>
  <c r="H126" i="23" s="1"/>
  <c r="D127" i="23"/>
  <c r="H127" i="23" s="1"/>
  <c r="D124" i="23"/>
  <c r="AH37" i="25"/>
  <c r="X37" i="25"/>
  <c r="H373" i="23"/>
  <c r="D96" i="23"/>
  <c r="D95" i="23"/>
  <c r="B380" i="23"/>
  <c r="B386" i="23"/>
  <c r="B385" i="23"/>
  <c r="D377" i="23"/>
  <c r="H377" i="23" s="1"/>
  <c r="D375" i="23"/>
  <c r="H375" i="23" s="1"/>
  <c r="V197" i="2" l="1"/>
  <c r="AL187" i="2"/>
  <c r="AO194" i="2"/>
  <c r="AI194" i="2"/>
  <c r="AD194" i="2"/>
  <c r="P194" i="2"/>
  <c r="AD190" i="2"/>
  <c r="N193" i="2"/>
  <c r="X192" i="2"/>
  <c r="AL195" i="2"/>
  <c r="AQ192" i="2"/>
  <c r="AK195" i="2"/>
  <c r="AK194" i="2"/>
  <c r="AK192" i="2"/>
  <c r="AO193" i="2"/>
  <c r="AI193" i="2"/>
  <c r="AD193" i="2"/>
  <c r="P193" i="2"/>
  <c r="AM193" i="2"/>
  <c r="AM192" i="2"/>
  <c r="AF195" i="2"/>
  <c r="AL192" i="2"/>
  <c r="AP195" i="2"/>
  <c r="AE194" i="2"/>
  <c r="AE192" i="2"/>
  <c r="AD195" i="2"/>
  <c r="AO192" i="2"/>
  <c r="AI192" i="2"/>
  <c r="AD192" i="2"/>
  <c r="P192" i="2"/>
  <c r="N190" i="2"/>
  <c r="N192" i="2"/>
  <c r="V195" i="2"/>
  <c r="AF192" i="2"/>
  <c r="R195" i="2"/>
  <c r="AK193" i="2"/>
  <c r="AO195" i="2"/>
  <c r="AM195" i="2"/>
  <c r="AH195" i="2"/>
  <c r="X195" i="2"/>
  <c r="N195" i="2"/>
  <c r="AM194" i="2"/>
  <c r="AH194" i="2"/>
  <c r="X194" i="2"/>
  <c r="N194" i="2"/>
  <c r="X193" i="2"/>
  <c r="AH192" i="2"/>
  <c r="AQ195" i="2"/>
  <c r="Z195" i="2"/>
  <c r="F196" i="2"/>
  <c r="AP194" i="2"/>
  <c r="AE193" i="2"/>
  <c r="AI195" i="2"/>
  <c r="AH193" i="2"/>
  <c r="R192" i="2"/>
  <c r="R193" i="2"/>
  <c r="E196" i="2"/>
  <c r="AQ194" i="2"/>
  <c r="AL194" i="2"/>
  <c r="AF194" i="2"/>
  <c r="V194" i="2"/>
  <c r="Z194" i="2"/>
  <c r="Z193" i="2"/>
  <c r="AE195" i="2"/>
  <c r="R194" i="2"/>
  <c r="AP192" i="2"/>
  <c r="P195" i="2"/>
  <c r="AQ193" i="2"/>
  <c r="AL193" i="2"/>
  <c r="AF193" i="2"/>
  <c r="V193" i="2"/>
  <c r="V192" i="2"/>
  <c r="H196" i="2"/>
  <c r="AP193" i="2"/>
  <c r="Z192" i="2"/>
  <c r="J196" i="2"/>
  <c r="N177" i="2"/>
  <c r="N183" i="2" s="1"/>
  <c r="P177" i="2"/>
  <c r="P183" i="2" s="1"/>
  <c r="P188" i="2"/>
  <c r="P187" i="2"/>
  <c r="P190" i="2"/>
  <c r="P189" i="2"/>
  <c r="N189" i="2"/>
  <c r="N188" i="2"/>
  <c r="L190" i="2"/>
  <c r="L189" i="2"/>
  <c r="L188" i="2"/>
  <c r="N187" i="2"/>
  <c r="L187" i="2"/>
  <c r="R187" i="2"/>
  <c r="R188" i="2"/>
  <c r="R190" i="2"/>
  <c r="R189" i="2"/>
  <c r="R177" i="2"/>
  <c r="AD187" i="2"/>
  <c r="AO187" i="2"/>
  <c r="AP187" i="2"/>
  <c r="AQ187" i="2"/>
  <c r="AP188" i="2"/>
  <c r="AP190" i="2"/>
  <c r="AQ188" i="2"/>
  <c r="AQ190" i="2"/>
  <c r="AO190" i="2"/>
  <c r="AO189" i="2"/>
  <c r="AP189" i="2"/>
  <c r="AQ189" i="2"/>
  <c r="AO188" i="2"/>
  <c r="AB195" i="2"/>
  <c r="AB198" i="2"/>
  <c r="AB196" i="2"/>
  <c r="AB194" i="2"/>
  <c r="AB192" i="2"/>
  <c r="BC187" i="2"/>
  <c r="BD187" i="2"/>
  <c r="BB195" i="2"/>
  <c r="BB188" i="2"/>
  <c r="BC195" i="2"/>
  <c r="BC188" i="2"/>
  <c r="BD195" i="2"/>
  <c r="BD188" i="2"/>
  <c r="BB196" i="2"/>
  <c r="BC196" i="2"/>
  <c r="BD196" i="2"/>
  <c r="BC198" i="2"/>
  <c r="BB189" i="2"/>
  <c r="BC189" i="2"/>
  <c r="BD189" i="2"/>
  <c r="BB198" i="2"/>
  <c r="BB190" i="2"/>
  <c r="BC190" i="2"/>
  <c r="BD198" i="2"/>
  <c r="BD190" i="2"/>
  <c r="BC192" i="2"/>
  <c r="BB192" i="2"/>
  <c r="BD192" i="2"/>
  <c r="BB187" i="2"/>
  <c r="Z177" i="2"/>
  <c r="AO177" i="2"/>
  <c r="AL188" i="2"/>
  <c r="BJ195" i="2"/>
  <c r="AX187" i="2"/>
  <c r="AX198" i="2"/>
  <c r="AT196" i="2"/>
  <c r="AS187" i="2"/>
  <c r="AF188" i="2"/>
  <c r="J187" i="2"/>
  <c r="F189" i="2"/>
  <c r="AT189" i="2"/>
  <c r="AH190" i="2"/>
  <c r="BJ196" i="2"/>
  <c r="H189" i="2"/>
  <c r="E190" i="2"/>
  <c r="AX190" i="2"/>
  <c r="AU190" i="2"/>
  <c r="J190" i="2"/>
  <c r="BE187" i="2"/>
  <c r="BG189" i="2"/>
  <c r="BK195" i="2"/>
  <c r="AY187" i="2"/>
  <c r="AY198" i="2"/>
  <c r="AT195" i="2"/>
  <c r="AM190" i="2"/>
  <c r="AF187" i="2"/>
  <c r="AD189" i="2"/>
  <c r="F188" i="2"/>
  <c r="AV187" i="2"/>
  <c r="V189" i="2"/>
  <c r="V188" i="2"/>
  <c r="BA192" i="2"/>
  <c r="V187" i="2"/>
  <c r="H188" i="2"/>
  <c r="E187" i="2"/>
  <c r="AZ196" i="2"/>
  <c r="BH189" i="2"/>
  <c r="BE196" i="2"/>
  <c r="AZ187" i="2"/>
  <c r="AZ198" i="2"/>
  <c r="AT192" i="2"/>
  <c r="AM189" i="2"/>
  <c r="AD188" i="2"/>
  <c r="Z190" i="2"/>
  <c r="F187" i="2"/>
  <c r="AW192" i="2"/>
  <c r="H190" i="2"/>
  <c r="AU188" i="2"/>
  <c r="H187" i="2"/>
  <c r="AY196" i="2"/>
  <c r="AF190" i="2"/>
  <c r="BG187" i="2"/>
  <c r="BI189" i="2"/>
  <c r="BA187" i="2"/>
  <c r="BA198" i="2"/>
  <c r="AU192" i="2"/>
  <c r="AM188" i="2"/>
  <c r="AK190" i="2"/>
  <c r="Z189" i="2"/>
  <c r="AY192" i="2"/>
  <c r="AK188" i="2"/>
  <c r="AH189" i="2"/>
  <c r="AT187" i="2"/>
  <c r="AX196" i="2"/>
  <c r="X189" i="2"/>
  <c r="AI188" i="2"/>
  <c r="BH187" i="2"/>
  <c r="BJ189" i="2"/>
  <c r="BE192" i="2"/>
  <c r="BG196" i="2"/>
  <c r="AX188" i="2"/>
  <c r="AX192" i="2"/>
  <c r="AU187" i="2"/>
  <c r="AV192" i="2"/>
  <c r="AT190" i="2"/>
  <c r="AM187" i="2"/>
  <c r="AK189" i="2"/>
  <c r="Z188" i="2"/>
  <c r="V190" i="2"/>
  <c r="BA188" i="2"/>
  <c r="AH188" i="2"/>
  <c r="AB190" i="2"/>
  <c r="E188" i="2"/>
  <c r="AU198" i="2"/>
  <c r="BI187" i="2"/>
  <c r="BK189" i="2"/>
  <c r="BH196" i="2"/>
  <c r="AY188" i="2"/>
  <c r="BH192" i="2"/>
  <c r="E189" i="2"/>
  <c r="AI190" i="2"/>
  <c r="AS190" i="2"/>
  <c r="AW198" i="2"/>
  <c r="BJ187" i="2"/>
  <c r="BE190" i="2"/>
  <c r="BG192" i="2"/>
  <c r="BI196" i="2"/>
  <c r="AZ188" i="2"/>
  <c r="AZ192" i="2"/>
  <c r="AW187" i="2"/>
  <c r="AU195" i="2"/>
  <c r="AT188" i="2"/>
  <c r="AK187" i="2"/>
  <c r="AV195" i="2"/>
  <c r="AE190" i="2"/>
  <c r="AH187" i="2"/>
  <c r="AE188" i="2"/>
  <c r="AY190" i="2"/>
  <c r="AZ190" i="2"/>
  <c r="J189" i="2"/>
  <c r="BK187" i="2"/>
  <c r="BE188" i="2"/>
  <c r="BG190" i="2"/>
  <c r="BI192" i="2"/>
  <c r="BK196" i="2"/>
  <c r="AX189" i="2"/>
  <c r="AX195" i="2"/>
  <c r="AV188" i="2"/>
  <c r="AW195" i="2"/>
  <c r="AS198" i="2"/>
  <c r="AE189" i="2"/>
  <c r="X190" i="2"/>
  <c r="AV198" i="2"/>
  <c r="AV190" i="2"/>
  <c r="BH190" i="2"/>
  <c r="BJ192" i="2"/>
  <c r="BE198" i="2"/>
  <c r="AY189" i="2"/>
  <c r="AY195" i="2"/>
  <c r="AW188" i="2"/>
  <c r="AU196" i="2"/>
  <c r="AS196" i="2"/>
  <c r="AI189" i="2"/>
  <c r="BG188" i="2"/>
  <c r="BI190" i="2"/>
  <c r="BK192" i="2"/>
  <c r="AZ189" i="2"/>
  <c r="AZ195" i="2"/>
  <c r="AU189" i="2"/>
  <c r="AV196" i="2"/>
  <c r="AS195" i="2"/>
  <c r="AL190" i="2"/>
  <c r="AE187" i="2"/>
  <c r="BH198" i="2"/>
  <c r="BH188" i="2"/>
  <c r="BJ190" i="2"/>
  <c r="BE195" i="2"/>
  <c r="BG198" i="2"/>
  <c r="BA189" i="2"/>
  <c r="BA195" i="2"/>
  <c r="AV189" i="2"/>
  <c r="AW196" i="2"/>
  <c r="AS192" i="2"/>
  <c r="AL189" i="2"/>
  <c r="AW189" i="2"/>
  <c r="BI198" i="2"/>
  <c r="X188" i="2"/>
  <c r="BI188" i="2"/>
  <c r="BK190" i="2"/>
  <c r="X187" i="2"/>
  <c r="BJ188" i="2"/>
  <c r="BG195" i="2"/>
  <c r="AS189" i="2"/>
  <c r="BK188" i="2"/>
  <c r="BH195" i="2"/>
  <c r="BJ198" i="2"/>
  <c r="BE189" i="2"/>
  <c r="BI195" i="2"/>
  <c r="BK198" i="2"/>
  <c r="BA190" i="2"/>
  <c r="BA196" i="2"/>
  <c r="AW190" i="2"/>
  <c r="AT198" i="2"/>
  <c r="AS188" i="2"/>
  <c r="AI187" i="2"/>
  <c r="AF189" i="2"/>
  <c r="J188" i="2"/>
  <c r="F190" i="2"/>
  <c r="X144" i="2"/>
  <c r="X177" i="2"/>
  <c r="V177" i="2"/>
  <c r="AL177" i="2"/>
  <c r="AI177" i="2"/>
  <c r="AM177" i="2"/>
  <c r="AE177" i="2"/>
  <c r="AF177" i="2"/>
  <c r="AP177" i="2"/>
  <c r="AH177" i="2"/>
  <c r="AQ177" i="2"/>
  <c r="AK177" i="2"/>
  <c r="AD177" i="2"/>
  <c r="H198" i="23"/>
  <c r="Z71" i="2" s="1"/>
  <c r="H199" i="23"/>
  <c r="AK71" i="2" l="1"/>
  <c r="P200" i="2"/>
  <c r="L200" i="2"/>
  <c r="N200" i="2"/>
  <c r="R200" i="2"/>
  <c r="AQ200" i="2"/>
  <c r="D5" i="33"/>
  <c r="I5" i="33"/>
  <c r="N5" i="33"/>
  <c r="AB200" i="2"/>
  <c r="BB200" i="2"/>
  <c r="BD200" i="2"/>
  <c r="BC200" i="2"/>
  <c r="AH200" i="2"/>
  <c r="AK200" i="2"/>
  <c r="E200" i="2"/>
  <c r="Z200" i="2"/>
  <c r="AL200" i="2"/>
  <c r="X200" i="2"/>
  <c r="AP71" i="2"/>
  <c r="AD71" i="2"/>
  <c r="AQ71" i="2"/>
  <c r="AO71" i="2"/>
  <c r="AL71" i="2"/>
  <c r="AM71" i="2"/>
  <c r="AH71" i="2"/>
  <c r="AI71" i="2"/>
  <c r="AF71" i="2"/>
  <c r="AE71" i="2"/>
  <c r="H208" i="23"/>
  <c r="V72" i="2" s="1"/>
  <c r="H196" i="23"/>
  <c r="H191" i="23"/>
  <c r="H192" i="23"/>
  <c r="AH55" i="25"/>
  <c r="AH54" i="25"/>
  <c r="AH50" i="25"/>
  <c r="AH49" i="25"/>
  <c r="AH36" i="25"/>
  <c r="AH35" i="25"/>
  <c r="AH34" i="25"/>
  <c r="AH33" i="25"/>
  <c r="AH30" i="25"/>
  <c r="AH29" i="25"/>
  <c r="AH28" i="25"/>
  <c r="AH27" i="25"/>
  <c r="AH26" i="25"/>
  <c r="AH21" i="25"/>
  <c r="AH20" i="25"/>
  <c r="AH9" i="25"/>
  <c r="AH19" i="25"/>
  <c r="AH18" i="25"/>
  <c r="AH12" i="25"/>
  <c r="AH10" i="25"/>
  <c r="H125" i="23"/>
  <c r="P97" i="26" s="1"/>
  <c r="D117" i="23"/>
  <c r="H117" i="23" s="1"/>
  <c r="D122" i="23"/>
  <c r="H122" i="23" s="1"/>
  <c r="H7" i="21"/>
  <c r="H124" i="23"/>
  <c r="P96" i="26" s="1"/>
  <c r="D123" i="23"/>
  <c r="H123" i="23" s="1"/>
  <c r="D121" i="23"/>
  <c r="H121" i="23" s="1"/>
  <c r="D120" i="23"/>
  <c r="H120" i="23" s="1"/>
  <c r="C116" i="23"/>
  <c r="D118" i="23"/>
  <c r="H118" i="23" s="1"/>
  <c r="D119" i="23"/>
  <c r="H119" i="23" s="1"/>
  <c r="Z159" i="2" s="1"/>
  <c r="D98" i="23"/>
  <c r="AL268" i="2"/>
  <c r="AM269" i="2"/>
  <c r="AM267" i="2"/>
  <c r="G6" i="21"/>
  <c r="H6" i="21" s="1"/>
  <c r="X34" i="25"/>
  <c r="X30" i="25"/>
  <c r="X36" i="25"/>
  <c r="D97" i="23"/>
  <c r="X19" i="25"/>
  <c r="X9" i="25"/>
  <c r="X20" i="25"/>
  <c r="X21" i="25"/>
  <c r="X26" i="25"/>
  <c r="X27" i="25"/>
  <c r="X28" i="25"/>
  <c r="X29" i="25"/>
  <c r="X33" i="25"/>
  <c r="X35" i="25"/>
  <c r="X49" i="25"/>
  <c r="X50" i="25"/>
  <c r="X54" i="25"/>
  <c r="X55" i="25"/>
  <c r="X18" i="25"/>
  <c r="X12" i="25"/>
  <c r="X10" i="25"/>
  <c r="AE69" i="2" l="1"/>
  <c r="AI69" i="2"/>
  <c r="D385" i="23"/>
  <c r="D384" i="23" s="1"/>
  <c r="H384" i="23" s="1"/>
  <c r="D340" i="23"/>
  <c r="BC202" i="2"/>
  <c r="BD202" i="2"/>
  <c r="BB202" i="2"/>
  <c r="AI3" i="26"/>
  <c r="AK159" i="2"/>
  <c r="AO159" i="2"/>
  <c r="AP159" i="2"/>
  <c r="AL159" i="2"/>
  <c r="AQ159" i="2"/>
  <c r="AM159" i="2"/>
  <c r="X69" i="2"/>
  <c r="AH3" i="26"/>
  <c r="AI4" i="26" s="1"/>
  <c r="X96" i="26"/>
  <c r="W96" i="26"/>
  <c r="V96" i="26"/>
  <c r="Z96" i="26"/>
  <c r="AA96" i="26"/>
  <c r="U96" i="26"/>
  <c r="V97" i="26"/>
  <c r="W97" i="26"/>
  <c r="X97" i="26"/>
  <c r="U97" i="26"/>
  <c r="Z97" i="26"/>
  <c r="AA97" i="26"/>
  <c r="H197" i="23"/>
  <c r="Z70" i="2" s="1"/>
  <c r="H195" i="23"/>
  <c r="H96" i="23"/>
  <c r="AI144" i="2" s="1"/>
  <c r="H97" i="23"/>
  <c r="H114" i="23"/>
  <c r="H112" i="23"/>
  <c r="D116" i="23"/>
  <c r="H116" i="23" s="1"/>
  <c r="H104" i="23"/>
  <c r="H106" i="23"/>
  <c r="H107" i="23"/>
  <c r="H108" i="23"/>
  <c r="H109" i="23"/>
  <c r="H110" i="23"/>
  <c r="H111" i="23"/>
  <c r="H113" i="23"/>
  <c r="H102" i="23"/>
  <c r="AP144" i="2" s="1"/>
  <c r="D103" i="23"/>
  <c r="H103" i="23" s="1"/>
  <c r="AQ144" i="2" s="1"/>
  <c r="H99" i="23"/>
  <c r="AL144" i="2" s="1"/>
  <c r="H98" i="23"/>
  <c r="AK144" i="2" s="1"/>
  <c r="H95" i="23"/>
  <c r="AH144" i="2" s="1"/>
  <c r="D94" i="23"/>
  <c r="H94" i="23" s="1"/>
  <c r="AF144" i="2" s="1"/>
  <c r="H101" i="23"/>
  <c r="AO144" i="2" s="1"/>
  <c r="D93" i="23"/>
  <c r="H93" i="23" s="1"/>
  <c r="AE144" i="2" s="1"/>
  <c r="D92" i="23"/>
  <c r="H92" i="23" s="1"/>
  <c r="AD144" i="2" s="1"/>
  <c r="H362" i="23"/>
  <c r="P119" i="2" s="1"/>
  <c r="D72" i="23"/>
  <c r="H72" i="23" s="1"/>
  <c r="H70" i="23"/>
  <c r="BH39" i="2" s="1"/>
  <c r="D48" i="23"/>
  <c r="H48" i="23" s="1"/>
  <c r="AT26" i="2" s="1"/>
  <c r="D49" i="23"/>
  <c r="H49" i="23" s="1"/>
  <c r="AU26" i="2" s="1"/>
  <c r="H50" i="23"/>
  <c r="AV26" i="2" s="1"/>
  <c r="H51" i="23"/>
  <c r="AW26" i="2" s="1"/>
  <c r="D47" i="23"/>
  <c r="H47" i="23" s="1"/>
  <c r="AS26" i="2" s="1"/>
  <c r="H58" i="23"/>
  <c r="H221" i="23"/>
  <c r="H222" i="23"/>
  <c r="H261" i="23"/>
  <c r="H320" i="23"/>
  <c r="AP94" i="2" s="1"/>
  <c r="H321" i="23"/>
  <c r="H322" i="23"/>
  <c r="H323" i="23"/>
  <c r="AO97" i="2" s="1"/>
  <c r="H324" i="23"/>
  <c r="H349" i="23"/>
  <c r="H350" i="23"/>
  <c r="P107" i="2" s="1"/>
  <c r="H351" i="23"/>
  <c r="P108" i="2" s="1"/>
  <c r="H352" i="23"/>
  <c r="P109" i="2" s="1"/>
  <c r="H354" i="23"/>
  <c r="P111" i="2" s="1"/>
  <c r="H355" i="23"/>
  <c r="P112" i="2" s="1"/>
  <c r="H356" i="23"/>
  <c r="P113" i="2" s="1"/>
  <c r="H359" i="23"/>
  <c r="P116" i="2" s="1"/>
  <c r="H360" i="23"/>
  <c r="P117" i="2" s="1"/>
  <c r="H364" i="23"/>
  <c r="P122" i="2" s="1"/>
  <c r="H366" i="23"/>
  <c r="P123" i="2" s="1"/>
  <c r="H367" i="23"/>
  <c r="H374" i="23"/>
  <c r="D376" i="23"/>
  <c r="H376" i="23" s="1"/>
  <c r="Z134" i="2"/>
  <c r="H207" i="23"/>
  <c r="H204" i="23"/>
  <c r="X81" i="2" s="1"/>
  <c r="C203" i="23"/>
  <c r="C202" i="23"/>
  <c r="H186" i="23"/>
  <c r="H176" i="23"/>
  <c r="H177" i="23"/>
  <c r="H61" i="23"/>
  <c r="H64" i="23"/>
  <c r="F33" i="2" s="1"/>
  <c r="H65" i="23"/>
  <c r="H33" i="2" s="1"/>
  <c r="H66" i="23"/>
  <c r="J33" i="2" s="1"/>
  <c r="H67" i="23"/>
  <c r="BG34" i="2" s="1"/>
  <c r="H68" i="23"/>
  <c r="BE35" i="2" s="1"/>
  <c r="H69" i="23"/>
  <c r="H63" i="23"/>
  <c r="E33" i="2" s="1"/>
  <c r="H54" i="23"/>
  <c r="AY30" i="2" s="1"/>
  <c r="H55" i="23"/>
  <c r="AZ30" i="2" s="1"/>
  <c r="H56" i="23"/>
  <c r="BA30" i="2" s="1"/>
  <c r="H53" i="23"/>
  <c r="AX30" i="2" s="1"/>
  <c r="H35" i="23"/>
  <c r="H30" i="23"/>
  <c r="H31" i="23"/>
  <c r="H32" i="23"/>
  <c r="H33" i="23"/>
  <c r="P26" i="2" s="1"/>
  <c r="H34" i="23"/>
  <c r="H28" i="23"/>
  <c r="H7" i="23"/>
  <c r="H8" i="23"/>
  <c r="H9" i="23"/>
  <c r="H10" i="23"/>
  <c r="H11" i="23"/>
  <c r="H12" i="23"/>
  <c r="Z11" i="2" s="1"/>
  <c r="H14" i="23"/>
  <c r="H16" i="23"/>
  <c r="H361" i="23"/>
  <c r="D358" i="23"/>
  <c r="H358" i="23" s="1"/>
  <c r="P115" i="2" s="1"/>
  <c r="H26" i="23"/>
  <c r="AM23" i="2" s="1"/>
  <c r="H24" i="23"/>
  <c r="AM22" i="2" s="1"/>
  <c r="H23" i="23"/>
  <c r="AM21" i="2" s="1"/>
  <c r="H20" i="23"/>
  <c r="AM20" i="2" s="1"/>
  <c r="H17" i="23"/>
  <c r="AB26" i="2"/>
  <c r="AM16" i="2" l="1"/>
  <c r="Z16" i="2"/>
  <c r="P106" i="2"/>
  <c r="Z106" i="2"/>
  <c r="AM43" i="2" a="1"/>
  <c r="AM43" i="2" s="1"/>
  <c r="AQ43" i="2" a="1"/>
  <c r="AQ43" i="2" s="1"/>
  <c r="Z43" i="2" a="1"/>
  <c r="Z43" i="2" s="1"/>
  <c r="AO43" i="2" a="1"/>
  <c r="AO43" i="2" s="1"/>
  <c r="AH43" i="2" a="1"/>
  <c r="AH43" i="2" s="1"/>
  <c r="AL43" i="2" a="1"/>
  <c r="AL43" i="2" s="1"/>
  <c r="AI43" i="2" a="1"/>
  <c r="AI43" i="2" s="1"/>
  <c r="AK43" i="2" a="1"/>
  <c r="AK43" i="2" s="1"/>
  <c r="AP43" i="2" a="1"/>
  <c r="AP43" i="2" s="1"/>
  <c r="Z44" i="2" a="1"/>
  <c r="Z44" i="2" s="1"/>
  <c r="AP44" i="2" a="1"/>
  <c r="AP44" i="2" s="1"/>
  <c r="AI44" i="2" a="1"/>
  <c r="AI44" i="2" s="1"/>
  <c r="AO44" i="2" a="1"/>
  <c r="AO44" i="2" s="1"/>
  <c r="AH44" i="2" a="1"/>
  <c r="AH44" i="2" s="1"/>
  <c r="AM44" i="2" a="1"/>
  <c r="AM44" i="2" s="1"/>
  <c r="AQ44" i="2" a="1"/>
  <c r="AQ44" i="2" s="1"/>
  <c r="AL44" i="2" a="1"/>
  <c r="AL44" i="2" s="1"/>
  <c r="AK44" i="2" a="1"/>
  <c r="AK44" i="2" s="1"/>
  <c r="AD47" i="2"/>
  <c r="AO47" i="2"/>
  <c r="Z47" i="2"/>
  <c r="AL68" i="2"/>
  <c r="Z68" i="2"/>
  <c r="P118" i="2"/>
  <c r="N118" i="2"/>
  <c r="F13" i="2"/>
  <c r="P13" i="2"/>
  <c r="E13" i="2"/>
  <c r="X13" i="2"/>
  <c r="L13" i="2"/>
  <c r="Z13" i="2"/>
  <c r="T13" i="2"/>
  <c r="N13" i="2"/>
  <c r="R13" i="2"/>
  <c r="J13" i="2"/>
  <c r="V13" i="2"/>
  <c r="H13" i="2"/>
  <c r="T15" i="2"/>
  <c r="P15" i="2"/>
  <c r="T14" i="2"/>
  <c r="P14" i="2"/>
  <c r="T11" i="2"/>
  <c r="AM11" i="2"/>
  <c r="P11" i="2"/>
  <c r="T9" i="2"/>
  <c r="P9" i="2"/>
  <c r="T8" i="2"/>
  <c r="P8" i="2"/>
  <c r="AM8" i="2"/>
  <c r="T7" i="2"/>
  <c r="P7" i="2"/>
  <c r="AM7" i="2"/>
  <c r="T6" i="2"/>
  <c r="AM6" i="2"/>
  <c r="P6" i="2"/>
  <c r="T25" i="2"/>
  <c r="T26" i="2"/>
  <c r="E106" i="2"/>
  <c r="F106" i="2"/>
  <c r="L106" i="2"/>
  <c r="N106" i="2"/>
  <c r="R14" i="2"/>
  <c r="L14" i="2"/>
  <c r="N14" i="2"/>
  <c r="R11" i="2"/>
  <c r="N11" i="2"/>
  <c r="L11" i="2"/>
  <c r="R119" i="2"/>
  <c r="F119" i="2"/>
  <c r="E119" i="2"/>
  <c r="N119" i="2"/>
  <c r="L9" i="2"/>
  <c r="N9" i="2"/>
  <c r="R8" i="2"/>
  <c r="N8" i="2"/>
  <c r="L8" i="2"/>
  <c r="R7" i="2"/>
  <c r="L7" i="2"/>
  <c r="N7" i="2"/>
  <c r="R6" i="2"/>
  <c r="L6" i="2"/>
  <c r="N6" i="2"/>
  <c r="R123" i="2"/>
  <c r="F123" i="2"/>
  <c r="L123" i="2"/>
  <c r="E123" i="2"/>
  <c r="N123" i="2"/>
  <c r="R117" i="2"/>
  <c r="F117" i="2"/>
  <c r="E117" i="2"/>
  <c r="L117" i="2"/>
  <c r="N117" i="2"/>
  <c r="BL127" i="2"/>
  <c r="BL202" i="2" s="1"/>
  <c r="BL204" i="2" s="1"/>
  <c r="BL214" i="2" s="1"/>
  <c r="R122" i="2"/>
  <c r="N122" i="2"/>
  <c r="R26" i="2"/>
  <c r="N26" i="2"/>
  <c r="L26" i="2"/>
  <c r="R116" i="2"/>
  <c r="L116" i="2"/>
  <c r="N116" i="2"/>
  <c r="F116" i="2"/>
  <c r="E116" i="2"/>
  <c r="R113" i="2"/>
  <c r="L113" i="2"/>
  <c r="N113" i="2"/>
  <c r="F113" i="2"/>
  <c r="E113" i="2"/>
  <c r="R112" i="2"/>
  <c r="E112" i="2"/>
  <c r="F112" i="2"/>
  <c r="L112" i="2"/>
  <c r="N112" i="2"/>
  <c r="R111" i="2"/>
  <c r="F111" i="2"/>
  <c r="E111" i="2"/>
  <c r="L111" i="2"/>
  <c r="N111" i="2"/>
  <c r="R115" i="2"/>
  <c r="F115" i="2"/>
  <c r="L115" i="2"/>
  <c r="N115" i="2"/>
  <c r="E115" i="2"/>
  <c r="R109" i="2"/>
  <c r="E109" i="2"/>
  <c r="F109" i="2"/>
  <c r="L109" i="2"/>
  <c r="N109" i="2"/>
  <c r="R118" i="2"/>
  <c r="F118" i="2"/>
  <c r="E118" i="2"/>
  <c r="L118" i="2"/>
  <c r="R108" i="2"/>
  <c r="F108" i="2"/>
  <c r="E108" i="2"/>
  <c r="L108" i="2"/>
  <c r="N108" i="2"/>
  <c r="R15" i="2"/>
  <c r="L15" i="2"/>
  <c r="N15" i="2"/>
  <c r="R107" i="2"/>
  <c r="E107" i="2"/>
  <c r="F107" i="2"/>
  <c r="L107" i="2"/>
  <c r="N107" i="2"/>
  <c r="V106" i="2"/>
  <c r="R106" i="2"/>
  <c r="X9" i="2"/>
  <c r="R9" i="2"/>
  <c r="Z182" i="2"/>
  <c r="Z183" i="2" s="1"/>
  <c r="R183" i="2"/>
  <c r="AQ14" i="2"/>
  <c r="AF14" i="2"/>
  <c r="AE8" i="2"/>
  <c r="AF8" i="2"/>
  <c r="AF7" i="2"/>
  <c r="AE7" i="2"/>
  <c r="AF16" i="2"/>
  <c r="AE16" i="2"/>
  <c r="AF26" i="2"/>
  <c r="AE26" i="2"/>
  <c r="AF22" i="2"/>
  <c r="AE22" i="2"/>
  <c r="AF23" i="2"/>
  <c r="AE23" i="2"/>
  <c r="AE11" i="2"/>
  <c r="AF11" i="2"/>
  <c r="AE6" i="2"/>
  <c r="AF6" i="2"/>
  <c r="AF21" i="2"/>
  <c r="AE21" i="2"/>
  <c r="AE20" i="2"/>
  <c r="AF20" i="2"/>
  <c r="AB163" i="2"/>
  <c r="AB183" i="2" s="1"/>
  <c r="AQ6" i="2"/>
  <c r="AD20" i="2"/>
  <c r="AI20" i="2"/>
  <c r="AD21" i="2"/>
  <c r="AD22" i="2"/>
  <c r="AD23" i="2"/>
  <c r="D372" i="23"/>
  <c r="H372" i="23" s="1"/>
  <c r="AK68" i="2"/>
  <c r="AQ94" i="2"/>
  <c r="AO94" i="2"/>
  <c r="AO23" i="2"/>
  <c r="AQ23" i="2"/>
  <c r="AP23" i="2"/>
  <c r="AP20" i="2"/>
  <c r="AQ20" i="2"/>
  <c r="AO20" i="2"/>
  <c r="AO26" i="2"/>
  <c r="AP26" i="2"/>
  <c r="AO21" i="2"/>
  <c r="AQ21" i="2"/>
  <c r="AP21" i="2"/>
  <c r="AP7" i="2"/>
  <c r="AQ7" i="2"/>
  <c r="AO7" i="2"/>
  <c r="AQ8" i="2"/>
  <c r="AP8" i="2"/>
  <c r="AO8" i="2"/>
  <c r="AP6" i="2"/>
  <c r="AO6" i="2"/>
  <c r="AP22" i="2"/>
  <c r="AQ22" i="2"/>
  <c r="AO22" i="2"/>
  <c r="AQ11" i="2"/>
  <c r="AP11" i="2"/>
  <c r="AO11" i="2"/>
  <c r="AO16" i="2"/>
  <c r="AP16" i="2"/>
  <c r="AQ16" i="2"/>
  <c r="AE47" i="2"/>
  <c r="AQ111" i="2"/>
  <c r="AO111" i="2"/>
  <c r="AP111" i="2"/>
  <c r="D295" i="23"/>
  <c r="D280" i="23"/>
  <c r="D307" i="23"/>
  <c r="H304" i="23" s="1"/>
  <c r="BB204" i="2"/>
  <c r="BB214" i="2" s="1"/>
  <c r="BB221" i="2" s="1"/>
  <c r="BD204" i="2"/>
  <c r="BD214" i="2" s="1"/>
  <c r="BD221" i="2" s="1"/>
  <c r="BC204" i="2"/>
  <c r="BC214" i="2" s="1"/>
  <c r="BC221" i="2" s="1"/>
  <c r="V140" i="2"/>
  <c r="V141" i="2" s="1"/>
  <c r="Z7" i="2"/>
  <c r="AL7" i="2"/>
  <c r="AL6" i="2"/>
  <c r="Z6" i="2"/>
  <c r="Z8" i="2"/>
  <c r="AL8" i="2"/>
  <c r="AM68" i="2"/>
  <c r="AQ68" i="2"/>
  <c r="AO68" i="2"/>
  <c r="AO72" i="2" s="1"/>
  <c r="AP68" i="2"/>
  <c r="AK70" i="2"/>
  <c r="D380" i="23"/>
  <c r="D379" i="23" s="1"/>
  <c r="H379" i="23" s="1"/>
  <c r="AQ47" i="2"/>
  <c r="AP47" i="2"/>
  <c r="AM47" i="2"/>
  <c r="AL47" i="2"/>
  <c r="AH47" i="2"/>
  <c r="AK47" i="2"/>
  <c r="AI47" i="2"/>
  <c r="AL70" i="2"/>
  <c r="AM70" i="2"/>
  <c r="AP70" i="2"/>
  <c r="AQ70" i="2"/>
  <c r="AO70" i="2"/>
  <c r="Z135" i="2"/>
  <c r="AO135" i="2"/>
  <c r="AP135" i="2"/>
  <c r="AQ135" i="2"/>
  <c r="D202" i="23"/>
  <c r="H202" i="23" s="1"/>
  <c r="D203" i="23"/>
  <c r="H203" i="23" s="1"/>
  <c r="D205" i="23"/>
  <c r="H205" i="23" s="1"/>
  <c r="D206" i="23"/>
  <c r="H206" i="23" s="1"/>
  <c r="J91" i="2"/>
  <c r="AE163" i="2"/>
  <c r="AE183" i="2" s="1"/>
  <c r="AF163" i="2"/>
  <c r="AD163" i="2"/>
  <c r="AD183" i="2" s="1"/>
  <c r="X14" i="2"/>
  <c r="Z14" i="2"/>
  <c r="X123" i="2"/>
  <c r="Z123" i="2"/>
  <c r="X133" i="2"/>
  <c r="Z133" i="2"/>
  <c r="X119" i="2"/>
  <c r="Z119" i="2"/>
  <c r="X117" i="2"/>
  <c r="Z117" i="2"/>
  <c r="X116" i="2"/>
  <c r="Z116" i="2"/>
  <c r="X113" i="2"/>
  <c r="Z113" i="2"/>
  <c r="X11" i="2"/>
  <c r="X122" i="2"/>
  <c r="Z122" i="2"/>
  <c r="X109" i="2"/>
  <c r="Z109" i="2"/>
  <c r="Z20" i="2"/>
  <c r="D281" i="23"/>
  <c r="D296" i="23"/>
  <c r="X26" i="2"/>
  <c r="Z26" i="2"/>
  <c r="X108" i="2"/>
  <c r="Z108" i="2"/>
  <c r="X7" i="2"/>
  <c r="X88" i="2"/>
  <c r="X6" i="2"/>
  <c r="X107" i="2"/>
  <c r="Z107" i="2"/>
  <c r="X111" i="2"/>
  <c r="Z111" i="2"/>
  <c r="D298" i="23"/>
  <c r="Z22" i="2"/>
  <c r="D283" i="23"/>
  <c r="X8" i="2"/>
  <c r="X106" i="2"/>
  <c r="D284" i="23"/>
  <c r="D299" i="23"/>
  <c r="Z23" i="2"/>
  <c r="X137" i="2"/>
  <c r="Z137" i="2"/>
  <c r="X15" i="2"/>
  <c r="X112" i="2"/>
  <c r="Z112" i="2"/>
  <c r="D297" i="23"/>
  <c r="Z21" i="2"/>
  <c r="D282" i="23"/>
  <c r="X115" i="2"/>
  <c r="Z115" i="2"/>
  <c r="X118" i="2"/>
  <c r="Z118" i="2"/>
  <c r="X47" i="2"/>
  <c r="AI7" i="26"/>
  <c r="AI8" i="26"/>
  <c r="AI10" i="26"/>
  <c r="AH9" i="26"/>
  <c r="AI5" i="26"/>
  <c r="AH7" i="26"/>
  <c r="AI6" i="26"/>
  <c r="AH5" i="26"/>
  <c r="C5" i="26" s="1"/>
  <c r="AI9" i="26"/>
  <c r="AH4" i="26"/>
  <c r="X182" i="2"/>
  <c r="X183" i="2" s="1"/>
  <c r="V182" i="2"/>
  <c r="V183" i="2" s="1"/>
  <c r="AH8" i="26"/>
  <c r="AH6" i="26"/>
  <c r="C6" i="26" s="1"/>
  <c r="AH10" i="26"/>
  <c r="AP118" i="2"/>
  <c r="AE118" i="2"/>
  <c r="AQ118" i="2"/>
  <c r="AH118" i="2"/>
  <c r="H118" i="2"/>
  <c r="AI118" i="2"/>
  <c r="AK118" i="2"/>
  <c r="J118" i="2"/>
  <c r="AF118" i="2"/>
  <c r="V118" i="2"/>
  <c r="AL118" i="2"/>
  <c r="AB118" i="2"/>
  <c r="AM118" i="2"/>
  <c r="AO118" i="2"/>
  <c r="AD118" i="2"/>
  <c r="AP96" i="2"/>
  <c r="AO96" i="2"/>
  <c r="AQ96" i="2"/>
  <c r="AL172" i="2"/>
  <c r="AM172" i="2"/>
  <c r="AI172" i="2"/>
  <c r="AH172" i="2"/>
  <c r="AP172" i="2"/>
  <c r="AK172" i="2"/>
  <c r="AQ172" i="2"/>
  <c r="AO172" i="2"/>
  <c r="V15" i="2"/>
  <c r="H15" i="2"/>
  <c r="E15" i="2"/>
  <c r="F15" i="2"/>
  <c r="J15" i="2"/>
  <c r="AO95" i="2"/>
  <c r="AQ95" i="2"/>
  <c r="AP95" i="2"/>
  <c r="AI171" i="2"/>
  <c r="AP171" i="2"/>
  <c r="AH171" i="2"/>
  <c r="AQ171" i="2"/>
  <c r="AK171" i="2"/>
  <c r="AO171" i="2"/>
  <c r="AL171" i="2"/>
  <c r="AM171" i="2"/>
  <c r="AM122" i="2"/>
  <c r="AO122" i="2"/>
  <c r="AD122" i="2"/>
  <c r="AP122" i="2"/>
  <c r="AE122" i="2"/>
  <c r="AQ122" i="2"/>
  <c r="AF122" i="2"/>
  <c r="AH122" i="2"/>
  <c r="H122" i="2"/>
  <c r="AI122" i="2"/>
  <c r="AK122" i="2"/>
  <c r="J122" i="2"/>
  <c r="V122" i="2"/>
  <c r="AL122" i="2"/>
  <c r="AB122" i="2"/>
  <c r="AO119" i="2"/>
  <c r="AD119" i="2"/>
  <c r="AP119" i="2"/>
  <c r="AE119" i="2"/>
  <c r="AQ119" i="2"/>
  <c r="AF119" i="2"/>
  <c r="AH119" i="2"/>
  <c r="H119" i="2"/>
  <c r="AI119" i="2"/>
  <c r="AK119" i="2"/>
  <c r="J119" i="2"/>
  <c r="V119" i="2"/>
  <c r="AL119" i="2"/>
  <c r="AB119" i="2"/>
  <c r="AM119" i="2"/>
  <c r="AL14" i="2"/>
  <c r="J14" i="2"/>
  <c r="F14" i="2"/>
  <c r="AB14" i="2"/>
  <c r="AO14" i="2"/>
  <c r="E14" i="2"/>
  <c r="AH14" i="2"/>
  <c r="AE14" i="2"/>
  <c r="AK14" i="2"/>
  <c r="V14" i="2"/>
  <c r="H14" i="2"/>
  <c r="AM14" i="2"/>
  <c r="AD14" i="2"/>
  <c r="AP14" i="2"/>
  <c r="AI14" i="2"/>
  <c r="AI11" i="2"/>
  <c r="AL11" i="2"/>
  <c r="J11" i="2"/>
  <c r="F11" i="2"/>
  <c r="AB11" i="2"/>
  <c r="AD11" i="2"/>
  <c r="AH11" i="2"/>
  <c r="AK11" i="2"/>
  <c r="V11" i="2"/>
  <c r="H11" i="2"/>
  <c r="E11" i="2"/>
  <c r="AB123" i="2"/>
  <c r="AM123" i="2"/>
  <c r="AO123" i="2"/>
  <c r="AD123" i="2"/>
  <c r="AP123" i="2"/>
  <c r="AE123" i="2"/>
  <c r="AQ123" i="2"/>
  <c r="AF123" i="2"/>
  <c r="AH123" i="2"/>
  <c r="H123" i="2"/>
  <c r="AI123" i="2"/>
  <c r="AK123" i="2"/>
  <c r="J123" i="2"/>
  <c r="V123" i="2"/>
  <c r="AL123" i="2"/>
  <c r="AH133" i="2"/>
  <c r="AO133" i="2"/>
  <c r="AD133" i="2"/>
  <c r="AK133" i="2"/>
  <c r="AP133" i="2"/>
  <c r="AE133" i="2"/>
  <c r="AQ133" i="2"/>
  <c r="AF133" i="2"/>
  <c r="AL133" i="2"/>
  <c r="AM133" i="2"/>
  <c r="AI133" i="2"/>
  <c r="AI8" i="2"/>
  <c r="AB8" i="2"/>
  <c r="J8" i="2"/>
  <c r="F8" i="2"/>
  <c r="AH8" i="2"/>
  <c r="E8" i="2"/>
  <c r="V8" i="2"/>
  <c r="AK8" i="2"/>
  <c r="H8" i="2"/>
  <c r="AD8" i="2"/>
  <c r="AP116" i="2"/>
  <c r="AE116" i="2"/>
  <c r="AQ116" i="2"/>
  <c r="AH116" i="2"/>
  <c r="AF116" i="2"/>
  <c r="H116" i="2"/>
  <c r="AI116" i="2"/>
  <c r="AK116" i="2"/>
  <c r="J116" i="2"/>
  <c r="V116" i="2"/>
  <c r="AL116" i="2"/>
  <c r="AB116" i="2"/>
  <c r="AM116" i="2"/>
  <c r="AO116" i="2"/>
  <c r="AD116" i="2"/>
  <c r="AI7" i="2"/>
  <c r="AK7" i="2"/>
  <c r="AB7" i="2"/>
  <c r="J7" i="2"/>
  <c r="F7" i="2"/>
  <c r="E7" i="2"/>
  <c r="AH7" i="2"/>
  <c r="AD7" i="2"/>
  <c r="H7" i="2"/>
  <c r="V7" i="2"/>
  <c r="BJ113" i="2"/>
  <c r="AQ113" i="2"/>
  <c r="AH113" i="2"/>
  <c r="AF113" i="2"/>
  <c r="H113" i="2"/>
  <c r="AI113" i="2"/>
  <c r="AK113" i="2"/>
  <c r="J113" i="2"/>
  <c r="V113" i="2"/>
  <c r="AL113" i="2"/>
  <c r="AB113" i="2"/>
  <c r="AM113" i="2"/>
  <c r="AO113" i="2"/>
  <c r="AD113" i="2"/>
  <c r="AP113" i="2"/>
  <c r="AE113" i="2"/>
  <c r="AP42" i="2"/>
  <c r="AQ42" i="2"/>
  <c r="AO42" i="2"/>
  <c r="AL42" i="2"/>
  <c r="AM42" i="2"/>
  <c r="AK42" i="2"/>
  <c r="AI42" i="2"/>
  <c r="AH42" i="2"/>
  <c r="AF42" i="2"/>
  <c r="AE42" i="2"/>
  <c r="AP163" i="2"/>
  <c r="AQ163" i="2"/>
  <c r="AL163" i="2"/>
  <c r="AM163" i="2"/>
  <c r="AH163" i="2"/>
  <c r="AK163" i="2"/>
  <c r="AO163" i="2"/>
  <c r="AI163" i="2"/>
  <c r="AI6" i="2"/>
  <c r="AB6" i="2"/>
  <c r="J6" i="2"/>
  <c r="F6" i="2"/>
  <c r="AK6" i="2"/>
  <c r="AH6" i="2"/>
  <c r="V6" i="2"/>
  <c r="H6" i="2"/>
  <c r="E6" i="2"/>
  <c r="AD6" i="2"/>
  <c r="AH112" i="2"/>
  <c r="AF112" i="2"/>
  <c r="H112" i="2"/>
  <c r="AI112" i="2"/>
  <c r="AK112" i="2"/>
  <c r="J112" i="2"/>
  <c r="V112" i="2"/>
  <c r="AL112" i="2"/>
  <c r="AB112" i="2"/>
  <c r="AM112" i="2"/>
  <c r="AO112" i="2"/>
  <c r="AD112" i="2"/>
  <c r="AP112" i="2"/>
  <c r="AE112" i="2"/>
  <c r="AQ112" i="2"/>
  <c r="AI182" i="2"/>
  <c r="AO182" i="2"/>
  <c r="AL182" i="2"/>
  <c r="AH182" i="2"/>
  <c r="AK182" i="2"/>
  <c r="AF182" i="2"/>
  <c r="AP182" i="2"/>
  <c r="AQ182" i="2"/>
  <c r="AM182" i="2"/>
  <c r="J9" i="2"/>
  <c r="F9" i="2"/>
  <c r="E9" i="2"/>
  <c r="H9" i="2"/>
  <c r="V9" i="2"/>
  <c r="AZ36" i="2"/>
  <c r="BA36" i="2"/>
  <c r="AT36" i="2"/>
  <c r="AU36" i="2"/>
  <c r="AV36" i="2"/>
  <c r="AS36" i="2"/>
  <c r="AX36" i="2"/>
  <c r="AW36" i="2"/>
  <c r="AY36" i="2"/>
  <c r="AO175" i="2"/>
  <c r="AP175" i="2"/>
  <c r="AQ175" i="2"/>
  <c r="AP173" i="2"/>
  <c r="AO173" i="2"/>
  <c r="AQ173" i="2"/>
  <c r="AB16" i="2"/>
  <c r="AH16" i="2"/>
  <c r="AK16" i="2"/>
  <c r="AD16" i="2"/>
  <c r="AL16" i="2"/>
  <c r="AI16" i="2"/>
  <c r="J26" i="2"/>
  <c r="AL26" i="2"/>
  <c r="AK26" i="2"/>
  <c r="AI26" i="2"/>
  <c r="AH26" i="2"/>
  <c r="AD26" i="2"/>
  <c r="H26" i="2"/>
  <c r="V26" i="2"/>
  <c r="E26" i="2"/>
  <c r="F26" i="2"/>
  <c r="AH134" i="2"/>
  <c r="AO134" i="2"/>
  <c r="AD134" i="2"/>
  <c r="AK134" i="2"/>
  <c r="AP134" i="2"/>
  <c r="AE134" i="2"/>
  <c r="AQ134" i="2"/>
  <c r="AF134" i="2"/>
  <c r="AL134" i="2"/>
  <c r="AI134" i="2"/>
  <c r="AM134" i="2"/>
  <c r="AI108" i="2"/>
  <c r="AK108" i="2"/>
  <c r="J108" i="2"/>
  <c r="V108" i="2"/>
  <c r="AL108" i="2"/>
  <c r="AB108" i="2"/>
  <c r="AM108" i="2"/>
  <c r="AO108" i="2"/>
  <c r="AD108" i="2"/>
  <c r="AP108" i="2"/>
  <c r="AE108" i="2"/>
  <c r="AQ108" i="2"/>
  <c r="AH108" i="2"/>
  <c r="AF108" i="2"/>
  <c r="H108" i="2"/>
  <c r="AL21" i="2"/>
  <c r="AK21" i="2"/>
  <c r="BH21" i="2"/>
  <c r="AI21" i="2"/>
  <c r="AH21" i="2"/>
  <c r="AI45" i="2"/>
  <c r="AD45" i="2"/>
  <c r="AM45" i="2"/>
  <c r="AL45" i="2"/>
  <c r="AP45" i="2"/>
  <c r="AQ45" i="2"/>
  <c r="AK45" i="2"/>
  <c r="AH45" i="2"/>
  <c r="AF45" i="2"/>
  <c r="AE45" i="2"/>
  <c r="AL135" i="2"/>
  <c r="AM135" i="2"/>
  <c r="AH135" i="2"/>
  <c r="AD135" i="2"/>
  <c r="AK135" i="2"/>
  <c r="AE135" i="2"/>
  <c r="AI135" i="2"/>
  <c r="AF135" i="2"/>
  <c r="AK107" i="2"/>
  <c r="J107" i="2"/>
  <c r="V107" i="2"/>
  <c r="AL107" i="2"/>
  <c r="AB107" i="2"/>
  <c r="AM107" i="2"/>
  <c r="AO107" i="2"/>
  <c r="AD107" i="2"/>
  <c r="AP107" i="2"/>
  <c r="AE107" i="2"/>
  <c r="AQ107" i="2"/>
  <c r="AH107" i="2"/>
  <c r="AF107" i="2"/>
  <c r="H107" i="2"/>
  <c r="AI107" i="2"/>
  <c r="AW27" i="2"/>
  <c r="AV27" i="2"/>
  <c r="AU27" i="2"/>
  <c r="AT27" i="2"/>
  <c r="AH67" i="2"/>
  <c r="AI67" i="2"/>
  <c r="AF67" i="2"/>
  <c r="AE67" i="2"/>
  <c r="AP67" i="2"/>
  <c r="AQ67" i="2"/>
  <c r="AO67" i="2"/>
  <c r="H111" i="2"/>
  <c r="AI111" i="2"/>
  <c r="AK111" i="2"/>
  <c r="J111" i="2"/>
  <c r="V111" i="2"/>
  <c r="AL111" i="2"/>
  <c r="AB111" i="2"/>
  <c r="AM111" i="2"/>
  <c r="AD111" i="2"/>
  <c r="AE111" i="2"/>
  <c r="AH111" i="2"/>
  <c r="AF111" i="2"/>
  <c r="H109" i="2"/>
  <c r="AI109" i="2"/>
  <c r="AK109" i="2"/>
  <c r="J109" i="2"/>
  <c r="V109" i="2"/>
  <c r="AL109" i="2"/>
  <c r="AB109" i="2"/>
  <c r="AM109" i="2"/>
  <c r="AO109" i="2"/>
  <c r="AD109" i="2"/>
  <c r="AP109" i="2"/>
  <c r="AE109" i="2"/>
  <c r="AQ109" i="2"/>
  <c r="AH109" i="2"/>
  <c r="AF109" i="2"/>
  <c r="AL20" i="2"/>
  <c r="AK20" i="2"/>
  <c r="BH20" i="2"/>
  <c r="AH20" i="2"/>
  <c r="AL22" i="2"/>
  <c r="AK22" i="2"/>
  <c r="BH22" i="2"/>
  <c r="AI22" i="2"/>
  <c r="AH22" i="2"/>
  <c r="AI136" i="2"/>
  <c r="AE136" i="2"/>
  <c r="AF136" i="2"/>
  <c r="AH136" i="2"/>
  <c r="AD136" i="2"/>
  <c r="AX106" i="2"/>
  <c r="AB106" i="2"/>
  <c r="AY106" i="2"/>
  <c r="AL106" i="2"/>
  <c r="AZ106" i="2"/>
  <c r="AO106" i="2"/>
  <c r="AD106" i="2"/>
  <c r="BA106" i="2"/>
  <c r="AM106" i="2"/>
  <c r="AT106" i="2"/>
  <c r="AU106" i="2"/>
  <c r="AV106" i="2"/>
  <c r="AW106" i="2"/>
  <c r="AP106" i="2"/>
  <c r="AE106" i="2"/>
  <c r="AS106" i="2"/>
  <c r="AH106" i="2"/>
  <c r="AQ106" i="2"/>
  <c r="AF106" i="2"/>
  <c r="H106" i="2"/>
  <c r="AK106" i="2"/>
  <c r="J106" i="2"/>
  <c r="AI106" i="2"/>
  <c r="AP117" i="2"/>
  <c r="AE117" i="2"/>
  <c r="AQ117" i="2"/>
  <c r="AH117" i="2"/>
  <c r="AF117" i="2"/>
  <c r="H117" i="2"/>
  <c r="AI117" i="2"/>
  <c r="AK117" i="2"/>
  <c r="J117" i="2"/>
  <c r="V117" i="2"/>
  <c r="AL117" i="2"/>
  <c r="AB117" i="2"/>
  <c r="AM117" i="2"/>
  <c r="AO117" i="2"/>
  <c r="AD117" i="2"/>
  <c r="AK23" i="2"/>
  <c r="BH23" i="2"/>
  <c r="AI23" i="2"/>
  <c r="AH23" i="2"/>
  <c r="AL23" i="2"/>
  <c r="AI137" i="2"/>
  <c r="AP137" i="2"/>
  <c r="AE137" i="2"/>
  <c r="AQ137" i="2"/>
  <c r="AF137" i="2"/>
  <c r="AL137" i="2"/>
  <c r="AM137" i="2"/>
  <c r="AH137" i="2"/>
  <c r="AO137" i="2"/>
  <c r="AD137" i="2"/>
  <c r="AK137" i="2"/>
  <c r="AQ115" i="2"/>
  <c r="AH115" i="2"/>
  <c r="AF115" i="2"/>
  <c r="H115" i="2"/>
  <c r="AI115" i="2"/>
  <c r="AK115" i="2"/>
  <c r="J115" i="2"/>
  <c r="V115" i="2"/>
  <c r="AL115" i="2"/>
  <c r="AB115" i="2"/>
  <c r="AM115" i="2"/>
  <c r="AO115" i="2"/>
  <c r="AD115" i="2"/>
  <c r="AP115" i="2"/>
  <c r="AE115" i="2"/>
  <c r="AP97" i="2"/>
  <c r="AQ97" i="2"/>
  <c r="AP174" i="2"/>
  <c r="AO174" i="2"/>
  <c r="AQ174" i="2"/>
  <c r="H200" i="23"/>
  <c r="H185" i="23"/>
  <c r="Z46" i="2" s="1"/>
  <c r="D100" i="23"/>
  <c r="H100" i="23" s="1"/>
  <c r="AM144" i="2" s="1"/>
  <c r="AP72" i="2" l="1"/>
  <c r="V77" i="2"/>
  <c r="X77" i="2"/>
  <c r="AL72" i="2"/>
  <c r="AF46" i="2"/>
  <c r="AF125" i="2" s="1"/>
  <c r="AO46" i="2"/>
  <c r="N125" i="2"/>
  <c r="AI12" i="26"/>
  <c r="H291" i="23"/>
  <c r="P126" i="2"/>
  <c r="P125" i="2"/>
  <c r="E127" i="2"/>
  <c r="H278" i="23"/>
  <c r="H276" i="23"/>
  <c r="H274" i="23"/>
  <c r="H275" i="23"/>
  <c r="H277" i="23"/>
  <c r="H292" i="23"/>
  <c r="N126" i="2"/>
  <c r="L127" i="2"/>
  <c r="BL216" i="2"/>
  <c r="BL218" i="2" s="1"/>
  <c r="BL221" i="2"/>
  <c r="V73" i="2"/>
  <c r="R73" i="2"/>
  <c r="D341" i="23"/>
  <c r="H339" i="23" s="1"/>
  <c r="H127" i="2"/>
  <c r="F127" i="2"/>
  <c r="J127" i="2"/>
  <c r="H290" i="23"/>
  <c r="H289" i="23"/>
  <c r="H293" i="23"/>
  <c r="AB125" i="2"/>
  <c r="AB124" i="2"/>
  <c r="BC216" i="2"/>
  <c r="BC218" i="2" s="1"/>
  <c r="BD216" i="2"/>
  <c r="BD218" i="2" s="1"/>
  <c r="BB216" i="2"/>
  <c r="BB218" i="2" s="1"/>
  <c r="AD140" i="2"/>
  <c r="AD141" i="2" s="1"/>
  <c r="X84" i="2"/>
  <c r="V85" i="2"/>
  <c r="X85" i="2"/>
  <c r="AP140" i="2"/>
  <c r="AP141" i="2" s="1"/>
  <c r="AK140" i="2"/>
  <c r="AK141" i="2" s="1"/>
  <c r="Z140" i="2"/>
  <c r="Z141" i="2" s="1"/>
  <c r="AQ140" i="2"/>
  <c r="AQ141" i="2" s="1"/>
  <c r="AE140" i="2"/>
  <c r="AE141" i="2" s="1"/>
  <c r="AO140" i="2"/>
  <c r="AO141" i="2" s="1"/>
  <c r="X140" i="2"/>
  <c r="X141" i="2" s="1"/>
  <c r="AH140" i="2"/>
  <c r="AH141" i="2" s="1"/>
  <c r="AI140" i="2"/>
  <c r="AI141" i="2" s="1"/>
  <c r="AM140" i="2"/>
  <c r="AM141" i="2" s="1"/>
  <c r="AL140" i="2"/>
  <c r="AL141" i="2" s="1"/>
  <c r="AF140" i="2"/>
  <c r="AF141" i="2" s="1"/>
  <c r="AM183" i="2"/>
  <c r="AI183" i="2"/>
  <c r="AO183" i="2"/>
  <c r="AL183" i="2"/>
  <c r="AQ183" i="2"/>
  <c r="AK183" i="2"/>
  <c r="AH183" i="2"/>
  <c r="AP183" i="2"/>
  <c r="AF183" i="2"/>
  <c r="X73" i="2"/>
  <c r="Z73" i="2"/>
  <c r="AH12" i="26"/>
  <c r="I70" i="26" s="1"/>
  <c r="AI46" i="2"/>
  <c r="AI125" i="2" s="1"/>
  <c r="AD46" i="2"/>
  <c r="AD125" i="2" s="1"/>
  <c r="AH46" i="2"/>
  <c r="AH124" i="2" s="1"/>
  <c r="AP46" i="2"/>
  <c r="AK46" i="2"/>
  <c r="AQ46" i="2"/>
  <c r="AM46" i="2"/>
  <c r="AE46" i="2"/>
  <c r="AE125" i="2" s="1"/>
  <c r="AL46" i="2"/>
  <c r="F200" i="2"/>
  <c r="BK200" i="2"/>
  <c r="AS127" i="2"/>
  <c r="BL220" i="2" l="1"/>
  <c r="I71" i="26"/>
  <c r="N65" i="26"/>
  <c r="R245" i="2"/>
  <c r="L65" i="26"/>
  <c r="V245" i="2"/>
  <c r="V125" i="2"/>
  <c r="P127" i="2"/>
  <c r="P202" i="2" s="1"/>
  <c r="P204" i="2" s="1"/>
  <c r="P214" i="2" s="1"/>
  <c r="K85" i="26"/>
  <c r="J85" i="26"/>
  <c r="N127" i="2"/>
  <c r="I66" i="26"/>
  <c r="I68" i="26"/>
  <c r="I67" i="26"/>
  <c r="I69" i="26"/>
  <c r="I85" i="26"/>
  <c r="L202" i="2"/>
  <c r="AE124" i="2"/>
  <c r="AD124" i="2"/>
  <c r="L85" i="26"/>
  <c r="R126" i="2"/>
  <c r="R125" i="2"/>
  <c r="AB121" i="26"/>
  <c r="AB118" i="26"/>
  <c r="AB120" i="26"/>
  <c r="AB119" i="26"/>
  <c r="S50" i="26"/>
  <c r="R50" i="26"/>
  <c r="U50" i="26"/>
  <c r="AB109" i="26"/>
  <c r="AB112" i="26"/>
  <c r="AB115" i="26"/>
  <c r="AB117" i="26"/>
  <c r="AB110" i="26"/>
  <c r="AB113" i="26"/>
  <c r="AB114" i="26"/>
  <c r="AB116" i="26"/>
  <c r="AB111" i="26"/>
  <c r="R101" i="26"/>
  <c r="T101" i="26"/>
  <c r="S101" i="26"/>
  <c r="V98" i="26"/>
  <c r="V101" i="26"/>
  <c r="AB98" i="26"/>
  <c r="L83" i="29" s="1"/>
  <c r="Z101" i="26"/>
  <c r="W98" i="26"/>
  <c r="F34" i="29" s="1"/>
  <c r="W101" i="26"/>
  <c r="F33" i="29" s="1"/>
  <c r="U98" i="26"/>
  <c r="Y101" i="26"/>
  <c r="U101" i="26"/>
  <c r="X98" i="26"/>
  <c r="I34" i="29" s="1"/>
  <c r="P101" i="26"/>
  <c r="Y98" i="26"/>
  <c r="L34" i="29" s="1"/>
  <c r="Z98" i="26"/>
  <c r="F83" i="29" s="1"/>
  <c r="AA98" i="26"/>
  <c r="I83" i="29" s="1"/>
  <c r="X101" i="26"/>
  <c r="I33" i="29" s="1"/>
  <c r="AA101" i="26"/>
  <c r="AB101" i="26"/>
  <c r="V55" i="26"/>
  <c r="AA59" i="26"/>
  <c r="I71" i="29" s="1"/>
  <c r="W55" i="26"/>
  <c r="F17" i="29" s="1"/>
  <c r="U57" i="26"/>
  <c r="X55" i="26"/>
  <c r="I17" i="29" s="1"/>
  <c r="U58" i="26"/>
  <c r="AA57" i="26"/>
  <c r="I69" i="29" s="1"/>
  <c r="V56" i="26"/>
  <c r="U59" i="26"/>
  <c r="AA56" i="26"/>
  <c r="I68" i="29" s="1"/>
  <c r="U54" i="26"/>
  <c r="X56" i="26"/>
  <c r="I18" i="29" s="1"/>
  <c r="AA54" i="26"/>
  <c r="I66" i="29" s="1"/>
  <c r="W57" i="26"/>
  <c r="F19" i="29" s="1"/>
  <c r="Z58" i="26"/>
  <c r="F70" i="29" s="1"/>
  <c r="V58" i="26"/>
  <c r="Z56" i="26"/>
  <c r="F68" i="29" s="1"/>
  <c r="X58" i="26"/>
  <c r="I20" i="29" s="1"/>
  <c r="Z54" i="26"/>
  <c r="F66" i="29" s="1"/>
  <c r="V54" i="26"/>
  <c r="X59" i="26"/>
  <c r="I21" i="29" s="1"/>
  <c r="X54" i="26"/>
  <c r="I16" i="29" s="1"/>
  <c r="AA58" i="26"/>
  <c r="I70" i="29" s="1"/>
  <c r="W56" i="26"/>
  <c r="F18" i="29" s="1"/>
  <c r="AA55" i="26"/>
  <c r="I67" i="29" s="1"/>
  <c r="V57" i="26"/>
  <c r="Z59" i="26"/>
  <c r="F71" i="29" s="1"/>
  <c r="X57" i="26"/>
  <c r="I19" i="29" s="1"/>
  <c r="Z57" i="26"/>
  <c r="F69" i="29" s="1"/>
  <c r="W58" i="26"/>
  <c r="F20" i="29" s="1"/>
  <c r="Z55" i="26"/>
  <c r="F67" i="29" s="1"/>
  <c r="V59" i="26"/>
  <c r="W59" i="26"/>
  <c r="F21" i="29" s="1"/>
  <c r="W54" i="26"/>
  <c r="F16" i="29" s="1"/>
  <c r="U55" i="26"/>
  <c r="U56" i="26"/>
  <c r="S56" i="26"/>
  <c r="S57" i="26"/>
  <c r="R55" i="26"/>
  <c r="R57" i="26"/>
  <c r="R54" i="26"/>
  <c r="S54" i="26"/>
  <c r="S55" i="26"/>
  <c r="R56" i="26"/>
  <c r="X51" i="26"/>
  <c r="X89" i="26"/>
  <c r="I40" i="29" s="1"/>
  <c r="X126" i="2"/>
  <c r="AF126" i="2"/>
  <c r="AH126" i="2"/>
  <c r="AI126" i="2"/>
  <c r="AE126" i="2"/>
  <c r="V126" i="2"/>
  <c r="AD126" i="2"/>
  <c r="AB127" i="2"/>
  <c r="BB220" i="2"/>
  <c r="AI244" i="2"/>
  <c r="AH244" i="2"/>
  <c r="BD220" i="2"/>
  <c r="AP244" i="2"/>
  <c r="AQ244" i="2"/>
  <c r="AO244" i="2"/>
  <c r="BC220" i="2"/>
  <c r="Z244" i="2"/>
  <c r="AL244" i="2"/>
  <c r="AM244" i="2"/>
  <c r="AK244" i="2"/>
  <c r="X87" i="26"/>
  <c r="Y87" i="26"/>
  <c r="AB87" i="26"/>
  <c r="Z87" i="26"/>
  <c r="AA87" i="26"/>
  <c r="W87" i="26"/>
  <c r="W88" i="26"/>
  <c r="F39" i="29" s="1"/>
  <c r="X124" i="2"/>
  <c r="AA52" i="26"/>
  <c r="Z52" i="26"/>
  <c r="W51" i="26"/>
  <c r="F32" i="29" s="1"/>
  <c r="V50" i="26"/>
  <c r="K25" i="33" s="1"/>
  <c r="AH125" i="2"/>
  <c r="R81" i="26"/>
  <c r="P88" i="26"/>
  <c r="P98" i="26"/>
  <c r="V124" i="2"/>
  <c r="X125" i="2"/>
  <c r="AI124" i="2"/>
  <c r="AF124" i="2"/>
  <c r="Z104" i="2"/>
  <c r="Z124" i="2" s="1"/>
  <c r="AK104" i="2"/>
  <c r="AK126" i="2" s="1"/>
  <c r="AQ104" i="2"/>
  <c r="AM104" i="2"/>
  <c r="AM125" i="2" s="1"/>
  <c r="AP104" i="2"/>
  <c r="AP126" i="2" s="1"/>
  <c r="AO104" i="2"/>
  <c r="AO126" i="2" s="1"/>
  <c r="AL104" i="2"/>
  <c r="AB99" i="26"/>
  <c r="AA99" i="26"/>
  <c r="Z99" i="26"/>
  <c r="AB84" i="26"/>
  <c r="Y84" i="26"/>
  <c r="L27" i="29" s="1"/>
  <c r="E202" i="2"/>
  <c r="T106" i="26"/>
  <c r="U106" i="26"/>
  <c r="V106" i="26"/>
  <c r="W106" i="26"/>
  <c r="X106" i="26"/>
  <c r="Y106" i="26"/>
  <c r="Z106" i="26"/>
  <c r="AA106" i="26"/>
  <c r="AB106" i="26"/>
  <c r="R106" i="26"/>
  <c r="S106" i="26"/>
  <c r="P106" i="26"/>
  <c r="R75" i="26"/>
  <c r="S74" i="26"/>
  <c r="R74" i="26"/>
  <c r="S77" i="26"/>
  <c r="S75" i="26"/>
  <c r="T77" i="26"/>
  <c r="R77" i="26"/>
  <c r="T75" i="26"/>
  <c r="T74" i="26"/>
  <c r="U61" i="26"/>
  <c r="P76" i="26"/>
  <c r="R76" i="26"/>
  <c r="W76" i="26"/>
  <c r="F38" i="29" s="1"/>
  <c r="X76" i="26"/>
  <c r="I38" i="29" s="1"/>
  <c r="Y76" i="26"/>
  <c r="L38" i="29" s="1"/>
  <c r="S76" i="26"/>
  <c r="T76" i="26"/>
  <c r="AA92" i="26"/>
  <c r="I86" i="29" s="1"/>
  <c r="X103" i="26"/>
  <c r="AB92" i="26"/>
  <c r="L86" i="29" s="1"/>
  <c r="AB95" i="26"/>
  <c r="X88" i="26"/>
  <c r="I39" i="29" s="1"/>
  <c r="AA100" i="26"/>
  <c r="AB86" i="26"/>
  <c r="L77" i="29" s="1"/>
  <c r="X86" i="26"/>
  <c r="X91" i="26"/>
  <c r="I29" i="29" s="1"/>
  <c r="W104" i="26"/>
  <c r="U88" i="26"/>
  <c r="W93" i="26"/>
  <c r="F42" i="29" s="1"/>
  <c r="W86" i="26"/>
  <c r="F28" i="29" s="1"/>
  <c r="U100" i="26"/>
  <c r="X104" i="26"/>
  <c r="Y61" i="26"/>
  <c r="L23" i="29" s="1"/>
  <c r="X95" i="26"/>
  <c r="V88" i="26"/>
  <c r="Y100" i="26"/>
  <c r="Z92" i="26"/>
  <c r="F86" i="29" s="1"/>
  <c r="V90" i="26"/>
  <c r="W100" i="26"/>
  <c r="Y103" i="26"/>
  <c r="U94" i="26"/>
  <c r="AA88" i="26"/>
  <c r="I87" i="29" s="1"/>
  <c r="V91" i="26"/>
  <c r="W103" i="26"/>
  <c r="Z104" i="26"/>
  <c r="AA94" i="26"/>
  <c r="I91" i="29" s="1"/>
  <c r="W92" i="26"/>
  <c r="F37" i="29" s="1"/>
  <c r="AA93" i="26"/>
  <c r="I90" i="29" s="1"/>
  <c r="Y89" i="26"/>
  <c r="L40" i="29" s="1"/>
  <c r="U93" i="26"/>
  <c r="V102" i="26"/>
  <c r="AA95" i="26"/>
  <c r="Y88" i="26"/>
  <c r="L39" i="29" s="1"/>
  <c r="V89" i="26"/>
  <c r="X102" i="26"/>
  <c r="Z93" i="26"/>
  <c r="F90" i="29" s="1"/>
  <c r="X90" i="26"/>
  <c r="I41" i="29" s="1"/>
  <c r="AA84" i="26"/>
  <c r="W95" i="26"/>
  <c r="AA105" i="26"/>
  <c r="AB103" i="26"/>
  <c r="Z86" i="26"/>
  <c r="F77" i="29" s="1"/>
  <c r="U90" i="26"/>
  <c r="Y102" i="26"/>
  <c r="X84" i="26"/>
  <c r="AB89" i="26"/>
  <c r="L88" i="29" s="1"/>
  <c r="AB88" i="26"/>
  <c r="L87" i="29" s="1"/>
  <c r="AA104" i="26"/>
  <c r="W84" i="26"/>
  <c r="F27" i="29" s="1"/>
  <c r="AB94" i="26"/>
  <c r="L91" i="29" s="1"/>
  <c r="Z91" i="26"/>
  <c r="F78" i="29" s="1"/>
  <c r="U91" i="26"/>
  <c r="X105" i="26"/>
  <c r="AA102" i="26"/>
  <c r="V84" i="26"/>
  <c r="V61" i="26"/>
  <c r="V94" i="26"/>
  <c r="AB100" i="26"/>
  <c r="AA103" i="26"/>
  <c r="AA61" i="26"/>
  <c r="I73" i="29" s="1"/>
  <c r="W90" i="26"/>
  <c r="F41" i="29" s="1"/>
  <c r="Z89" i="26"/>
  <c r="F88" i="29" s="1"/>
  <c r="U103" i="26"/>
  <c r="U102" i="26"/>
  <c r="X61" i="26"/>
  <c r="I23" i="29" s="1"/>
  <c r="Y93" i="26"/>
  <c r="L42" i="29" s="1"/>
  <c r="Y90" i="26"/>
  <c r="L41" i="29" s="1"/>
  <c r="X100" i="26"/>
  <c r="AB102" i="26"/>
  <c r="AB61" i="26"/>
  <c r="L73" i="29" s="1"/>
  <c r="AA89" i="26"/>
  <c r="I88" i="29" s="1"/>
  <c r="X92" i="26"/>
  <c r="I37" i="29" s="1"/>
  <c r="W102" i="26"/>
  <c r="Y91" i="26"/>
  <c r="L29" i="29" s="1"/>
  <c r="W91" i="26"/>
  <c r="F29" i="29" s="1"/>
  <c r="Y104" i="26"/>
  <c r="U104" i="26"/>
  <c r="W61" i="26"/>
  <c r="F23" i="29" s="1"/>
  <c r="AB93" i="26"/>
  <c r="L90" i="29" s="1"/>
  <c r="AB104" i="26"/>
  <c r="Y92" i="26"/>
  <c r="L37" i="29" s="1"/>
  <c r="Z94" i="26"/>
  <c r="F91" i="29" s="1"/>
  <c r="AA91" i="26"/>
  <c r="I78" i="29" s="1"/>
  <c r="Z100" i="26"/>
  <c r="Y86" i="26"/>
  <c r="L28" i="29" s="1"/>
  <c r="W94" i="26"/>
  <c r="F43" i="29" s="1"/>
  <c r="AB90" i="26"/>
  <c r="L89" i="29" s="1"/>
  <c r="W89" i="26"/>
  <c r="F40" i="29" s="1"/>
  <c r="V100" i="26"/>
  <c r="Z103" i="26"/>
  <c r="V105" i="26"/>
  <c r="X94" i="26"/>
  <c r="I43" i="29" s="1"/>
  <c r="U105" i="26"/>
  <c r="U95" i="26"/>
  <c r="Z88" i="26"/>
  <c r="F87" i="29" s="1"/>
  <c r="W105" i="26"/>
  <c r="U84" i="26"/>
  <c r="V93" i="26"/>
  <c r="AA90" i="26"/>
  <c r="I89" i="29" s="1"/>
  <c r="V103" i="26"/>
  <c r="Y105" i="26"/>
  <c r="Z95" i="26"/>
  <c r="AA86" i="26"/>
  <c r="I77" i="29" s="1"/>
  <c r="Z84" i="26"/>
  <c r="X93" i="26"/>
  <c r="I42" i="29" s="1"/>
  <c r="V95" i="26"/>
  <c r="AB105" i="26"/>
  <c r="Y95" i="26"/>
  <c r="Z102" i="26"/>
  <c r="Z61" i="26"/>
  <c r="F73" i="29" s="1"/>
  <c r="Y94" i="26"/>
  <c r="L43" i="29" s="1"/>
  <c r="Z90" i="26"/>
  <c r="F89" i="29" s="1"/>
  <c r="U89" i="26"/>
  <c r="AB91" i="26"/>
  <c r="L78" i="29" s="1"/>
  <c r="Z105" i="26"/>
  <c r="V104" i="26"/>
  <c r="S102" i="26"/>
  <c r="R104" i="26"/>
  <c r="S103" i="26"/>
  <c r="T105" i="26"/>
  <c r="S79" i="26"/>
  <c r="S104" i="26"/>
  <c r="T61" i="26"/>
  <c r="R61" i="26"/>
  <c r="S61" i="26"/>
  <c r="R82" i="26"/>
  <c r="S81" i="26"/>
  <c r="S83" i="26"/>
  <c r="T81" i="26"/>
  <c r="T82" i="26"/>
  <c r="R79" i="26"/>
  <c r="R80" i="26"/>
  <c r="S82" i="26"/>
  <c r="T83" i="26"/>
  <c r="G85" i="26"/>
  <c r="T102" i="26"/>
  <c r="P93" i="26"/>
  <c r="P94" i="26"/>
  <c r="P91" i="26"/>
  <c r="P105" i="26"/>
  <c r="P104" i="26"/>
  <c r="P61" i="26"/>
  <c r="P92" i="26"/>
  <c r="P90" i="26"/>
  <c r="P103" i="26"/>
  <c r="P102" i="26"/>
  <c r="P100" i="26"/>
  <c r="P86" i="26"/>
  <c r="P89" i="26"/>
  <c r="T80" i="26"/>
  <c r="T104" i="26"/>
  <c r="T79" i="26"/>
  <c r="R102" i="26"/>
  <c r="S84" i="26"/>
  <c r="S80" i="26"/>
  <c r="R105" i="26"/>
  <c r="T84" i="26"/>
  <c r="T78" i="26"/>
  <c r="S105" i="26"/>
  <c r="R84" i="26"/>
  <c r="S78" i="26"/>
  <c r="R103" i="26"/>
  <c r="R78" i="26"/>
  <c r="T103" i="26"/>
  <c r="R83" i="26"/>
  <c r="R127" i="2" l="1"/>
  <c r="R202" i="2" s="1"/>
  <c r="Z125" i="2"/>
  <c r="D6" i="28"/>
  <c r="P216" i="2"/>
  <c r="P224" i="2" s="1"/>
  <c r="P221" i="2"/>
  <c r="E6" i="28" s="1"/>
  <c r="N202" i="2"/>
  <c r="L204" i="2"/>
  <c r="P25" i="33"/>
  <c r="I32" i="29"/>
  <c r="AH127" i="2"/>
  <c r="AF127" i="2"/>
  <c r="AI127" i="2"/>
  <c r="AE127" i="2"/>
  <c r="V127" i="2"/>
  <c r="AQ124" i="2"/>
  <c r="AQ126" i="2"/>
  <c r="AD127" i="2"/>
  <c r="AL125" i="2"/>
  <c r="AL126" i="2"/>
  <c r="AM126" i="2"/>
  <c r="Z126" i="2"/>
  <c r="X127" i="2"/>
  <c r="AO125" i="2"/>
  <c r="AP125" i="2"/>
  <c r="D19" i="33"/>
  <c r="I24" i="33"/>
  <c r="N22" i="33"/>
  <c r="N24" i="33"/>
  <c r="D16" i="33"/>
  <c r="I16" i="33"/>
  <c r="I20" i="33"/>
  <c r="I27" i="29"/>
  <c r="N20" i="33"/>
  <c r="I28" i="29"/>
  <c r="N21" i="33"/>
  <c r="N5" i="28"/>
  <c r="AK124" i="2"/>
  <c r="AK125" i="2"/>
  <c r="AQ125" i="2"/>
  <c r="AM124" i="2"/>
  <c r="AO124" i="2"/>
  <c r="AP124" i="2"/>
  <c r="AL124" i="2"/>
  <c r="AU183" i="2"/>
  <c r="AS183" i="2"/>
  <c r="G5" i="21"/>
  <c r="H5" i="21" s="1"/>
  <c r="H260" i="2"/>
  <c r="BJ200" i="2"/>
  <c r="BJ183" i="2"/>
  <c r="BJ127" i="2"/>
  <c r="BI200" i="2"/>
  <c r="BI183" i="2"/>
  <c r="AT183" i="2"/>
  <c r="H3" i="21"/>
  <c r="H4" i="21"/>
  <c r="BK35" i="2"/>
  <c r="BK127" i="2" s="1"/>
  <c r="P218" i="2" l="1"/>
  <c r="P220" i="2" s="1"/>
  <c r="N204" i="2"/>
  <c r="N214" i="2" s="1"/>
  <c r="L214" i="2"/>
  <c r="R204" i="2"/>
  <c r="R214" i="2" s="1"/>
  <c r="AM127" i="2"/>
  <c r="AQ127" i="2"/>
  <c r="AO127" i="2"/>
  <c r="AP127" i="2"/>
  <c r="AK127" i="2"/>
  <c r="Z127" i="2"/>
  <c r="Z202" i="2" s="1"/>
  <c r="Z207" i="2" s="1"/>
  <c r="AL127" i="2"/>
  <c r="AL202" i="2" s="1"/>
  <c r="X202" i="2"/>
  <c r="BK202" i="2"/>
  <c r="BJ202" i="2"/>
  <c r="E204" i="2"/>
  <c r="AU127" i="2"/>
  <c r="AX127" i="2"/>
  <c r="AY127" i="2"/>
  <c r="AZ127" i="2"/>
  <c r="BA127" i="2"/>
  <c r="BI127" i="2"/>
  <c r="AW183" i="2"/>
  <c r="AL204" i="2" l="1"/>
  <c r="AL205" i="2"/>
  <c r="AL206" i="2"/>
  <c r="AL207" i="2"/>
  <c r="K40" i="26"/>
  <c r="B6" i="28" s="1"/>
  <c r="P222" i="2"/>
  <c r="P243" i="2"/>
  <c r="C6" i="28"/>
  <c r="K6" i="28" s="1"/>
  <c r="D5" i="28"/>
  <c r="R216" i="2"/>
  <c r="R218" i="2" s="1"/>
  <c r="R221" i="2"/>
  <c r="E7" i="28" s="1"/>
  <c r="N221" i="2"/>
  <c r="E5" i="28" s="1"/>
  <c r="N216" i="2"/>
  <c r="D7" i="28"/>
  <c r="L221" i="2"/>
  <c r="L216" i="2"/>
  <c r="N18" i="28"/>
  <c r="E214" i="2"/>
  <c r="E216" i="2" s="1"/>
  <c r="Z206" i="2"/>
  <c r="Z205" i="2"/>
  <c r="Z204" i="2"/>
  <c r="X204" i="2"/>
  <c r="D33" i="28"/>
  <c r="E33" i="28"/>
  <c r="BI202" i="2"/>
  <c r="BI204" i="2" s="1"/>
  <c r="BK204" i="2"/>
  <c r="BK214" i="2" s="1"/>
  <c r="BJ204" i="2"/>
  <c r="BJ214" i="2" s="1"/>
  <c r="AW127" i="2"/>
  <c r="R224" i="2" l="1"/>
  <c r="F6" i="28"/>
  <c r="I6" i="28" s="1"/>
  <c r="J6" i="28" s="1"/>
  <c r="N218" i="2"/>
  <c r="J40" i="26" s="1"/>
  <c r="N224" i="2"/>
  <c r="R220" i="2"/>
  <c r="C7" i="28"/>
  <c r="L224" i="2"/>
  <c r="L218" i="2"/>
  <c r="L243" i="2" s="1"/>
  <c r="R243" i="2"/>
  <c r="L40" i="26"/>
  <c r="R222" i="2"/>
  <c r="E221" i="2"/>
  <c r="N7" i="33"/>
  <c r="N8" i="33"/>
  <c r="N9" i="33"/>
  <c r="X214" i="2"/>
  <c r="X216" i="2" s="1"/>
  <c r="X218" i="2" s="1"/>
  <c r="G3" i="34" s="1"/>
  <c r="Z214" i="2"/>
  <c r="Z221" i="2" s="1"/>
  <c r="E10" i="28" s="1"/>
  <c r="D9" i="28"/>
  <c r="D10" i="28"/>
  <c r="D36" i="28"/>
  <c r="BI214" i="2"/>
  <c r="D38" i="28"/>
  <c r="D37" i="28"/>
  <c r="BJ221" i="2"/>
  <c r="E37" i="28" s="1"/>
  <c r="BJ216" i="2"/>
  <c r="BJ218" i="2" s="1"/>
  <c r="AV28" i="2"/>
  <c r="B7" i="28" l="1"/>
  <c r="C5" i="28"/>
  <c r="N243" i="2"/>
  <c r="B5" i="28"/>
  <c r="N222" i="2"/>
  <c r="N220" i="2"/>
  <c r="I40" i="26"/>
  <c r="L222" i="2"/>
  <c r="L220" i="2"/>
  <c r="L226" i="2"/>
  <c r="L236" i="2"/>
  <c r="L232" i="2"/>
  <c r="L227" i="2"/>
  <c r="L235" i="2"/>
  <c r="L230" i="2"/>
  <c r="L237" i="2"/>
  <c r="L231" i="2"/>
  <c r="L234" i="2"/>
  <c r="L233" i="2"/>
  <c r="L228" i="2"/>
  <c r="L229" i="2"/>
  <c r="L225" i="2"/>
  <c r="C33" i="28"/>
  <c r="K33" i="28" s="1"/>
  <c r="O60" i="26"/>
  <c r="X221" i="2"/>
  <c r="E9" i="28" s="1"/>
  <c r="Z216" i="2"/>
  <c r="Z218" i="2" s="1"/>
  <c r="P40" i="26" s="1"/>
  <c r="X243" i="2"/>
  <c r="X222" i="2"/>
  <c r="O40" i="26"/>
  <c r="C9" i="28"/>
  <c r="X220" i="2"/>
  <c r="X224" i="2"/>
  <c r="X230" i="2" s="1"/>
  <c r="E218" i="2"/>
  <c r="E224" i="2"/>
  <c r="BJ220" i="2"/>
  <c r="C37" i="28"/>
  <c r="K37" i="28" s="1"/>
  <c r="BI221" i="2"/>
  <c r="E36" i="28" s="1"/>
  <c r="BI216" i="2"/>
  <c r="BI218" i="2" s="1"/>
  <c r="K63" i="26" s="1"/>
  <c r="BH200" i="2"/>
  <c r="BH183" i="2"/>
  <c r="L248" i="2" l="1"/>
  <c r="I63" i="26"/>
  <c r="R248" i="2"/>
  <c r="J63" i="26"/>
  <c r="P63" i="26"/>
  <c r="L63" i="26"/>
  <c r="E220" i="2"/>
  <c r="C3" i="34"/>
  <c r="Z222" i="2"/>
  <c r="H3" i="34"/>
  <c r="B9" i="28"/>
  <c r="F9" i="28" s="1"/>
  <c r="I9" i="28" s="1"/>
  <c r="J9" i="28" s="1"/>
  <c r="G2" i="34"/>
  <c r="K9" i="28"/>
  <c r="C10" i="28"/>
  <c r="K10" i="28" s="1"/>
  <c r="Z224" i="2"/>
  <c r="Z238" i="2" s="1"/>
  <c r="X231" i="2"/>
  <c r="X233" i="2"/>
  <c r="X229" i="2"/>
  <c r="X237" i="2"/>
  <c r="X234" i="2"/>
  <c r="X235" i="2"/>
  <c r="Z220" i="2"/>
  <c r="Z243" i="2"/>
  <c r="Z249" i="2" s="1"/>
  <c r="X232" i="2"/>
  <c r="X228" i="2"/>
  <c r="X225" i="2"/>
  <c r="X227" i="2"/>
  <c r="X226" i="2"/>
  <c r="E227" i="2"/>
  <c r="E226" i="2"/>
  <c r="E228" i="2"/>
  <c r="E225" i="2"/>
  <c r="X236" i="2"/>
  <c r="E232" i="2"/>
  <c r="E230" i="2"/>
  <c r="E229" i="2"/>
  <c r="E237" i="2"/>
  <c r="E231" i="2"/>
  <c r="E233" i="2"/>
  <c r="E234" i="2"/>
  <c r="E236" i="2"/>
  <c r="E235" i="2"/>
  <c r="E222" i="2"/>
  <c r="Q5" i="28"/>
  <c r="R5" i="28" s="1"/>
  <c r="O63" i="26"/>
  <c r="X248" i="2"/>
  <c r="BI220" i="2"/>
  <c r="C36" i="28"/>
  <c r="K36" i="28" s="1"/>
  <c r="F60" i="26"/>
  <c r="G60" i="26"/>
  <c r="E60" i="26"/>
  <c r="B37" i="28" s="1"/>
  <c r="F37" i="28" s="1"/>
  <c r="I37" i="28" s="1"/>
  <c r="H60" i="26"/>
  <c r="N60" i="26"/>
  <c r="D60" i="26"/>
  <c r="B33" i="28"/>
  <c r="F33" i="28" s="1"/>
  <c r="I33" i="28" s="1"/>
  <c r="BH127" i="2"/>
  <c r="AT127" i="2"/>
  <c r="H258" i="2"/>
  <c r="B10" i="28" l="1"/>
  <c r="F10" i="28" s="1"/>
  <c r="I10" i="28" s="1"/>
  <c r="J10" i="28" s="1"/>
  <c r="H2" i="34"/>
  <c r="Z227" i="2"/>
  <c r="Z228" i="2"/>
  <c r="Z226" i="2"/>
  <c r="Z229" i="2"/>
  <c r="Z237" i="2"/>
  <c r="Z230" i="2"/>
  <c r="Z225" i="2"/>
  <c r="Z233" i="2"/>
  <c r="Z231" i="2"/>
  <c r="Z234" i="2"/>
  <c r="Z236" i="2"/>
  <c r="Z232" i="2"/>
  <c r="Z235" i="2"/>
  <c r="K5" i="28"/>
  <c r="BH202" i="2"/>
  <c r="BH204" i="2" s="1"/>
  <c r="BH214" i="2" s="1"/>
  <c r="J37" i="28"/>
  <c r="J33" i="28"/>
  <c r="H253" i="2"/>
  <c r="H259" i="2"/>
  <c r="BE200" i="2"/>
  <c r="BG200" i="2"/>
  <c r="BE183" i="2"/>
  <c r="BG183" i="2"/>
  <c r="BG127" i="2"/>
  <c r="AV183" i="2"/>
  <c r="BG202" i="2" l="1"/>
  <c r="D35" i="28"/>
  <c r="BH221" i="2"/>
  <c r="E35" i="28" s="1"/>
  <c r="F63" i="26"/>
  <c r="E248" i="2"/>
  <c r="V248" i="2"/>
  <c r="AA63" i="26"/>
  <c r="I76" i="29" s="1"/>
  <c r="S63" i="26"/>
  <c r="F248" i="2"/>
  <c r="T63" i="26"/>
  <c r="G63" i="26"/>
  <c r="H63" i="26"/>
  <c r="Y63" i="26"/>
  <c r="L26" i="29" s="1"/>
  <c r="Z63" i="26"/>
  <c r="F76" i="29" s="1"/>
  <c r="U63" i="26"/>
  <c r="AB63" i="26"/>
  <c r="L76" i="29" s="1"/>
  <c r="N63" i="26"/>
  <c r="E63" i="26"/>
  <c r="B36" i="28" s="1"/>
  <c r="F36" i="28" s="1"/>
  <c r="I36" i="28" s="1"/>
  <c r="H248" i="2"/>
  <c r="J248" i="2"/>
  <c r="W63" i="26"/>
  <c r="F26" i="29" s="1"/>
  <c r="V63" i="26"/>
  <c r="X63" i="26"/>
  <c r="I26" i="29" s="1"/>
  <c r="R63" i="26"/>
  <c r="BH216" i="2"/>
  <c r="BH218" i="2" s="1"/>
  <c r="AM200" i="2"/>
  <c r="AV127" i="2"/>
  <c r="I62" i="26" l="1"/>
  <c r="K62" i="26"/>
  <c r="J62" i="26"/>
  <c r="L247" i="2"/>
  <c r="L62" i="26"/>
  <c r="R247" i="2"/>
  <c r="D18" i="33"/>
  <c r="G27" i="33"/>
  <c r="G28" i="33" s="1"/>
  <c r="I18" i="33"/>
  <c r="AM202" i="2"/>
  <c r="AM207" i="2" s="1"/>
  <c r="O62" i="26"/>
  <c r="X247" i="2"/>
  <c r="BH220" i="2"/>
  <c r="C35" i="28"/>
  <c r="K35" i="28" s="1"/>
  <c r="J36" i="28"/>
  <c r="BG204" i="2"/>
  <c r="BG214" i="2" s="1"/>
  <c r="V200" i="2"/>
  <c r="AY200" i="2"/>
  <c r="BA200" i="2"/>
  <c r="AZ200" i="2"/>
  <c r="AE200" i="2"/>
  <c r="AE202" i="2" s="1"/>
  <c r="AE204" i="2" s="1"/>
  <c r="AX200" i="2"/>
  <c r="AU200" i="2"/>
  <c r="AS200" i="2"/>
  <c r="J200" i="2"/>
  <c r="H200" i="2"/>
  <c r="AP200" i="2"/>
  <c r="AT200" i="2"/>
  <c r="AF200" i="2"/>
  <c r="AI200" i="2"/>
  <c r="AO200" i="2"/>
  <c r="AD200" i="2"/>
  <c r="AW200" i="2"/>
  <c r="AV200" i="2"/>
  <c r="AM206" i="2" l="1"/>
  <c r="AM205" i="2"/>
  <c r="AD202" i="2"/>
  <c r="AD204" i="2" s="1"/>
  <c r="AV202" i="2"/>
  <c r="AV204" i="2" s="1"/>
  <c r="AV214" i="2" s="1"/>
  <c r="V202" i="2"/>
  <c r="AT202" i="2"/>
  <c r="AT204" i="2" s="1"/>
  <c r="AT214" i="2" s="1"/>
  <c r="AX202" i="2"/>
  <c r="AX204" i="2" s="1"/>
  <c r="AZ202" i="2"/>
  <c r="AZ204" i="2" s="1"/>
  <c r="D30" i="28" s="1"/>
  <c r="BA202" i="2"/>
  <c r="BA204" i="2" s="1"/>
  <c r="BA214" i="2" s="1"/>
  <c r="AS202" i="2"/>
  <c r="AS204" i="2" s="1"/>
  <c r="AW202" i="2"/>
  <c r="AY202" i="2"/>
  <c r="AY204" i="2" s="1"/>
  <c r="AY214" i="2" s="1"/>
  <c r="AU202" i="2"/>
  <c r="AU204" i="2" s="1"/>
  <c r="AU214" i="2" s="1"/>
  <c r="D34" i="28"/>
  <c r="BK221" i="2"/>
  <c r="E38" i="28" s="1"/>
  <c r="BG221" i="2"/>
  <c r="E34" i="28" s="1"/>
  <c r="BG216" i="2"/>
  <c r="BG218" i="2" s="1"/>
  <c r="AM204" i="2"/>
  <c r="G62" i="26"/>
  <c r="H62" i="26"/>
  <c r="E62" i="26"/>
  <c r="B35" i="28" s="1"/>
  <c r="F35" i="28" s="1"/>
  <c r="I35" i="28" s="1"/>
  <c r="F62" i="26"/>
  <c r="N62" i="26"/>
  <c r="V247" i="2"/>
  <c r="BK216" i="2"/>
  <c r="BK218" i="2" s="1"/>
  <c r="J247" i="2"/>
  <c r="F247" i="2"/>
  <c r="H247" i="2"/>
  <c r="E247" i="2"/>
  <c r="D17" i="33" l="1"/>
  <c r="AM214" i="2"/>
  <c r="AM221" i="2" s="1"/>
  <c r="E19" i="28" s="1"/>
  <c r="D28" i="28"/>
  <c r="AX214" i="2"/>
  <c r="AX221" i="2" s="1"/>
  <c r="E28" i="28" s="1"/>
  <c r="D23" i="28"/>
  <c r="AS214" i="2"/>
  <c r="AZ214" i="2"/>
  <c r="D26" i="28"/>
  <c r="AV221" i="2"/>
  <c r="E26" i="28" s="1"/>
  <c r="D31" i="28"/>
  <c r="D24" i="28"/>
  <c r="V204" i="2"/>
  <c r="D29" i="28"/>
  <c r="BG220" i="2"/>
  <c r="C34" i="28"/>
  <c r="K34" i="28" s="1"/>
  <c r="D25" i="28"/>
  <c r="BK220" i="2"/>
  <c r="C38" i="28"/>
  <c r="K38" i="28" s="1"/>
  <c r="D19" i="28"/>
  <c r="J35" i="28"/>
  <c r="AU221" i="2"/>
  <c r="E25" i="28" s="1"/>
  <c r="AT221" i="2"/>
  <c r="E24" i="28" s="1"/>
  <c r="BA221" i="2"/>
  <c r="E31" i="28" s="1"/>
  <c r="AY221" i="2"/>
  <c r="E29" i="28" s="1"/>
  <c r="BA216" i="2"/>
  <c r="BA218" i="2" s="1"/>
  <c r="K49" i="26" s="1"/>
  <c r="AT216" i="2"/>
  <c r="AT218" i="2" s="1"/>
  <c r="AY216" i="2"/>
  <c r="AY218" i="2" s="1"/>
  <c r="K47" i="26" s="1"/>
  <c r="AW204" i="2"/>
  <c r="AW214" i="2" s="1"/>
  <c r="AU216" i="2"/>
  <c r="AU218" i="2" s="1"/>
  <c r="K43" i="26" s="1"/>
  <c r="G64" i="26"/>
  <c r="B34" i="28" s="1"/>
  <c r="I42" i="26" l="1"/>
  <c r="K42" i="26"/>
  <c r="J49" i="26"/>
  <c r="I49" i="26"/>
  <c r="J47" i="26"/>
  <c r="I47" i="26"/>
  <c r="J43" i="26"/>
  <c r="I43" i="26"/>
  <c r="J42" i="26"/>
  <c r="L244" i="2"/>
  <c r="L249" i="2" s="1"/>
  <c r="L42" i="26"/>
  <c r="R244" i="2"/>
  <c r="R249" i="2" s="1"/>
  <c r="O47" i="26"/>
  <c r="L47" i="26"/>
  <c r="O49" i="26"/>
  <c r="L49" i="26"/>
  <c r="O43" i="26"/>
  <c r="L43" i="26"/>
  <c r="V214" i="2"/>
  <c r="V216" i="2" s="1"/>
  <c r="AM216" i="2"/>
  <c r="AM224" i="2" s="1"/>
  <c r="D27" i="28"/>
  <c r="D8" i="28"/>
  <c r="AX216" i="2"/>
  <c r="AX218" i="2" s="1"/>
  <c r="K46" i="26" s="1"/>
  <c r="O42" i="26"/>
  <c r="X244" i="2"/>
  <c r="X249" i="2" s="1"/>
  <c r="X250" i="2" s="1"/>
  <c r="AV216" i="2"/>
  <c r="AV218" i="2" s="1"/>
  <c r="F34" i="28"/>
  <c r="BA220" i="2"/>
  <c r="C31" i="28"/>
  <c r="K31" i="28" s="1"/>
  <c r="AU220" i="2"/>
  <c r="C25" i="28"/>
  <c r="K25" i="28" s="1"/>
  <c r="AY220" i="2"/>
  <c r="C29" i="28"/>
  <c r="K29" i="28" s="1"/>
  <c r="AT220" i="2"/>
  <c r="C24" i="28"/>
  <c r="K24" i="28" s="1"/>
  <c r="AS221" i="2"/>
  <c r="E23" i="28" s="1"/>
  <c r="AZ221" i="2"/>
  <c r="E30" i="28" s="1"/>
  <c r="AZ216" i="2"/>
  <c r="AZ218" i="2" s="1"/>
  <c r="K48" i="26" s="1"/>
  <c r="AS216" i="2"/>
  <c r="AS218" i="2" s="1"/>
  <c r="K41" i="26" s="1"/>
  <c r="G72" i="26"/>
  <c r="B38" i="28" s="1"/>
  <c r="F38" i="28" s="1"/>
  <c r="I38" i="28" s="1"/>
  <c r="H244" i="2"/>
  <c r="H246" i="2"/>
  <c r="I44" i="26" l="1"/>
  <c r="K44" i="26"/>
  <c r="J41" i="26"/>
  <c r="I41" i="26"/>
  <c r="J46" i="26"/>
  <c r="I46" i="26"/>
  <c r="J48" i="26"/>
  <c r="I48" i="26"/>
  <c r="L44" i="26"/>
  <c r="J44" i="26"/>
  <c r="O41" i="26"/>
  <c r="L41" i="26"/>
  <c r="O48" i="26"/>
  <c r="L48" i="26"/>
  <c r="O46" i="26"/>
  <c r="L46" i="26"/>
  <c r="V221" i="2"/>
  <c r="E8" i="28" s="1"/>
  <c r="AM227" i="2"/>
  <c r="AM228" i="2"/>
  <c r="AM226" i="2"/>
  <c r="AM225" i="2"/>
  <c r="AM218" i="2"/>
  <c r="AM232" i="2"/>
  <c r="AM231" i="2"/>
  <c r="AM236" i="2"/>
  <c r="AM238" i="2"/>
  <c r="AM229" i="2"/>
  <c r="AM234" i="2"/>
  <c r="AM233" i="2"/>
  <c r="AM237" i="2"/>
  <c r="AM230" i="2"/>
  <c r="AM235" i="2"/>
  <c r="C28" i="28"/>
  <c r="K28" i="28" s="1"/>
  <c r="AX220" i="2"/>
  <c r="I34" i="28"/>
  <c r="J34" i="28" s="1"/>
  <c r="AV220" i="2"/>
  <c r="O44" i="26"/>
  <c r="C26" i="28"/>
  <c r="K26" i="28" s="1"/>
  <c r="AZ220" i="2"/>
  <c r="C30" i="28"/>
  <c r="K30" i="28" s="1"/>
  <c r="AS220" i="2"/>
  <c r="C23" i="28"/>
  <c r="K23" i="28" s="1"/>
  <c r="J38" i="28"/>
  <c r="AW221" i="2"/>
  <c r="E27" i="28" s="1"/>
  <c r="AW216" i="2"/>
  <c r="AW218" i="2" s="1"/>
  <c r="R250" i="2" s="1"/>
  <c r="E49" i="26"/>
  <c r="B31" i="28" s="1"/>
  <c r="F31" i="28" s="1"/>
  <c r="I31" i="28" s="1"/>
  <c r="H49" i="26"/>
  <c r="G49" i="26"/>
  <c r="N49" i="26"/>
  <c r="F49" i="26"/>
  <c r="D47" i="26"/>
  <c r="E47" i="26"/>
  <c r="B29" i="28" s="1"/>
  <c r="F29" i="28" s="1"/>
  <c r="I29" i="28" s="1"/>
  <c r="N47" i="26"/>
  <c r="H47" i="26"/>
  <c r="G47" i="26"/>
  <c r="F47" i="26"/>
  <c r="D48" i="26"/>
  <c r="E48" i="26"/>
  <c r="B30" i="28" s="1"/>
  <c r="H48" i="26"/>
  <c r="N48" i="26"/>
  <c r="G48" i="26"/>
  <c r="F48" i="26"/>
  <c r="D42" i="26"/>
  <c r="F42" i="26"/>
  <c r="G42" i="26"/>
  <c r="H42" i="26"/>
  <c r="E42" i="26"/>
  <c r="B24" i="28" s="1"/>
  <c r="F24" i="28" s="1"/>
  <c r="I24" i="28" s="1"/>
  <c r="N42" i="26"/>
  <c r="D41" i="26"/>
  <c r="E41" i="26"/>
  <c r="B23" i="28" s="1"/>
  <c r="F41" i="26"/>
  <c r="G41" i="26"/>
  <c r="H41" i="26"/>
  <c r="N41" i="26"/>
  <c r="D49" i="26"/>
  <c r="V244" i="2"/>
  <c r="F244" i="2"/>
  <c r="J244" i="2"/>
  <c r="E244" i="2"/>
  <c r="I45" i="26" l="1"/>
  <c r="K45" i="26"/>
  <c r="J45" i="26"/>
  <c r="O45" i="26"/>
  <c r="L45" i="26"/>
  <c r="AM222" i="2"/>
  <c r="P3" i="34"/>
  <c r="C19" i="28"/>
  <c r="K19" i="28" s="1"/>
  <c r="Y40" i="26"/>
  <c r="AM242" i="2"/>
  <c r="AM220" i="2"/>
  <c r="V218" i="2"/>
  <c r="V222" i="2" s="1"/>
  <c r="V224" i="2"/>
  <c r="F30" i="28"/>
  <c r="F23" i="28"/>
  <c r="AW220" i="2"/>
  <c r="C27" i="28"/>
  <c r="K27" i="28" s="1"/>
  <c r="J29" i="28"/>
  <c r="J24" i="28"/>
  <c r="J31" i="28"/>
  <c r="AM243" i="2"/>
  <c r="AM249" i="2" s="1"/>
  <c r="D46" i="26"/>
  <c r="E46" i="26"/>
  <c r="B28" i="28" s="1"/>
  <c r="F28" i="28" s="1"/>
  <c r="I28" i="28" s="1"/>
  <c r="N46" i="26"/>
  <c r="H46" i="26"/>
  <c r="G46" i="26"/>
  <c r="F46" i="26"/>
  <c r="D43" i="26"/>
  <c r="G43" i="26"/>
  <c r="E43" i="26"/>
  <c r="B25" i="28" s="1"/>
  <c r="F25" i="28" s="1"/>
  <c r="I25" i="28" s="1"/>
  <c r="F43" i="26"/>
  <c r="H43" i="26"/>
  <c r="N43" i="26"/>
  <c r="D44" i="26"/>
  <c r="H44" i="26"/>
  <c r="E44" i="26"/>
  <c r="B26" i="28" s="1"/>
  <c r="F26" i="28" s="1"/>
  <c r="I26" i="28" s="1"/>
  <c r="F44" i="26"/>
  <c r="G44" i="26"/>
  <c r="N44" i="26"/>
  <c r="B19" i="28" l="1"/>
  <c r="F19" i="28" s="1"/>
  <c r="I19" i="28" s="1"/>
  <c r="J19" i="28" s="1"/>
  <c r="P2" i="34"/>
  <c r="L13" i="29"/>
  <c r="M46" i="29" s="1"/>
  <c r="M49" i="29" s="1"/>
  <c r="V228" i="2"/>
  <c r="V225" i="2"/>
  <c r="V227" i="2"/>
  <c r="V226" i="2"/>
  <c r="C8" i="28"/>
  <c r="K8" i="28" s="1"/>
  <c r="V220" i="2"/>
  <c r="V237" i="2"/>
  <c r="V235" i="2"/>
  <c r="V230" i="2"/>
  <c r="V229" i="2"/>
  <c r="V233" i="2"/>
  <c r="V234" i="2"/>
  <c r="V232" i="2"/>
  <c r="V236" i="2"/>
  <c r="V231" i="2"/>
  <c r="I23" i="28"/>
  <c r="J23" i="28" s="1"/>
  <c r="I30" i="28"/>
  <c r="J30" i="28" s="1"/>
  <c r="J25" i="28"/>
  <c r="J28" i="28"/>
  <c r="J26" i="28"/>
  <c r="D45" i="26"/>
  <c r="F45" i="26"/>
  <c r="H45" i="26"/>
  <c r="N45" i="26"/>
  <c r="E45" i="26"/>
  <c r="B27" i="28" s="1"/>
  <c r="F27" i="28" s="1"/>
  <c r="I27" i="28" s="1"/>
  <c r="G45" i="26"/>
  <c r="N40" i="26"/>
  <c r="V243" i="2"/>
  <c r="J27" i="28" l="1"/>
  <c r="B8" i="28"/>
  <c r="F8" i="28" s="1"/>
  <c r="I8" i="28" s="1"/>
  <c r="V249" i="2"/>
  <c r="V250" i="2" s="1"/>
  <c r="J8" i="28" l="1"/>
  <c r="BE127" i="2"/>
  <c r="BE202" i="2" l="1"/>
  <c r="H202" i="2" l="1"/>
  <c r="BE204" i="2"/>
  <c r="BE214" i="2" s="1"/>
  <c r="D32" i="28" l="1"/>
  <c r="BE216" i="2"/>
  <c r="BE218" i="2" s="1"/>
  <c r="J202" i="2" l="1"/>
  <c r="F202" i="2"/>
  <c r="BE221" i="2"/>
  <c r="E32" i="28" s="1"/>
  <c r="BE220" i="2"/>
  <c r="C32" i="28"/>
  <c r="D9" i="33" l="1"/>
  <c r="K32" i="28"/>
  <c r="H65" i="26"/>
  <c r="G65" i="26"/>
  <c r="B32" i="28" s="1"/>
  <c r="F32" i="28" s="1"/>
  <c r="I32" i="28" s="1"/>
  <c r="H245" i="2"/>
  <c r="J245" i="2"/>
  <c r="D8" i="33" l="1"/>
  <c r="D6" i="33"/>
  <c r="AE214" i="2"/>
  <c r="AE221" i="2" s="1"/>
  <c r="D13" i="28"/>
  <c r="AP202" i="2"/>
  <c r="AP207" i="2" s="1"/>
  <c r="AH202" i="2"/>
  <c r="AH205" i="2" s="1"/>
  <c r="AI202" i="2"/>
  <c r="AO202" i="2"/>
  <c r="AQ202" i="2"/>
  <c r="AQ207" i="2" s="1"/>
  <c r="J32" i="28"/>
  <c r="AO207" i="2" l="1"/>
  <c r="AH207" i="2"/>
  <c r="AI207" i="2"/>
  <c r="AI205" i="2"/>
  <c r="I9" i="33"/>
  <c r="E13" i="28"/>
  <c r="AE216" i="2"/>
  <c r="AE224" i="2" s="1"/>
  <c r="AO206" i="2"/>
  <c r="AI206" i="2"/>
  <c r="AH206" i="2"/>
  <c r="AP206" i="2"/>
  <c r="AQ206" i="2"/>
  <c r="AQ205" i="2"/>
  <c r="AP205" i="2"/>
  <c r="AO205" i="2"/>
  <c r="AI204" i="2"/>
  <c r="AK202" i="2"/>
  <c r="AQ204" i="2"/>
  <c r="AP204" i="2"/>
  <c r="AP214" i="2" s="1"/>
  <c r="AO204" i="2"/>
  <c r="AK207" i="2" l="1"/>
  <c r="AK205" i="2"/>
  <c r="N6" i="33"/>
  <c r="I6" i="33"/>
  <c r="I8" i="33"/>
  <c r="AQ214" i="2"/>
  <c r="AQ216" i="2" s="1"/>
  <c r="AI214" i="2"/>
  <c r="AI221" i="2" s="1"/>
  <c r="AO214" i="2"/>
  <c r="AO216" i="2" s="1"/>
  <c r="AP216" i="2"/>
  <c r="AE228" i="2"/>
  <c r="AE226" i="2"/>
  <c r="AE227" i="2"/>
  <c r="AE225" i="2"/>
  <c r="AD214" i="2"/>
  <c r="AD216" i="2" s="1"/>
  <c r="AD224" i="2" s="1"/>
  <c r="AK206" i="2"/>
  <c r="AK204" i="2"/>
  <c r="AE218" i="2"/>
  <c r="AE242" i="2" s="1"/>
  <c r="AE229" i="2"/>
  <c r="AE235" i="2"/>
  <c r="AE237" i="2"/>
  <c r="AE230" i="2"/>
  <c r="AE232" i="2"/>
  <c r="AE236" i="2"/>
  <c r="AE231" i="2"/>
  <c r="AE233" i="2"/>
  <c r="AE234" i="2"/>
  <c r="AL214" i="2"/>
  <c r="D16" i="28"/>
  <c r="D21" i="28"/>
  <c r="D12" i="28"/>
  <c r="D18" i="28"/>
  <c r="D22" i="28"/>
  <c r="AH204" i="2"/>
  <c r="D20" i="28"/>
  <c r="J3" i="34" l="1"/>
  <c r="AL221" i="2"/>
  <c r="E18" i="28" s="1"/>
  <c r="N4" i="33"/>
  <c r="AQ221" i="2"/>
  <c r="E22" i="28" s="1"/>
  <c r="E16" i="28"/>
  <c r="AE222" i="2"/>
  <c r="C10" i="33"/>
  <c r="D10" i="33"/>
  <c r="AI216" i="2"/>
  <c r="AI224" i="2" s="1"/>
  <c r="AO221" i="2"/>
  <c r="E20" i="28" s="1"/>
  <c r="AL216" i="2"/>
  <c r="AL224" i="2" s="1"/>
  <c r="S40" i="26"/>
  <c r="AH214" i="2"/>
  <c r="AH216" i="2" s="1"/>
  <c r="AE220" i="2"/>
  <c r="C13" i="28"/>
  <c r="K13" i="28" s="1"/>
  <c r="AE243" i="2"/>
  <c r="AE249" i="2" s="1"/>
  <c r="AP218" i="2"/>
  <c r="AP242" i="2" s="1"/>
  <c r="AP224" i="2"/>
  <c r="AO218" i="2"/>
  <c r="AO242" i="2" s="1"/>
  <c r="AO224" i="2"/>
  <c r="AQ218" i="2"/>
  <c r="AQ224" i="2"/>
  <c r="AD218" i="2"/>
  <c r="AD242" i="2" s="1"/>
  <c r="AK214" i="2"/>
  <c r="AK221" i="2" s="1"/>
  <c r="E17" i="28" s="1"/>
  <c r="D17" i="28"/>
  <c r="D15" i="28"/>
  <c r="AD221" i="2"/>
  <c r="E12" i="28" s="1"/>
  <c r="AP221" i="2"/>
  <c r="E21" i="28" s="1"/>
  <c r="F204" i="2"/>
  <c r="H204" i="2"/>
  <c r="J204" i="2"/>
  <c r="I3" i="34" l="1"/>
  <c r="Z40" i="26"/>
  <c r="AO222" i="2"/>
  <c r="AI231" i="2"/>
  <c r="AI229" i="2"/>
  <c r="AP243" i="2"/>
  <c r="AP249" i="2" s="1"/>
  <c r="R3" i="34"/>
  <c r="AQ243" i="2"/>
  <c r="AQ249" i="2" s="1"/>
  <c r="S3" i="34"/>
  <c r="AO243" i="2"/>
  <c r="AO249" i="2" s="1"/>
  <c r="Q3" i="34"/>
  <c r="AD222" i="2"/>
  <c r="R40" i="26"/>
  <c r="J2" i="34"/>
  <c r="B13" i="28"/>
  <c r="F13" i="28" s="1"/>
  <c r="I13" i="28" s="1"/>
  <c r="J13" i="28" s="1"/>
  <c r="AI218" i="2"/>
  <c r="AI242" i="2" s="1"/>
  <c r="N10" i="33"/>
  <c r="I4" i="33"/>
  <c r="I10" i="33" s="1"/>
  <c r="H4" i="33"/>
  <c r="H10" i="33"/>
  <c r="C5" i="33"/>
  <c r="C7" i="33"/>
  <c r="D3" i="33"/>
  <c r="C9" i="33"/>
  <c r="C6" i="33"/>
  <c r="C8" i="33"/>
  <c r="C4" i="33"/>
  <c r="AH221" i="2"/>
  <c r="E15" i="28" s="1"/>
  <c r="AK216" i="2"/>
  <c r="AK218" i="2" s="1"/>
  <c r="AK242" i="2" s="1"/>
  <c r="AQ228" i="2"/>
  <c r="AQ227" i="2"/>
  <c r="AQ226" i="2"/>
  <c r="AQ225" i="2"/>
  <c r="AP228" i="2"/>
  <c r="AP227" i="2"/>
  <c r="AP226" i="2"/>
  <c r="AP225" i="2"/>
  <c r="AO228" i="2"/>
  <c r="AO227" i="2"/>
  <c r="AO226" i="2"/>
  <c r="AO225" i="2"/>
  <c r="AL226" i="2"/>
  <c r="AL225" i="2"/>
  <c r="AL228" i="2"/>
  <c r="AL227" i="2"/>
  <c r="AI228" i="2"/>
  <c r="AI227" i="2"/>
  <c r="AI226" i="2"/>
  <c r="AI225" i="2"/>
  <c r="AD228" i="2"/>
  <c r="AD227" i="2"/>
  <c r="AD226" i="2"/>
  <c r="AD225" i="2"/>
  <c r="F214" i="2"/>
  <c r="F216" i="2" s="1"/>
  <c r="J214" i="2"/>
  <c r="J216" i="2" s="1"/>
  <c r="H214" i="2"/>
  <c r="H216" i="2" s="1"/>
  <c r="AQ222" i="2"/>
  <c r="C22" i="28"/>
  <c r="K22" i="28" s="1"/>
  <c r="AD220" i="2"/>
  <c r="AP220" i="2"/>
  <c r="AA40" i="26"/>
  <c r="C20" i="28"/>
  <c r="K20" i="28" s="1"/>
  <c r="AO220" i="2"/>
  <c r="C21" i="28"/>
  <c r="K21" i="28" s="1"/>
  <c r="AD233" i="2"/>
  <c r="AD231" i="2"/>
  <c r="AD232" i="2"/>
  <c r="AD229" i="2"/>
  <c r="AD237" i="2"/>
  <c r="AD236" i="2"/>
  <c r="AD235" i="2"/>
  <c r="AD234" i="2"/>
  <c r="AD230" i="2"/>
  <c r="AO230" i="2"/>
  <c r="AO232" i="2"/>
  <c r="AO229" i="2"/>
  <c r="AO236" i="2"/>
  <c r="AO234" i="2"/>
  <c r="AO237" i="2"/>
  <c r="AO235" i="2"/>
  <c r="AO231" i="2"/>
  <c r="AO239" i="2"/>
  <c r="AO238" i="2"/>
  <c r="AO233" i="2"/>
  <c r="AB40" i="26"/>
  <c r="AI230" i="2"/>
  <c r="AI236" i="2"/>
  <c r="AI237" i="2"/>
  <c r="AI234" i="2"/>
  <c r="AI235" i="2"/>
  <c r="AI232" i="2"/>
  <c r="AI233" i="2"/>
  <c r="AQ220" i="2"/>
  <c r="AP222" i="2"/>
  <c r="AP239" i="2"/>
  <c r="AP231" i="2"/>
  <c r="AP232" i="2"/>
  <c r="AP236" i="2"/>
  <c r="AP230" i="2"/>
  <c r="AP233" i="2"/>
  <c r="AP235" i="2"/>
  <c r="AP237" i="2"/>
  <c r="AP234" i="2"/>
  <c r="AP238" i="2"/>
  <c r="AP229" i="2"/>
  <c r="AQ239" i="2"/>
  <c r="AQ238" i="2"/>
  <c r="AQ230" i="2"/>
  <c r="AQ237" i="2"/>
  <c r="AQ236" i="2"/>
  <c r="AQ231" i="2"/>
  <c r="AQ235" i="2"/>
  <c r="AQ234" i="2"/>
  <c r="AQ233" i="2"/>
  <c r="AQ229" i="2"/>
  <c r="AQ232" i="2"/>
  <c r="C12" i="28"/>
  <c r="K12" i="28" s="1"/>
  <c r="AL218" i="2"/>
  <c r="O3" i="34" l="1"/>
  <c r="AL242" i="2"/>
  <c r="C16" i="28"/>
  <c r="K16" i="28" s="1"/>
  <c r="M3" i="34"/>
  <c r="N3" i="34"/>
  <c r="B22" i="28"/>
  <c r="F22" i="28" s="1"/>
  <c r="I22" i="28" s="1"/>
  <c r="J22" i="28" s="1"/>
  <c r="S2" i="34"/>
  <c r="B20" i="28"/>
  <c r="F20" i="28" s="1"/>
  <c r="I20" i="28" s="1"/>
  <c r="J20" i="28" s="1"/>
  <c r="Q2" i="34"/>
  <c r="R2" i="34"/>
  <c r="AL220" i="2"/>
  <c r="X40" i="26"/>
  <c r="V40" i="26"/>
  <c r="AI222" i="2"/>
  <c r="AI243" i="2"/>
  <c r="AI249" i="2" s="1"/>
  <c r="AI220" i="2"/>
  <c r="D27" i="33"/>
  <c r="C27" i="33" s="1"/>
  <c r="B21" i="28"/>
  <c r="F21" i="28" s="1"/>
  <c r="I21" i="28" s="1"/>
  <c r="J21" i="28" s="1"/>
  <c r="C18" i="28"/>
  <c r="K18" i="28" s="1"/>
  <c r="H5" i="33"/>
  <c r="H7" i="33"/>
  <c r="I3" i="33"/>
  <c r="H9" i="33"/>
  <c r="H6" i="33"/>
  <c r="H8" i="33"/>
  <c r="E7" i="33"/>
  <c r="E5" i="33"/>
  <c r="E9" i="33"/>
  <c r="E6" i="33"/>
  <c r="E8" i="33"/>
  <c r="E4" i="33"/>
  <c r="E10" i="33"/>
  <c r="AL222" i="2"/>
  <c r="I63" i="29"/>
  <c r="J94" i="29" s="1"/>
  <c r="J97" i="29" s="1"/>
  <c r="F63" i="29"/>
  <c r="G94" i="29" s="1"/>
  <c r="G97" i="29" s="1"/>
  <c r="AK224" i="2"/>
  <c r="AK243" i="2"/>
  <c r="AK249" i="2" s="1"/>
  <c r="AK222" i="2"/>
  <c r="C17" i="28"/>
  <c r="K17" i="28" s="1"/>
  <c r="W40" i="26"/>
  <c r="AK220" i="2"/>
  <c r="AH218" i="2"/>
  <c r="AH242" i="2" s="1"/>
  <c r="AH224" i="2"/>
  <c r="L63" i="29"/>
  <c r="M94" i="29" s="1"/>
  <c r="M97" i="29" s="1"/>
  <c r="AL236" i="2"/>
  <c r="AL234" i="2"/>
  <c r="AL233" i="2"/>
  <c r="AL238" i="2"/>
  <c r="AL235" i="2"/>
  <c r="AL229" i="2"/>
  <c r="AL231" i="2"/>
  <c r="AL237" i="2"/>
  <c r="AL232" i="2"/>
  <c r="AL230" i="2"/>
  <c r="F218" i="2"/>
  <c r="F224" i="2"/>
  <c r="H218" i="2"/>
  <c r="H224" i="2"/>
  <c r="J218" i="2"/>
  <c r="J243" i="2" s="1"/>
  <c r="J224" i="2"/>
  <c r="H221" i="2"/>
  <c r="F221" i="2"/>
  <c r="J221" i="2"/>
  <c r="AD243" i="2"/>
  <c r="AD249" i="2" s="1"/>
  <c r="AL243" i="2"/>
  <c r="AL249" i="2" s="1"/>
  <c r="J222" i="2" l="1"/>
  <c r="F3" i="34"/>
  <c r="U40" i="26"/>
  <c r="L3" i="34"/>
  <c r="H222" i="2"/>
  <c r="E3" i="34"/>
  <c r="F222" i="2"/>
  <c r="D3" i="34"/>
  <c r="O2" i="34"/>
  <c r="F13" i="29"/>
  <c r="G46" i="29" s="1"/>
  <c r="G49" i="29" s="1"/>
  <c r="N2" i="34"/>
  <c r="B16" i="28"/>
  <c r="F16" i="28" s="1"/>
  <c r="I16" i="28" s="1"/>
  <c r="J16" i="28" s="1"/>
  <c r="M2" i="34"/>
  <c r="I2" i="34"/>
  <c r="I13" i="29"/>
  <c r="J46" i="29" s="1"/>
  <c r="J49" i="29" s="1"/>
  <c r="L27" i="33"/>
  <c r="N3" i="33"/>
  <c r="N27" i="33" s="1"/>
  <c r="P3" i="33" s="1"/>
  <c r="P27" i="33" s="1"/>
  <c r="J10" i="33"/>
  <c r="I27" i="33"/>
  <c r="Q18" i="28"/>
  <c r="R18" i="28" s="1"/>
  <c r="M5" i="33"/>
  <c r="M8" i="33"/>
  <c r="M7" i="33"/>
  <c r="M9" i="33"/>
  <c r="M6" i="33"/>
  <c r="M4" i="33"/>
  <c r="M10" i="33"/>
  <c r="AK225" i="2"/>
  <c r="AK226" i="2"/>
  <c r="AK228" i="2"/>
  <c r="AK227" i="2"/>
  <c r="AH228" i="2"/>
  <c r="AH227" i="2"/>
  <c r="AH226" i="2"/>
  <c r="AH225" i="2"/>
  <c r="J228" i="2"/>
  <c r="J227" i="2"/>
  <c r="J226" i="2"/>
  <c r="J225" i="2"/>
  <c r="H226" i="2"/>
  <c r="H228" i="2"/>
  <c r="H225" i="2"/>
  <c r="H227" i="2"/>
  <c r="F227" i="2"/>
  <c r="F225" i="2"/>
  <c r="F226" i="2"/>
  <c r="F228" i="2"/>
  <c r="B18" i="28"/>
  <c r="AK232" i="2"/>
  <c r="AH222" i="2"/>
  <c r="AK229" i="2"/>
  <c r="AK231" i="2"/>
  <c r="AK234" i="2"/>
  <c r="AK233" i="2"/>
  <c r="AK237" i="2"/>
  <c r="AK235" i="2"/>
  <c r="AH220" i="2"/>
  <c r="AK236" i="2"/>
  <c r="AK230" i="2"/>
  <c r="AK238" i="2"/>
  <c r="B17" i="28"/>
  <c r="F17" i="28" s="1"/>
  <c r="I17" i="28" s="1"/>
  <c r="J17" i="28" s="1"/>
  <c r="C15" i="28"/>
  <c r="K15" i="28" s="1"/>
  <c r="K7" i="28"/>
  <c r="J220" i="2"/>
  <c r="F234" i="2"/>
  <c r="F231" i="2"/>
  <c r="F232" i="2"/>
  <c r="F233" i="2"/>
  <c r="F235" i="2"/>
  <c r="F236" i="2"/>
  <c r="F237" i="2"/>
  <c r="F230" i="2"/>
  <c r="F229" i="2"/>
  <c r="H220" i="2"/>
  <c r="H237" i="2"/>
  <c r="H230" i="2"/>
  <c r="H235" i="2"/>
  <c r="H236" i="2"/>
  <c r="H234" i="2"/>
  <c r="H229" i="2"/>
  <c r="H231" i="2"/>
  <c r="H232" i="2"/>
  <c r="H233" i="2"/>
  <c r="AH230" i="2"/>
  <c r="AH236" i="2"/>
  <c r="AH235" i="2"/>
  <c r="AH233" i="2"/>
  <c r="AH237" i="2"/>
  <c r="AH229" i="2"/>
  <c r="AH234" i="2"/>
  <c r="AH232" i="2"/>
  <c r="AH231" i="2"/>
  <c r="F220" i="2"/>
  <c r="J237" i="2"/>
  <c r="J231" i="2"/>
  <c r="J229" i="2"/>
  <c r="J232" i="2"/>
  <c r="J233" i="2"/>
  <c r="J234" i="2"/>
  <c r="J236" i="2"/>
  <c r="J230" i="2"/>
  <c r="J235" i="2"/>
  <c r="B12" i="28"/>
  <c r="F12" i="28" s="1"/>
  <c r="I12" i="28" s="1"/>
  <c r="E40" i="26"/>
  <c r="E243" i="2"/>
  <c r="E249" i="2" s="1"/>
  <c r="AH243" i="2"/>
  <c r="AH249" i="2" s="1"/>
  <c r="H40" i="26"/>
  <c r="L29" i="33" l="1"/>
  <c r="L28" i="33"/>
  <c r="B15" i="28"/>
  <c r="F15" i="28" s="1"/>
  <c r="I15" i="28" s="1"/>
  <c r="O18" i="28"/>
  <c r="P18" i="28" s="1"/>
  <c r="F18" i="28"/>
  <c r="I18" i="28" s="1"/>
  <c r="J18" i="28" s="1"/>
  <c r="L2" i="34"/>
  <c r="C2" i="34"/>
  <c r="F2" i="34"/>
  <c r="O10" i="33"/>
  <c r="O4" i="33"/>
  <c r="O6" i="33"/>
  <c r="O7" i="33"/>
  <c r="O8" i="33"/>
  <c r="O9" i="33"/>
  <c r="O5" i="33"/>
  <c r="H27" i="33"/>
  <c r="K3" i="33"/>
  <c r="M27" i="33"/>
  <c r="J12" i="28"/>
  <c r="F40" i="26"/>
  <c r="G40" i="26"/>
  <c r="F243" i="2"/>
  <c r="F249" i="2" s="1"/>
  <c r="D2" i="34" l="1"/>
  <c r="E2" i="34"/>
  <c r="F5" i="28"/>
  <c r="I5" i="28" s="1"/>
  <c r="J5" i="28" s="1"/>
  <c r="O5" i="28"/>
  <c r="P5" i="28" s="1"/>
  <c r="J15" i="28"/>
  <c r="F7" i="28"/>
  <c r="I7" i="28" s="1"/>
  <c r="J249" i="2"/>
  <c r="J250" i="2" s="1"/>
  <c r="H243" i="2"/>
  <c r="J7" i="28" l="1"/>
  <c r="H249" i="2"/>
  <c r="H250" i="2" s="1"/>
  <c r="AB202" i="2" l="1"/>
  <c r="AB204" i="2" l="1"/>
  <c r="D11" i="28" s="1"/>
  <c r="AB214" i="2" l="1"/>
  <c r="AB221" i="2" s="1"/>
  <c r="E11" i="28" s="1"/>
  <c r="AB216" i="2" l="1"/>
  <c r="AB218" i="2" s="1"/>
  <c r="AF202" i="2"/>
  <c r="C11" i="28" l="1"/>
  <c r="K11" i="28" s="1"/>
  <c r="Q40" i="26"/>
  <c r="B11" i="28" s="1"/>
  <c r="AB243" i="2"/>
  <c r="AB249" i="2" s="1"/>
  <c r="AF207" i="2"/>
  <c r="AF205" i="2"/>
  <c r="AB222" i="2"/>
  <c r="AB220" i="2"/>
  <c r="AF206" i="2"/>
  <c r="AF204" i="2"/>
  <c r="F11" i="28" l="1"/>
  <c r="I11" i="28" s="1"/>
  <c r="J11" i="28" s="1"/>
  <c r="AF214" i="2"/>
  <c r="AF216" i="2" s="1"/>
  <c r="D14" i="28"/>
  <c r="AF221" i="2" l="1"/>
  <c r="E14" i="28" s="1"/>
  <c r="AF218" i="2"/>
  <c r="AF242" i="2" s="1"/>
  <c r="AF224" i="2"/>
  <c r="AF243" i="2" l="1"/>
  <c r="AF249" i="2" s="1"/>
  <c r="K3" i="34"/>
  <c r="AF227" i="2"/>
  <c r="AF228" i="2"/>
  <c r="AF226" i="2"/>
  <c r="AF225" i="2"/>
  <c r="AF220" i="2"/>
  <c r="AF222" i="2"/>
  <c r="C14" i="28"/>
  <c r="K14" i="28" s="1"/>
  <c r="T40" i="26"/>
  <c r="AF230" i="2"/>
  <c r="AF234" i="2"/>
  <c r="AF235" i="2"/>
  <c r="AF237" i="2"/>
  <c r="AF233" i="2"/>
  <c r="AF236" i="2"/>
  <c r="AF229" i="2"/>
  <c r="AF232" i="2"/>
  <c r="AF231" i="2"/>
  <c r="B14" i="28" l="1"/>
  <c r="K2" i="34"/>
  <c r="F14" i="28" l="1"/>
  <c r="I14" i="28" s="1"/>
  <c r="J14"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tc={126C2FEC-77E5-5343-9B72-16E4F68FD625}</author>
  </authors>
  <commentList>
    <comment ref="I40" authorId="0" shapeId="0" xr:uid="{126C2FEC-77E5-5343-9B72-16E4F68FD625}">
      <text>
        <t>[Threaded comment]
Your version of Excel allows you to read this threaded comment; however, any edits to it will get removed if the file is opened in a newer version of Excel. Learn more: https://go.microsoft.com/fwlink/?linkid=870924
Comment:
    This is only the Shear unit!
No motor  cover, no legs etc.
Pump house, stator, impeller and motor, assembled and tested ONLY
Reply:
    Remember to add SMS on the pump house with Dan approx EUR 600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tc={09DD59C5-42DA-6D46-B7FE-3AF23BA5CF9D}</author>
    <author>tc={8FFB757E-9177-D24F-8C95-A52C6BF4CF96}</author>
    <author>tc={1013DB84-9E42-2A44-93F5-74B2DA066479}</author>
    <author>tc={78C98B62-AD5E-C04E-AD2F-32CE34616209}</author>
    <author>tc={EE1E0F02-9F72-3F4A-AFC7-E67EDF0106E7}</author>
    <author>tc={91700CAE-C95E-5F48-9099-0540CB639416}</author>
    <author>tc={50104189-1372-634D-BFD3-F842555D0C62}</author>
  </authors>
  <commentList>
    <comment ref="BK34" authorId="0" shapeId="0" xr:uid="{09DD59C5-42DA-6D46-B7FE-3AF23BA5CF9D}">
      <text>
        <t>[Threaded comment]
Your version of Excel allows you to read this threaded comment; however, any edits to it will get removed if the file is opened in a newer version of Excel. Learn more: https://go.microsoft.com/fwlink/?linkid=870924
Comment:
    Modification of injector/ball valve connection/hose</t>
      </text>
    </comment>
    <comment ref="BK35" authorId="1" shapeId="0" xr:uid="{8FFB757E-9177-D24F-8C95-A52C6BF4CF96}">
      <text>
        <t>[Threaded comment]
Your version of Excel allows you to read this threaded comment; however, any edits to it will get removed if the file is opened in a newer version of Excel. Learn more: https://go.microsoft.com/fwlink/?linkid=870924
Comment:
    Adaptor to install funnel and hose system</t>
      </text>
    </comment>
    <comment ref="V75" authorId="2" shapeId="0" xr:uid="{1013DB84-9E42-2A44-93F5-74B2DA066479}">
      <text>
        <t>[Threaded comment]
Your version of Excel allows you to read this threaded comment; however, any edits to it will get removed if the file is opened in a newer version of Excel. Learn more: https://go.microsoft.com/fwlink/?linkid=870924
Comment:
    2
 pcs</t>
      </text>
    </comment>
    <comment ref="X75" authorId="3" shapeId="0" xr:uid="{78C98B62-AD5E-C04E-AD2F-32CE34616209}">
      <text>
        <t>[Threaded comment]
Your version of Excel allows you to read this threaded comment; however, any edits to it will get removed if the file is opened in a newer version of Excel. Learn more: https://go.microsoft.com/fwlink/?linkid=870924
Comment:
    2
 pcs</t>
      </text>
    </comment>
    <comment ref="AF118" authorId="4" shapeId="0" xr:uid="{EE1E0F02-9F72-3F4A-AFC7-E67EDF0106E7}">
      <text>
        <t>[Threaded comment]
Your version of Excel allows you to read this threaded comment; however, any edits to it will get removed if the file is opened in a newer version of Excel. Learn more: https://go.microsoft.com/fwlink/?linkid=870924
Comment:
    Added 50% due to heavier 75 kW motor</t>
      </text>
    </comment>
    <comment ref="L119" authorId="5" shapeId="0" xr:uid="{91700CAE-C95E-5F48-9099-0540CB639416}">
      <text>
        <t>[Threaded comment]
Your version of Excel allows you to read this threaded comment; however, any edits to it will get removed if the file is opened in a newer version of Excel. Learn more: https://go.microsoft.com/fwlink/?linkid=870924
Comment:
    A guess for sending ball valve, seal water parts, feet</t>
      </text>
    </comment>
    <comment ref="L218" authorId="6" shapeId="0" xr:uid="{50104189-1372-634D-BFD3-F842555D0C62}">
      <text>
        <t xml:space="preserve">[Threaded comment]
Your version of Excel allows you to read this threaded comment; however, any edits to it will get removed if the file is opened in a newer version of Excel. Learn more: https://go.microsoft.com/fwlink/?linkid=870924
Comment:
    w/o the VN parts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<sst xmlns="http://schemas.openxmlformats.org/spreadsheetml/2006/main" count="3641" uniqueCount="1598">
  <si>
    <t>Shear</t>
  </si>
  <si>
    <t>Injector</t>
  </si>
  <si>
    <t>Vortex</t>
  </si>
  <si>
    <t>Manual</t>
  </si>
  <si>
    <t>TPS essiential package</t>
  </si>
  <si>
    <t>xx Mixer, diameter</t>
  </si>
  <si>
    <t>DKK</t>
  </si>
  <si>
    <t>160mm</t>
  </si>
  <si>
    <t>Pcs</t>
  </si>
  <si>
    <t>Motor consol</t>
  </si>
  <si>
    <t>Table</t>
  </si>
  <si>
    <t>Impeller</t>
  </si>
  <si>
    <t>Pump house</t>
  </si>
  <si>
    <t>Water flush mixer parts</t>
  </si>
  <si>
    <t>xx kW motor</t>
  </si>
  <si>
    <t>Tank parts</t>
  </si>
  <si>
    <t>Engineering Cost</t>
  </si>
  <si>
    <t>Hours</t>
  </si>
  <si>
    <t>Total Engineering</t>
  </si>
  <si>
    <t>Margin</t>
  </si>
  <si>
    <t>Negotiation</t>
  </si>
  <si>
    <t>EUR</t>
  </si>
  <si>
    <t>Exchange rate DKK to EUR</t>
  </si>
  <si>
    <t>Exchange rate DKK to USD</t>
  </si>
  <si>
    <t>Chile</t>
  </si>
  <si>
    <t>Thailand</t>
  </si>
  <si>
    <t>Poland</t>
  </si>
  <si>
    <t>Mesh</t>
  </si>
  <si>
    <t>Parts</t>
  </si>
  <si>
    <t>South Africa</t>
  </si>
  <si>
    <t>LC500</t>
  </si>
  <si>
    <t>LC1000</t>
  </si>
  <si>
    <t>*Y-strainer</t>
  </si>
  <si>
    <t>*Kabelstik 2518 28mm Form A UL approva 2518-A-BCS/UC-00-3-N50-00-0-00000 JLO4</t>
  </si>
  <si>
    <t>*2/2-waY-solenoId valve, servo assisted 6213-EV-A10,0AAVAGM82-6-024/DC-10 *NA38</t>
  </si>
  <si>
    <t>Internal VN shipment</t>
  </si>
  <si>
    <t>Workshop</t>
  </si>
  <si>
    <t>DK</t>
  </si>
  <si>
    <t>15 kW</t>
  </si>
  <si>
    <t>NOT INCLUDED</t>
  </si>
  <si>
    <t>Bottom Shear</t>
  </si>
  <si>
    <t>Vacuum 1000</t>
  </si>
  <si>
    <t>Mixer flange welding</t>
  </si>
  <si>
    <t>Non-foam inlet</t>
  </si>
  <si>
    <t>4 off leg support</t>
  </si>
  <si>
    <t>Bottom tray</t>
  </si>
  <si>
    <t>Instrument sockets</t>
  </si>
  <si>
    <t>Site glass with light</t>
  </si>
  <si>
    <t>Armaflex</t>
  </si>
  <si>
    <t>Vacuum system</t>
  </si>
  <si>
    <t>Temperature transmitter</t>
  </si>
  <si>
    <t>Alfa Laval Manual butterfly valve</t>
  </si>
  <si>
    <t>Valves</t>
  </si>
  <si>
    <t>Training materials</t>
  </si>
  <si>
    <t>Sanimidget</t>
  </si>
  <si>
    <t>Bottom</t>
  </si>
  <si>
    <t>Top</t>
  </si>
  <si>
    <t>Small tanks</t>
  </si>
  <si>
    <t>Process parts</t>
  </si>
  <si>
    <t>Seal</t>
  </si>
  <si>
    <t>Peek blades</t>
  </si>
  <si>
    <t>Other</t>
  </si>
  <si>
    <t>Process 1000</t>
  </si>
  <si>
    <t>Scrape Agitator</t>
  </si>
  <si>
    <t>Exchange rate DKK to SGD</t>
  </si>
  <si>
    <t>*Scraber install and test</t>
  </si>
  <si>
    <t>Process 500</t>
  </si>
  <si>
    <t>Shear L</t>
  </si>
  <si>
    <t>Control Panel &amp; VSD, 15 kW</t>
  </si>
  <si>
    <t>Control Panel &amp; VSD, 22 kW</t>
  </si>
  <si>
    <t>Bürkert</t>
  </si>
  <si>
    <t>DVC</t>
  </si>
  <si>
    <t>Needel valve</t>
  </si>
  <si>
    <t>NGI</t>
  </si>
  <si>
    <t>RS components</t>
  </si>
  <si>
    <t>Vacuum 500</t>
  </si>
  <si>
    <t>IFM</t>
  </si>
  <si>
    <t>Pressure transmitter, product</t>
  </si>
  <si>
    <t>Safety switch</t>
  </si>
  <si>
    <t>PCS</t>
  </si>
  <si>
    <t>x</t>
  </si>
  <si>
    <t xml:space="preserve">Packing </t>
  </si>
  <si>
    <t>Total project cost</t>
  </si>
  <si>
    <t>Margin DK parts</t>
  </si>
  <si>
    <t>Margin VN parts</t>
  </si>
  <si>
    <t>Margin Engineering</t>
  </si>
  <si>
    <t>Internal sales price</t>
  </si>
  <si>
    <t>Included</t>
  </si>
  <si>
    <t>Margin %</t>
  </si>
  <si>
    <t>Marging EUR</t>
  </si>
  <si>
    <t>Complete units</t>
  </si>
  <si>
    <t>Mixer</t>
  </si>
  <si>
    <t>Total</t>
  </si>
  <si>
    <t>Tetra Pak R200-200, incl control system</t>
  </si>
  <si>
    <t>Tetra Pak R200-400, incl control system</t>
  </si>
  <si>
    <t>Limitech 500, 22 kW, (vacuum tank, no vacuum pump)</t>
  </si>
  <si>
    <t>Limitech 1000, 22 kW, (vacuum tank, no vacuum pump)</t>
  </si>
  <si>
    <t>Limitech</t>
  </si>
  <si>
    <t>(w/o agent, no negotiation, EXW). EUR</t>
  </si>
  <si>
    <t>Innox (4 kW)</t>
  </si>
  <si>
    <t>TPM+1, quoted to agent in AUS</t>
  </si>
  <si>
    <t>SPX Liquidverter -  DDP Thailand</t>
  </si>
  <si>
    <t>TPM+2, quoted to distributor in ID, 15 kW</t>
  </si>
  <si>
    <t>Water flush</t>
  </si>
  <si>
    <t>Process 3000</t>
  </si>
  <si>
    <t>300mm</t>
  </si>
  <si>
    <t>Brian</t>
  </si>
  <si>
    <t>Freight insurance</t>
  </si>
  <si>
    <t>Control, incl VSD</t>
  </si>
  <si>
    <t>Eletrician</t>
  </si>
  <si>
    <t>Alfa Laval S15, no control, no table, agent price</t>
  </si>
  <si>
    <t>Alfa Laval M15, incl control system and table, agent price</t>
  </si>
  <si>
    <t>Test / packing</t>
  </si>
  <si>
    <t>Control system (fitting/conection of panel)</t>
  </si>
  <si>
    <t>Ball Valve (full bore)</t>
  </si>
  <si>
    <t>Cables inst (part of Brian cost)</t>
  </si>
  <si>
    <t>Norland</t>
  </si>
  <si>
    <t>Seal flush</t>
  </si>
  <si>
    <t>Level Switch - Low</t>
  </si>
  <si>
    <t>Level Switch - High</t>
  </si>
  <si>
    <t>Other cost scrape agitator</t>
  </si>
  <si>
    <t>Standard 500</t>
  </si>
  <si>
    <t>Standard 1000</t>
  </si>
  <si>
    <t>Stator</t>
  </si>
  <si>
    <t>Algeria</t>
  </si>
  <si>
    <t>Egypt</t>
  </si>
  <si>
    <t>Libya</t>
  </si>
  <si>
    <t>Tunisia</t>
  </si>
  <si>
    <t>Panama</t>
  </si>
  <si>
    <t>Nicaragua</t>
  </si>
  <si>
    <t>Guatemala</t>
  </si>
  <si>
    <t>Honduras</t>
  </si>
  <si>
    <t>El Salvador</t>
  </si>
  <si>
    <t>Costa Rica</t>
  </si>
  <si>
    <t>Dominican Republic</t>
  </si>
  <si>
    <t>Belgium</t>
  </si>
  <si>
    <t>Bulgaria</t>
  </si>
  <si>
    <t>Croatia</t>
  </si>
  <si>
    <t>Denmark</t>
  </si>
  <si>
    <t>Finland</t>
  </si>
  <si>
    <t>Germany</t>
  </si>
  <si>
    <t>Greece</t>
  </si>
  <si>
    <t>Hungary</t>
  </si>
  <si>
    <t>North Macedonia</t>
  </si>
  <si>
    <t>Norway</t>
  </si>
  <si>
    <t>Romania</t>
  </si>
  <si>
    <t>Serbia</t>
  </si>
  <si>
    <t>Slovenia</t>
  </si>
  <si>
    <t>Ukraine</t>
  </si>
  <si>
    <t>Argentina</t>
  </si>
  <si>
    <t>Paraguay</t>
  </si>
  <si>
    <t>Peru</t>
  </si>
  <si>
    <t>Uruguay</t>
  </si>
  <si>
    <t>Israel</t>
  </si>
  <si>
    <t>Turkey</t>
  </si>
  <si>
    <t>Australia</t>
  </si>
  <si>
    <t>New Zealand</t>
  </si>
  <si>
    <t>Malaysia</t>
  </si>
  <si>
    <t>Philippines</t>
  </si>
  <si>
    <t>VN</t>
  </si>
  <si>
    <t>Equipment</t>
  </si>
  <si>
    <t>Factor</t>
  </si>
  <si>
    <t>Control Panel &amp; VSD, 30 kW</t>
  </si>
  <si>
    <t>Country</t>
  </si>
  <si>
    <t>Agent</t>
  </si>
  <si>
    <t>Injctor</t>
  </si>
  <si>
    <t>EURO pallets</t>
  </si>
  <si>
    <t>Type</t>
  </si>
  <si>
    <t>air</t>
  </si>
  <si>
    <t>Distination</t>
  </si>
  <si>
    <t>truck</t>
  </si>
  <si>
    <t>CIF</t>
  </si>
  <si>
    <t>DAP</t>
  </si>
  <si>
    <t>Incoterms</t>
  </si>
  <si>
    <t>Bangkok</t>
  </si>
  <si>
    <t>Gernamy</t>
  </si>
  <si>
    <t>Sell price EUR</t>
  </si>
  <si>
    <t>Suction lance</t>
  </si>
  <si>
    <t>Options</t>
  </si>
  <si>
    <t>In-line via tank top</t>
  </si>
  <si>
    <t>CIP nozzles &amp; Safety switch</t>
  </si>
  <si>
    <t>Connection to Client</t>
  </si>
  <si>
    <t>SMS, Clamp, Flange</t>
  </si>
  <si>
    <t>Connection SMS/Clamp/Flange</t>
  </si>
  <si>
    <t>Time (hourly rate)</t>
  </si>
  <si>
    <t>Packaging</t>
  </si>
  <si>
    <t>Packaging for freight</t>
  </si>
  <si>
    <t>Nordgan motor</t>
  </si>
  <si>
    <t>Months</t>
  </si>
  <si>
    <t>Fristam FSPE 3552, 22 kW</t>
  </si>
  <si>
    <t>Guess</t>
  </si>
  <si>
    <t>Fristam PM05, 30 + 45 kW motors, Control, VSD</t>
  </si>
  <si>
    <t>Drain</t>
  </si>
  <si>
    <t>Alfa Laval 1" manual - 9612628161</t>
  </si>
  <si>
    <t>Dan Seneberg workshop, 35 holes</t>
  </si>
  <si>
    <t>Dan Seneberg workshop, 105 holes</t>
  </si>
  <si>
    <t>LC3000</t>
  </si>
  <si>
    <t>Loop</t>
  </si>
  <si>
    <t>CPT</t>
  </si>
  <si>
    <t>Weight (kg)</t>
  </si>
  <si>
    <t>xx kW frequency Inverter</t>
  </si>
  <si>
    <t>Frequency Converter 11 kW</t>
  </si>
  <si>
    <t>Frequency Converter 15 kW</t>
  </si>
  <si>
    <t>Frequency Converter 18.5 kW</t>
  </si>
  <si>
    <t>Frequency Converter 22 kW</t>
  </si>
  <si>
    <t>Control Panel &amp; VSD, 11 kW</t>
  </si>
  <si>
    <t>Control Panel &amp; VSD, 18.5 kW</t>
  </si>
  <si>
    <t>Back pressure valve</t>
  </si>
  <si>
    <t>Alternativ total with VSD control only</t>
  </si>
  <si>
    <t>On display</t>
  </si>
  <si>
    <t>Internal DK shipment Fredensborg to Bjerringbro</t>
  </si>
  <si>
    <t>Internal DK shipment Bjerringbro to Hartrodt</t>
  </si>
  <si>
    <t>Hartrodt handling</t>
  </si>
  <si>
    <t>Regulating</t>
  </si>
  <si>
    <t>Alfa Laval 9618582904
VALVE LKB 63,5/2½" ISO W/W
PFA 316L KIT HANDLE 1.1 W/REGULATION</t>
  </si>
  <si>
    <t>TE14B23001 SaniMicro 360° 3/4" WELD</t>
  </si>
  <si>
    <t>CIP</t>
  </si>
  <si>
    <t>Air Vent</t>
  </si>
  <si>
    <t>9618581826
VALVE LKB 38/1½" ISO W/W
PFA 316L KIT HANDLE 1.1 W/2 POS TYPE</t>
  </si>
  <si>
    <t>CIP valve</t>
  </si>
  <si>
    <t>9612194002 
LUFTMOTOR LKLA-T Ö85 25-63,5/
25-63.5/DN25-50 NC</t>
  </si>
  <si>
    <t>CIP pneumatic</t>
  </si>
  <si>
    <t>9618582903
VALVE LKB 76/3" ISO W/W
PFA 316L KIT ACT LKLA-T Ø85 NC 6MM POS W/DISPLAY</t>
  </si>
  <si>
    <t>Regulating Automatic</t>
  </si>
  <si>
    <t>Seal Water</t>
  </si>
  <si>
    <t>ST/ST Y STRAINER 1/4" - Varenummer: 4992694</t>
  </si>
  <si>
    <t>Varenummer E0226372553 1/4" PN420 Nåleventil Fig. 3710/Fig. 226 3
Materialer: Rustfrit stål 1.4401
Tilslut./Betjening: BSPP Gevind/Håndhjul</t>
  </si>
  <si>
    <t xml:space="preserve">Norland </t>
  </si>
  <si>
    <t>Control system</t>
  </si>
  <si>
    <t>Basis</t>
  </si>
  <si>
    <t>Mixer unit (motor, VSD, mixer unit w. impeller,stator, pump house)</t>
  </si>
  <si>
    <t>U3S &amp; extern elektrikker kost</t>
  </si>
  <si>
    <t>Contorl panel, TPS koeber kontrol systemet fra Nordland</t>
  </si>
  <si>
    <t>Inlet/Outlet</t>
  </si>
  <si>
    <t>Cone down to 2.5" - allow for SMS, Clamp or flange connection</t>
  </si>
  <si>
    <t>DVC Full bore valve
Varenummer  1351510050 DN50 - PN100 3-delt kuglehane 1351FB
Materialer: CF8M/AISI316/PTFE +KF</t>
  </si>
  <si>
    <t>Full Bore</t>
  </si>
  <si>
    <t>Feet</t>
  </si>
  <si>
    <t>NGI Varenummer 1017651 - Maskinsko XH065-XH16150-RHOX1650 Blå gummi</t>
  </si>
  <si>
    <t>Alfa Laval 9618581826
VALVE LKB 38/1½" ISO W/W
PFA 316L KIT HANDLE 1.1 W/2 POS TYPE</t>
  </si>
  <si>
    <t>Alfa Laval TE14B23001 SaniMicro 360° 3/4" WELD</t>
  </si>
  <si>
    <t>Alfa Laval 9612194002 
LUFTMOTOR LKLA-T Ö85 25-63,5/
25-63.5/DN25-50 NC</t>
  </si>
  <si>
    <t>Alfa Laval 9612945853 
RELIEF VALVE, TWOWAY 316
MAX. FLOW 600hl/h, OIL WORKING</t>
  </si>
  <si>
    <t>Level transmitter</t>
  </si>
  <si>
    <t>IFM MN501S - MN44008-AKOG/6m/-H Safety switch</t>
  </si>
  <si>
    <t>IFM LMT102 LMCCE-A12E-QSKG-2/US Level transmitter
IFM E43309 ADAPT G1/2-WELD SLEEVE 3A</t>
  </si>
  <si>
    <t>CIP ball</t>
  </si>
  <si>
    <t>Regulating valve</t>
  </si>
  <si>
    <t>Table as desigend for Thailand plus additional 4 NGI feet</t>
  </si>
  <si>
    <t>Alfa Laval 9613437173
PERSONNEL ACCESS LKDC-518-200
-F-1.4404, SS HANDLE</t>
  </si>
  <si>
    <t>Manway</t>
  </si>
  <si>
    <t>Unit price</t>
  </si>
  <si>
    <t>Mixer unit leveret af TPS</t>
  </si>
  <si>
    <t>COO document + UPS courier</t>
  </si>
  <si>
    <t>Incl Seneberg</t>
  </si>
  <si>
    <t>Internal DK shipment Fredensborg to Hardrodt</t>
  </si>
  <si>
    <t>Hartrodt Supervision</t>
  </si>
  <si>
    <t>Shipment DK to Asia, ship, CIP harbor</t>
  </si>
  <si>
    <t>Packing for shipment VN</t>
  </si>
  <si>
    <t>Packing for shipment to Agent DK parts</t>
  </si>
  <si>
    <t>Seal water</t>
  </si>
  <si>
    <t>Incl Brian</t>
  </si>
  <si>
    <t>Connection to SMS/Clamp etc.</t>
  </si>
  <si>
    <t>Vacuum 3000</t>
  </si>
  <si>
    <t>Dan Seneberg, assemble and test</t>
  </si>
  <si>
    <t>Tangential</t>
  </si>
  <si>
    <t>Gericke</t>
  </si>
  <si>
    <t>Sell price, minimum</t>
  </si>
  <si>
    <t>Afghanistan</t>
  </si>
  <si>
    <t>Albania</t>
  </si>
  <si>
    <t>Andorra</t>
  </si>
  <si>
    <t>Angola</t>
  </si>
  <si>
    <t>Antigua and Barbuda</t>
  </si>
  <si>
    <t>Armenia</t>
  </si>
  <si>
    <t>Austria</t>
  </si>
  <si>
    <t>Azerbaijan</t>
  </si>
  <si>
    <t>Bahamas</t>
  </si>
  <si>
    <t>Bahrain</t>
  </si>
  <si>
    <t>Bangladesh</t>
  </si>
  <si>
    <t>Barbados</t>
  </si>
  <si>
    <t>Belarus</t>
  </si>
  <si>
    <t>Belize</t>
  </si>
  <si>
    <t>Benin</t>
  </si>
  <si>
    <t>Bhutan</t>
  </si>
  <si>
    <t>Bolivia</t>
  </si>
  <si>
    <t>Bosnia and Herzegovina</t>
  </si>
  <si>
    <t>Botswana</t>
  </si>
  <si>
    <t>Brazil</t>
  </si>
  <si>
    <t>Brunei</t>
  </si>
  <si>
    <t>Burkina Faso</t>
  </si>
  <si>
    <t>Burundi</t>
  </si>
  <si>
    <t>Cabo Verde</t>
  </si>
  <si>
    <t>Cambodia</t>
  </si>
  <si>
    <t>Cameroon</t>
  </si>
  <si>
    <t>Canada</t>
  </si>
  <si>
    <t>Central African Republic</t>
  </si>
  <si>
    <t>Chad</t>
  </si>
  <si>
    <t>China</t>
  </si>
  <si>
    <t>Colombia</t>
  </si>
  <si>
    <t>Comoros</t>
  </si>
  <si>
    <t>Congo, Democratic Republic of the</t>
  </si>
  <si>
    <t>Congo, Republic of the</t>
  </si>
  <si>
    <t>Cuba</t>
  </si>
  <si>
    <t>Cyprus</t>
  </si>
  <si>
    <t>Czech Republic (Czechia)</t>
  </si>
  <si>
    <t>Djibouti</t>
  </si>
  <si>
    <t>Dominica</t>
  </si>
  <si>
    <t>East Timor (Timor-Leste)</t>
  </si>
  <si>
    <t>Ecuador</t>
  </si>
  <si>
    <t>Equatorial Guinea</t>
  </si>
  <si>
    <t>Eritrea</t>
  </si>
  <si>
    <t>Estonia</t>
  </si>
  <si>
    <t>Eswatini (Swaziland)</t>
  </si>
  <si>
    <t>Ethiopia</t>
  </si>
  <si>
    <t>Fiji</t>
  </si>
  <si>
    <t>France</t>
  </si>
  <si>
    <t>Gabon</t>
  </si>
  <si>
    <t>Gambia</t>
  </si>
  <si>
    <t>Georgia</t>
  </si>
  <si>
    <t>Ghana</t>
  </si>
  <si>
    <t>Grenada</t>
  </si>
  <si>
    <t>Guinea</t>
  </si>
  <si>
    <t>Guinea-Bissau</t>
  </si>
  <si>
    <t>Guyana</t>
  </si>
  <si>
    <t>Haiti</t>
  </si>
  <si>
    <t>Iceland</t>
  </si>
  <si>
    <t>India</t>
  </si>
  <si>
    <t>Indonesia</t>
  </si>
  <si>
    <t>Iran</t>
  </si>
  <si>
    <t>Iraq</t>
  </si>
  <si>
    <t>Ireland</t>
  </si>
  <si>
    <t>Italy</t>
  </si>
  <si>
    <t>Jamaica</t>
  </si>
  <si>
    <t>Japan</t>
  </si>
  <si>
    <t>Jordan</t>
  </si>
  <si>
    <t>Kazakhstan</t>
  </si>
  <si>
    <t>Kenya</t>
  </si>
  <si>
    <t>Kiribati</t>
  </si>
  <si>
    <t>North Korea</t>
  </si>
  <si>
    <t>South Korea</t>
  </si>
  <si>
    <t>Kuwait</t>
  </si>
  <si>
    <t>Kyrgyzstan</t>
  </si>
  <si>
    <t>Laos</t>
  </si>
  <si>
    <t>Latvia</t>
  </si>
  <si>
    <t>Lebanon</t>
  </si>
  <si>
    <t>Lesotho</t>
  </si>
  <si>
    <t>Liberia</t>
  </si>
  <si>
    <t>Liechtenstein</t>
  </si>
  <si>
    <t>Lithuania</t>
  </si>
  <si>
    <t>Luxembourg</t>
  </si>
  <si>
    <t>Madagascar</t>
  </si>
  <si>
    <t>Malawi</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</si>
  <si>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</si>
  <si>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</si>
  <si>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</si>
  <si>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</si>
  <si>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</si>
  <si>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</si>
  <si>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</si>
  <si>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</si>
  <si>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</si>
  <si>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</si>
  <si>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</si>
  <si>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</si>
  <si>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</si>
  <si>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</si>
  <si>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</si>
  <si>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</si>
  <si>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</si>
  <si>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</si>
  <si>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</si>
  <si>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Niger</t>
  </si>
  <si>
    <t>Nigeria</t>
  </si>
  <si>
    <t>Oman</t>
  </si>
  <si>
    <t>Pakistan</t>
  </si>
  <si>
    <t>Palau</t>
  </si>
  <si>
    <t>Papua New Guinea</t>
  </si>
  <si>
    <t>Portugal</t>
  </si>
  <si>
    <t>Qatar</t>
  </si>
  <si>
    <t>Russia</t>
  </si>
  <si>
    <t>Rwanda</t>
  </si>
  <si>
    <t>Saint Kitts and Nevis</t>
  </si>
  <si>
    <t>Saint Lucia</t>
  </si>
  <si>
    <t>Saint Vincent and the Grenadines</t>
  </si>
  <si>
    <t>Samoa</t>
  </si>
  <si>
    <t>San Marino</t>
  </si>
  <si>
    <t>Sao Tome and Principe</t>
  </si>
  <si>
    <t>Saudi Arabia</t>
  </si>
  <si>
    <t>Senegal</t>
  </si>
  <si>
    <t>Seychelles</t>
  </si>
  <si>
    <t>Sierra Leone</t>
  </si>
  <si>
    <t>Singapore</t>
  </si>
  <si>
    <t>Slovakia</t>
  </si>
  <si>
    <t>Solomon Islands</t>
  </si>
  <si>
    <t>Somalia</t>
  </si>
  <si>
    <t>South Sudan</t>
  </si>
  <si>
    <t>Spain</t>
  </si>
  <si>
    <t>Sri Lanka</t>
  </si>
  <si>
    <t>Sudan</t>
  </si>
  <si>
    <t>Suriname</t>
  </si>
  <si>
    <t>Sweden</t>
  </si>
  <si>
    <t>Switzerland</t>
  </si>
  <si>
    <t>Syria</t>
  </si>
  <si>
    <t>Taiwan</t>
  </si>
  <si>
    <t>Tajikistan</t>
  </si>
  <si>
    <t>Tanzania</t>
  </si>
  <si>
    <t>Togo</t>
  </si>
  <si>
    <t>Tonga</t>
  </si>
  <si>
    <t>Trinidad and Tobago</t>
  </si>
  <si>
    <t>Turkmenistan</t>
  </si>
  <si>
    <t>Tuvalu</t>
  </si>
  <si>
    <t>Uganda</t>
  </si>
  <si>
    <t>United Arab Emirates</t>
  </si>
  <si>
    <t>United Kingdom</t>
  </si>
  <si>
    <t>United States</t>
  </si>
  <si>
    <t>Uzbekistan</t>
  </si>
  <si>
    <t>Vanuatu</t>
  </si>
  <si>
    <t>Vatican City (Holy See)</t>
  </si>
  <si>
    <t>Venezuela</t>
  </si>
  <si>
    <t>Vietnam</t>
  </si>
  <si>
    <t>Yemen</t>
  </si>
  <si>
    <t>Zambia</t>
  </si>
  <si>
    <t>Zimbabwe</t>
  </si>
  <si>
    <t>Client</t>
  </si>
  <si>
    <t>Agent fee</t>
  </si>
  <si>
    <t>Design level</t>
  </si>
  <si>
    <t>Standard</t>
  </si>
  <si>
    <t>Advanced</t>
  </si>
  <si>
    <t>Price in EUR, EXW workshop</t>
  </si>
  <si>
    <t>Competition</t>
  </si>
  <si>
    <t>Price w/o options below</t>
  </si>
  <si>
    <t>Selection</t>
  </si>
  <si>
    <t>Yes</t>
  </si>
  <si>
    <t>No</t>
  </si>
  <si>
    <t>Factors</t>
  </si>
  <si>
    <t>Direct client</t>
  </si>
  <si>
    <t>Any w. Agent</t>
  </si>
  <si>
    <t>Order "when"</t>
  </si>
  <si>
    <t>Competetion</t>
  </si>
  <si>
    <t>End client w/o Agent</t>
  </si>
  <si>
    <t>Engineering Corp w/o Agent</t>
  </si>
  <si>
    <t>MNC w/o Agent</t>
  </si>
  <si>
    <t>Negotiation fee</t>
  </si>
  <si>
    <t>Powder tipping station 25 kg w. filter</t>
  </si>
  <si>
    <t>Site glasses</t>
  </si>
  <si>
    <t>Tangential tank inlet w. valve</t>
  </si>
  <si>
    <t>Tank feet, four standard, hygenic</t>
  </si>
  <si>
    <t>Tank feet, two with load cells, hygenic</t>
  </si>
  <si>
    <t>Freight</t>
  </si>
  <si>
    <t>Fees</t>
  </si>
  <si>
    <t>xx Mixer, diameter 160mm</t>
  </si>
  <si>
    <t>Hoyer</t>
  </si>
  <si>
    <t>11 kW</t>
  </si>
  <si>
    <t>18.5 kW</t>
  </si>
  <si>
    <t>22 kW</t>
  </si>
  <si>
    <t>30 kW</t>
  </si>
  <si>
    <t>90 kW</t>
  </si>
  <si>
    <t>Invertek</t>
  </si>
  <si>
    <t>Alfa Laval</t>
  </si>
  <si>
    <t>OEM Klitsoe</t>
  </si>
  <si>
    <t>Standard feet, small, hygenic</t>
  </si>
  <si>
    <t>Load cell, hygenic</t>
  </si>
  <si>
    <t>Logistics</t>
  </si>
  <si>
    <t>Technical adjustment</t>
  </si>
  <si>
    <t>Power</t>
  </si>
  <si>
    <t>Control cabinet</t>
  </si>
  <si>
    <t>Only extra price for the built in VSD. I deducted the motor</t>
  </si>
  <si>
    <t>Hoang Lam</t>
  </si>
  <si>
    <t>Table VN</t>
  </si>
  <si>
    <t>Shipment DK to VN, air, Vortex</t>
  </si>
  <si>
    <t>Shipment DK to VN, air, Tank</t>
  </si>
  <si>
    <t>Vortex VN</t>
  </si>
  <si>
    <t>Mixer complete unit [incl unit parts]</t>
  </si>
  <si>
    <t>Tank</t>
  </si>
  <si>
    <t>Foreign currency</t>
  </si>
  <si>
    <t>RRPE</t>
  </si>
  <si>
    <t>Overruling</t>
  </si>
  <si>
    <t>None</t>
  </si>
  <si>
    <t>CSP</t>
  </si>
  <si>
    <t>Nestle</t>
  </si>
  <si>
    <t>Scanimix</t>
  </si>
  <si>
    <t>Middle East</t>
  </si>
  <si>
    <t>North America</t>
  </si>
  <si>
    <t>mp-process</t>
  </si>
  <si>
    <t>Kesmo</t>
  </si>
  <si>
    <t>Gabriel Urso</t>
  </si>
  <si>
    <t>Scandinavia</t>
  </si>
  <si>
    <t>JBT</t>
  </si>
  <si>
    <t>Overruling agreements</t>
  </si>
  <si>
    <t>Added the Process 3000 size for basic costing. Diff DKK 7k</t>
  </si>
  <si>
    <t>Standard 3000</t>
  </si>
  <si>
    <t>Fcountry</t>
  </si>
  <si>
    <t>Fagent</t>
  </si>
  <si>
    <t>Fnegotiation</t>
  </si>
  <si>
    <t>Forderwhen</t>
  </si>
  <si>
    <t>Fcompetition</t>
  </si>
  <si>
    <t>Fclient</t>
  </si>
  <si>
    <t>Fdesignlevel</t>
  </si>
  <si>
    <t>Dterm</t>
  </si>
  <si>
    <t>Budget (Unknown)</t>
  </si>
  <si>
    <t>Africa</t>
  </si>
  <si>
    <t>Ecodata Engineering Enterprise</t>
  </si>
  <si>
    <t>spa-alimentos</t>
  </si>
  <si>
    <t>Krones</t>
  </si>
  <si>
    <t>DDP</t>
  </si>
  <si>
    <t>Cost is without the DDP taxes, so likely a CIF price.</t>
  </si>
  <si>
    <t>Excluding Alfa Laval BV, pneumatic actuated, 1 pcs.</t>
  </si>
  <si>
    <t>incl HL inlet and AL valve</t>
  </si>
  <si>
    <t>V50 TinkTop</t>
  </si>
  <si>
    <t>Extra powder inlets</t>
  </si>
  <si>
    <t>Tetra Pak R200-800V, no control, EXW, high-shear turbo unit?</t>
  </si>
  <si>
    <t>Updated based on Vacuum 1000 price</t>
  </si>
  <si>
    <t>Set a bit higher, so cover all projects. I've previously seen 770 and 800 USD</t>
  </si>
  <si>
    <t>X-ray 10% tank body</t>
  </si>
  <si>
    <t>Vacuum Pump</t>
  </si>
  <si>
    <t>Lactalis</t>
  </si>
  <si>
    <t>Vacuum system w/o Hoanglam</t>
  </si>
  <si>
    <t>SS version</t>
  </si>
  <si>
    <t>**Y-strainer</t>
  </si>
  <si>
    <t>**2/2-waY-solenoId valve, servo assisted 6213-EV-A10,0AAVAGM82-6-024/DC-10 *NA38</t>
  </si>
  <si>
    <t>**Kabelstik 2518 28mm Form A UL approva 2518-A-BCS/UC-00-3-N50-00-0-00000 JLO4</t>
  </si>
  <si>
    <t>**Needel valve</t>
  </si>
  <si>
    <t>**Non return valve</t>
  </si>
  <si>
    <t>Dec'2023 Vu email 2312-03</t>
  </si>
  <si>
    <t>Freight Hoang Lam to Hamburg port, CIF</t>
  </si>
  <si>
    <t>Vacuum 1000`</t>
  </si>
  <si>
    <t>SEA</t>
  </si>
  <si>
    <t>Estimate for 20ft from Hoang Lam to Hamburg sea port</t>
  </si>
  <si>
    <t>X-ray on tank welds (100% body &amp; 100% T-joints)</t>
  </si>
  <si>
    <t>Dec'2023 Vu email 2312-02</t>
  </si>
  <si>
    <t>PT nozzles, instruments, flanges on tank</t>
  </si>
  <si>
    <t>Dec'2023 Vu email 2312-04</t>
  </si>
  <si>
    <t>EWX upgraded to FCA at workshop Vietnam</t>
  </si>
  <si>
    <t>EXW (packing)</t>
  </si>
  <si>
    <t>EXW upgrade to FCA</t>
  </si>
  <si>
    <t>Freight Hoang Lam to city in Germany, DAP (ship plus truck)</t>
  </si>
  <si>
    <t>Pump</t>
  </si>
  <si>
    <t>Vacuum</t>
  </si>
  <si>
    <t>Alfa Laval SSV - CIP</t>
  </si>
  <si>
    <t>Alfa Laval SSV - Vacuum</t>
  </si>
  <si>
    <t>Powder Wall</t>
  </si>
  <si>
    <t>Alfa Laval LKB - Powder Wall</t>
  </si>
  <si>
    <t>Alfa Laval LKB - Tangential inlet</t>
  </si>
  <si>
    <t>Walk away</t>
  </si>
  <si>
    <t>Outlet valve</t>
  </si>
  <si>
    <t>Water flush 25 liter hopper</t>
  </si>
  <si>
    <t>Tank relief valve BV</t>
  </si>
  <si>
    <t>Pump + LC</t>
  </si>
  <si>
    <t>Bolts</t>
  </si>
  <si>
    <t>Powder tipping station 25 kg w/o filter</t>
  </si>
  <si>
    <t>Mark-up additionals</t>
  </si>
  <si>
    <t>Mark-up</t>
  </si>
  <si>
    <t>Minimum</t>
  </si>
  <si>
    <t>Extra</t>
  </si>
  <si>
    <t>Spare parts</t>
  </si>
  <si>
    <t>Frame Tank AISI 304</t>
  </si>
  <si>
    <t>Minor Ingredeints 25 liter hoppe with manual lid system</t>
  </si>
  <si>
    <t>Systems</t>
  </si>
  <si>
    <t>Alfa Laval LKB - Funnel CIP</t>
  </si>
  <si>
    <t>Upgrade funnel manual BV to pneumatic</t>
  </si>
  <si>
    <t>German translation</t>
  </si>
  <si>
    <t>Documents</t>
  </si>
  <si>
    <t>Quteo 103669 - 19 Oct 2022</t>
  </si>
  <si>
    <t>Ener Tech Solutions S/B</t>
  </si>
  <si>
    <t>Friends with JBT Michael Yong</t>
  </si>
  <si>
    <t>Tangential tank inlet w/o valve</t>
  </si>
  <si>
    <t>Manway grid</t>
  </si>
  <si>
    <t>GUESS, mesh for dumping manually powder into LC mixer ONLY</t>
  </si>
  <si>
    <t>Mechanical &amp; Product commissioning Malaysia, 5 days</t>
  </si>
  <si>
    <t>Mechanical &amp; Product commissioning Germany, 5 days</t>
  </si>
  <si>
    <t>Mechanical &amp; Product commissioning Zambia, 5 days</t>
  </si>
  <si>
    <t>Kannan</t>
  </si>
  <si>
    <t>Mechanical &amp; Product commissioning Kuwait, 5 days</t>
  </si>
  <si>
    <t xml:space="preserve">Mechanical &amp; Product commissioning Kuwait, 5 days </t>
  </si>
  <si>
    <t>Taiwan Benefit Company</t>
  </si>
  <si>
    <t>-- Tier 1 --</t>
  </si>
  <si>
    <t>-- Tier 2 --</t>
  </si>
  <si>
    <t>-- Tier 3 --</t>
  </si>
  <si>
    <t>-- Tier 4 --</t>
  </si>
  <si>
    <t>-- Tier 5 --</t>
  </si>
  <si>
    <t>-- Tier 6 --</t>
  </si>
  <si>
    <t>MS version</t>
  </si>
  <si>
    <t xml:space="preserve">Vacuum pump </t>
  </si>
  <si>
    <t>Eng</t>
  </si>
  <si>
    <t>Design</t>
  </si>
  <si>
    <t>Review</t>
  </si>
  <si>
    <t>Project M</t>
  </si>
  <si>
    <t>Hourly rate</t>
  </si>
  <si>
    <t>Hoang Lam FAT - Chinh</t>
  </si>
  <si>
    <t>Hoang Lam FAT - Kannan</t>
  </si>
  <si>
    <t>Hoang Lam FAT - HL staff</t>
  </si>
  <si>
    <t>U3S FAT - DK</t>
  </si>
  <si>
    <t>Quality Control</t>
  </si>
  <si>
    <t>Internal</t>
  </si>
  <si>
    <t>Percent</t>
  </si>
  <si>
    <t>Main Scope:</t>
  </si>
  <si>
    <t xml:space="preserve">Plant </t>
  </si>
  <si>
    <t>Engineering</t>
  </si>
  <si>
    <t>Control: Functional Description</t>
  </si>
  <si>
    <t>Remote Project Management</t>
  </si>
  <si>
    <t>Weld checks X-ray of 10% for tank body and 100% T-joint</t>
  </si>
  <si>
    <t>Price, EXW w/o packaging, Vietnam, 1 unit</t>
  </si>
  <si>
    <t>Additional Services Frequently Bought by Customers</t>
  </si>
  <si>
    <t>EWX upgraded to FCA at workshop Vietnam.</t>
  </si>
  <si>
    <t>Seal Flush on high-shear rotor-stator unit</t>
  </si>
  <si>
    <t>Seal Flush on vacuum pump</t>
  </si>
  <si>
    <t>Upgrade Vacuum pump to stainless steel execution</t>
  </si>
  <si>
    <t>Process connection: SMS, Clamp, or Flange</t>
  </si>
  <si>
    <t>Tangential tank inlet incl. actuated BV, 1 pcs</t>
  </si>
  <si>
    <t>Minor ingredients funnel, 25 litre</t>
  </si>
  <si>
    <t>Additional Services or Change Orders</t>
  </si>
  <si>
    <t>Mechanical &amp; Product Commissioning, 5 days on site</t>
  </si>
  <si>
    <t>Extra powder valve in tank wall incl. ThinkTop® V50, 1 pcs</t>
  </si>
  <si>
    <t>Not Included</t>
  </si>
  <si>
    <t>Water flush minor ingredients funnel</t>
  </si>
  <si>
    <t>Not included</t>
  </si>
  <si>
    <t>Upgrade X-ray on tank welds (100% body &amp; 100% T-joints)</t>
  </si>
  <si>
    <t>Upgrade Penetrant Testing on nozzles and flanges on tank</t>
  </si>
  <si>
    <t>Total price, FCA, Hoang Lam, workshop, Vietnam</t>
  </si>
  <si>
    <t>Special discount</t>
  </si>
  <si>
    <t>Special total price, FCA, Hoang Lam, workshop, Vietnam</t>
  </si>
  <si>
    <t>Services or Change Orders: See Appendix</t>
  </si>
  <si>
    <t>For full details, see the following pages</t>
  </si>
  <si>
    <t>Special</t>
  </si>
  <si>
    <t>Actuated valves</t>
  </si>
  <si>
    <t>External</t>
  </si>
  <si>
    <t>Sell price</t>
  </si>
  <si>
    <t>Walk-away</t>
  </si>
  <si>
    <t>Cost</t>
  </si>
  <si>
    <t>Wallk-away</t>
  </si>
  <si>
    <t>MixSing Process XXX</t>
  </si>
  <si>
    <t>Upgrade to ThinkTop® V50, all actuated BVs and SSVs, 5 pcs</t>
  </si>
  <si>
    <t>Translation of TPS manuals to XXX language</t>
  </si>
  <si>
    <t>SEA &amp; Truck transport, CIF Port, XXX</t>
  </si>
  <si>
    <t>Vortex VN 800</t>
  </si>
  <si>
    <t>Manway OEM ø800</t>
  </si>
  <si>
    <t>Updated based on Vacuum 1000 price - plus added cost of Vortex unit</t>
  </si>
  <si>
    <t>Busch DOLPHIN Væskeringsvakuumpumpe Type LX 0260 C AM0 MM UX - 5.5 kW</t>
  </si>
  <si>
    <t>Busch DOLPHIN Væskeringsvakuumpumpe Type LX 0260 C AK0 MLUX - 5.5 kW</t>
  </si>
  <si>
    <t>Busch DOLPHIN Væskeringsvakuumpumpe Type LX 0055 B AK0 ZZMX - 2.2 kW</t>
  </si>
  <si>
    <t>Busch DOLPHIN Væskeringsvakuumpumpe Type LX 0140 C AK0 MHUX - 3.0 kW</t>
  </si>
  <si>
    <t>Parts added to pump total</t>
  </si>
  <si>
    <t>Vacuum pump</t>
  </si>
  <si>
    <t>Vacuum pummp</t>
  </si>
  <si>
    <t>Mild steel 2.2 kW</t>
  </si>
  <si>
    <t>Mild steel 3.0 kW</t>
  </si>
  <si>
    <t>Mild steel 5.5 kW</t>
  </si>
  <si>
    <t>Mild steel 7.5 kW</t>
  </si>
  <si>
    <t>Stainless steel 5.5 kW</t>
  </si>
  <si>
    <t>2.2 MS</t>
  </si>
  <si>
    <t>3.0 MS</t>
  </si>
  <si>
    <t>5.5 MS</t>
  </si>
  <si>
    <t>7.5 MS</t>
  </si>
  <si>
    <t>5.5 SS</t>
  </si>
  <si>
    <t>MixSing Vacuum XXX</t>
  </si>
  <si>
    <t>Nego</t>
  </si>
  <si>
    <t>Vortex Vacuum 2000</t>
  </si>
  <si>
    <t>3xmtechnology</t>
  </si>
  <si>
    <t>Old 2022 pricing</t>
  </si>
  <si>
    <t>45 kW</t>
  </si>
  <si>
    <t>55 kW</t>
  </si>
  <si>
    <t>75 kW</t>
  </si>
  <si>
    <t>110 kW</t>
  </si>
  <si>
    <t>Aflotech</t>
  </si>
  <si>
    <t>LMT102+E43918</t>
  </si>
  <si>
    <t>TA2511+E43918</t>
  </si>
  <si>
    <t>MN501S</t>
  </si>
  <si>
    <t>PM1605+ESG573+E30498</t>
  </si>
  <si>
    <t>Pressure Transmitter Vacuum &amp; Configuration -1…4 bar &amp; Weld adaptor E30498</t>
  </si>
  <si>
    <t>Level Switch LMT102 &amp; Weld adaptor E43918 &amp; Angled wirable socket EVF 566</t>
  </si>
  <si>
    <t>Temperature Transmitter TA2511 &amp; Weld adaptor E43918 &amp; Angled wirable socket EVF 566</t>
  </si>
  <si>
    <t>Safety Switch MN501S &amp; Angled wirable socket EVF 566</t>
  </si>
  <si>
    <t>GRANOFOOD/CLC/4 granulatslange, sort,
antistatisk, L=0,30 mtr, PU/SR, 4 bar, FDA &amp; ATEX, R&lt;10 6 Ω
2" ISO Clamp / 2" ISO Clamp</t>
  </si>
  <si>
    <t>GRANOFOOD 400 mm</t>
  </si>
  <si>
    <t>GRANOFOOD 1000 mm</t>
  </si>
  <si>
    <t>GRANOFOOD/CLC/4 granulatslange, sort,
antistatisk, L=0,40 mtr, PU/SR, 4 bar, FDA &amp; ATEX, R&lt;10 6 Ω
2" ISO Clamp / 2" ISO Clamp</t>
  </si>
  <si>
    <t>GRANOFOOD/CLC/4 granulatslange, sort,
antistatisk, L=1,00 mtr, PU/SR, 4 bar, FDA &amp; ATEX, R&lt;10 6 Ω
2" ISO Clamp / 2" ISO Clamp</t>
  </si>
  <si>
    <t>PLUTONE BIO slange, transp. m. stålspiral, L=0,50 mtr, PVC/PVC, 6,0 bar, EU 10/2011, 2" ISO Clamp / 2" ISO Clamp</t>
  </si>
  <si>
    <t>PLUTONE BIO 500 mm</t>
  </si>
  <si>
    <t>*fan</t>
  </si>
  <si>
    <t>LMT102++</t>
  </si>
  <si>
    <t>TA2511++</t>
  </si>
  <si>
    <t>MN501S++</t>
  </si>
  <si>
    <t>PM1605++</t>
  </si>
  <si>
    <t>Safety</t>
  </si>
  <si>
    <t xml:space="preserve">Level </t>
  </si>
  <si>
    <t>Tempratrue</t>
  </si>
  <si>
    <t>9612945853 RELIEF VALVE, TWOWAY 316 MAX. FLOW 300hl/h, OIL WORKING</t>
  </si>
  <si>
    <t>9612628161 VALVE LKB 25/1" ISO W/W EPDM 316L KIT HANDLE 1.1 W/2 POS TYPE A</t>
  </si>
  <si>
    <t>Alfa Laval 1" manual</t>
  </si>
  <si>
    <t>TE10B20201</t>
  </si>
  <si>
    <t>TE10B20201 SANIMIDGET 360° F.WELDING 1</t>
  </si>
  <si>
    <t>9613437052 INSPECTION PORT LKDC-454-100 -N-1.4404, SS HANDLE</t>
  </si>
  <si>
    <t>9614063122 NON-RETURN VALVE LKC-2-ISO-W- 51-NBR-316L</t>
  </si>
  <si>
    <t>NON-RETURN VALVE</t>
  </si>
  <si>
    <t>9618398132 VALVE UNIQUE SSV 51/2 217 WELD NO 0.8/BLASTED HNBR</t>
  </si>
  <si>
    <t>TE14B23001  SaniMicro 360° 3/4" WELD</t>
  </si>
  <si>
    <t>TE14B23001</t>
  </si>
  <si>
    <t>XH125-XH20150-RHOX2050 [Article 1000117]</t>
  </si>
  <si>
    <t>2527105100400404</t>
  </si>
  <si>
    <t>2527105101000404</t>
  </si>
  <si>
    <t>250775100500404</t>
  </si>
  <si>
    <t>4992694 RS PRO Y-trækaflastning 1/4" BSP Rustfrit stål</t>
  </si>
  <si>
    <t>8298987 Sanyo Denki Aksial blæser, 119 x 119 x 38mm, 168.3m³/h, Kugleleje, 5.28W, 24 V dc, San Ace 9WP</t>
  </si>
  <si>
    <t xml:space="preserve"> Bürkert </t>
  </si>
  <si>
    <t>Site glass with wiber</t>
  </si>
  <si>
    <t>ZDL381000, ZDP380EP</t>
  </si>
  <si>
    <t>Armatech (DVC)</t>
  </si>
  <si>
    <t xml:space="preserve"> E0226372553</t>
  </si>
  <si>
    <t>1351510050 DN50 - PN100 3-delt kuglehane 1351FB Materialer: CF8M/AISI316/PTFE +KF</t>
  </si>
  <si>
    <t>Outlet valve manual 3"</t>
  </si>
  <si>
    <t>1017640</t>
  </si>
  <si>
    <t>Maskinsko XH080-XH16150-RHOX1650, Blå gummi</t>
  </si>
  <si>
    <t>HF50255</t>
  </si>
  <si>
    <t>AC-181635,  AC-181636, AC-129840, 9019509</t>
  </si>
  <si>
    <t>AC-181634, 9019509</t>
  </si>
  <si>
    <t>Ebora</t>
  </si>
  <si>
    <t>Bottom Flange</t>
  </si>
  <si>
    <t>Not used</t>
  </si>
  <si>
    <t>Mechanical &amp; Product commissioning Kazakstan, 5 days</t>
  </si>
  <si>
    <t>Valve weld part</t>
  </si>
  <si>
    <t>Vacuum pump built w/o SG components</t>
  </si>
  <si>
    <t>Singapore supplies</t>
  </si>
  <si>
    <t>Margin SG parts</t>
  </si>
  <si>
    <t>Total SG</t>
  </si>
  <si>
    <t>SG</t>
  </si>
  <si>
    <t>Danish supplys</t>
  </si>
  <si>
    <t>Vietnam supplys</t>
  </si>
  <si>
    <t>Total  VN</t>
  </si>
  <si>
    <t>Busch</t>
  </si>
  <si>
    <t>Total margin</t>
  </si>
  <si>
    <t>SPX Liquidverter 2000/75 kW-  EXW, NON SPX client</t>
  </si>
  <si>
    <t>Total  DK</t>
  </si>
  <si>
    <t>9612650209 VALVE LKB 63,5/2½" ISO W/W HNBR 316L, 9611416470 BRACKET.FOR Ø85 LKLA/LKLA-T . FOR LKB/LKB-2/LKB ULTRA PURE VALVES 25-63.5/DN25-50, 9612194002 AIR-ACTUATOR LKLA-T Ø85 25-63.5/DN25-50 NC</t>
  </si>
  <si>
    <t>Alfa Laval 1.5" manual</t>
  </si>
  <si>
    <t>RELIEF VALVE, TWOWAY 316 MAX. FLOW 300hl/h, OIL WORKING</t>
  </si>
  <si>
    <t>9612945853</t>
  </si>
  <si>
    <t>Alfa Laval LKB - Relief valve BV</t>
  </si>
  <si>
    <t>9613320532 UNIQUE SSV 51/2 INCH 210 W-W 0.8/BLASTED HNBR CHANGE OVER NO</t>
  </si>
  <si>
    <t>Total DKK</t>
  </si>
  <si>
    <t>1101000016</t>
  </si>
  <si>
    <t>E0226372553 1/4" PN420 Nåleventil Fig. 3710/Fig. 226 Materialer: Rustfrit stål 1.4401 Tilslut./Betjening: BSPP Gevind/Håndhjul</t>
  </si>
  <si>
    <t>1/2" - PN68 kuglehane</t>
  </si>
  <si>
    <t>1/2" - PN68 kuglehane type 1101 m/lås CF8M/PTFE/fuld bore/BSPP gevind/håndtag</t>
  </si>
  <si>
    <t>**1/2" - PN68 kuglehane</t>
  </si>
  <si>
    <t>valve connector typ A 2518-A-BCS/UC-00-3-N50-00-0-00000 *JL04</t>
  </si>
  <si>
    <t>SK 9032.1AF - 112MP/4 TF IP66</t>
  </si>
  <si>
    <t>Bin lift design</t>
  </si>
  <si>
    <t>Carsoe  ST 1051145</t>
  </si>
  <si>
    <t>Added 4% pa in inflation - 4 years</t>
  </si>
  <si>
    <t>Bin</t>
  </si>
  <si>
    <t>Mixer inlet upgrade</t>
  </si>
  <si>
    <t>Mixer "funnel"</t>
  </si>
  <si>
    <t>Bin lift system</t>
  </si>
  <si>
    <t>Container 20 ft</t>
  </si>
  <si>
    <t>Vietnam to Kuwait</t>
  </si>
  <si>
    <t>Extras for the specific project</t>
  </si>
  <si>
    <t>Actuators, CiP nozzle loose parts, logs for lids</t>
  </si>
  <si>
    <t>Tight for vacuum/cip</t>
  </si>
  <si>
    <t>size and cost to be updated under Alfa Laval</t>
  </si>
  <si>
    <t>GDProcessDesign</t>
  </si>
  <si>
    <t>Powder tipping station 25 kg w.filter w. big bag w. hoist and Ibeam</t>
  </si>
  <si>
    <t>MCC Panel, VFDs and internal mixer cabling, 
Functional description</t>
  </si>
  <si>
    <t>25 kg bag tipping station, Manual, no filter &amp; fan*</t>
  </si>
  <si>
    <t>25 kg bag tipping station, Manual, incl. filter &amp; fan*</t>
  </si>
  <si>
    <t>25 kg bag tipping station with FIBC bag dumping, I-Beam &amp; hoist, Manual, incl. filter &amp; fan*</t>
  </si>
  <si>
    <t>Temperature transmitter product, IFM</t>
  </si>
  <si>
    <t>Total project cost/Sell price minimum</t>
  </si>
  <si>
    <t>SP</t>
  </si>
  <si>
    <t>IP</t>
  </si>
  <si>
    <t>n</t>
  </si>
  <si>
    <t>R</t>
  </si>
  <si>
    <t>Quote Price</t>
  </si>
  <si>
    <t>Initial Payment</t>
  </si>
  <si>
    <t>Months under Financing</t>
  </si>
  <si>
    <t>Monthly payments</t>
  </si>
  <si>
    <t>Monthly payments summed</t>
  </si>
  <si>
    <t xml:space="preserve">Total Price </t>
  </si>
  <si>
    <t>1003754</t>
  </si>
  <si>
    <t>Standard feet, treaded</t>
  </si>
  <si>
    <t>Maskinsko HX105-20-180</t>
  </si>
  <si>
    <t>Used for outdoor CIP Kitchen</t>
  </si>
  <si>
    <t>Offer 6 feb 2024, 4 kW, 102803561, revised 21 Feb. Added food oil and SS hulakse</t>
  </si>
  <si>
    <t>KannanFoodTech</t>
  </si>
  <si>
    <t>Tax paid for P2311-04, calculated to approx 10%</t>
  </si>
  <si>
    <t>John confirm in email d 5 March 2024 a price of approx DKK 1000/pcs. Added some extra to allow for safety and a couple or spare units</t>
  </si>
  <si>
    <t>CIP opiton</t>
  </si>
  <si>
    <t>Tangential inlet</t>
  </si>
  <si>
    <t>Minor ingredients tank connection (MBV)</t>
  </si>
  <si>
    <t>AAK</t>
  </si>
  <si>
    <t>VAT &amp; HS code VN</t>
  </si>
  <si>
    <t>Handling warehouse in/out</t>
  </si>
  <si>
    <t>COO VN Form</t>
  </si>
  <si>
    <t>D&amp;E</t>
  </si>
  <si>
    <t>Packing for shipment Unit</t>
  </si>
  <si>
    <t>Packing for shipment Plant</t>
  </si>
  <si>
    <t>GEA INLINE FORMULA® Powder Dissolver, Control, VSD</t>
  </si>
  <si>
    <t>Internal price</t>
  </si>
  <si>
    <t>GEA Vacuum mixer 1000 liter, no control, no vsd</t>
  </si>
  <si>
    <t>Batch formula 300 liter, no control, no VSD</t>
  </si>
  <si>
    <t>Quote 10414612 from December 2023</t>
  </si>
  <si>
    <t>Quote 104321 from March 2024</t>
  </si>
  <si>
    <t>I added 3000 to pay for mixing leg support, service tray, agitator motor console, and possible tank diameter increaes</t>
  </si>
  <si>
    <t>I have prices for other sizes which are lower by 1000 USD</t>
  </si>
  <si>
    <t>Internal Cost w/o engineering, contigency</t>
  </si>
  <si>
    <t>Exteranal Percent</t>
  </si>
  <si>
    <t>Walk-away Percent</t>
  </si>
  <si>
    <t>External Margin</t>
  </si>
  <si>
    <t>Walk away maring</t>
  </si>
  <si>
    <t>No-name engineering company</t>
  </si>
  <si>
    <t>300 mm impeller system</t>
  </si>
  <si>
    <t>VAT</t>
  </si>
  <si>
    <t>Used for parts from SG</t>
  </si>
  <si>
    <t>OLD</t>
  </si>
  <si>
    <t>15 April 2024, inlcude amaflex, labour and few other parts in a CVO. Later check details</t>
  </si>
  <si>
    <t>15 2024, upgrade from HL under CVO P2311-04</t>
  </si>
  <si>
    <t>9618398132 VALVE LKB 25/1" ISO W/W HNBR 316L &amp; 9612523701 HANDLE LKB 2POS.90 GR. 25-63,5 POS.B.</t>
  </si>
  <si>
    <t>Mixer flange tooling</t>
  </si>
  <si>
    <t>Added under each Alfa Laval part. This is a bit of extra contienncy for now</t>
  </si>
  <si>
    <t>Nikos</t>
  </si>
  <si>
    <t>EXW (packing LC)</t>
  </si>
  <si>
    <t>HS Duties</t>
  </si>
  <si>
    <t>Paid by HL on P2311-04</t>
  </si>
  <si>
    <t>HTEN</t>
  </si>
  <si>
    <t>MixSing Standard control 22 kW</t>
  </si>
  <si>
    <t>MixSing Vacuum control 22 kW</t>
  </si>
  <si>
    <t>MixSing Process control 22 kW</t>
  </si>
  <si>
    <t>OME Michael Cai</t>
  </si>
  <si>
    <t>Stanfford Eng</t>
  </si>
  <si>
    <t>Morten Nielsen</t>
  </si>
  <si>
    <t>3000719</t>
  </si>
  <si>
    <t>Powder Hopper 100L</t>
  </si>
  <si>
    <t>Powder Hopper 100L system</t>
  </si>
  <si>
    <t>NGI feet, 3 pcs</t>
  </si>
  <si>
    <t>Level Switch, IFM</t>
  </si>
  <si>
    <t>*Extra Hoang Lam, pipe extention to hose - one meter approx</t>
  </si>
  <si>
    <t>*Engineering, design etc</t>
  </si>
  <si>
    <t>Flight</t>
  </si>
  <si>
    <t>Taxi</t>
  </si>
  <si>
    <t>USD 50 per day</t>
  </si>
  <si>
    <t>Daily Allowance, 3 days</t>
  </si>
  <si>
    <t>Hotel, 3 nights</t>
  </si>
  <si>
    <t>EUR 65</t>
  </si>
  <si>
    <t>EUR 50</t>
  </si>
  <si>
    <t>Roaming</t>
  </si>
  <si>
    <t>Hours, 27h</t>
  </si>
  <si>
    <t>Kannan Project office rate</t>
  </si>
  <si>
    <t>Mukesh rate via Kannan</t>
  </si>
  <si>
    <t>Visa</t>
  </si>
  <si>
    <t>Medical insurance</t>
  </si>
  <si>
    <t>William table 15 March  2024</t>
  </si>
  <si>
    <t>**Standard feet, small, hygenic</t>
  </si>
  <si>
    <t>Svend Erik</t>
  </si>
  <si>
    <t>Special parts</t>
  </si>
  <si>
    <t>Quote 104452 from 15 July 2024</t>
  </si>
  <si>
    <t>Quote 104452 from 15 July 2025</t>
  </si>
  <si>
    <t>Quote 104452 from 15 July 2026</t>
  </si>
  <si>
    <t>Quote 104486 from 16 August</t>
  </si>
  <si>
    <t>Flow plate</t>
  </si>
  <si>
    <t>200 L liquid tank, half manway</t>
  </si>
  <si>
    <t>V57 TinkTop</t>
  </si>
  <si>
    <t>9615400216</t>
  </si>
  <si>
    <t>9615400216 TTV70 ASI3 62N M12 1SV 5/2 6MM THINKTOP V70 AS-INTERFACE V3.0 62NODE M12 1 SOLENOID 5/2 6MM</t>
  </si>
  <si>
    <t>9613437052</t>
  </si>
  <si>
    <t>Item number</t>
  </si>
  <si>
    <t xml:space="preserve">Description </t>
  </si>
  <si>
    <t>Line total (EUR)</t>
  </si>
  <si>
    <t>9612650207</t>
  </si>
  <si>
    <t>VALVE LKB 38/1½" ISO W/W HNBR 316L</t>
  </si>
  <si>
    <t>9612650208</t>
  </si>
  <si>
    <t>VALVE LKB 51/2" ISO W/W HNBR 316L</t>
  </si>
  <si>
    <t>9612650209</t>
  </si>
  <si>
    <t>VALVE LKB 63,5/2½" ISO W/W HNBR 316L</t>
  </si>
  <si>
    <t>9612650210</t>
  </si>
  <si>
    <t>VALVE LKB 76/3" ISO W/W HNBR 316L</t>
  </si>
  <si>
    <t>9611416470</t>
  </si>
  <si>
    <t>BRACKET.FOR Ø85 LKLA/LKLA-T . FOR LKB/LKB-2/LKB ULTRA PURE VALVES 25-63.5/DN25-50</t>
  </si>
  <si>
    <t>9612194002</t>
  </si>
  <si>
    <t>AIR-ACTUATOR LKLA-T Ø85 25-63.5/DN25-50 NC</t>
  </si>
  <si>
    <t>9612194003</t>
  </si>
  <si>
    <t>AIR-ACTUATOR LKLA-T Ø85 76/DN65-80 NC</t>
  </si>
  <si>
    <t>9612045001</t>
  </si>
  <si>
    <t>HANDLE 1.1 FOR LKB POS.A 2-POSITIONS 25-63.5/DN25-50</t>
  </si>
  <si>
    <t>INSPECTION PORT LKDC-454-100 -N-1.4404, SS HANDLE</t>
  </si>
  <si>
    <t>SANIMIDGET 360° F.WELDING 1</t>
  </si>
  <si>
    <t>9618398132</t>
  </si>
  <si>
    <t>VALVE UNIQUE SSV 51/2 217  WELD NO  0.8/BLASTED  HNBR</t>
  </si>
  <si>
    <t>9613320532</t>
  </si>
  <si>
    <t>UNIQUE SSV 51/2 INCH 210 W-W 0.8/BLASTED HNBR CHANGE OVER  NO</t>
  </si>
  <si>
    <t>9614063122</t>
  </si>
  <si>
    <t>NON-RETURN VALVE LKC-2-ISO-W- 51-NBR-316L</t>
  </si>
  <si>
    <t>9611710871</t>
  </si>
  <si>
    <t>SPRAYBALL LKRK-2F Ø64MM FOR 25MM INCH TUBE 2 MM HOLES 316L</t>
  </si>
  <si>
    <t>9615400416</t>
  </si>
  <si>
    <t>TTV50 ASI3 62N M12 1SV 6MM THINKTOP V50 AS-INTERFACE V3.0 62NODE M12 1 SOLENOID 3/2 6MM</t>
  </si>
  <si>
    <t>TTV70 ASI3 62N M12 1SV 5/2 6MM THINKTOP V70 AS-INTERFACE V3.0 62NODE M12 1 SOLENOID 5/2 6MM</t>
  </si>
  <si>
    <t>No.</t>
  </si>
  <si>
    <t>Part No.</t>
  </si>
  <si>
    <t>Description</t>
  </si>
  <si>
    <t>FLY-SPECIAL-01</t>
  </si>
  <si>
    <t>Bracket for actuator 1.5'' valve (304)</t>
  </si>
  <si>
    <t>FLY-SPECIAL-02</t>
  </si>
  <si>
    <t>Bracket for actuator 2.0'' valve (304)</t>
  </si>
  <si>
    <t>FLY-SPECIAL-03</t>
  </si>
  <si>
    <t>Bracket for actuator 2.5'' valve (304)</t>
  </si>
  <si>
    <t>FLY-SPECIAL-04</t>
  </si>
  <si>
    <t>Bracket for actuator 3.0'' valve (304)</t>
  </si>
  <si>
    <t>FLY-SPECIAL-05</t>
  </si>
  <si>
    <t>Coupler axle 8mm sq (304)</t>
  </si>
  <si>
    <t>FLY-SPECIAL-06</t>
  </si>
  <si>
    <t>Coupler axle 10mm sq (304)</t>
  </si>
  <si>
    <t>FLY-SPECIAL-07</t>
  </si>
  <si>
    <t>Coupler lower 8mm sq (304)</t>
  </si>
  <si>
    <t>FLY-SPECIAL-08</t>
  </si>
  <si>
    <t>Coupler lower 10mm sq (304)</t>
  </si>
  <si>
    <t>FLY-SPECIAL-09</t>
  </si>
  <si>
    <t>Linkrod weld asm 8mm sq (304)</t>
  </si>
  <si>
    <t>FLY-SPECIAL-10</t>
  </si>
  <si>
    <t>Linkrod weld asm 10mm sq (304)</t>
  </si>
  <si>
    <t>FLY-SPECIAL-11</t>
  </si>
  <si>
    <t>LKB 38mm 1.5'' halfpart valve weldin (316)</t>
  </si>
  <si>
    <t>FLY-SPECIAL-12</t>
  </si>
  <si>
    <t>LKB 51mm 2'' halfpart valve weldin (316)</t>
  </si>
  <si>
    <t>FLY-SPECIAL-13</t>
  </si>
  <si>
    <t>LKB 63.5mm 2.5'' halfpart valve weldin (316)</t>
  </si>
  <si>
    <t>FLY-SPECIAL-14</t>
  </si>
  <si>
    <t>LKB 76mm 3'' halfpart valve weldin (316)</t>
  </si>
  <si>
    <t>FLY-SPECIAL-15</t>
  </si>
  <si>
    <t>D5mm rod for 8mm sq coupler axle (316)</t>
  </si>
  <si>
    <t>FLY-SPECIAL-16</t>
  </si>
  <si>
    <t>D5mm rod for 10mm sq coupler axle (316)</t>
  </si>
  <si>
    <t>240032-402</t>
  </si>
  <si>
    <t>19S10D10C Drainable welding flange; SS316; OD260*19.5thk</t>
  </si>
  <si>
    <t>240032-403</t>
  </si>
  <si>
    <t>Welding jig for flange; SS304; OD250*24thk; lower part</t>
  </si>
  <si>
    <t>240032-404</t>
  </si>
  <si>
    <t>240032-405</t>
  </si>
  <si>
    <t>USD</t>
  </si>
  <si>
    <t>9612650206</t>
  </si>
  <si>
    <t>VALVE LKB 25/1" ISO W/W HNBR 316L</t>
  </si>
  <si>
    <t>9612628161</t>
  </si>
  <si>
    <t>VALVE LKB 25/1" ISO W/W EPDM 316L KIT HANDLE 1.1 W/2 POS TYPE A</t>
  </si>
  <si>
    <t>9615400416 TTV50 ASI3 62N M12 1SV 6MM THINKTOP V50 AS-INTERFACE V3.0 62NODE M12 1 SOLENOID 3/2 6MM</t>
  </si>
  <si>
    <t>9618581826</t>
  </si>
  <si>
    <t>VALVE LKB 38/1½" ISO W/W PFA 316L KIT HANDLE 1.1 W/2 POS TYPE A</t>
  </si>
  <si>
    <t>SaniMicro 360° 3/4" WELD</t>
  </si>
  <si>
    <t>Alfa Laval LKB - Non-foam inlet</t>
  </si>
  <si>
    <t>9611819010</t>
  </si>
  <si>
    <t>9611819030</t>
  </si>
  <si>
    <t>9611819060</t>
  </si>
  <si>
    <t>9611819101</t>
  </si>
  <si>
    <t>9612027715</t>
  </si>
  <si>
    <t>9612027717</t>
  </si>
  <si>
    <t>9612027718</t>
  </si>
  <si>
    <t>9612027720</t>
  </si>
  <si>
    <t>9613404202</t>
  </si>
  <si>
    <t>9613404203</t>
  </si>
  <si>
    <t>9613404302</t>
  </si>
  <si>
    <t>9613404303</t>
  </si>
  <si>
    <t>9613404305</t>
  </si>
  <si>
    <t>9612928250</t>
  </si>
  <si>
    <t>9612928252</t>
  </si>
  <si>
    <t>9612928253</t>
  </si>
  <si>
    <t>9612928255</t>
  </si>
  <si>
    <t>9612928286</t>
  </si>
  <si>
    <t>9612928288</t>
  </si>
  <si>
    <t>9612928291</t>
  </si>
  <si>
    <t>190725</t>
  </si>
  <si>
    <t>190727</t>
  </si>
  <si>
    <t>190728</t>
  </si>
  <si>
    <t>3180190391</t>
  </si>
  <si>
    <t>3180190392</t>
  </si>
  <si>
    <t>3180190393</t>
  </si>
  <si>
    <t>9611330382</t>
  </si>
  <si>
    <t>9611330383</t>
  </si>
  <si>
    <t>9611330384</t>
  </si>
  <si>
    <t>9611310191</t>
  </si>
  <si>
    <t>9611310201</t>
  </si>
  <si>
    <t>9611310211</t>
  </si>
  <si>
    <t>9612411121</t>
  </si>
  <si>
    <t>9613407101</t>
  </si>
  <si>
    <t>9634000219</t>
  </si>
  <si>
    <t>9634001702</t>
  </si>
  <si>
    <t>9634001044</t>
  </si>
  <si>
    <t>9634001049</t>
  </si>
  <si>
    <t>9611990765</t>
  </si>
  <si>
    <t>9611990766</t>
  </si>
  <si>
    <t>9611990767</t>
  </si>
  <si>
    <t>9612411001</t>
  </si>
  <si>
    <t>9612411113</t>
  </si>
  <si>
    <t>9612411114</t>
  </si>
  <si>
    <t>211053</t>
  </si>
  <si>
    <t>211054</t>
  </si>
  <si>
    <t>9612411115</t>
  </si>
  <si>
    <t>9611444510</t>
  </si>
  <si>
    <t>9612143002</t>
  </si>
  <si>
    <t>9611300383</t>
  </si>
  <si>
    <t>9611444520</t>
  </si>
  <si>
    <t>9612141403</t>
  </si>
  <si>
    <t>9614095107</t>
  </si>
  <si>
    <t>9613320072</t>
  </si>
  <si>
    <t>9618268970</t>
  </si>
  <si>
    <t>9612141407</t>
  </si>
  <si>
    <t>9613320065</t>
  </si>
  <si>
    <t>9612220002</t>
  </si>
  <si>
    <t>9613322182</t>
  </si>
  <si>
    <t>9613320054</t>
  </si>
  <si>
    <t>9613320064</t>
  </si>
  <si>
    <t>9613360027</t>
  </si>
  <si>
    <t>9613320147</t>
  </si>
  <si>
    <t>9612194005</t>
  </si>
  <si>
    <t>9618401619</t>
  </si>
  <si>
    <t>9618580346</t>
  </si>
  <si>
    <t>9615400212</t>
  </si>
  <si>
    <t>9612650323</t>
  </si>
  <si>
    <t>9613100761</t>
  </si>
  <si>
    <t>9618268913</t>
  </si>
  <si>
    <t>9618268914</t>
  </si>
  <si>
    <t>9613436932</t>
  </si>
  <si>
    <t>9615390901</t>
  </si>
  <si>
    <t>9615391201</t>
  </si>
  <si>
    <t>9615396601</t>
  </si>
  <si>
    <t>9615396001</t>
  </si>
  <si>
    <t>9615391801</t>
  </si>
  <si>
    <t>9611444521</t>
  </si>
  <si>
    <t>9613360066</t>
  </si>
  <si>
    <t>69696</t>
  </si>
  <si>
    <t>UNIVERSAL SPANNER 25-76DN20-65 ISO/DIN-MISCL</t>
  </si>
  <si>
    <t>A13MHM-2-S 304 SINGLE HINGE CLAMP 2" 304</t>
  </si>
  <si>
    <t>TEE-RED 38-25-POL-316L TEE-SHORT-ISO2037</t>
  </si>
  <si>
    <t>FERRULE 25-SB-304L ISO2852</t>
  </si>
  <si>
    <t>FERRULE 51-SB-304L ISO2852</t>
  </si>
  <si>
    <t>UNION COMPL SMS 25-316L-NBR ISO2037</t>
  </si>
  <si>
    <t>9611990145</t>
  </si>
  <si>
    <t>SEAL RING 25 NBR RJT</t>
  </si>
  <si>
    <t>9611990146</t>
  </si>
  <si>
    <t>SEAL RING 38 NBR RJT</t>
  </si>
  <si>
    <t>9611990147</t>
  </si>
  <si>
    <t>SEAL RING 51 NBR RJT</t>
  </si>
  <si>
    <t>SEAL RING 25 NBR ISO 2037 / BS4825</t>
  </si>
  <si>
    <t>SEAL RING 38 NBR ISO 2037 / BS4825</t>
  </si>
  <si>
    <t>SEAL RING 51 NBR ISO 2037 / BS4825</t>
  </si>
  <si>
    <t>9612903601</t>
  </si>
  <si>
    <t>TOOL COMPLETE STATIONARY SEAL RING LKH</t>
  </si>
  <si>
    <t>9612928251</t>
  </si>
  <si>
    <t>RED-CON 50.8-25.4-POL/RAW-304L ISO2037</t>
  </si>
  <si>
    <t>9612928254</t>
  </si>
  <si>
    <t>RED-CON 63.5-50.8-POL/RAW-304L ISO2037</t>
  </si>
  <si>
    <t>9612928256</t>
  </si>
  <si>
    <t>RED-CON 76.1-63.5-POL/RAW-304L ISO2037</t>
  </si>
  <si>
    <t>RED-ECC 50.8-38.1-POL/RAW-316L ISO2037</t>
  </si>
  <si>
    <t>TEE 25-POL-304L ISO2037</t>
  </si>
  <si>
    <t>TEE 38-POL-304L ISO2037</t>
  </si>
  <si>
    <t>TEE 51-POL-304L ISO2037</t>
  </si>
  <si>
    <t>A13MHM-1 1/2-S 304 SINGLE HINGE CLAMP 1" &amp; 1.5" 304</t>
  </si>
  <si>
    <t>TEE-RED 51-25-POL-316L TEE-SHORT-ISO2037</t>
  </si>
  <si>
    <t>TEE-RED 51-38-POL-316L TEE-SHORT-ISO2037</t>
  </si>
  <si>
    <t>UNION COMPL SMS 38-304L-NBR ISO2037</t>
  </si>
  <si>
    <t>FERRULE 38-SB-304L ISO2852</t>
  </si>
  <si>
    <t>UNION COMPL SMS 38-316L-NBR ISO2037</t>
  </si>
  <si>
    <t>UNION COMPL SMS 51-316L-NBR ISO2037</t>
  </si>
  <si>
    <t>VALVE LKB 38/1½" ISO W/W EPDM 304L</t>
  </si>
  <si>
    <t>VALVE LKB 51/2" ISO W/W EPDM 304L</t>
  </si>
  <si>
    <t>VALVE LKB 51/2" ISO W/W EPDM 316L</t>
  </si>
  <si>
    <t>TUBE 25X1.2 304L  BD ISO 2037</t>
  </si>
  <si>
    <t>TUBE 38X1.2 304L BD ISO 2037</t>
  </si>
  <si>
    <t>TUBE 51X1.2 304L BD   ISO 2037</t>
  </si>
  <si>
    <t>TUBE 76.1X1.6 304L BD ISO 2037</t>
  </si>
  <si>
    <t>BEND-90 25-POL/RAW-304L 1XD-ISO2037</t>
  </si>
  <si>
    <t>BEND-90 38-POL/RAW-304L 1XD-ISO2037</t>
  </si>
  <si>
    <t>BEND-90 51-POL/RAW-304L 1XD-ISO2037</t>
  </si>
  <si>
    <t>BEND-90 76.1-POL/RAW-304L 1XD-ISO2037</t>
  </si>
  <si>
    <t>IN-LINE SIGHT GLASS LKGG-1 W 51 EPDM 304</t>
  </si>
  <si>
    <t>IN-LINE SIGHT GLASS LKGG-1 W 38 EPDM 316L</t>
  </si>
  <si>
    <t>END CAP 38-SB-304L ISO2037</t>
  </si>
  <si>
    <t>AIR-ACTUATOR LKLA-T Ø85 25-63.5/DN25-50 NO</t>
  </si>
  <si>
    <t>NON-RETURN VALVE LKC-2-ISO-W- 38-EPDM-304</t>
  </si>
  <si>
    <t>PIPE SUPPORT DN10X57-304 TIGHT-WITH SHORT SHAFT-PIPE SUPPORT</t>
  </si>
  <si>
    <t>PIPE SUPPORT ISO 25X150-304 TIGHT-WITH LONG SHAFT-PIPE SUPPORT</t>
  </si>
  <si>
    <t>PIPE SUPPORT ISO 38X150-304 TIGHT-WITH LONG SHAFT-PIPE SUPPORT</t>
  </si>
  <si>
    <t>PIPE SUPPORT ISO 51X150-304 TIGHT-WITH LONG SHAFT-PIPE SUPPORT</t>
  </si>
  <si>
    <t>PIPE SUPPORT ISO 51X150-304 LOOSE-WITH LONG SHAFT-PIPE SUPPORT</t>
  </si>
  <si>
    <t>VALVE.CPMI-2-CL-51-KV2/15-316L UPPER AND LOWER EPDM/PTFE, FPM O-RING</t>
  </si>
  <si>
    <t>RED-CON 38.1-25.4-POL/RAW-304L ISO2037</t>
  </si>
  <si>
    <t>RED-CON 50.8-38.1-POL/RAW-304L ISO2037</t>
  </si>
  <si>
    <t>RED-CON 63.5-38.1-POL/RAW-304L ISO2037</t>
  </si>
  <si>
    <t>RED-CON 76.1-50.8-POL/RAW-304L ISO2037</t>
  </si>
  <si>
    <t>RED-ECC 63.5-50.8-POL/RAW-316L ISO2037</t>
  </si>
  <si>
    <t>RED-ECC 76.1-50.8-POL/RAW-316L ISO2037</t>
  </si>
  <si>
    <t>UNIQUE SEAT CLEAN ISO-38/38 22-90 EPDM POLISHED  (BAL.UP/LO)(NONE CIP)</t>
  </si>
  <si>
    <t>UNIQUE SSV 38/1½ INCH 210 W-SMS 0.8/BLASTED EPDM CHANGE OVER  NC</t>
  </si>
  <si>
    <t>UNIQUE SSV 25/1 INCH 210 W-SMS 0.8/BLASTED EPDM CHANGE OVER  NO</t>
  </si>
  <si>
    <t>UNIQUE SSV 38/1½ INCH 210 W-SMS 0.8/BLASTED EPDM CHANGE OVER  NO</t>
  </si>
  <si>
    <t>UNIQUE SSV 51/2 INCH 220 W-SMS 0.8/BLASTED EPDM CHANGE OVER  NO</t>
  </si>
  <si>
    <t>UNIQUE SSV 38/1½ INCH 300 W 0.8/BLASTED EPDM SHUT OFF  AA</t>
  </si>
  <si>
    <t>UNIQUE SSV 51/2 INCH 300 W 0.8/BLASTED EPDM SHUT OFF  AA</t>
  </si>
  <si>
    <t>UNIQUE SSV 38/1½ INCH 300 W 0.8/BLASTED EPDM SHUT OFF  NC</t>
  </si>
  <si>
    <t>UNIQUE SSV 38/1½ INCH 210 W-W 0.8/BLASTED EPDM CHANGE OVER  NO</t>
  </si>
  <si>
    <t>BEND-90 38-SHORT-POL/RAW-304L 1.5XD-ISO2037</t>
  </si>
  <si>
    <t>BEND-90 51-SHORT-POL/RAW-304L 1.5XD-ISO2037</t>
  </si>
  <si>
    <t>BEND-45 38-POL-304L ISO2037</t>
  </si>
  <si>
    <t>BEND-45 51-POL-304L ISO2037</t>
  </si>
  <si>
    <t>BEND-45 76.1-POL-304L ISO2037</t>
  </si>
  <si>
    <t>TUBE ASME BPE 12,7x1,65 316L PL ASTM A-270</t>
  </si>
  <si>
    <t>INSPECTION PORT LKDC-404-100 -N-1.4404, SS HANDLE</t>
  </si>
  <si>
    <t>SAMPLING VALVE SIZE 10 ISO51MM COLLARED PIPE EPDM SINGLE SEAT WITH HANDLE</t>
  </si>
  <si>
    <t>BOTTOM SUPPORT BS3, CLASS C SIZE 50/55/60/65 316L</t>
  </si>
  <si>
    <t>BUSHING FOR BS3 Ø50/Ø55/Ø60 /Ø65</t>
  </si>
  <si>
    <t>SCREW BS3 M8X55</t>
  </si>
  <si>
    <t>O-RING EPDM</t>
  </si>
  <si>
    <t>TTV70 ASI3 62N M12 3SV 6MM THINKTOP V70 AS-INTERFACE V3.0 62NODE M12 3 SOLENOID 3/2 6MM</t>
  </si>
  <si>
    <t>PUMP LKH-25/199 5.5KW 50HZ 400-415D/690Y SMS FSS C/SIC EPDM BLASTED   SCREW LEGS/SHROUD</t>
  </si>
  <si>
    <t>PUMP LKH-10/162 3KW 50HZ 230-240D/400-415Y SMS FSS C/SIC EPDM BLASTED   SCREW LEGS/SH</t>
  </si>
  <si>
    <t>PUMP LKH-10/133 3KW 50HZ 230-240D/400-415Y SMS FSS C/SIC EPDM BLASTED   SCREW PADS/SH</t>
  </si>
  <si>
    <t>VALVE UNIQUE SSV 38/1.5 200  W S  AA  0.8/BLASTED  EPDM</t>
  </si>
  <si>
    <t>VALVE LKB 25/1" ISO W/W EPDM 316L KIT ACT UNIQUE CONTROL Ø90 NC 6MM ASI 3.0</t>
  </si>
  <si>
    <t>B2S-1/2-316L-PL BPE WELD 90 20RA/POL OD SF1</t>
  </si>
  <si>
    <t>B7RWWW-1 X 1/2-316L-PL BPE WELD RED T 20RA/POL SF1</t>
  </si>
  <si>
    <t>B7RWWW-2 X 1/2-316L-PL BPE WELD RED T 20RA/POL SF1</t>
  </si>
  <si>
    <t>B31-1 X 1/2-316L-PL . BPE CONRED-W 20RA/POLOD,SF1</t>
  </si>
  <si>
    <t>Item</t>
  </si>
  <si>
    <t>Name</t>
  </si>
  <si>
    <t>COO</t>
  </si>
  <si>
    <t>HS</t>
  </si>
  <si>
    <t>IT</t>
  </si>
  <si>
    <t>73072390</t>
  </si>
  <si>
    <t>EUR/pcs</t>
  </si>
  <si>
    <t>P2402-01 Pcs</t>
  </si>
  <si>
    <t>OC</t>
  </si>
  <si>
    <t>Units</t>
  </si>
  <si>
    <t>C/3883</t>
  </si>
  <si>
    <t>Ver 2 PHE-B1-01 M6M-Base M6-MBASE 219PL 4SEC</t>
  </si>
  <si>
    <t>SE</t>
  </si>
  <si>
    <t>P2402-01-PO08</t>
  </si>
  <si>
    <t>C/4565</t>
  </si>
  <si>
    <t>H4-PSG 66 plates, ALLOY 316 PHE-B2-PHE70 - UNIT2-final</t>
  </si>
  <si>
    <t>IN</t>
  </si>
  <si>
    <t>P2402-01 Kuwait III</t>
  </si>
  <si>
    <t>73072910</t>
  </si>
  <si>
    <t>CN</t>
  </si>
  <si>
    <t>73072980</t>
  </si>
  <si>
    <t>TW</t>
  </si>
  <si>
    <t>40169300</t>
  </si>
  <si>
    <t>82057000</t>
  </si>
  <si>
    <t>GB</t>
  </si>
  <si>
    <t>82041100</t>
  </si>
  <si>
    <t>84139100</t>
  </si>
  <si>
    <t>84818085</t>
  </si>
  <si>
    <t>P2402-01-PO-9D Vietnam</t>
  </si>
  <si>
    <t>84819000</t>
  </si>
  <si>
    <t>84229090</t>
  </si>
  <si>
    <t>P2402-01-PO-9C Vietnam</t>
  </si>
  <si>
    <t>P2402-01-PO-09B Vietnam</t>
  </si>
  <si>
    <t>84818073</t>
  </si>
  <si>
    <t>84243090</t>
  </si>
  <si>
    <t>P2402-01-PO-09A Vietnam</t>
  </si>
  <si>
    <t>84813091</t>
  </si>
  <si>
    <t>84222000</t>
  </si>
  <si>
    <t>73064080</t>
  </si>
  <si>
    <t>2402-01-PO-10B (3) Kuwait</t>
  </si>
  <si>
    <t>73064081</t>
  </si>
  <si>
    <t>73072310</t>
  </si>
  <si>
    <t>73269092</t>
  </si>
  <si>
    <t>KR</t>
  </si>
  <si>
    <t>7307230090</t>
  </si>
  <si>
    <t>TH</t>
  </si>
  <si>
    <t>90328900</t>
  </si>
  <si>
    <t>P2402-01-PO-10A Kuwait</t>
  </si>
  <si>
    <t>70200010</t>
  </si>
  <si>
    <t>84818019</t>
  </si>
  <si>
    <t>84137081</t>
  </si>
  <si>
    <t>84818099</t>
  </si>
  <si>
    <t>84799070</t>
  </si>
  <si>
    <t>P2402-01-PO-10C Denmark</t>
  </si>
  <si>
    <t>Ship to</t>
  </si>
  <si>
    <t>KW</t>
  </si>
  <si>
    <t>VN/KW</t>
  </si>
  <si>
    <t>PDP</t>
  </si>
  <si>
    <t>Hotel, 4 nights</t>
  </si>
  <si>
    <t>Daily Allowance, 4 days</t>
  </si>
  <si>
    <t>Project Management</t>
  </si>
  <si>
    <t>VN Customs storage cost</t>
  </si>
  <si>
    <t>Guestimate based on P2311-04</t>
  </si>
  <si>
    <t>AIRPORT CHARGE DK X-RAY/HANDL/ TRUCKING</t>
  </si>
  <si>
    <t>P2311-04</t>
  </si>
  <si>
    <t>Guess, it's likely zero</t>
  </si>
  <si>
    <t>Likely included in the freight cost</t>
  </si>
  <si>
    <t>Total cost of sales</t>
  </si>
  <si>
    <t>Engineering % of COS</t>
  </si>
  <si>
    <t>High-shear unit% of COS</t>
  </si>
  <si>
    <t>Logistics &amp; duties % of COS</t>
  </si>
  <si>
    <t>NGI parts % of COS</t>
  </si>
  <si>
    <t>Site glasses % of COS</t>
  </si>
  <si>
    <t>Hoses part % of COS</t>
  </si>
  <si>
    <t>Alfa Laval % of COS</t>
  </si>
  <si>
    <t>Instruments % of COS</t>
  </si>
  <si>
    <t>Vacuum system % of COS</t>
  </si>
  <si>
    <t>Contingency % of COS</t>
  </si>
  <si>
    <t>Hours, 24h</t>
  </si>
  <si>
    <t>Scraper system DK parts % of COS</t>
  </si>
  <si>
    <t>WS parts % of COS</t>
  </si>
  <si>
    <t>Cost savings not forwarded</t>
  </si>
  <si>
    <t>Cost savings markup</t>
  </si>
  <si>
    <t>Financial institute costs</t>
  </si>
  <si>
    <t>Financial cost markup</t>
  </si>
  <si>
    <t>Cost savings % COS</t>
  </si>
  <si>
    <t>Financial institues % COS</t>
  </si>
  <si>
    <t>253705100300404</t>
  </si>
  <si>
    <t>DYNAMIC Antistatic 300 mm</t>
  </si>
  <si>
    <t>Warranty cost</t>
  </si>
  <si>
    <t>Warranty cost % COS</t>
  </si>
  <si>
    <t>Contingency</t>
  </si>
  <si>
    <t>MixSing LC 1000</t>
  </si>
  <si>
    <t>List Price</t>
  </si>
  <si>
    <t>GM</t>
  </si>
  <si>
    <t>Total OH</t>
  </si>
  <si>
    <t>%</t>
  </si>
  <si>
    <t>MixSing Vaccum 1000</t>
  </si>
  <si>
    <t>SS vacuum pump</t>
  </si>
  <si>
    <t>TT</t>
  </si>
  <si>
    <t>Tangential Tank Inlet: With butterfly valve</t>
  </si>
  <si>
    <t>Ingredients Hopper with lid: 25 liters for adding minor ingredients</t>
  </si>
  <si>
    <t>Powder hopper with vibrator, mesh, and lid: 100 liters for adding larger powder volumes</t>
  </si>
  <si>
    <t>Workshop FAT: on-site by TPS staff</t>
  </si>
  <si>
    <t>Commissioning: 5 days on-site by TPS staff, including travel and stay.</t>
  </si>
  <si>
    <t>NA</t>
  </si>
  <si>
    <t>Minimum Sales Price in Promo</t>
  </si>
  <si>
    <t>Control system + VSD</t>
  </si>
  <si>
    <t>Upgrade</t>
  </si>
  <si>
    <t>MixSing Standard 1000</t>
  </si>
  <si>
    <t>CIP spray balls</t>
  </si>
  <si>
    <t>Manual CIP</t>
  </si>
  <si>
    <t>Promo</t>
  </si>
  <si>
    <t>UP</t>
  </si>
  <si>
    <t>Online</t>
  </si>
  <si>
    <t>MixSing Shear</t>
  </si>
  <si>
    <t>Mixinng Loop</t>
  </si>
  <si>
    <t>MixSing Vacuum 1000</t>
  </si>
  <si>
    <t>MixSing Process 1000</t>
  </si>
  <si>
    <t>MixSing Injector, no table</t>
  </si>
  <si>
    <t>MixSing Vortex, no table</t>
  </si>
  <si>
    <r>
      <t xml:space="preserve">Special prices 2024, </t>
    </r>
    <r>
      <rPr>
        <sz val="11"/>
        <color rgb="FFFF0000"/>
        <rFont val="Calibri (Body)"/>
      </rPr>
      <t>starting from</t>
    </r>
  </si>
  <si>
    <t>Discount</t>
  </si>
  <si>
    <t>2024</t>
  </si>
  <si>
    <t>IFM Blank incl Weld adapter</t>
  </si>
  <si>
    <t>HL VAT - Logistic Administrative work</t>
  </si>
  <si>
    <t>MIAC</t>
  </si>
  <si>
    <t>-Dual Master AS-i Gateway (Profinet)</t>
  </si>
  <si>
    <t>-AS-i Power Supply (8A)</t>
  </si>
  <si>
    <t>-FC Quick Connect M12 socket - 7 pcs</t>
  </si>
  <si>
    <t>-M12 angled plug / M12 angled socket Jumper cable (2m) - 7 pcs</t>
  </si>
  <si>
    <t>-M12 angled plug / M12 angled socket Jumper cable (2m)</t>
  </si>
  <si>
    <t>-Cable trays</t>
  </si>
  <si>
    <t>-Safe AS-Interface ClassicLine module with quick mounting technology</t>
  </si>
  <si>
    <t>-Wirable M12 Straight Plug</t>
  </si>
  <si>
    <t>-8-port IO-Link Master (Profinet)</t>
  </si>
  <si>
    <t>-Flat EPDM Yellow AS-i cable, 100m per roll</t>
  </si>
  <si>
    <t>-M12 angled plug / M12 angled socket Jumper cable (2m) - 4 pcs</t>
  </si>
  <si>
    <t>-EVF557 - 2M Ethernet D-coded M12 to RJ45</t>
  </si>
  <si>
    <t xml:space="preserve">-EVF485 - 2M Angled M12 connector, 4 x 1.00 mm² </t>
  </si>
  <si>
    <t>-EVF545 - 2M Ethernet M12-M12 D-coded</t>
  </si>
  <si>
    <t>-site work at Hoang Lam</t>
  </si>
  <si>
    <t>-power cables and connectons</t>
  </si>
  <si>
    <t>wild guess</t>
  </si>
  <si>
    <t>MIAC, Complete</t>
  </si>
  <si>
    <t>Updated Nov 2024</t>
  </si>
  <si>
    <t>Polish Vacuum 1000 leg support external 0.6 µm - 4 pcs</t>
  </si>
  <si>
    <t xml:space="preserve">Polish </t>
  </si>
  <si>
    <t>Polish Vacuum 1000 top - bottom - shell  internal 0.6 µm</t>
  </si>
  <si>
    <t>Polish Vacuum 1000 top - bottom - shell internal 0.3 µm</t>
  </si>
  <si>
    <t>Polish Vacuum 1000 top - bottom - shell  external 0.6 µm</t>
  </si>
  <si>
    <t>Polish Vacuum 1000 top - bottom - shell external 0.3 µm</t>
  </si>
  <si>
    <t>Extra++</t>
  </si>
  <si>
    <t>Polish Vacuum 1000 leg support external 0.3 µm - 4 pcs</t>
  </si>
  <si>
    <t>Exluded</t>
  </si>
  <si>
    <t>HMI, MCC Panel, VFDs and internal mixer cabling</t>
  </si>
  <si>
    <t>Installation, Mechanical &amp; Product supervision, daily rate</t>
  </si>
  <si>
    <t xml:space="preserve"> Installation, Mechanical &amp; Product supervision, daily rate</t>
  </si>
  <si>
    <t>Extra MixSing Wall Valve incl. ThinkTop®, 1 pcs</t>
  </si>
  <si>
    <t>LC 500</t>
  </si>
  <si>
    <t>LC 1000</t>
  </si>
  <si>
    <t>LC 3000</t>
  </si>
  <si>
    <t>Password</t>
  </si>
  <si>
    <t>CH24</t>
  </si>
  <si>
    <t>CH25</t>
  </si>
  <si>
    <t>Currency</t>
  </si>
  <si>
    <t>Standard HL tanks</t>
  </si>
  <si>
    <t>12 m3 - 304</t>
  </si>
  <si>
    <t>15 m3 - 304</t>
  </si>
  <si>
    <t>20 m3 - 304</t>
  </si>
  <si>
    <t>12 m3 - 304 - Shell cladding 1.5mm/Bottom cladding 2mm – Rockwool 80KG/M3.</t>
  </si>
  <si>
    <t>15 m3 - 304 - Shell cladding 1.5mm/Bottom cladding 2mm – Rockwool 80KG/M3.</t>
  </si>
  <si>
    <t>20 m3 - 304 - Shell cladding 1.5mm/Bottom cladding 2mm – Rockwool 80KG/M3.</t>
  </si>
  <si>
    <t>12 m3 - 304 - Shell cladding 1.5mm/Bottom cladding 2mm – PIR Panel 40KG/M3.</t>
  </si>
  <si>
    <t>15 m3 - 304 - Shell cladding 1.5mm/Bottom cladding 2mm – PIR Panel 40KG/M3.</t>
  </si>
  <si>
    <t>20 m3 - 304 - Shell cladding 1.5mm/Bottom cladding 2mm – PIR Panel 40KG/M3.</t>
  </si>
  <si>
    <t>Local SS</t>
  </si>
  <si>
    <t>incl MS shipping frame</t>
  </si>
  <si>
    <t>ex. TPS parts manway, feet, CIP, weld-in</t>
  </si>
  <si>
    <t>Tanks</t>
  </si>
  <si>
    <t>Spray Ball</t>
  </si>
  <si>
    <t>251805100300404</t>
  </si>
  <si>
    <t>OILY FOOD/SPL 300 mm</t>
  </si>
  <si>
    <t>OILY FOOD/SPL rubber spiral hose, blue, L=0,30 mtr. NBR / CR, 10 bar, FDA, 2" ISO Clamp / 2" ISO Clamp, Country of Origin.: EU, Tariff No: 40094100</t>
  </si>
  <si>
    <t>XHSW125-XHSM1220155-RHOXS2055-PR6251-52LA</t>
  </si>
  <si>
    <t>1017618</t>
  </si>
  <si>
    <t>Machine foot XH125-M20 x 150/85-M20 x 50, AISI 304, Blue NBR</t>
  </si>
  <si>
    <t>1017651</t>
  </si>
  <si>
    <t>Machine foot XH65-M16 x 150/85-M16 x 50, AISI 304, Blue NBR</t>
  </si>
  <si>
    <t>Nut NDXH M8, AISI 316, Blue NBR</t>
  </si>
  <si>
    <r>
      <t xml:space="preserve">9612650207, </t>
    </r>
    <r>
      <rPr>
        <sz val="10"/>
        <color rgb="FFFF0000"/>
        <rFont val="Arial"/>
        <family val="2"/>
      </rPr>
      <t>XX</t>
    </r>
    <r>
      <rPr>
        <sz val="10"/>
        <rFont val="Arial"/>
        <family val="2"/>
      </rPr>
      <t>, 9612045001</t>
    </r>
  </si>
  <si>
    <r>
      <t xml:space="preserve">ACI 11-320-80-2-5-5-000According to DIN 28120-A, Ebora Article no: ZEUGNIS 3.1 -G+D-F, </t>
    </r>
    <r>
      <rPr>
        <sz val="10"/>
        <color rgb="FFFF0000"/>
        <rFont val="Arial"/>
        <family val="2"/>
      </rPr>
      <t>incl freight to VN</t>
    </r>
  </si>
  <si>
    <r>
      <t xml:space="preserve">ACI 11-320-80-2-1-4-000According to DIN 28120-A, ACI 11-P-3541-832-00non Ex Version - 24 V AC/DC - 7.5 W, Ebora Article no: ZEUGNIS 3.1 -G+D-F, ACI 25-MECH-B-320-000005Machining of cover
flange for lighting USL05-LED, </t>
    </r>
    <r>
      <rPr>
        <sz val="10"/>
        <color rgb="FFFF0000"/>
        <rFont val="Arial"/>
        <family val="2"/>
      </rPr>
      <t>incl freight to VN</t>
    </r>
  </si>
  <si>
    <r>
      <t xml:space="preserve">9612650208 VALVE LKB 51/2" ISO W/W HNBR 316L, </t>
    </r>
    <r>
      <rPr>
        <sz val="10"/>
        <color rgb="FFFF0000"/>
        <rFont val="Arial"/>
        <family val="2"/>
      </rPr>
      <t>XX HOANG LAM</t>
    </r>
    <r>
      <rPr>
        <sz val="10"/>
        <rFont val="Arial"/>
        <family val="2"/>
      </rPr>
      <t xml:space="preserve">, 9612194002 AIR-ACTUATOR LKLA-T Ø85 25-63.5/DN25-50 NC. </t>
    </r>
    <r>
      <rPr>
        <sz val="10"/>
        <color rgb="FFFF0000"/>
        <rFont val="Arial"/>
        <family val="2"/>
      </rPr>
      <t>Bracket prices in sum Hoang Lam special parts prices added to the valve</t>
    </r>
  </si>
  <si>
    <r>
      <t xml:space="preserve">9612650209 VALVE LKB 63,5/2½" ISO W/W HNBR 316L &amp; </t>
    </r>
    <r>
      <rPr>
        <sz val="10"/>
        <color rgb="FFFF0000"/>
        <rFont val="Arial"/>
        <family val="2"/>
      </rPr>
      <t>XX HOANG LAM</t>
    </r>
    <r>
      <rPr>
        <sz val="10"/>
        <rFont val="Arial"/>
        <family val="2"/>
      </rPr>
      <t xml:space="preserve"> &amp; 9612194002 AIR-ACTUATOR LKLA-T Ø85 25-63.5/DN25-50 NC. </t>
    </r>
    <r>
      <rPr>
        <sz val="10"/>
        <color rgb="FFFF0000"/>
        <rFont val="Arial"/>
        <family val="2"/>
      </rPr>
      <t>Bracket prices in sum Hoang Lam special parts prices added to the valve</t>
    </r>
  </si>
  <si>
    <r>
      <t xml:space="preserve">9612650210 VALVE LKB 76/3" ISO W/W HNBR 316L &amp; </t>
    </r>
    <r>
      <rPr>
        <sz val="10"/>
        <color rgb="FFFF0000"/>
        <rFont val="Arial"/>
        <family val="2"/>
      </rPr>
      <t>XX HOANG LAM</t>
    </r>
    <r>
      <rPr>
        <sz val="10"/>
        <rFont val="Arial"/>
        <family val="2"/>
      </rPr>
      <t xml:space="preserve"> &amp; 9612194003 AIR-ACTUATOR LKLA-T Ø85 76/DN65-80 NC. </t>
    </r>
    <r>
      <rPr>
        <sz val="10"/>
        <color rgb="FFFF0000"/>
        <rFont val="Arial"/>
        <family val="2"/>
      </rPr>
      <t>Bracket prices in sum Hoang Lam special parts prices added to the valve</t>
    </r>
  </si>
  <si>
    <r>
      <t xml:space="preserve">9612650210 VALVE LKB 76/3" ISO W/W HNBR 316L &amp; </t>
    </r>
    <r>
      <rPr>
        <sz val="10"/>
        <color rgb="FFFF0000"/>
        <rFont val="Arial"/>
        <family val="2"/>
      </rPr>
      <t>XX HOANG LAM</t>
    </r>
    <r>
      <rPr>
        <sz val="10"/>
        <rFont val="Arial"/>
        <family val="2"/>
      </rPr>
      <t xml:space="preserve"> &amp; HANDLE. </t>
    </r>
    <r>
      <rPr>
        <sz val="10"/>
        <color rgb="FFFF0000"/>
        <rFont val="Arial"/>
        <family val="2"/>
      </rPr>
      <t>Bracket prices in sum Hoang Lam special parts prices added to the valve</t>
    </r>
  </si>
  <si>
    <r>
      <t xml:space="preserve">9612650207 VALVE LKB 38/1½" ISO W/W HNBR 316L &amp; </t>
    </r>
    <r>
      <rPr>
        <sz val="10"/>
        <color rgb="FFFF0000"/>
        <rFont val="Arial"/>
        <family val="2"/>
      </rPr>
      <t>XX HOANG LAM</t>
    </r>
    <r>
      <rPr>
        <sz val="10"/>
        <rFont val="Arial"/>
        <family val="2"/>
      </rPr>
      <t xml:space="preserve"> &amp; 9612045001 HANDLE 1.1 FOR LKB POS.A 2-POSITIONS 25-63.5/DN25-50. Bracket prices in sum Hoang Lam special parts prices added to the valve</t>
    </r>
  </si>
  <si>
    <t>8000115</t>
  </si>
  <si>
    <t>Nut NDXH M20, AISI 316, Blue NBR</t>
  </si>
  <si>
    <t>1017636</t>
  </si>
  <si>
    <t>Machine foot XH80-M20 x 150/85-M20 x 50</t>
  </si>
  <si>
    <t>Machine foot XH80-M20 x 150/85-M20 x 50, AISI 304, Blue NBR</t>
  </si>
  <si>
    <t>Top cover THOX M16 x 100, 2 flats, AISI 304, Blue Silicone</t>
  </si>
  <si>
    <t>1018064</t>
  </si>
  <si>
    <t>Machine foot XHG80-M20 x 150/85-M20 x 50</t>
  </si>
  <si>
    <t>Machine foot XHG80-M20 x 150/85-M20 x 50, AISI 304, Blue NBR</t>
  </si>
  <si>
    <t>1018044</t>
  </si>
  <si>
    <t>Machine foot XHG105-M24 x 150/85-M24 x 50</t>
  </si>
  <si>
    <t>Machine foot XHG105-M24 x 150/85-M24 x 50, AISI 304, Blue NBR</t>
  </si>
  <si>
    <t>1018027</t>
  </si>
  <si>
    <t>Machine foot XHG125-M24 x 150/85-M24 x 50</t>
  </si>
  <si>
    <t>Machine foot XHG125-M24 x 150/85-M24 x 50, AISI 304, Blue NBR</t>
  </si>
  <si>
    <t>1017947</t>
  </si>
  <si>
    <t>Machine foot XHJ125-M24 x 150/85-M24 x 50, AISI 304, Blue NBR, 2 fixations</t>
  </si>
  <si>
    <t>Machine foot XHJ125-M24 x 150/85-M24 x 50, Fixation</t>
  </si>
  <si>
    <t>Minor Ingredeints 22 liter hoppe with manual lid</t>
  </si>
  <si>
    <t>Deduction from Q104587 Vacuum 1000</t>
  </si>
  <si>
    <t>1018243</t>
  </si>
  <si>
    <t>Machine foot XH80-M20-180</t>
  </si>
  <si>
    <t>Machine foot XH105-M20-180</t>
  </si>
  <si>
    <t>SMF320+E40542+E40512</t>
  </si>
  <si>
    <t>Flow meter incl accessories</t>
  </si>
  <si>
    <t>Flow meter</t>
  </si>
  <si>
    <t>8298987</t>
  </si>
  <si>
    <t>Machine foot XHG125-M24 x 150/85-M24 x 50,</t>
  </si>
  <si>
    <t>Machine foot XHJ125-M24 x 150/85-M24 x 50, 2 fixations</t>
  </si>
  <si>
    <t>Machine foot XH125-M20 x 150/85-M20 x 50</t>
  </si>
  <si>
    <t>Nut NDXH M8, AISI 316</t>
  </si>
  <si>
    <t>Nut NDXH M20, AISI 316</t>
  </si>
  <si>
    <t>Top cover THOX M16 x 100, 2 flats, AISI 304,</t>
  </si>
  <si>
    <t>PM1608++</t>
  </si>
  <si>
    <t>PM1609+E30498</t>
  </si>
  <si>
    <t>IFM (updated 19 Feb 2025)</t>
  </si>
  <si>
    <r>
      <t>Tetra Pak B300-</t>
    </r>
    <r>
      <rPr>
        <sz val="10"/>
        <color rgb="FFFF0000"/>
        <rFont val="Arial"/>
        <family val="2"/>
      </rPr>
      <t>2000V</t>
    </r>
    <r>
      <rPr>
        <sz val="10"/>
        <rFont val="Arial"/>
        <family val="2"/>
      </rPr>
      <t>, no control, EXW, high-shear mixing unit</t>
    </r>
  </si>
  <si>
    <r>
      <t>SPX Flexmix Instant 250-</t>
    </r>
    <r>
      <rPr>
        <sz val="10"/>
        <color rgb="FFFF0000"/>
        <rFont val="Arial"/>
        <family val="2"/>
      </rPr>
      <t>1000</t>
    </r>
    <r>
      <rPr>
        <sz val="10"/>
        <rFont val="Arial"/>
        <family val="2"/>
      </rPr>
      <t>, no control, EXW</t>
    </r>
  </si>
  <si>
    <r>
      <t>SPX Flexmix Instant 250-</t>
    </r>
    <r>
      <rPr>
        <sz val="10"/>
        <color rgb="FFFF0000"/>
        <rFont val="Arial"/>
        <family val="2"/>
      </rPr>
      <t>2000</t>
    </r>
    <r>
      <rPr>
        <sz val="10"/>
        <rFont val="Arial"/>
        <family val="2"/>
      </rPr>
      <t>, no control, EXW</t>
    </r>
  </si>
  <si>
    <t>Added DKK 580 for improved bearing, email from Frederik 19 Feb 2025</t>
  </si>
  <si>
    <t>Added DKK 580 for improved bearing, email from Frederik 19 Feb 2026</t>
  </si>
  <si>
    <t>Added DKK 580 for improved bearing, email from Frederik 19 Feb 2027</t>
  </si>
  <si>
    <t>Added DKK 580 for improved bearing, email from Frederik 19 Feb 2030</t>
  </si>
  <si>
    <t>Added DKK 580 for improved bearing, email from Frederik 19 Feb 2031</t>
  </si>
  <si>
    <t>Added DKK 580 for improved bearing, email from Frederik 19 Feb 2032</t>
  </si>
  <si>
    <t>Added DKK 580 for improved bearing, email from Frederik 19 Feb 2033</t>
  </si>
  <si>
    <t>Added DKK 580 for improved bearing, email from Frederik 19 Feb 2034</t>
  </si>
  <si>
    <t>Feb 2025, added 10% as I have had no price update from Brian</t>
  </si>
  <si>
    <t>New request from HL 12% of the 10% VAT which they pay on import to cover their time.</t>
  </si>
  <si>
    <t>1018037</t>
  </si>
  <si>
    <t>Machine foot XHG125-M30 x 210/118-M30 x 80, AISI 304, Blue NBR</t>
  </si>
  <si>
    <t>11000 kg per foot</t>
  </si>
  <si>
    <t>Coxial system</t>
  </si>
  <si>
    <t>Nordgear 5.5 + 4 kW</t>
  </si>
  <si>
    <t>Seneberg</t>
  </si>
  <si>
    <t>P2402--01, added 10%</t>
  </si>
  <si>
    <t>Logistic</t>
  </si>
  <si>
    <t>Estimate 1000 kg at DKK 60/kg</t>
  </si>
  <si>
    <t>On top of the standard duties, as these items will be troublesome to get into VN</t>
  </si>
  <si>
    <t>Duties</t>
  </si>
  <si>
    <t>Double high-shear unit</t>
  </si>
  <si>
    <t>Gemak</t>
  </si>
  <si>
    <t>Coxial</t>
  </si>
  <si>
    <t>Also implemented a HL cost price increae for the tanks of 30% as the diameter will be larger and need to carry more weight. Forumla in "Internal Sales price"</t>
  </si>
  <si>
    <t>Insulation &amp; Cladding</t>
  </si>
  <si>
    <t>Steam injection</t>
  </si>
  <si>
    <t>Unit 600 kg/h - 4 nozzles</t>
  </si>
  <si>
    <t>HL integration</t>
  </si>
  <si>
    <t>Wild guess</t>
  </si>
  <si>
    <t>Culinary steam unit</t>
  </si>
  <si>
    <t>Added 10% for last years prices</t>
  </si>
  <si>
    <t>HL SKID</t>
  </si>
  <si>
    <t>HL cover</t>
  </si>
  <si>
    <t>HL assebley</t>
  </si>
  <si>
    <t>Other parts</t>
  </si>
  <si>
    <t>Steam Injection nozzles</t>
  </si>
  <si>
    <t>As mixer</t>
  </si>
  <si>
    <t>Culinary steam unit, 5 µm</t>
  </si>
  <si>
    <t>Coaxial system</t>
  </si>
  <si>
    <t>22L tank</t>
  </si>
  <si>
    <t>Tank HL</t>
  </si>
  <si>
    <t>AL manway (upgrade)</t>
  </si>
  <si>
    <t>Actuator</t>
  </si>
  <si>
    <t>IFM MS505 saefty</t>
  </si>
  <si>
    <t>22L tank CIP</t>
  </si>
  <si>
    <t>AL Manway, CIP spray ball, Acutator, IFM safety</t>
  </si>
  <si>
    <t xml:space="preserve"> Included </t>
  </si>
  <si>
    <t>Non-foam</t>
  </si>
  <si>
    <t>Jacket, Insulation &amp; Cladding</t>
  </si>
  <si>
    <t>TBC</t>
  </si>
  <si>
    <t>Minor ingredeints 22 liter hopper</t>
  </si>
  <si>
    <t>Mukesh Design</t>
  </si>
  <si>
    <t>Kannan Engineering</t>
  </si>
  <si>
    <t>104625 April 2025</t>
  </si>
  <si>
    <t>??</t>
  </si>
  <si>
    <t>Steam per nozzle 3 bar -&gt; 200 kg/nozzle /h</t>
  </si>
  <si>
    <t>0.5 m3 - 316 -  Shell cladding 1.5mm - Rockwool xxKG/M3.</t>
  </si>
  <si>
    <t>0.5 m3 - 316 -  Shell cladding 1.5mm - Rockwool xxKG/M3 - prepared for agitator</t>
  </si>
  <si>
    <t>4 m3 - 316 - Shell cladding 1.5mm/Bottom cladding 2mm – Rockwool xxKG/M3. Prepared for agitator</t>
  </si>
  <si>
    <t>12 m3 - 316 - Shell cladding 1.5mm/Bottom cladding 2mm – Rockwool xxKG/M3. Prepared for agitator</t>
  </si>
  <si>
    <t>EU Documentation</t>
  </si>
  <si>
    <t>Stig T</t>
  </si>
  <si>
    <t>Guess 1.6 x 1000L</t>
  </si>
  <si>
    <t>Polish &amp; Grind external welds</t>
  </si>
  <si>
    <t>WhatsApp April USD 80 for 1000 L tank</t>
  </si>
  <si>
    <t>Hyprosys</t>
  </si>
  <si>
    <t>Friend with Raymond BOS Homogenisers</t>
  </si>
  <si>
    <t>SPS Liquidverter jacke, 3000/73 kW, likely DDP Olam, 2025</t>
  </si>
  <si>
    <t xml:space="preserve"> </t>
  </si>
  <si>
    <t>4992694</t>
  </si>
  <si>
    <t>Injector VN</t>
  </si>
  <si>
    <t>Injector VN - MOTOR BASE SUPPORT ASSY</t>
  </si>
  <si>
    <t>Injector VN - PUMP COVER</t>
  </si>
  <si>
    <t>Injector VN - INJECTOR BODY ASSY</t>
  </si>
  <si>
    <t>Injector VN - FUNNEL ASSEMBLY</t>
  </si>
  <si>
    <t>Injector VN - TABLE ASSEMBLY</t>
  </si>
  <si>
    <t>Injector VN - Wooden Box</t>
  </si>
  <si>
    <t>PIPING WO - INJECTOR BODY ASSY</t>
  </si>
  <si>
    <t>Shear VN</t>
  </si>
  <si>
    <t>Injector site assemble</t>
  </si>
  <si>
    <t>Vortex VN - MOTOR BASE SUPPORT ASSY</t>
  </si>
  <si>
    <t>Vortex VN - PUMP COVER</t>
  </si>
  <si>
    <t>Vortex VN - TANK &amp; PIPING</t>
  </si>
  <si>
    <t>Vortex VN - Wooden Box</t>
  </si>
  <si>
    <t>Vortex site assemble</t>
  </si>
  <si>
    <t>3102180-30.0-040201-M-063186</t>
  </si>
  <si>
    <t>3102160-22.0-040201-M-058484</t>
  </si>
  <si>
    <t>295767</t>
  </si>
  <si>
    <t>314802</t>
  </si>
  <si>
    <t>Aug'25 Q104587</t>
  </si>
  <si>
    <t>Aug'25 - Q104587_Rev10 - CIP VERSION</t>
  </si>
  <si>
    <t>104587_Rev10 August 2025 - side and bottom</t>
  </si>
  <si>
    <t>104625 April 2025 - side only</t>
  </si>
  <si>
    <t>2.2 SS</t>
  </si>
  <si>
    <t>3.0 SS</t>
  </si>
  <si>
    <t>4.0 SS</t>
  </si>
  <si>
    <t>Busch DOLPHIN Væskeringsvakuumpumpe Type LX 0180 C AM0 MJUX - 4kW</t>
  </si>
  <si>
    <t>Busch DOLPHIN Væskeringsvakuumpumpe Type LX 0140 C AM0 MG UX - 3 kW</t>
  </si>
  <si>
    <t>Busch DOLPHIN Væskeringsvakuumpumpe Type LX 0110 C AM0 ME UX - 2,2 kW</t>
  </si>
  <si>
    <t>Stainless steel 2.2 kW</t>
  </si>
  <si>
    <t>Stainless steel 3.0 kW</t>
  </si>
  <si>
    <t>Stainless steel 4.0 kW</t>
  </si>
  <si>
    <t>Stainless steel 7.5 kW</t>
  </si>
  <si>
    <t>7.5 SS</t>
  </si>
  <si>
    <t>Busch DOLPHIN Væskeringsvakuumpumpe Type LX 0330 C AM0 MN UX - 7,5kW</t>
  </si>
  <si>
    <t>Control cabinet (DK version)</t>
  </si>
  <si>
    <t>9613360055 UNIQUE SSV 63.5/2½ INCH 210</t>
  </si>
  <si>
    <t>CIP Vacuum Pump</t>
  </si>
  <si>
    <t>Alfa Laval LKB - 2.5" SSV Tangential inlet</t>
  </si>
  <si>
    <t>Alfa Laval LKB - 2 Vent pipe</t>
  </si>
  <si>
    <t>Alfa Laval LKB - 2 hose</t>
  </si>
  <si>
    <t>Alfa Laval SSV 2.5" SSV CIP model</t>
  </si>
  <si>
    <t>9613360055 UNIQUE SSV 63.5/2½ INCH 211</t>
  </si>
  <si>
    <t>9611444521, 9612194002</t>
  </si>
  <si>
    <t>-</t>
  </si>
  <si>
    <t>Hoang Lam FAT - PM</t>
  </si>
  <si>
    <t>Loop VN</t>
  </si>
  <si>
    <t>Busch DOLPHIN Væskeringsvakuumpumpe Type LX 0330 C AK0 MNUX - 7.5 kW</t>
  </si>
  <si>
    <t>Essiential Engineering SG</t>
  </si>
  <si>
    <t>250806401000404</t>
  </si>
  <si>
    <t>250105100500404</t>
  </si>
  <si>
    <t>251806400600202</t>
  </si>
  <si>
    <t>251806401000202</t>
  </si>
  <si>
    <t>251805103000404</t>
  </si>
  <si>
    <t>PHARMASTEEL PRESS THERMOPLASTIC HOSE L=1.00 M TPE/TPE, 10 BAR, FDA, 2” ISO CLAMP / 2” ISO CLAMP – WITH GROUNDING</t>
  </si>
  <si>
    <t>MILKLAND, RUBBER SPIRAL HOSE, OIL-RESISTANT, BLUE, L=0.50 M, NR/NR, 6 BAR, FDA</t>
  </si>
  <si>
    <t>OILY FOOD/SPL RUBBER SPIRAL HOSE, BLUE, L=0.60 M, NBR/CR, 10 BAR, FDA</t>
  </si>
  <si>
    <t>Y FOOD/SPL RUBBER SPIRAL HOSE, BLUE, L=1.00 M, NBR/CR, 10 BAR, FDA</t>
  </si>
  <si>
    <t>OILY FOOD/SPL RUBBER SPIRAL HOSE, BLUE, L=3.00 M, NBR/CR, 10 BAR, FDA</t>
  </si>
  <si>
    <t>PHARMASTEEL 1000MM</t>
  </si>
  <si>
    <t>MILKLAND 500MM</t>
  </si>
  <si>
    <t>OILY FOOD 3000MM</t>
  </si>
  <si>
    <t>OILY FOOD 600MM</t>
  </si>
  <si>
    <t>Outlet hose</t>
  </si>
  <si>
    <t>Tangential Inlet hose</t>
  </si>
  <si>
    <t>Vaccum pipe hose</t>
  </si>
  <si>
    <t>CIP to Vacuum hose</t>
  </si>
  <si>
    <t>OILY FOOD 1000MM</t>
  </si>
  <si>
    <t>Ingredients inlet hoses</t>
  </si>
  <si>
    <t>Dan Seneberg, Pump house fabrication</t>
  </si>
  <si>
    <t>Control cabinet (VN version)</t>
  </si>
  <si>
    <t>Incl. cables</t>
  </si>
  <si>
    <t>Added Full bore</t>
  </si>
  <si>
    <t>Qutoe for 2509-06 added 30% for 304 upgrade to 316L</t>
  </si>
  <si>
    <t>Shaft seal</t>
  </si>
  <si>
    <t>Shaft</t>
  </si>
  <si>
    <t>Only extra price for the built in VSD. Quote 15 Oct 2025</t>
  </si>
  <si>
    <t>Used the lower 1 pcs price from john 15 october 2025 email</t>
  </si>
  <si>
    <t>Used the lower 5 pcs price from john 15october 2025 email</t>
  </si>
  <si>
    <t>Used the lower 10 pcs price from john 15 october 2025 email</t>
  </si>
  <si>
    <t>Shear Loop with VSD installed</t>
  </si>
  <si>
    <t>Automation support</t>
  </si>
  <si>
    <t>Piping loop</t>
  </si>
  <si>
    <t>Pump cover</t>
  </si>
  <si>
    <t>Motor base support</t>
  </si>
  <si>
    <t>4.0 MS</t>
  </si>
  <si>
    <t xml:space="preserve">Busch DOLPHIN Væskeringsvakuumpumpe Type LX 0180 C AK0 MJUX - 4 kW </t>
  </si>
  <si>
    <t>Mild steel 4.0 kW</t>
  </si>
  <si>
    <t>2900 L - 304 - tank w/o agitator insulated</t>
  </si>
  <si>
    <t>2900 L - 304 - Frame agitator</t>
  </si>
  <si>
    <t>2900 L - 304 - tank prepared for double agitator w/o agitator insulated</t>
  </si>
  <si>
    <t>2900 L - 304 - Double agitator</t>
  </si>
  <si>
    <t>2900 L - 316 - tank w/o agitator insulated</t>
  </si>
  <si>
    <t>2900 L - 316 - Frame agitator</t>
  </si>
  <si>
    <t>2900 L - 316 - tank prepared for double agitator w/o agitator insulated</t>
  </si>
  <si>
    <t>2900 L - 316 - Double agitator</t>
  </si>
  <si>
    <t>Quote 104743_Rev01 15 Oct 2025</t>
  </si>
  <si>
    <t>Quote 104743_Rev01 15 Oct 2026</t>
  </si>
  <si>
    <t>Quote 104743_Rev01 15 Oct 2027</t>
  </si>
  <si>
    <t>Quote 104743_Rev01 15 Oct 2028</t>
  </si>
  <si>
    <t>Qutoe for 2509-06, october 2025</t>
  </si>
  <si>
    <r>
      <t xml:space="preserve">Valve weld part </t>
    </r>
    <r>
      <rPr>
        <sz val="10"/>
        <color rgb="FFFF0000"/>
        <rFont val="Arial"/>
        <family val="2"/>
      </rPr>
      <t>[included under each individual valve)</t>
    </r>
  </si>
  <si>
    <t>Martin</t>
  </si>
  <si>
    <t>26992/EB</t>
  </si>
  <si>
    <t>Foot brand</t>
  </si>
  <si>
    <t>MARTIN</t>
  </si>
  <si>
    <t>FOOT BRAND</t>
  </si>
  <si>
    <t>FOOT</t>
  </si>
  <si>
    <t>XH65-M16 x 150/85-M16 x 50</t>
  </si>
  <si>
    <t>XH125-XH20150-RHOX2050</t>
  </si>
  <si>
    <t>LOAD CELL</t>
  </si>
  <si>
    <t>Ju Lin</t>
  </si>
  <si>
    <t>Ju Lin Project rate</t>
  </si>
  <si>
    <t>Hoang Lam FAT short - Kannan</t>
  </si>
  <si>
    <t>Daily Allowance, 2 days</t>
  </si>
  <si>
    <t>Hotel, 2 nights</t>
  </si>
  <si>
    <t>Based on Ju Lin rates</t>
  </si>
  <si>
    <t>Exhibition</t>
  </si>
  <si>
    <t>27031/EB</t>
  </si>
  <si>
    <t>ST. STEEL BASE Ø 60 WITH BLUE EPDM VULCANISED RUBBER TILTING 10° ST. STEEL SCREW M16X150 WITH ST. STEEL BUSH 24X85 – USDA ACCEPTED</t>
  </si>
  <si>
    <t>ST. STEEL BASE Ø 120 WITH BLUE EPDM VULCANISED RUBBER TILTING 10° ST. STEEL SCREW M16X200 WITH ST. STEEL BUSH 30X85 – USDA ACCEPTED</t>
  </si>
  <si>
    <t>FLC1000M12A3A</t>
  </si>
  <si>
    <t>HYGIENIC LOAD CELL Ø40/78/24, H178, M12, LOAD 10.000 N, 3A + IP69K</t>
  </si>
  <si>
    <t>HYGIENIC LOAD CELL Ø40/78/24, H178, M12, LOAD 10.000 N, 3A + IP69K
ST. STEEL BASE Ø120, FDA BLUE EPDM VULCANISED RUBBER PAD, 5° TILTING ST. STEEL HYGIENIC STEM, M12 X 50, OVERALL HEIGHT 110.5, 1 X FDA BLUE SILICONE GASKET</t>
  </si>
  <si>
    <t>FLC1000</t>
  </si>
  <si>
    <t>HYGIENIC LOAD CELL Ø31/78/45, H143, M12, LOAD 10.000 N, IP67</t>
  </si>
  <si>
    <t>HYGIENIC LOAD CELL Ø31/78/45, H143, M12, LOAD 10.000 N, IP67
ST. STEEL BASE Ø120, FDA BLUE EPDM VULCANISED RUBBER PAD, 5° TILTING ST. STEEL HYGIENIC STEM, M12 X 50, OVERALL HEIGHT 110.5, 1 X FDA BLUE SILICONE GASKET</t>
  </si>
  <si>
    <t>MARTIN 3A</t>
  </si>
  <si>
    <t>Site glass brand</t>
  </si>
  <si>
    <t>SITE GLASS</t>
  </si>
  <si>
    <t>NO NAME CN</t>
  </si>
  <si>
    <t>EBORA EU</t>
  </si>
  <si>
    <t>SITE GLASS CN</t>
  </si>
  <si>
    <t>SUPPLIED BY HL</t>
  </si>
  <si>
    <t>SITE GLASS WITH WIPER</t>
  </si>
  <si>
    <t>SITE GLASS WITH LIGHT</t>
  </si>
  <si>
    <t>NONE</t>
  </si>
  <si>
    <t>Q2500099C-R3 for Hyatna 2025</t>
  </si>
  <si>
    <t>ERROR?</t>
  </si>
  <si>
    <t>1.5x V1000 guess</t>
  </si>
  <si>
    <t>SGD 100 per day incl BF</t>
  </si>
  <si>
    <t>BALL VALVE SBV-ISO51-W/W-MAN BALL VALVE SBV-ISO51-W/W-MAN - NBR</t>
  </si>
  <si>
    <t>84818081</t>
  </si>
  <si>
    <t>9612644027</t>
  </si>
  <si>
    <t>Full bore vavle</t>
  </si>
  <si>
    <t>Quote 34556 10 Dec 2025</t>
  </si>
  <si>
    <t>Quote 34556 10 Dec 2026</t>
  </si>
  <si>
    <t>Quote 34556 10 Dec 2027</t>
  </si>
  <si>
    <t>Quote 34556 10 Dec 2028</t>
  </si>
  <si>
    <t>Alfa Laval 9618582904 VALVE LKB 63,5/2½" ISO W/W PFA 316L KIT HANDLE 1.1 W/REGULATION</t>
  </si>
  <si>
    <t>VALVE LKB 25/1" ISO W/W EPDM 316L</t>
  </si>
  <si>
    <t>9612047401</t>
  </si>
  <si>
    <t>HANDLE 1.1 FOR LKB POS.A REGULATING 90 25-63.5/DN25-50</t>
  </si>
  <si>
    <t>9611444531</t>
  </si>
  <si>
    <t>VALVE LKB 63,5/2½" ISO W/W EPDM 316L</t>
  </si>
  <si>
    <t>9612047402</t>
  </si>
  <si>
    <t>HANDLE 1.1 FOR LKB POS.A REGULATING 90 76.1/DN65-80</t>
  </si>
  <si>
    <t>9611444541</t>
  </si>
  <si>
    <t>VALVE LKB 76/3" ISO W/W. EPDM 316L</t>
  </si>
  <si>
    <t>9611444501</t>
  </si>
  <si>
    <t>Back pressure</t>
  </si>
  <si>
    <t>2026</t>
  </si>
  <si>
    <t>Updated 16 Jan 2026</t>
  </si>
  <si>
    <t>11 kW US</t>
  </si>
  <si>
    <t>15 kW US</t>
  </si>
  <si>
    <t>18.5 kW US</t>
  </si>
  <si>
    <t>22 kW US</t>
  </si>
  <si>
    <t>Polish / Tax</t>
  </si>
  <si>
    <t>USD 38.5, as project work outside office</t>
  </si>
  <si>
    <t>PT-242/26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</si>
</sst>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_-;\-* #,##0_-;_-* &quot;-&quot;??_-;_-@_-"/>
    <numFmt numFmtId="166" formatCode="0.0%"/>
    <numFmt numFmtId="167" formatCode="_-* #,##0.0_-;\-* #,##0.0_-;_-* &quot;-&quot;??_-;_-@_-"/>
    <numFmt numFmtId="168" formatCode="_-* #,##0.000_-;\-* #,##0.000_-;_-* &quot;-&quot;??_-;_-@_-"/>
    <numFmt numFmtId="169" formatCode="_-* #,##0.0000_-;\-* #,##0.0000_-;_-* &quot;-&quot;??_-;_-@_-"/>
    <numFmt numFmtId="170" formatCode="_(* #,##0_);_(* \(#,##0\);_(* &quot;-&quot;??_);_(@_)"/>
    <numFmt numFmtId="171" formatCode="_(* #,##0.0_);_(* \(#,##0.0\);_(* &quot;-&quot;?_);_(@_)"/>
  </numFmts>
  <fonts count="37"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sz val="8"/>
      <name val="Calibri"/>
      <family val="2"/>
      <scheme val="minor"/>
    </font>
    <font>
      <sz val="11"/>
      <color rgb="FF0070C0"/>
      <name val="Calibri"/>
      <family val="2"/>
      <scheme val="minor"/>
    </font>
    <font>
      <sz val="11"/>
      <color rgb="FFFF0000"/>
      <name val="Calibri (Body)"/>
    </font>
    <font>
      <sz val="11"/>
      <color rgb="FF000000"/>
      <name val="Calibri"/>
      <family val="2"/>
      <scheme val="minor"/>
    </font>
    <font>
      <sz val="10"/>
      <color theme="1"/>
      <name val="Calibri"/>
      <family val="2"/>
    </font>
    <font>
      <b/>
      <sz val="10"/>
      <color theme="1"/>
      <name val="Calibri"/>
      <family val="2"/>
    </font>
    <font>
      <sz val="10.5"/>
      <name val="Calibri"/>
      <family val="2"/>
      <scheme val="minor"/>
    </font>
    <font>
      <sz val="10"/>
      <color theme="1"/>
      <name val="Calibri"/>
      <family val="2"/>
      <scheme val="minor"/>
    </font>
    <font>
      <b/>
      <sz val="9"/>
      <name val="Arial"/>
      <family val="2"/>
    </font>
    <font>
      <sz val="9"/>
      <name val="Arial"/>
      <family val="2"/>
    </font>
    <font>
      <sz val="9"/>
      <color theme="1"/>
      <name val="Arial"/>
      <family val="2"/>
    </font>
    <font>
      <b/>
      <sz val="9"/>
      <color theme="1"/>
      <name val="Arial"/>
      <family val="2"/>
    </font>
    <font>
      <sz val="10"/>
      <name val="Arial"/>
      <family val="2"/>
    </font>
    <font>
      <sz val="12"/>
      <color theme="1"/>
      <name val="Arial"/>
      <family val="2"/>
    </font>
    <font>
      <sz val="12"/>
      <name val="Arial"/>
      <family val="2"/>
    </font>
    <font>
      <sz val="12"/>
      <color rgb="FF000000"/>
      <name val="Arial"/>
      <family val="2"/>
    </font>
    <font>
      <sz val="10"/>
      <color rgb="FFFF0000"/>
      <name val="Arial"/>
      <family val="2"/>
    </font>
    <font>
      <sz val="10"/>
      <color theme="8"/>
      <name val="Arial"/>
      <family val="2"/>
    </font>
    <font>
      <b/>
      <sz val="10"/>
      <color rgb="FF0070C0"/>
      <name val="Arial"/>
      <family val="2"/>
    </font>
    <font>
      <sz val="10"/>
      <color theme="4"/>
      <name val="Arial"/>
      <family val="2"/>
    </font>
    <font>
      <sz val="10"/>
      <color theme="1"/>
      <name val="Arial"/>
      <family val="2"/>
    </font>
    <font>
      <b/>
      <sz val="10"/>
      <color rgb="FFFF0000"/>
      <name val="Arial"/>
      <family val="2"/>
    </font>
    <font>
      <sz val="10"/>
      <color rgb="FF000000"/>
      <name val="Arial"/>
      <family val="2"/>
    </font>
    <font>
      <sz val="10"/>
      <color theme="0"/>
      <name val="Arial"/>
      <family val="2"/>
    </font>
    <font>
      <sz val="10"/>
      <color rgb="FF00B0F0"/>
      <name val="Arial"/>
      <family val="2"/>
    </font>
    <font>
      <b/>
      <sz val="10"/>
      <color theme="8"/>
      <name val="Arial"/>
      <family val="2"/>
    </font>
    <font>
      <sz val="10"/>
      <color rgb="FF0070C0"/>
      <name val="Arial"/>
      <family val="2"/>
    </font>
    <font>
      <sz val="10"/>
      <color theme="9"/>
      <name val="Arial"/>
      <family val="2"/>
    </font>
    <font>
      <b/>
      <sz val="10"/>
      <name val="Arial"/>
      <family val="2"/>
    </font>
    <font>
      <b/>
      <sz val="10"/>
      <color theme="0"/>
      <name val="Arial"/>
      <family val="2"/>
    </font>
    <font>
      <sz val="11"/>
      <name val="Arial"/>
      <family val="2"/>
    </font>
    <font>
      <sz val="12"/>
      <color rgb="FFFF0000"/>
      <name val="Arial"/>
      <family val="2"/>
    </font>
    <font>
      <i/>
      <sz val="12"/>
      <color theme="1"/>
      <name val="Arial"/>
      <family val="2"/>
    </font>
  </fonts>
  <fills count="1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7"/>
        <bgColor indexed="64"/>
      </patternFill>
    </fill>
    <fill>
      <patternFill patternType="solid">
        <fgColor rgb="FFFF00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FF"/>
        <bgColor rgb="FFFFFFCC"/>
      </patternFill>
    </fill>
    <fill>
      <patternFill patternType="solid">
        <fgColor them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5" tint="0.39997558519241921"/>
        <bgColor indexed="64"/>
      </patternFill>
    </fill>
  </fills>
  <borders count="16">
    <border>
      <left/>
      <right/>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rgb="FF95B3D7"/>
      </top>
      <bottom style="medium">
        <color rgb="FF95B3D7"/>
      </bottom>
      <diagonal/>
    </border>
    <border>
      <left/>
      <right/>
      <top/>
      <bottom style="medium">
        <color rgb="FF95B3D7"/>
      </bottom>
      <diagonal/>
    </border>
    <border>
      <left/>
      <right/>
      <top style="medium">
        <color rgb="FF95B3D7"/>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16" fillId="0" borderId="0"/>
  </cellStyleXfs>
  <cellXfs count="351">
    <xf numFmtId="0" fontId="0" fillId="0" borderId="0" xfId="0"/>
    <xf numFmtId="165" fontId="3" fillId="0" borderId="0" xfId="1" applyNumberFormat="1" applyFont="1" applyFill="1"/>
    <xf numFmtId="0" fontId="3" fillId="0" borderId="0" xfId="0" applyFont="1"/>
    <xf numFmtId="165" fontId="0" fillId="0" borderId="0" xfId="1" applyNumberFormat="1" applyFont="1"/>
    <xf numFmtId="1" fontId="0" fillId="0" borderId="0" xfId="0" applyNumberFormat="1"/>
    <xf numFmtId="0" fontId="2" fillId="0" borderId="0" xfId="0" applyFont="1"/>
    <xf numFmtId="0" fontId="0" fillId="3" borderId="0" xfId="0" applyFill="1"/>
    <xf numFmtId="0" fontId="3" fillId="0" borderId="0" xfId="0" applyFont="1" applyAlignment="1">
      <alignment horizontal="left" vertical="top"/>
    </xf>
    <xf numFmtId="0" fontId="3" fillId="0" borderId="0" xfId="0" applyFont="1" applyAlignment="1">
      <alignment wrapText="1"/>
    </xf>
    <xf numFmtId="0" fontId="3" fillId="0" borderId="0" xfId="0" applyFont="1" applyAlignment="1">
      <alignment horizontal="center" vertical="center"/>
    </xf>
    <xf numFmtId="0" fontId="3" fillId="0" borderId="3" xfId="0" applyFont="1" applyBorder="1" applyAlignment="1">
      <alignment horizontal="left" vertical="top"/>
    </xf>
    <xf numFmtId="0" fontId="3" fillId="0" borderId="3" xfId="0" applyFont="1" applyBorder="1" applyAlignment="1">
      <alignment wrapText="1"/>
    </xf>
    <xf numFmtId="0" fontId="3" fillId="0" borderId="3" xfId="0" applyFont="1" applyBorder="1"/>
    <xf numFmtId="0" fontId="3" fillId="0" borderId="3" xfId="0" applyFont="1" applyBorder="1" applyAlignment="1">
      <alignment horizontal="center" vertical="center"/>
    </xf>
    <xf numFmtId="0" fontId="2" fillId="2" borderId="3" xfId="0" applyFont="1" applyFill="1" applyBorder="1" applyAlignment="1">
      <alignment horizontal="left" vertical="top"/>
    </xf>
    <xf numFmtId="0" fontId="2" fillId="0" borderId="3" xfId="0" applyFont="1" applyBorder="1" applyAlignment="1">
      <alignment horizontal="left" vertical="top"/>
    </xf>
    <xf numFmtId="0" fontId="5" fillId="0" borderId="3" xfId="0" applyFont="1" applyBorder="1" applyAlignment="1">
      <alignment horizontal="left" vertical="top"/>
    </xf>
    <xf numFmtId="0" fontId="5" fillId="0" borderId="3" xfId="0" applyFont="1" applyBorder="1" applyAlignment="1">
      <alignment wrapText="1"/>
    </xf>
    <xf numFmtId="0" fontId="5" fillId="0" borderId="3" xfId="0" applyFont="1" applyBorder="1"/>
    <xf numFmtId="0" fontId="5" fillId="0" borderId="3" xfId="0" applyFont="1" applyBorder="1" applyAlignment="1">
      <alignment horizontal="center" vertical="center"/>
    </xf>
    <xf numFmtId="165" fontId="5" fillId="0" borderId="3" xfId="1" applyNumberFormat="1" applyFont="1" applyFill="1" applyBorder="1"/>
    <xf numFmtId="166" fontId="0" fillId="0" borderId="0" xfId="2" applyNumberFormat="1" applyFont="1"/>
    <xf numFmtId="0" fontId="0" fillId="0" borderId="0" xfId="0" applyAlignment="1">
      <alignment horizontal="left" vertical="top"/>
    </xf>
    <xf numFmtId="165" fontId="0" fillId="0" borderId="0" xfId="0" applyNumberFormat="1"/>
    <xf numFmtId="166" fontId="0" fillId="7" borderId="0" xfId="2" applyNumberFormat="1" applyFont="1" applyFill="1"/>
    <xf numFmtId="166" fontId="3" fillId="7" borderId="0" xfId="2" applyNumberFormat="1" applyFont="1" applyFill="1"/>
    <xf numFmtId="165" fontId="3" fillId="0" borderId="0" xfId="1" applyNumberFormat="1" applyFont="1" applyAlignment="1">
      <alignment horizontal="left" vertical="top"/>
    </xf>
    <xf numFmtId="9" fontId="0" fillId="0" borderId="0" xfId="0" applyNumberFormat="1"/>
    <xf numFmtId="166" fontId="0" fillId="0" borderId="0" xfId="0" applyNumberFormat="1"/>
    <xf numFmtId="0" fontId="0" fillId="7" borderId="0" xfId="0" applyFill="1"/>
    <xf numFmtId="0" fontId="0" fillId="0" borderId="0" xfId="0" applyAlignment="1">
      <alignment vertical="top"/>
    </xf>
    <xf numFmtId="0" fontId="0" fillId="7" borderId="0" xfId="0" quotePrefix="1" applyFill="1"/>
    <xf numFmtId="0" fontId="7" fillId="0" borderId="0" xfId="0" applyFont="1" applyAlignment="1">
      <alignment vertical="center"/>
    </xf>
    <xf numFmtId="9" fontId="0" fillId="0" borderId="0" xfId="2" applyFont="1"/>
    <xf numFmtId="9" fontId="0" fillId="7" borderId="0" xfId="2" applyFont="1" applyFill="1"/>
    <xf numFmtId="0" fontId="7" fillId="11" borderId="0" xfId="0" applyFont="1" applyFill="1" applyAlignment="1">
      <alignment vertical="center"/>
    </xf>
    <xf numFmtId="0" fontId="0" fillId="11" borderId="0" xfId="0" applyFill="1"/>
    <xf numFmtId="0" fontId="8" fillId="0" borderId="9" xfId="0" applyFont="1" applyBorder="1" applyAlignment="1">
      <alignment vertical="center" wrapText="1"/>
    </xf>
    <xf numFmtId="0" fontId="9" fillId="0" borderId="9" xfId="0" applyFont="1" applyBorder="1" applyAlignment="1">
      <alignment vertical="center" wrapText="1"/>
    </xf>
    <xf numFmtId="0" fontId="8" fillId="0" borderId="9" xfId="0" applyFont="1" applyBorder="1" applyAlignment="1">
      <alignment horizontal="center" vertical="center" wrapText="1"/>
    </xf>
    <xf numFmtId="0" fontId="8" fillId="0" borderId="10" xfId="0" applyFont="1" applyBorder="1" applyAlignment="1">
      <alignment vertical="center" wrapText="1"/>
    </xf>
    <xf numFmtId="0" fontId="8" fillId="0" borderId="10" xfId="0" applyFont="1" applyBorder="1" applyAlignment="1">
      <alignment horizontal="center" vertical="center" wrapText="1"/>
    </xf>
    <xf numFmtId="0" fontId="9" fillId="0" borderId="10" xfId="0" applyFont="1" applyBorder="1" applyAlignment="1">
      <alignment vertical="center" wrapText="1"/>
    </xf>
    <xf numFmtId="165" fontId="7" fillId="0" borderId="0" xfId="1" applyNumberFormat="1" applyFont="1" applyAlignment="1">
      <alignment vertical="center"/>
    </xf>
    <xf numFmtId="165" fontId="0" fillId="3" borderId="0" xfId="1" applyNumberFormat="1" applyFont="1" applyFill="1"/>
    <xf numFmtId="165" fontId="0" fillId="7" borderId="0" xfId="1" applyNumberFormat="1" applyFont="1" applyFill="1" applyAlignment="1">
      <alignment horizontal="center"/>
    </xf>
    <xf numFmtId="165" fontId="0" fillId="6" borderId="0" xfId="1" applyNumberFormat="1" applyFont="1" applyFill="1" applyAlignment="1">
      <alignment horizontal="center"/>
    </xf>
    <xf numFmtId="0" fontId="0" fillId="9" borderId="0" xfId="0" applyFill="1" applyAlignment="1">
      <alignment horizontal="center"/>
    </xf>
    <xf numFmtId="0" fontId="0" fillId="8" borderId="0" xfId="0" applyFill="1" applyAlignment="1">
      <alignment horizontal="center"/>
    </xf>
    <xf numFmtId="165" fontId="0" fillId="8" borderId="0" xfId="1" applyNumberFormat="1" applyFont="1" applyFill="1" applyAlignment="1">
      <alignment horizontal="center"/>
    </xf>
    <xf numFmtId="165" fontId="8" fillId="0" borderId="10" xfId="1" applyNumberFormat="1" applyFont="1" applyBorder="1" applyAlignment="1">
      <alignment horizontal="right" vertical="center" wrapText="1"/>
    </xf>
    <xf numFmtId="165" fontId="2" fillId="0" borderId="0" xfId="1" applyNumberFormat="1" applyFont="1"/>
    <xf numFmtId="165" fontId="8" fillId="0" borderId="0" xfId="1" applyNumberFormat="1" applyFont="1" applyBorder="1" applyAlignment="1">
      <alignment horizontal="right" vertical="center" wrapText="1"/>
    </xf>
    <xf numFmtId="0" fontId="10" fillId="0" borderId="0" xfId="0" applyFont="1" applyAlignment="1">
      <alignment horizontal="left" vertical="top"/>
    </xf>
    <xf numFmtId="0" fontId="2" fillId="2" borderId="0" xfId="0" applyFont="1" applyFill="1"/>
    <xf numFmtId="0" fontId="11" fillId="0" borderId="0" xfId="0" applyFont="1"/>
    <xf numFmtId="165" fontId="8" fillId="2" borderId="10" xfId="1" applyNumberFormat="1" applyFont="1" applyFill="1" applyBorder="1" applyAlignment="1">
      <alignment horizontal="right" vertical="center" wrapText="1"/>
    </xf>
    <xf numFmtId="2" fontId="0" fillId="0" borderId="0" xfId="0" applyNumberFormat="1"/>
    <xf numFmtId="165" fontId="0" fillId="2" borderId="0" xfId="1" applyNumberFormat="1" applyFont="1" applyFill="1"/>
    <xf numFmtId="170" fontId="0" fillId="0" borderId="0" xfId="0" applyNumberFormat="1"/>
    <xf numFmtId="0" fontId="0" fillId="7" borderId="0" xfId="0" applyFill="1" applyAlignment="1">
      <alignment horizontal="right"/>
    </xf>
    <xf numFmtId="0" fontId="0" fillId="3" borderId="0" xfId="0" applyFill="1" applyAlignment="1">
      <alignment horizontal="right"/>
    </xf>
    <xf numFmtId="0" fontId="0" fillId="0" borderId="0" xfId="0" applyAlignment="1">
      <alignment wrapText="1"/>
    </xf>
    <xf numFmtId="165" fontId="0" fillId="0" borderId="0" xfId="2" applyNumberFormat="1" applyFont="1"/>
    <xf numFmtId="9" fontId="2" fillId="7" borderId="0" xfId="2" applyFont="1" applyFill="1"/>
    <xf numFmtId="0" fontId="12" fillId="0" borderId="0" xfId="0" applyFont="1" applyAlignment="1">
      <alignment horizontal="left" vertical="top" wrapText="1"/>
    </xf>
    <xf numFmtId="49" fontId="13" fillId="13" borderId="0" xfId="0" applyNumberFormat="1" applyFont="1" applyFill="1" applyAlignment="1">
      <alignment horizontal="left" vertical="top" wrapText="1"/>
    </xf>
    <xf numFmtId="0" fontId="14" fillId="0" borderId="0" xfId="0" applyFont="1"/>
    <xf numFmtId="0" fontId="15" fillId="0" borderId="15" xfId="0" applyFont="1" applyBorder="1" applyAlignment="1">
      <alignment horizontal="center" vertical="top"/>
    </xf>
    <xf numFmtId="2" fontId="14" fillId="0" borderId="0" xfId="0" applyNumberFormat="1" applyFont="1"/>
    <xf numFmtId="0" fontId="14" fillId="0" borderId="0" xfId="0" applyFont="1" applyAlignment="1">
      <alignment wrapText="1"/>
    </xf>
    <xf numFmtId="49" fontId="14" fillId="0" borderId="0" xfId="0" applyNumberFormat="1" applyFont="1"/>
    <xf numFmtId="49" fontId="14" fillId="0" borderId="0" xfId="0" applyNumberFormat="1" applyFont="1" applyAlignment="1">
      <alignment horizontal="right"/>
    </xf>
    <xf numFmtId="49" fontId="15" fillId="0" borderId="15" xfId="0" applyNumberFormat="1" applyFont="1" applyBorder="1" applyAlignment="1">
      <alignment horizontal="center" vertical="top"/>
    </xf>
    <xf numFmtId="49" fontId="12" fillId="0" borderId="0" xfId="0" applyNumberFormat="1" applyFont="1" applyAlignment="1">
      <alignment horizontal="left" vertical="top" wrapText="1"/>
    </xf>
    <xf numFmtId="49" fontId="17" fillId="0" borderId="0" xfId="0" applyNumberFormat="1" applyFont="1" applyProtection="1">
      <protection locked="0"/>
    </xf>
    <xf numFmtId="0" fontId="17" fillId="0" borderId="0" xfId="0" applyFont="1" applyProtection="1">
      <protection locked="0"/>
    </xf>
    <xf numFmtId="49" fontId="18" fillId="0" borderId="0" xfId="3" applyNumberFormat="1" applyFont="1" applyAlignment="1">
      <alignment horizontal="left" vertical="top" wrapText="1"/>
    </xf>
    <xf numFmtId="2" fontId="17" fillId="0" borderId="0" xfId="0" applyNumberFormat="1" applyFont="1" applyAlignment="1" applyProtection="1">
      <alignment horizontal="right"/>
      <protection locked="0"/>
    </xf>
    <xf numFmtId="2" fontId="18" fillId="0" borderId="0" xfId="3" applyNumberFormat="1" applyFont="1" applyAlignment="1">
      <alignment horizontal="right" vertical="top" wrapText="1"/>
    </xf>
    <xf numFmtId="2" fontId="17" fillId="0" borderId="0" xfId="0" applyNumberFormat="1" applyFont="1" applyAlignment="1" applyProtection="1">
      <alignment horizontal="center"/>
      <protection locked="0"/>
    </xf>
    <xf numFmtId="49" fontId="17" fillId="0" borderId="0" xfId="0" applyNumberFormat="1" applyFont="1" applyAlignment="1" applyProtection="1">
      <alignment wrapText="1"/>
      <protection locked="0"/>
    </xf>
    <xf numFmtId="0" fontId="19" fillId="0" borderId="0" xfId="0" applyFont="1" applyProtection="1">
      <protection locked="0"/>
    </xf>
    <xf numFmtId="170" fontId="0" fillId="0" borderId="0" xfId="1" applyNumberFormat="1" applyFont="1"/>
    <xf numFmtId="165" fontId="0" fillId="0" borderId="0" xfId="1" applyNumberFormat="1" applyFont="1" applyAlignment="1">
      <alignment horizontal="center" vertical="center"/>
    </xf>
    <xf numFmtId="165" fontId="0" fillId="0" borderId="0" xfId="1" quotePrefix="1" applyNumberFormat="1" applyFont="1" applyAlignment="1">
      <alignment horizontal="center" vertical="center"/>
    </xf>
    <xf numFmtId="0" fontId="0" fillId="0" borderId="0" xfId="0" applyAlignment="1">
      <alignment horizontal="center" vertical="center"/>
    </xf>
    <xf numFmtId="165" fontId="0" fillId="0" borderId="0" xfId="1" applyNumberFormat="1" applyFont="1" applyAlignment="1"/>
    <xf numFmtId="49" fontId="16" fillId="0" borderId="0" xfId="1" applyNumberFormat="1" applyFont="1" applyFill="1" applyAlignment="1">
      <alignment horizontal="right" vertical="top"/>
    </xf>
    <xf numFmtId="165" fontId="16" fillId="0" borderId="0" xfId="1" applyNumberFormat="1" applyFont="1" applyFill="1" applyAlignment="1">
      <alignment horizontal="right" vertical="top"/>
    </xf>
    <xf numFmtId="49" fontId="16" fillId="0" borderId="0" xfId="1" quotePrefix="1" applyNumberFormat="1" applyFont="1" applyFill="1" applyAlignment="1">
      <alignment horizontal="right" vertical="top"/>
    </xf>
    <xf numFmtId="49" fontId="20" fillId="0" borderId="0" xfId="1" applyNumberFormat="1" applyFont="1" applyFill="1" applyAlignment="1">
      <alignment horizontal="right" vertical="top"/>
    </xf>
    <xf numFmtId="49" fontId="16" fillId="2" borderId="0" xfId="1" quotePrefix="1" applyNumberFormat="1" applyFont="1" applyFill="1" applyAlignment="1">
      <alignment horizontal="right" vertical="top"/>
    </xf>
    <xf numFmtId="165" fontId="21" fillId="0" borderId="0" xfId="1" applyNumberFormat="1" applyFont="1" applyFill="1" applyAlignment="1">
      <alignment vertical="top"/>
    </xf>
    <xf numFmtId="0" fontId="16" fillId="0" borderId="0" xfId="0" applyFont="1" applyAlignment="1">
      <alignment horizontal="left" vertical="top"/>
    </xf>
    <xf numFmtId="165" fontId="16" fillId="0" borderId="0" xfId="1" applyNumberFormat="1" applyFont="1"/>
    <xf numFmtId="0" fontId="16" fillId="0" borderId="0" xfId="0" applyFont="1"/>
    <xf numFmtId="0" fontId="16" fillId="0" borderId="0" xfId="0" applyFont="1" applyAlignment="1">
      <alignment vertical="top"/>
    </xf>
    <xf numFmtId="165" fontId="22" fillId="0" borderId="0" xfId="1" applyNumberFormat="1" applyFont="1" applyFill="1" applyAlignment="1">
      <alignment horizontal="left" vertical="top"/>
    </xf>
    <xf numFmtId="165" fontId="16" fillId="0" borderId="0" xfId="1" applyNumberFormat="1" applyFont="1" applyFill="1" applyAlignment="1">
      <alignment horizontal="left" vertical="top"/>
    </xf>
    <xf numFmtId="165" fontId="16" fillId="0" borderId="0" xfId="1" applyNumberFormat="1" applyFont="1" applyFill="1" applyAlignment="1">
      <alignment vertical="top"/>
    </xf>
    <xf numFmtId="165" fontId="16" fillId="0" borderId="0" xfId="1" applyNumberFormat="1" applyFont="1" applyFill="1"/>
    <xf numFmtId="165" fontId="16" fillId="3" borderId="0" xfId="1" applyNumberFormat="1" applyFont="1" applyFill="1" applyAlignment="1">
      <alignment horizontal="right"/>
    </xf>
    <xf numFmtId="165" fontId="16" fillId="0" borderId="0" xfId="1" applyNumberFormat="1" applyFont="1" applyFill="1" applyAlignment="1">
      <alignment horizontal="right"/>
    </xf>
    <xf numFmtId="165" fontId="16" fillId="3" borderId="0" xfId="1" applyNumberFormat="1" applyFont="1" applyFill="1"/>
    <xf numFmtId="165" fontId="22" fillId="0" borderId="0" xfId="1" applyNumberFormat="1" applyFont="1" applyFill="1" applyAlignment="1">
      <alignment vertical="top"/>
    </xf>
    <xf numFmtId="0" fontId="16" fillId="3" borderId="0" xfId="0" applyFont="1" applyFill="1"/>
    <xf numFmtId="165" fontId="16" fillId="0" borderId="0" xfId="1" applyNumberFormat="1" applyFont="1" applyFill="1" applyAlignment="1"/>
    <xf numFmtId="17" fontId="16" fillId="0" borderId="0" xfId="0" applyNumberFormat="1" applyFont="1"/>
    <xf numFmtId="165" fontId="20" fillId="3" borderId="0" xfId="1" applyNumberFormat="1" applyFont="1" applyFill="1"/>
    <xf numFmtId="17" fontId="16" fillId="0" borderId="0" xfId="0" applyNumberFormat="1" applyFont="1" applyAlignment="1">
      <alignment horizontal="right"/>
    </xf>
    <xf numFmtId="165" fontId="20" fillId="0" borderId="0" xfId="1" applyNumberFormat="1" applyFont="1" applyFill="1"/>
    <xf numFmtId="165" fontId="16" fillId="8" borderId="0" xfId="1" applyNumberFormat="1" applyFont="1" applyFill="1"/>
    <xf numFmtId="165" fontId="16" fillId="8" borderId="0" xfId="1" applyNumberFormat="1" applyFont="1" applyFill="1" applyAlignment="1">
      <alignment horizontal="right"/>
    </xf>
    <xf numFmtId="16" fontId="16" fillId="0" borderId="0" xfId="0" applyNumberFormat="1" applyFont="1"/>
    <xf numFmtId="43" fontId="16" fillId="0" borderId="0" xfId="0" applyNumberFormat="1" applyFont="1"/>
    <xf numFmtId="0" fontId="16" fillId="2" borderId="0" xfId="0" applyFont="1" applyFill="1"/>
    <xf numFmtId="165" fontId="23" fillId="3" borderId="0" xfId="1" applyNumberFormat="1" applyFont="1" applyFill="1" applyAlignment="1"/>
    <xf numFmtId="0" fontId="16" fillId="0" borderId="0" xfId="0" quotePrefix="1" applyFont="1"/>
    <xf numFmtId="165" fontId="23" fillId="3" borderId="0" xfId="1" applyNumberFormat="1" applyFont="1" applyFill="1" applyAlignment="1">
      <alignment wrapText="1"/>
    </xf>
    <xf numFmtId="165" fontId="23" fillId="3" borderId="0" xfId="1" applyNumberFormat="1" applyFont="1" applyFill="1" applyAlignment="1">
      <alignment horizontal="right"/>
    </xf>
    <xf numFmtId="0" fontId="16" fillId="2" borderId="0" xfId="0" applyFont="1" applyFill="1" applyAlignment="1">
      <alignment horizontal="left" vertical="top"/>
    </xf>
    <xf numFmtId="165" fontId="20" fillId="3" borderId="0" xfId="1" applyNumberFormat="1" applyFont="1" applyFill="1" applyAlignment="1">
      <alignment horizontal="right"/>
    </xf>
    <xf numFmtId="0" fontId="16" fillId="0" borderId="0" xfId="0" applyFont="1" applyAlignment="1">
      <alignment horizontal="left" vertical="top" wrapText="1"/>
    </xf>
    <xf numFmtId="0" fontId="24" fillId="0" borderId="0" xfId="0" applyFont="1"/>
    <xf numFmtId="165" fontId="20" fillId="2" borderId="0" xfId="1" applyNumberFormat="1" applyFont="1" applyFill="1"/>
    <xf numFmtId="0" fontId="20" fillId="0" borderId="0" xfId="0" applyFont="1" applyAlignment="1">
      <alignment horizontal="left" vertical="top"/>
    </xf>
    <xf numFmtId="0" fontId="20" fillId="2" borderId="0" xfId="0" applyFont="1" applyFill="1" applyAlignment="1">
      <alignment horizontal="left" vertical="top"/>
    </xf>
    <xf numFmtId="165" fontId="16" fillId="0" borderId="12" xfId="1" applyNumberFormat="1" applyFont="1" applyFill="1" applyBorder="1"/>
    <xf numFmtId="165" fontId="16" fillId="0" borderId="4" xfId="1" applyNumberFormat="1" applyFont="1" applyFill="1" applyBorder="1" applyAlignment="1">
      <alignment horizontal="right"/>
    </xf>
    <xf numFmtId="0" fontId="16" fillId="0" borderId="4" xfId="0" applyFont="1" applyBorder="1"/>
    <xf numFmtId="165" fontId="16" fillId="3" borderId="5" xfId="1" applyNumberFormat="1" applyFont="1" applyFill="1" applyBorder="1"/>
    <xf numFmtId="165" fontId="16" fillId="0" borderId="13" xfId="1" applyNumberFormat="1" applyFont="1" applyFill="1" applyBorder="1"/>
    <xf numFmtId="165" fontId="16" fillId="0" borderId="0" xfId="1" applyNumberFormat="1" applyFont="1" applyFill="1" applyBorder="1" applyAlignment="1">
      <alignment horizontal="right"/>
    </xf>
    <xf numFmtId="165" fontId="16" fillId="3" borderId="6" xfId="1" applyNumberFormat="1" applyFont="1" applyFill="1" applyBorder="1"/>
    <xf numFmtId="0" fontId="25" fillId="0" borderId="0" xfId="0" applyFont="1" applyAlignment="1">
      <alignment horizontal="left" vertical="top"/>
    </xf>
    <xf numFmtId="165" fontId="16" fillId="0" borderId="13" xfId="1" applyNumberFormat="1" applyFont="1" applyBorder="1"/>
    <xf numFmtId="165" fontId="16" fillId="0" borderId="0" xfId="1" applyNumberFormat="1" applyFont="1" applyFill="1" applyBorder="1"/>
    <xf numFmtId="165" fontId="16" fillId="0" borderId="14" xfId="1" applyNumberFormat="1" applyFont="1" applyFill="1" applyBorder="1"/>
    <xf numFmtId="165" fontId="16" fillId="0" borderId="7" xfId="1" applyNumberFormat="1" applyFont="1" applyFill="1" applyBorder="1"/>
    <xf numFmtId="0" fontId="16" fillId="0" borderId="7" xfId="0" applyFont="1" applyBorder="1"/>
    <xf numFmtId="165" fontId="16" fillId="0" borderId="7" xfId="1" applyNumberFormat="1" applyFont="1" applyFill="1" applyBorder="1" applyAlignment="1">
      <alignment horizontal="right"/>
    </xf>
    <xf numFmtId="165" fontId="16" fillId="3" borderId="8" xfId="1" applyNumberFormat="1" applyFont="1" applyFill="1" applyBorder="1"/>
    <xf numFmtId="165" fontId="16" fillId="3" borderId="0" xfId="1" applyNumberFormat="1" applyFont="1" applyFill="1" applyBorder="1" applyAlignment="1">
      <alignment horizontal="right"/>
    </xf>
    <xf numFmtId="165" fontId="16" fillId="0" borderId="0" xfId="0" applyNumberFormat="1" applyFont="1"/>
    <xf numFmtId="0" fontId="20" fillId="0" borderId="0" xfId="0" applyFont="1"/>
    <xf numFmtId="0" fontId="20" fillId="2" borderId="0" xfId="0" applyFont="1" applyFill="1"/>
    <xf numFmtId="166" fontId="16" fillId="0" borderId="0" xfId="2" applyNumberFormat="1" applyFont="1" applyFill="1" applyAlignment="1">
      <alignment horizontal="right"/>
    </xf>
    <xf numFmtId="168" fontId="16" fillId="3" borderId="0" xfId="1" applyNumberFormat="1" applyFont="1" applyFill="1"/>
    <xf numFmtId="10" fontId="16" fillId="0" borderId="0" xfId="0" applyNumberFormat="1" applyFont="1"/>
    <xf numFmtId="165" fontId="16" fillId="0" borderId="12" xfId="1" applyNumberFormat="1" applyFont="1" applyBorder="1"/>
    <xf numFmtId="165" fontId="16" fillId="0" borderId="6" xfId="1" applyNumberFormat="1" applyFont="1" applyBorder="1"/>
    <xf numFmtId="165" fontId="20" fillId="0" borderId="14" xfId="1" applyNumberFormat="1" applyFont="1" applyBorder="1"/>
    <xf numFmtId="165" fontId="20" fillId="0" borderId="7" xfId="1" applyNumberFormat="1" applyFont="1" applyBorder="1"/>
    <xf numFmtId="165" fontId="16" fillId="0" borderId="8" xfId="1" applyNumberFormat="1" applyFont="1" applyBorder="1"/>
    <xf numFmtId="165" fontId="16" fillId="0" borderId="4" xfId="0" applyNumberFormat="1" applyFont="1" applyBorder="1"/>
    <xf numFmtId="165" fontId="16" fillId="0" borderId="14" xfId="1" applyNumberFormat="1" applyFont="1" applyBorder="1"/>
    <xf numFmtId="165" fontId="16" fillId="0" borderId="7" xfId="0" applyNumberFormat="1" applyFont="1" applyBorder="1"/>
    <xf numFmtId="165" fontId="23" fillId="0" borderId="0" xfId="1" applyNumberFormat="1" applyFont="1" applyFill="1" applyAlignment="1">
      <alignment horizontal="left" vertical="top"/>
    </xf>
    <xf numFmtId="0" fontId="16" fillId="0" borderId="12" xfId="0" applyFont="1" applyBorder="1" applyAlignment="1">
      <alignment horizontal="left" vertical="top"/>
    </xf>
    <xf numFmtId="165" fontId="16" fillId="0" borderId="4" xfId="1" applyNumberFormat="1" applyFont="1" applyBorder="1"/>
    <xf numFmtId="0" fontId="16" fillId="0" borderId="13" xfId="0" quotePrefix="1" applyFont="1" applyBorder="1" applyAlignment="1">
      <alignment horizontal="left" vertical="top"/>
    </xf>
    <xf numFmtId="165" fontId="16" fillId="0" borderId="0" xfId="1" applyNumberFormat="1" applyFont="1" applyBorder="1"/>
    <xf numFmtId="0" fontId="16" fillId="0" borderId="14" xfId="0" quotePrefix="1" applyFont="1" applyBorder="1" applyAlignment="1">
      <alignment horizontal="left" vertical="top"/>
    </xf>
    <xf numFmtId="165" fontId="16" fillId="0" borderId="7" xfId="1" applyNumberFormat="1" applyFont="1" applyBorder="1"/>
    <xf numFmtId="0" fontId="16" fillId="0" borderId="0" xfId="0" quotePrefix="1" applyFont="1" applyAlignment="1">
      <alignment horizontal="left" vertical="top"/>
    </xf>
    <xf numFmtId="0" fontId="23" fillId="0" borderId="0" xfId="0" applyFont="1" applyAlignment="1">
      <alignment vertical="center"/>
    </xf>
    <xf numFmtId="165" fontId="24" fillId="0" borderId="0" xfId="1" applyNumberFormat="1" applyFont="1"/>
    <xf numFmtId="0" fontId="26" fillId="0" borderId="0" xfId="0" applyFont="1" applyAlignment="1">
      <alignment vertical="center"/>
    </xf>
    <xf numFmtId="165" fontId="24" fillId="3" borderId="0" xfId="1" applyNumberFormat="1" applyFont="1" applyFill="1"/>
    <xf numFmtId="17" fontId="16" fillId="0" borderId="0" xfId="0" applyNumberFormat="1" applyFont="1" applyAlignment="1">
      <alignment horizontal="left"/>
    </xf>
    <xf numFmtId="165" fontId="24" fillId="3" borderId="5" xfId="1" applyNumberFormat="1" applyFont="1" applyFill="1" applyBorder="1"/>
    <xf numFmtId="165" fontId="24" fillId="0" borderId="6" xfId="1" applyNumberFormat="1" applyFont="1" applyBorder="1"/>
    <xf numFmtId="165" fontId="24" fillId="0" borderId="8" xfId="1" applyNumberFormat="1" applyFont="1" applyBorder="1"/>
    <xf numFmtId="0" fontId="14" fillId="15" borderId="0" xfId="0" applyFont="1" applyFill="1"/>
    <xf numFmtId="165" fontId="21" fillId="0" borderId="0" xfId="1" applyNumberFormat="1" applyFont="1" applyFill="1"/>
    <xf numFmtId="165" fontId="16" fillId="0" borderId="0" xfId="1" applyNumberFormat="1" applyFont="1" applyFill="1" applyAlignment="1">
      <alignment horizontal="center"/>
    </xf>
    <xf numFmtId="165" fontId="16" fillId="0" borderId="0" xfId="1" applyNumberFormat="1" applyFont="1" applyFill="1" applyAlignment="1">
      <alignment wrapText="1"/>
    </xf>
    <xf numFmtId="165" fontId="20" fillId="0" borderId="0" xfId="1" applyNumberFormat="1" applyFont="1" applyFill="1" applyAlignment="1">
      <alignment horizontal="center" vertical="center"/>
    </xf>
    <xf numFmtId="165" fontId="20" fillId="0" borderId="0" xfId="1" applyNumberFormat="1" applyFont="1" applyFill="1" applyAlignment="1">
      <alignment horizontal="left" vertical="top"/>
    </xf>
    <xf numFmtId="165" fontId="27" fillId="5" borderId="0" xfId="1" applyNumberFormat="1" applyFont="1" applyFill="1" applyAlignment="1">
      <alignment horizontal="center"/>
    </xf>
    <xf numFmtId="165" fontId="24" fillId="0" borderId="0" xfId="1" applyNumberFormat="1" applyFont="1" applyFill="1" applyAlignment="1">
      <alignment horizontal="center"/>
    </xf>
    <xf numFmtId="165" fontId="20" fillId="0" borderId="0" xfId="1" applyNumberFormat="1" applyFont="1" applyFill="1" applyAlignment="1">
      <alignment horizontal="center"/>
    </xf>
    <xf numFmtId="165" fontId="21" fillId="0" borderId="0" xfId="1" applyNumberFormat="1" applyFont="1" applyFill="1" applyAlignment="1">
      <alignment horizontal="left" vertical="top"/>
    </xf>
    <xf numFmtId="165" fontId="16" fillId="2" borderId="0" xfId="1" applyNumberFormat="1" applyFont="1" applyFill="1" applyAlignment="1">
      <alignment horizontal="left" vertical="top"/>
    </xf>
    <xf numFmtId="0" fontId="24" fillId="0" borderId="0" xfId="0" applyFont="1" applyAlignment="1">
      <alignment horizontal="left" vertical="top"/>
    </xf>
    <xf numFmtId="165" fontId="20" fillId="0" borderId="0" xfId="1" applyNumberFormat="1" applyFont="1" applyFill="1" applyAlignment="1">
      <alignment horizontal="right"/>
    </xf>
    <xf numFmtId="0" fontId="24" fillId="9" borderId="0" xfId="0" applyFont="1" applyFill="1" applyAlignment="1">
      <alignment horizontal="left" vertical="top"/>
    </xf>
    <xf numFmtId="165" fontId="21" fillId="0" borderId="0" xfId="1" applyNumberFormat="1" applyFont="1" applyFill="1" applyAlignment="1">
      <alignment horizontal="center"/>
    </xf>
    <xf numFmtId="165" fontId="20" fillId="0" borderId="0" xfId="1" applyNumberFormat="1" applyFont="1" applyFill="1" applyAlignment="1"/>
    <xf numFmtId="165" fontId="16" fillId="0" borderId="2" xfId="1" applyNumberFormat="1" applyFont="1" applyFill="1" applyBorder="1" applyAlignment="1">
      <alignment horizontal="center"/>
    </xf>
    <xf numFmtId="165" fontId="20" fillId="0" borderId="0" xfId="1" applyNumberFormat="1" applyFont="1" applyFill="1" applyBorder="1" applyAlignment="1">
      <alignment horizontal="center"/>
    </xf>
    <xf numFmtId="165" fontId="28" fillId="0" borderId="0" xfId="1" applyNumberFormat="1" applyFont="1" applyFill="1"/>
    <xf numFmtId="165" fontId="16" fillId="0" borderId="0" xfId="1" applyNumberFormat="1" applyFont="1" applyFill="1" applyBorder="1" applyAlignment="1">
      <alignment horizontal="center"/>
    </xf>
    <xf numFmtId="165" fontId="20" fillId="8" borderId="2" xfId="1" applyNumberFormat="1" applyFont="1" applyFill="1" applyBorder="1" applyAlignment="1">
      <alignment horizontal="center"/>
    </xf>
    <xf numFmtId="0" fontId="21" fillId="0" borderId="0" xfId="0" applyFont="1" applyAlignment="1">
      <alignment horizontal="left" vertical="top"/>
    </xf>
    <xf numFmtId="165" fontId="16" fillId="7" borderId="0" xfId="1" applyNumberFormat="1" applyFont="1" applyFill="1"/>
    <xf numFmtId="165" fontId="24" fillId="0" borderId="0" xfId="1" applyNumberFormat="1" applyFont="1" applyFill="1" applyAlignment="1">
      <alignment horizontal="right"/>
    </xf>
    <xf numFmtId="0" fontId="24" fillId="0" borderId="0" xfId="0" applyFont="1" applyAlignment="1">
      <alignment horizontal="left" vertical="top" wrapText="1"/>
    </xf>
    <xf numFmtId="165" fontId="16" fillId="7" borderId="0" xfId="1" applyNumberFormat="1" applyFont="1" applyFill="1" applyAlignment="1">
      <alignment horizontal="right"/>
    </xf>
    <xf numFmtId="165" fontId="24" fillId="0" borderId="0" xfId="1" applyNumberFormat="1" applyFont="1" applyAlignment="1">
      <alignment horizontal="right"/>
    </xf>
    <xf numFmtId="165" fontId="16" fillId="0" borderId="0" xfId="0" applyNumberFormat="1" applyFont="1" applyAlignment="1">
      <alignment horizontal="right"/>
    </xf>
    <xf numFmtId="165" fontId="16" fillId="6" borderId="0" xfId="1" applyNumberFormat="1" applyFont="1" applyFill="1"/>
    <xf numFmtId="165" fontId="16" fillId="6" borderId="0" xfId="1" applyNumberFormat="1" applyFont="1" applyFill="1" applyAlignment="1">
      <alignment horizontal="right"/>
    </xf>
    <xf numFmtId="165" fontId="16" fillId="7" borderId="0" xfId="1" applyNumberFormat="1" applyFont="1" applyFill="1" applyBorder="1" applyAlignment="1">
      <alignment horizontal="right"/>
    </xf>
    <xf numFmtId="165" fontId="16" fillId="6" borderId="0" xfId="1" applyNumberFormat="1" applyFont="1" applyFill="1" applyAlignment="1"/>
    <xf numFmtId="165" fontId="21" fillId="0" borderId="0" xfId="1" applyNumberFormat="1" applyFont="1" applyFill="1" applyAlignment="1">
      <alignment wrapText="1"/>
    </xf>
    <xf numFmtId="165" fontId="16" fillId="0" borderId="0" xfId="1" applyNumberFormat="1" applyFont="1" applyFill="1" applyAlignment="1">
      <alignment horizontal="left" vertical="top" wrapText="1"/>
    </xf>
    <xf numFmtId="167" fontId="16" fillId="7" borderId="0" xfId="1" applyNumberFormat="1" applyFont="1" applyFill="1"/>
    <xf numFmtId="165" fontId="20" fillId="0" borderId="0" xfId="1" applyNumberFormat="1" applyFont="1" applyFill="1" applyBorder="1"/>
    <xf numFmtId="9" fontId="16" fillId="0" borderId="0" xfId="2" applyFont="1" applyFill="1" applyAlignment="1">
      <alignment horizontal="right"/>
    </xf>
    <xf numFmtId="9" fontId="16" fillId="0" borderId="0" xfId="2" applyFont="1" applyFill="1"/>
    <xf numFmtId="0" fontId="29" fillId="0" borderId="0" xfId="0" applyFont="1"/>
    <xf numFmtId="3" fontId="24" fillId="0" borderId="0" xfId="0" applyNumberFormat="1" applyFont="1"/>
    <xf numFmtId="165" fontId="16" fillId="0" borderId="1" xfId="1" applyNumberFormat="1" applyFont="1" applyFill="1" applyBorder="1" applyAlignment="1">
      <alignment horizontal="right"/>
    </xf>
    <xf numFmtId="165" fontId="20" fillId="0" borderId="1" xfId="1" applyNumberFormat="1" applyFont="1" applyFill="1" applyBorder="1" applyAlignment="1">
      <alignment horizontal="right"/>
    </xf>
    <xf numFmtId="165" fontId="30" fillId="0" borderId="0" xfId="1" applyNumberFormat="1" applyFont="1" applyFill="1" applyAlignment="1">
      <alignment horizontal="left" vertical="top"/>
    </xf>
    <xf numFmtId="165" fontId="29" fillId="0" borderId="0" xfId="1" applyNumberFormat="1" applyFont="1" applyFill="1"/>
    <xf numFmtId="165" fontId="16" fillId="7" borderId="0" xfId="1" applyNumberFormat="1" applyFont="1" applyFill="1" applyBorder="1"/>
    <xf numFmtId="0" fontId="26" fillId="0" borderId="0" xfId="0" applyFont="1" applyAlignment="1">
      <alignment horizontal="left" vertical="top"/>
    </xf>
    <xf numFmtId="165" fontId="16" fillId="0" borderId="0" xfId="2" applyNumberFormat="1" applyFont="1" applyFill="1" applyAlignment="1">
      <alignment horizontal="right"/>
    </xf>
    <xf numFmtId="165" fontId="31" fillId="0" borderId="0" xfId="1" applyNumberFormat="1" applyFont="1" applyFill="1" applyAlignment="1">
      <alignment horizontal="right"/>
    </xf>
    <xf numFmtId="165" fontId="29" fillId="0" borderId="0" xfId="1" applyNumberFormat="1" applyFont="1" applyFill="1" applyAlignment="1">
      <alignment horizontal="left" vertical="top"/>
    </xf>
    <xf numFmtId="165" fontId="16" fillId="0" borderId="0" xfId="1" applyNumberFormat="1" applyFont="1" applyFill="1" applyBorder="1" applyAlignment="1"/>
    <xf numFmtId="9" fontId="16" fillId="0" borderId="0" xfId="2" applyFont="1" applyFill="1" applyAlignment="1"/>
    <xf numFmtId="165" fontId="32" fillId="0" borderId="0" xfId="1" applyNumberFormat="1" applyFont="1" applyFill="1" applyAlignment="1">
      <alignment horizontal="left" vertical="top"/>
    </xf>
    <xf numFmtId="165" fontId="32" fillId="0" borderId="0" xfId="1" applyNumberFormat="1" applyFont="1" applyFill="1" applyAlignment="1">
      <alignment horizontal="right"/>
    </xf>
    <xf numFmtId="165" fontId="32" fillId="0" borderId="1" xfId="1" applyNumberFormat="1" applyFont="1" applyFill="1" applyBorder="1" applyAlignment="1">
      <alignment horizontal="right"/>
    </xf>
    <xf numFmtId="165" fontId="32" fillId="0" borderId="0" xfId="1" applyNumberFormat="1" applyFont="1" applyFill="1" applyBorder="1" applyAlignment="1">
      <alignment horizontal="right"/>
    </xf>
    <xf numFmtId="165" fontId="25" fillId="0" borderId="1" xfId="1" applyNumberFormat="1" applyFont="1" applyFill="1" applyBorder="1" applyAlignment="1">
      <alignment horizontal="right"/>
    </xf>
    <xf numFmtId="165" fontId="32" fillId="0" borderId="0" xfId="1" applyNumberFormat="1" applyFont="1" applyFill="1"/>
    <xf numFmtId="165" fontId="21" fillId="14" borderId="0" xfId="1" applyNumberFormat="1" applyFont="1" applyFill="1"/>
    <xf numFmtId="165" fontId="16" fillId="14" borderId="0" xfId="1" applyNumberFormat="1" applyFont="1" applyFill="1" applyAlignment="1">
      <alignment horizontal="left" vertical="top"/>
    </xf>
    <xf numFmtId="165" fontId="16" fillId="14" borderId="0" xfId="1" applyNumberFormat="1" applyFont="1" applyFill="1" applyAlignment="1">
      <alignment horizontal="right"/>
    </xf>
    <xf numFmtId="165" fontId="16" fillId="14" borderId="0" xfId="2" applyNumberFormat="1" applyFont="1" applyFill="1" applyAlignment="1">
      <alignment horizontal="right"/>
    </xf>
    <xf numFmtId="9" fontId="16" fillId="14" borderId="0" xfId="2" applyFont="1" applyFill="1" applyAlignment="1">
      <alignment horizontal="right"/>
    </xf>
    <xf numFmtId="165" fontId="20" fillId="14" borderId="0" xfId="1" applyNumberFormat="1" applyFont="1" applyFill="1" applyAlignment="1">
      <alignment horizontal="right"/>
    </xf>
    <xf numFmtId="165" fontId="16" fillId="14" borderId="0" xfId="1" applyNumberFormat="1" applyFont="1" applyFill="1"/>
    <xf numFmtId="0" fontId="16" fillId="0" borderId="0" xfId="2" applyNumberFormat="1" applyFont="1" applyFill="1"/>
    <xf numFmtId="165" fontId="16" fillId="12" borderId="0" xfId="1" applyNumberFormat="1" applyFont="1" applyFill="1"/>
    <xf numFmtId="165" fontId="16" fillId="5" borderId="0" xfId="1" applyNumberFormat="1" applyFont="1" applyFill="1"/>
    <xf numFmtId="164" fontId="16" fillId="0" borderId="0" xfId="1" applyFont="1" applyFill="1" applyAlignment="1">
      <alignment horizontal="left" vertical="top"/>
    </xf>
    <xf numFmtId="166" fontId="20" fillId="0" borderId="0" xfId="2" applyNumberFormat="1" applyFont="1" applyFill="1" applyAlignment="1">
      <alignment horizontal="right"/>
    </xf>
    <xf numFmtId="43" fontId="24" fillId="0" borderId="0" xfId="0" applyNumberFormat="1" applyFont="1"/>
    <xf numFmtId="165" fontId="24" fillId="0" borderId="0" xfId="0" applyNumberFormat="1" applyFont="1"/>
    <xf numFmtId="166" fontId="16" fillId="0" borderId="0" xfId="2" applyNumberFormat="1" applyFont="1" applyFill="1"/>
    <xf numFmtId="0" fontId="24" fillId="0" borderId="0" xfId="0" applyFont="1" applyAlignment="1">
      <alignment horizontal="left"/>
    </xf>
    <xf numFmtId="0" fontId="24" fillId="0" borderId="0" xfId="2" applyNumberFormat="1" applyFont="1"/>
    <xf numFmtId="169" fontId="24" fillId="0" borderId="0" xfId="0" applyNumberFormat="1" applyFont="1"/>
    <xf numFmtId="0" fontId="16" fillId="0" borderId="0" xfId="2" applyNumberFormat="1" applyFont="1" applyFill="1" applyAlignment="1">
      <alignment horizontal="right"/>
    </xf>
    <xf numFmtId="168" fontId="24" fillId="0" borderId="0" xfId="0" applyNumberFormat="1" applyFont="1"/>
    <xf numFmtId="9" fontId="16" fillId="0" borderId="0" xfId="2" applyFont="1" applyFill="1" applyAlignment="1">
      <alignment horizontal="left"/>
    </xf>
    <xf numFmtId="0" fontId="16" fillId="0" borderId="0" xfId="1" applyNumberFormat="1" applyFont="1" applyFill="1"/>
    <xf numFmtId="0" fontId="16" fillId="0" borderId="0" xfId="1" applyNumberFormat="1" applyFont="1" applyFill="1" applyAlignment="1"/>
    <xf numFmtId="9" fontId="20" fillId="0" borderId="0" xfId="2" applyFont="1" applyFill="1" applyAlignment="1">
      <alignment horizontal="right"/>
    </xf>
    <xf numFmtId="167" fontId="16" fillId="0" borderId="0" xfId="1" applyNumberFormat="1" applyFont="1" applyFill="1"/>
    <xf numFmtId="0" fontId="16" fillId="0" borderId="0" xfId="1" applyNumberFormat="1" applyFont="1" applyFill="1" applyAlignment="1">
      <alignment horizontal="center"/>
    </xf>
    <xf numFmtId="9" fontId="27" fillId="10" borderId="0" xfId="2" applyFont="1" applyFill="1" applyAlignment="1">
      <alignment horizontal="center"/>
    </xf>
    <xf numFmtId="165" fontId="16" fillId="4" borderId="0" xfId="1" applyNumberFormat="1" applyFont="1" applyFill="1"/>
    <xf numFmtId="165" fontId="16" fillId="4" borderId="0" xfId="1" applyNumberFormat="1" applyFont="1" applyFill="1" applyAlignment="1">
      <alignment horizontal="center"/>
    </xf>
    <xf numFmtId="165" fontId="16" fillId="0" borderId="0" xfId="1" applyNumberFormat="1" applyFont="1" applyAlignment="1">
      <alignment horizontal="left" vertical="top"/>
    </xf>
    <xf numFmtId="165" fontId="16" fillId="0" borderId="0" xfId="1" quotePrefix="1" applyNumberFormat="1" applyFont="1" applyFill="1" applyAlignment="1">
      <alignment wrapText="1"/>
    </xf>
    <xf numFmtId="164" fontId="16" fillId="0" borderId="0" xfId="1" applyFont="1" applyFill="1" applyAlignment="1">
      <alignment horizontal="right"/>
    </xf>
    <xf numFmtId="165" fontId="16" fillId="5" borderId="0" xfId="1" applyNumberFormat="1" applyFont="1" applyFill="1" applyAlignment="1">
      <alignment horizontal="right"/>
    </xf>
    <xf numFmtId="9" fontId="16" fillId="5" borderId="0" xfId="2" applyFont="1" applyFill="1" applyAlignment="1">
      <alignment horizontal="right"/>
    </xf>
    <xf numFmtId="165" fontId="24" fillId="0" borderId="0" xfId="0" quotePrefix="1" applyNumberFormat="1" applyFont="1"/>
    <xf numFmtId="165" fontId="24" fillId="0" borderId="0" xfId="1" applyNumberFormat="1" applyFont="1" applyAlignment="1">
      <alignment horizontal="left"/>
    </xf>
    <xf numFmtId="165" fontId="24" fillId="0" borderId="0" xfId="0" applyNumberFormat="1" applyFont="1" applyAlignment="1">
      <alignment horizontal="right"/>
    </xf>
    <xf numFmtId="165" fontId="33" fillId="5" borderId="0" xfId="1" applyNumberFormat="1" applyFont="1" applyFill="1"/>
    <xf numFmtId="165" fontId="33" fillId="5" borderId="0" xfId="1" applyNumberFormat="1" applyFont="1" applyFill="1" applyAlignment="1">
      <alignment horizontal="left" vertical="top"/>
    </xf>
    <xf numFmtId="165" fontId="33" fillId="5" borderId="0" xfId="1" applyNumberFormat="1" applyFont="1" applyFill="1" applyAlignment="1">
      <alignment horizontal="right"/>
    </xf>
    <xf numFmtId="9" fontId="33" fillId="5" borderId="0" xfId="2" applyFont="1" applyFill="1" applyAlignment="1">
      <alignment horizontal="right"/>
    </xf>
    <xf numFmtId="9" fontId="20" fillId="0" borderId="0" xfId="2" applyFont="1" applyFill="1"/>
    <xf numFmtId="165" fontId="24" fillId="0" borderId="0" xfId="1" applyNumberFormat="1" applyFont="1" applyFill="1" applyAlignment="1">
      <alignment horizontal="left"/>
    </xf>
    <xf numFmtId="165" fontId="27" fillId="5" borderId="0" xfId="1" applyNumberFormat="1" applyFont="1" applyFill="1"/>
    <xf numFmtId="0" fontId="27" fillId="5" borderId="0" xfId="0" applyFont="1" applyFill="1" applyAlignment="1">
      <alignment horizontal="left" vertical="top"/>
    </xf>
    <xf numFmtId="0" fontId="27" fillId="5" borderId="0" xfId="0" applyFont="1" applyFill="1"/>
    <xf numFmtId="170" fontId="24" fillId="0" borderId="0" xfId="0" applyNumberFormat="1" applyFont="1"/>
    <xf numFmtId="49" fontId="16" fillId="0" borderId="0" xfId="1" applyNumberFormat="1" applyFont="1" applyFill="1" applyAlignment="1">
      <alignment horizontal="left" vertical="top"/>
    </xf>
    <xf numFmtId="165" fontId="16" fillId="3" borderId="0" xfId="1" applyNumberFormat="1" applyFont="1" applyFill="1" applyBorder="1"/>
    <xf numFmtId="165" fontId="16" fillId="0" borderId="4" xfId="1" applyNumberFormat="1" applyFont="1" applyFill="1" applyBorder="1"/>
    <xf numFmtId="0" fontId="16" fillId="0" borderId="13" xfId="0" applyFont="1" applyBorder="1" applyAlignment="1">
      <alignment horizontal="left" vertical="top"/>
    </xf>
    <xf numFmtId="0" fontId="16" fillId="0" borderId="14" xfId="0" applyFont="1" applyBorder="1" applyAlignment="1">
      <alignment horizontal="left" vertical="top"/>
    </xf>
    <xf numFmtId="170" fontId="16" fillId="0" borderId="0" xfId="2" applyNumberFormat="1" applyFont="1" applyFill="1" applyAlignment="1">
      <alignment horizontal="right"/>
    </xf>
    <xf numFmtId="9" fontId="16" fillId="0" borderId="0" xfId="2" applyFont="1" applyFill="1" applyAlignment="1">
      <alignment horizontal="right" wrapText="1"/>
    </xf>
    <xf numFmtId="165" fontId="16" fillId="0" borderId="0" xfId="2" applyNumberFormat="1" applyFont="1" applyFill="1" applyAlignment="1">
      <alignment horizontal="left"/>
    </xf>
    <xf numFmtId="17" fontId="16" fillId="2" borderId="0" xfId="0" applyNumberFormat="1" applyFont="1" applyFill="1"/>
    <xf numFmtId="165" fontId="16" fillId="16" borderId="0" xfId="1" applyNumberFormat="1" applyFont="1" applyFill="1" applyAlignment="1">
      <alignment horizontal="right"/>
    </xf>
    <xf numFmtId="165" fontId="16" fillId="2" borderId="0" xfId="1" applyNumberFormat="1" applyFont="1" applyFill="1" applyAlignment="1">
      <alignment horizontal="right"/>
    </xf>
    <xf numFmtId="165" fontId="16" fillId="17" borderId="0" xfId="1" applyNumberFormat="1" applyFont="1" applyFill="1" applyAlignment="1">
      <alignment horizontal="right"/>
    </xf>
    <xf numFmtId="165" fontId="16" fillId="10" borderId="0" xfId="1" applyNumberFormat="1" applyFont="1" applyFill="1" applyAlignment="1">
      <alignment horizontal="right"/>
    </xf>
    <xf numFmtId="1" fontId="16" fillId="0" borderId="0" xfId="0" applyNumberFormat="1" applyFont="1" applyAlignment="1">
      <alignment horizontal="left"/>
    </xf>
    <xf numFmtId="171" fontId="16" fillId="0" borderId="0" xfId="0" applyNumberFormat="1" applyFont="1"/>
    <xf numFmtId="165" fontId="27" fillId="0" borderId="0" xfId="1" applyNumberFormat="1" applyFont="1" applyFill="1" applyAlignment="1">
      <alignment horizontal="center"/>
    </xf>
    <xf numFmtId="165" fontId="20" fillId="4" borderId="0" xfId="1" applyNumberFormat="1" applyFont="1" applyFill="1" applyAlignment="1">
      <alignment horizontal="center" wrapText="1"/>
    </xf>
    <xf numFmtId="165" fontId="16" fillId="3" borderId="4" xfId="1" applyNumberFormat="1" applyFont="1" applyFill="1" applyBorder="1"/>
    <xf numFmtId="165" fontId="16" fillId="3" borderId="4" xfId="1" applyNumberFormat="1" applyFont="1" applyFill="1" applyBorder="1" applyAlignment="1">
      <alignment horizontal="right"/>
    </xf>
    <xf numFmtId="165" fontId="16" fillId="3" borderId="7" xfId="1" applyNumberFormat="1" applyFont="1" applyFill="1" applyBorder="1"/>
    <xf numFmtId="165" fontId="16" fillId="3" borderId="7" xfId="1" applyNumberFormat="1" applyFont="1" applyFill="1" applyBorder="1" applyAlignment="1">
      <alignment horizontal="right"/>
    </xf>
    <xf numFmtId="165" fontId="16" fillId="5" borderId="0" xfId="1" applyNumberFormat="1" applyFont="1" applyFill="1" applyAlignment="1">
      <alignment horizontal="center" wrapText="1"/>
    </xf>
    <xf numFmtId="165" fontId="16" fillId="5" borderId="0" xfId="1" applyNumberFormat="1" applyFont="1" applyFill="1" applyAlignment="1">
      <alignment horizontal="center"/>
    </xf>
    <xf numFmtId="165" fontId="16" fillId="5" borderId="0" xfId="1" applyNumberFormat="1" applyFont="1" applyFill="1" applyAlignment="1">
      <alignment horizontal="left" vertical="top"/>
    </xf>
    <xf numFmtId="165" fontId="21" fillId="5" borderId="0" xfId="1" applyNumberFormat="1" applyFont="1" applyFill="1"/>
    <xf numFmtId="165" fontId="20" fillId="5" borderId="0" xfId="1" applyNumberFormat="1" applyFont="1" applyFill="1" applyAlignment="1">
      <alignment horizontal="right"/>
    </xf>
    <xf numFmtId="165" fontId="20" fillId="5" borderId="0" xfId="1" applyNumberFormat="1" applyFont="1" applyFill="1" applyAlignment="1"/>
    <xf numFmtId="165" fontId="21" fillId="5" borderId="0" xfId="1" applyNumberFormat="1" applyFont="1" applyFill="1" applyAlignment="1">
      <alignment horizontal="center"/>
    </xf>
    <xf numFmtId="165" fontId="16" fillId="5" borderId="0" xfId="1" applyNumberFormat="1" applyFont="1" applyFill="1" applyBorder="1" applyAlignment="1">
      <alignment horizontal="center"/>
    </xf>
    <xf numFmtId="165" fontId="16" fillId="5" borderId="0" xfId="1" applyNumberFormat="1" applyFont="1" applyFill="1" applyBorder="1" applyAlignment="1">
      <alignment horizontal="right"/>
    </xf>
    <xf numFmtId="165" fontId="16" fillId="5" borderId="1" xfId="1" applyNumberFormat="1" applyFont="1" applyFill="1" applyBorder="1" applyAlignment="1">
      <alignment horizontal="right"/>
    </xf>
    <xf numFmtId="165" fontId="16" fillId="5" borderId="0" xfId="2" applyNumberFormat="1" applyFont="1" applyFill="1" applyAlignment="1">
      <alignment horizontal="right"/>
    </xf>
    <xf numFmtId="165" fontId="32" fillId="5" borderId="1" xfId="1" applyNumberFormat="1" applyFont="1" applyFill="1" applyBorder="1" applyAlignment="1">
      <alignment horizontal="right"/>
    </xf>
    <xf numFmtId="166" fontId="16" fillId="5" borderId="0" xfId="2" applyNumberFormat="1" applyFont="1" applyFill="1" applyAlignment="1">
      <alignment horizontal="right"/>
    </xf>
    <xf numFmtId="165" fontId="20" fillId="3" borderId="0" xfId="1" applyNumberFormat="1" applyFont="1" applyFill="1" applyAlignment="1"/>
    <xf numFmtId="165" fontId="7" fillId="0" borderId="0" xfId="1" applyNumberFormat="1" applyFont="1" applyFill="1" applyAlignment="1">
      <alignment vertical="center"/>
    </xf>
    <xf numFmtId="165" fontId="0" fillId="0" borderId="0" xfId="1" applyNumberFormat="1" applyFont="1" applyFill="1"/>
    <xf numFmtId="165" fontId="3" fillId="0" borderId="0" xfId="1" applyNumberFormat="1" applyFont="1"/>
    <xf numFmtId="49" fontId="34" fillId="0" borderId="0" xfId="3" applyNumberFormat="1" applyFont="1" applyAlignment="1">
      <alignment horizontal="right" vertical="top" wrapText="1"/>
    </xf>
    <xf numFmtId="49" fontId="16" fillId="0" borderId="0" xfId="1" quotePrefix="1" applyNumberFormat="1" applyFont="1" applyFill="1" applyBorder="1" applyAlignment="1">
      <alignment horizontal="right" vertical="top"/>
    </xf>
    <xf numFmtId="165" fontId="20" fillId="0" borderId="0" xfId="1" applyNumberFormat="1" applyFont="1" applyFill="1" applyAlignment="1">
      <alignment horizontal="center" wrapText="1"/>
    </xf>
    <xf numFmtId="170" fontId="16" fillId="0" borderId="0" xfId="0" applyNumberFormat="1" applyFont="1"/>
    <xf numFmtId="164" fontId="0" fillId="0" borderId="0" xfId="1" applyFont="1"/>
    <xf numFmtId="49" fontId="16" fillId="0" borderId="0" xfId="1" applyNumberFormat="1" applyFont="1" applyFill="1" applyAlignment="1">
      <alignment horizontal="left" vertical="top" wrapText="1"/>
    </xf>
    <xf numFmtId="165" fontId="24" fillId="0" borderId="0" xfId="1" applyNumberFormat="1" applyFont="1" applyBorder="1"/>
    <xf numFmtId="165" fontId="16" fillId="8" borderId="0" xfId="2" applyNumberFormat="1" applyFont="1" applyFill="1" applyAlignment="1">
      <alignment horizontal="right"/>
    </xf>
    <xf numFmtId="165" fontId="20" fillId="0" borderId="0" xfId="1" applyNumberFormat="1" applyFont="1" applyAlignment="1">
      <alignment horizontal="left" vertical="top"/>
    </xf>
    <xf numFmtId="49" fontId="35" fillId="0" borderId="0" xfId="3" applyNumberFormat="1" applyFont="1" applyAlignment="1">
      <alignment horizontal="left" vertical="top" wrapText="1"/>
    </xf>
    <xf numFmtId="2" fontId="35" fillId="0" borderId="0" xfId="3" applyNumberFormat="1" applyFont="1" applyAlignment="1">
      <alignment horizontal="right" vertical="top" wrapText="1"/>
    </xf>
    <xf numFmtId="0" fontId="35" fillId="0" borderId="0" xfId="0" applyFont="1"/>
    <xf numFmtId="0" fontId="36" fillId="0" borderId="0" xfId="0" applyFont="1"/>
    <xf numFmtId="49" fontId="16" fillId="0" borderId="0" xfId="1" applyNumberFormat="1" applyFont="1" applyFill="1" applyBorder="1" applyAlignment="1">
      <alignment horizontal="right" vertical="top"/>
    </xf>
    <xf numFmtId="165" fontId="16" fillId="0" borderId="0" xfId="1" applyNumberFormat="1" applyFont="1" applyFill="1" applyBorder="1" applyAlignment="1">
      <alignment vertical="top"/>
    </xf>
    <xf numFmtId="49" fontId="13" fillId="0" borderId="0" xfId="0" applyNumberFormat="1" applyFont="1" applyAlignment="1">
      <alignment horizontal="right" vertical="top" wrapText="1"/>
    </xf>
    <xf numFmtId="49" fontId="13" fillId="0" borderId="0" xfId="3" applyNumberFormat="1" applyFont="1" applyAlignment="1">
      <alignment horizontal="right" vertical="top" wrapText="1"/>
    </xf>
    <xf numFmtId="49" fontId="13" fillId="0" borderId="0" xfId="0" applyNumberFormat="1" applyFont="1" applyAlignment="1">
      <alignment horizontal="left" vertical="top" wrapText="1"/>
    </xf>
    <xf numFmtId="165" fontId="16" fillId="0" borderId="0" xfId="1" quotePrefix="1" applyNumberFormat="1" applyFont="1" applyFill="1" applyAlignment="1">
      <alignment horizontal="right"/>
    </xf>
    <xf numFmtId="0" fontId="7" fillId="8" borderId="0" xfId="0" applyFont="1" applyFill="1" applyAlignment="1">
      <alignment vertical="center"/>
    </xf>
    <xf numFmtId="165" fontId="7" fillId="8" borderId="0" xfId="1" applyNumberFormat="1" applyFont="1" applyFill="1" applyAlignment="1">
      <alignment vertical="center"/>
    </xf>
    <xf numFmtId="165" fontId="0" fillId="8" borderId="0" xfId="1" applyNumberFormat="1" applyFont="1" applyFill="1"/>
    <xf numFmtId="165" fontId="16" fillId="18" borderId="0" xfId="1" applyNumberFormat="1" applyFont="1" applyFill="1" applyAlignment="1">
      <alignment horizontal="right"/>
    </xf>
    <xf numFmtId="0" fontId="0" fillId="7" borderId="0" xfId="0" applyFill="1" applyAlignment="1">
      <alignment horizontal="center"/>
    </xf>
    <xf numFmtId="0" fontId="0" fillId="3" borderId="0" xfId="0" applyFill="1" applyAlignment="1">
      <alignment horizontal="center"/>
    </xf>
    <xf numFmtId="0" fontId="0" fillId="11" borderId="0" xfId="0" applyFill="1" applyAlignment="1">
      <alignment horizontal="center"/>
    </xf>
    <xf numFmtId="9" fontId="0" fillId="7" borderId="0" xfId="2" applyFont="1" applyFill="1" applyAlignment="1">
      <alignment horizontal="center" vertical="center"/>
    </xf>
    <xf numFmtId="165" fontId="0" fillId="7" borderId="0" xfId="1" applyNumberFormat="1" applyFont="1" applyFill="1" applyAlignment="1">
      <alignment horizontal="center"/>
    </xf>
    <xf numFmtId="0" fontId="3" fillId="0" borderId="3" xfId="0" applyFont="1" applyBorder="1" applyAlignment="1">
      <alignment horizontal="center" vertical="center"/>
    </xf>
    <xf numFmtId="0" fontId="5" fillId="0" borderId="3" xfId="0" applyFont="1" applyBorder="1" applyAlignment="1">
      <alignment horizontal="center" vertical="center"/>
    </xf>
    <xf numFmtId="165" fontId="8" fillId="0" borderId="9" xfId="1" applyNumberFormat="1" applyFont="1" applyBorder="1" applyAlignment="1">
      <alignment horizontal="center" vertical="center" wrapText="1"/>
    </xf>
    <xf numFmtId="165" fontId="8" fillId="0" borderId="11" xfId="1" applyNumberFormat="1" applyFont="1" applyBorder="1" applyAlignment="1">
      <alignment horizontal="center" vertical="center" wrapText="1"/>
    </xf>
    <xf numFmtId="165" fontId="8" fillId="0" borderId="0" xfId="1" applyNumberFormat="1" applyFont="1" applyAlignment="1">
      <alignment horizontal="center" vertical="center" wrapText="1"/>
    </xf>
    <xf numFmtId="165" fontId="8" fillId="0" borderId="10" xfId="1" applyNumberFormat="1" applyFont="1" applyBorder="1" applyAlignment="1">
      <alignment horizontal="center" vertical="center" wrapText="1"/>
    </xf>
    <xf numFmtId="0" fontId="9" fillId="0" borderId="9" xfId="0" applyFont="1" applyBorder="1" applyAlignment="1">
      <alignment horizontal="center" vertical="center" wrapText="1"/>
    </xf>
  </cellXfs>
  <cellStyles count="4">
    <cellStyle name="Comma" xfId="1" builtinId="3"/>
    <cellStyle name="Normal" xfId="0" builtinId="0"/>
    <cellStyle name="Normal 2" xfId="3" xr:uid="{04AC532C-BF0D-9B45-A973-1C86BCF9860A}"/>
    <cellStyle name="Per cent" xfId="2" builtinId="5"/>
  </cellStyles>
  <dxfs count="63">
    <dxf>
      <font>
        <color rgb="FF9C0006"/>
      </font>
      <fill>
        <patternFill>
          <bgColor rgb="FFFFC7CE"/>
        </patternFill>
      </fill>
    </dxf>
    <dxf>
      <font>
        <color rgb="FF9C0006"/>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9"/>
        <color theme="1"/>
        <name val="Arial"/>
        <family val="2"/>
        <scheme val="none"/>
      </font>
      <numFmt numFmtId="2" formatCode="0.0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numFmt numFmtId="30" formatCode="@"/>
    </dxf>
    <dxf>
      <font>
        <b val="0"/>
        <i val="0"/>
        <strike val="0"/>
        <condense val="0"/>
        <extend val="0"/>
        <outline val="0"/>
        <shadow val="0"/>
        <u val="none"/>
        <vertAlign val="baseline"/>
        <sz val="9"/>
        <color theme="1"/>
        <name val="Arial"/>
        <family val="2"/>
        <scheme val="none"/>
      </font>
      <numFmt numFmtId="30" formatCode="@"/>
      <alignment horizontal="righ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9"/>
        <color theme="1"/>
        <name val="Arial"/>
        <family val="2"/>
        <scheme val="none"/>
      </font>
    </dxf>
    <dxf>
      <border outline="0">
        <bottom style="thin">
          <color indexed="64"/>
        </bottom>
      </border>
    </dxf>
    <dxf>
      <font>
        <b/>
        <i val="0"/>
        <strike val="0"/>
        <condense val="0"/>
        <extend val="0"/>
        <outline val="0"/>
        <shadow val="0"/>
        <u val="none"/>
        <vertAlign val="baseline"/>
        <sz val="9"/>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9"/>
        <color auto="1"/>
        <name val="Arial"/>
        <family val="2"/>
        <scheme val="none"/>
      </font>
      <numFmt numFmtId="30" formatCode="@"/>
      <fill>
        <patternFill patternType="solid">
          <fgColor rgb="FFFFFFCC"/>
          <bgColor rgb="FFFFFFFF"/>
        </patternFill>
      </fill>
      <alignment horizontal="left" vertical="top" textRotation="0" wrapText="1" indent="0" justifyLastLine="0" shrinkToFit="0" readingOrder="0"/>
    </dxf>
    <dxf>
      <font>
        <b val="0"/>
        <i val="0"/>
        <strike val="0"/>
        <condense val="0"/>
        <extend val="0"/>
        <outline val="0"/>
        <shadow val="0"/>
        <u val="none"/>
        <vertAlign val="baseline"/>
        <sz val="9"/>
        <color auto="1"/>
        <name val="Arial"/>
        <family val="2"/>
        <scheme val="none"/>
      </font>
      <numFmt numFmtId="30" formatCode="@"/>
      <fill>
        <patternFill patternType="solid">
          <fgColor rgb="FFFFFFCC"/>
          <bgColor rgb="FFFFFFFF"/>
        </patternFill>
      </fill>
      <alignment horizontal="left" vertical="top"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rgb="FFFFFFCC"/>
          <bgColor rgb="FFFFFFFF"/>
        </patternFill>
      </fill>
      <alignment horizontal="left" vertical="top" textRotation="0" wrapText="1" indent="0" justifyLastLine="0" shrinkToFit="0" readingOrder="0"/>
    </dxf>
    <dxf>
      <font>
        <b/>
        <i val="0"/>
        <strike val="0"/>
        <condense val="0"/>
        <extend val="0"/>
        <outline val="0"/>
        <shadow val="0"/>
        <u val="none"/>
        <vertAlign val="baseline"/>
        <sz val="9"/>
        <color auto="1"/>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486</xdr:row>
      <xdr:rowOff>0</xdr:rowOff>
    </xdr:from>
    <xdr:to>
      <xdr:col>1</xdr:col>
      <xdr:colOff>4082716</xdr:colOff>
      <xdr:row>520</xdr:row>
      <xdr:rowOff>50801</xdr:rowOff>
    </xdr:to>
    <xdr:pic>
      <xdr:nvPicPr>
        <xdr:cNvPr id="2" name="Picture 1">
          <a:extLst>
            <a:ext uri="{FF2B5EF4-FFF2-40B4-BE49-F238E27FC236}">
              <a16:creationId xmlns:a16="http://schemas.microsoft.com/office/drawing/2014/main" id="{8FA852FD-F4E4-7A56-BD67-39142AC96D87}"/>
            </a:ext>
          </a:extLst>
        </xdr:cNvPr>
        <xdr:cNvPicPr>
          <a:picLocks noChangeAspect="1"/>
        </xdr:cNvPicPr>
      </xdr:nvPicPr>
      <xdr:blipFill>
        <a:blip xmlns:r="http://schemas.openxmlformats.org/officeDocument/2006/relationships" r:embed="rId1"/>
        <a:stretch>
          <a:fillRect/>
        </a:stretch>
      </xdr:blipFill>
      <xdr:spPr>
        <a:xfrm>
          <a:off x="0" y="59049920"/>
          <a:ext cx="7567596" cy="5577840"/>
        </a:xfrm>
        <a:prstGeom prst="rect">
          <a:avLst/>
        </a:prstGeom>
      </xdr:spPr>
    </xdr:pic>
    <xdr:clientData/>
  </xdr:twoCellAnchor>
  <xdr:twoCellAnchor editAs="oneCell">
    <xdr:from>
      <xdr:col>14</xdr:col>
      <xdr:colOff>203200</xdr:colOff>
      <xdr:row>245</xdr:row>
      <xdr:rowOff>38100</xdr:rowOff>
    </xdr:from>
    <xdr:to>
      <xdr:col>27</xdr:col>
      <xdr:colOff>156526</xdr:colOff>
      <xdr:row>268</xdr:row>
      <xdr:rowOff>42333</xdr:rowOff>
    </xdr:to>
    <xdr:pic>
      <xdr:nvPicPr>
        <xdr:cNvPr id="3" name="Picture 2">
          <a:extLst>
            <a:ext uri="{FF2B5EF4-FFF2-40B4-BE49-F238E27FC236}">
              <a16:creationId xmlns:a16="http://schemas.microsoft.com/office/drawing/2014/main" id="{2AF39E92-33D3-7C27-0AE7-7F1799A538BE}"/>
            </a:ext>
          </a:extLst>
        </xdr:cNvPr>
        <xdr:cNvPicPr>
          <a:picLocks noChangeAspect="1"/>
        </xdr:cNvPicPr>
      </xdr:nvPicPr>
      <xdr:blipFill>
        <a:blip xmlns:r="http://schemas.openxmlformats.org/officeDocument/2006/relationships" r:embed="rId2"/>
        <a:stretch>
          <a:fillRect/>
        </a:stretch>
      </xdr:blipFill>
      <xdr:spPr>
        <a:xfrm>
          <a:off x="23380700" y="33401000"/>
          <a:ext cx="10684826" cy="3848100"/>
        </a:xfrm>
        <a:prstGeom prst="rect">
          <a:avLst/>
        </a:prstGeom>
      </xdr:spPr>
    </xdr:pic>
    <xdr:clientData/>
  </xdr:twoCellAnchor>
  <xdr:twoCellAnchor editAs="oneCell">
    <xdr:from>
      <xdr:col>2</xdr:col>
      <xdr:colOff>0</xdr:colOff>
      <xdr:row>486</xdr:row>
      <xdr:rowOff>0</xdr:rowOff>
    </xdr:from>
    <xdr:to>
      <xdr:col>8</xdr:col>
      <xdr:colOff>2093383</xdr:colOff>
      <xdr:row>515</xdr:row>
      <xdr:rowOff>127000</xdr:rowOff>
    </xdr:to>
    <xdr:pic>
      <xdr:nvPicPr>
        <xdr:cNvPr id="5" name="Picture 4">
          <a:extLst>
            <a:ext uri="{FF2B5EF4-FFF2-40B4-BE49-F238E27FC236}">
              <a16:creationId xmlns:a16="http://schemas.microsoft.com/office/drawing/2014/main" id="{8EF459F0-EEFB-DF89-802E-1F651C78C38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82100" y="68186300"/>
          <a:ext cx="6896100" cy="4914900"/>
        </a:xfrm>
        <a:prstGeom prst="rect">
          <a:avLst/>
        </a:prstGeom>
      </xdr:spPr>
    </xdr:pic>
    <xdr:clientData/>
  </xdr:twoCellAnchor>
  <xdr:twoCellAnchor editAs="oneCell">
    <xdr:from>
      <xdr:col>2</xdr:col>
      <xdr:colOff>0</xdr:colOff>
      <xdr:row>519</xdr:row>
      <xdr:rowOff>0</xdr:rowOff>
    </xdr:from>
    <xdr:to>
      <xdr:col>8</xdr:col>
      <xdr:colOff>2967566</xdr:colOff>
      <xdr:row>569</xdr:row>
      <xdr:rowOff>67733</xdr:rowOff>
    </xdr:to>
    <xdr:pic>
      <xdr:nvPicPr>
        <xdr:cNvPr id="6" name="Picture 5">
          <a:extLst>
            <a:ext uri="{FF2B5EF4-FFF2-40B4-BE49-F238E27FC236}">
              <a16:creationId xmlns:a16="http://schemas.microsoft.com/office/drawing/2014/main" id="{E183A807-A8CC-2DA2-28C8-C24286CEAF4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186333" y="78919917"/>
          <a:ext cx="7772400" cy="8534400"/>
        </a:xfrm>
        <a:prstGeom prst="rect">
          <a:avLst/>
        </a:prstGeom>
      </xdr:spPr>
    </xdr:pic>
    <xdr:clientData/>
  </xdr:twoCellAnchor>
  <xdr:twoCellAnchor editAs="oneCell">
    <xdr:from>
      <xdr:col>0</xdr:col>
      <xdr:colOff>0</xdr:colOff>
      <xdr:row>500</xdr:row>
      <xdr:rowOff>158750</xdr:rowOff>
    </xdr:from>
    <xdr:to>
      <xdr:col>1</xdr:col>
      <xdr:colOff>4049511</xdr:colOff>
      <xdr:row>540</xdr:row>
      <xdr:rowOff>981</xdr:rowOff>
    </xdr:to>
    <xdr:pic>
      <xdr:nvPicPr>
        <xdr:cNvPr id="7" name="Picture 6">
          <a:extLst>
            <a:ext uri="{FF2B5EF4-FFF2-40B4-BE49-F238E27FC236}">
              <a16:creationId xmlns:a16="http://schemas.microsoft.com/office/drawing/2014/main" id="{ED497177-6ACF-64EF-0645-71ABF0CDD63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85238167"/>
          <a:ext cx="7531428" cy="66155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284480</xdr:colOff>
      <xdr:row>1</xdr:row>
      <xdr:rowOff>0</xdr:rowOff>
    </xdr:from>
    <xdr:to>
      <xdr:col>22</xdr:col>
      <xdr:colOff>409268</xdr:colOff>
      <xdr:row>33</xdr:row>
      <xdr:rowOff>62364</xdr:rowOff>
    </xdr:to>
    <xdr:pic>
      <xdr:nvPicPr>
        <xdr:cNvPr id="2" name="Picture 1">
          <a:extLst>
            <a:ext uri="{FF2B5EF4-FFF2-40B4-BE49-F238E27FC236}">
              <a16:creationId xmlns:a16="http://schemas.microsoft.com/office/drawing/2014/main" id="{8E3A7A2B-A18C-6844-813E-8FB580490F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565360" y="152400"/>
          <a:ext cx="7531428" cy="66155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381000</xdr:colOff>
      <xdr:row>1</xdr:row>
      <xdr:rowOff>101600</xdr:rowOff>
    </xdr:from>
    <xdr:to>
      <xdr:col>26</xdr:col>
      <xdr:colOff>279400</xdr:colOff>
      <xdr:row>16</xdr:row>
      <xdr:rowOff>122312</xdr:rowOff>
    </xdr:to>
    <xdr:pic>
      <xdr:nvPicPr>
        <xdr:cNvPr id="3" name="Picture 2">
          <a:extLst>
            <a:ext uri="{FF2B5EF4-FFF2-40B4-BE49-F238E27FC236}">
              <a16:creationId xmlns:a16="http://schemas.microsoft.com/office/drawing/2014/main" id="{776BF42F-905E-BE74-1F86-90A4EB4804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70400" y="292100"/>
          <a:ext cx="3200400" cy="2878212"/>
        </a:xfrm>
        <a:prstGeom prst="rect">
          <a:avLst/>
        </a:prstGeom>
      </xdr:spPr>
    </xdr:pic>
    <xdr:clientData/>
  </xdr:twoCellAnchor>
  <xdr:twoCellAnchor editAs="oneCell">
    <xdr:from>
      <xdr:col>20</xdr:col>
      <xdr:colOff>381000</xdr:colOff>
      <xdr:row>2</xdr:row>
      <xdr:rowOff>10300</xdr:rowOff>
    </xdr:from>
    <xdr:to>
      <xdr:col>22</xdr:col>
      <xdr:colOff>277000</xdr:colOff>
      <xdr:row>16</xdr:row>
      <xdr:rowOff>132972</xdr:rowOff>
    </xdr:to>
    <xdr:pic>
      <xdr:nvPicPr>
        <xdr:cNvPr id="5" name="Picture 4">
          <a:extLst>
            <a:ext uri="{FF2B5EF4-FFF2-40B4-BE49-F238E27FC236}">
              <a16:creationId xmlns:a16="http://schemas.microsoft.com/office/drawing/2014/main" id="{51A1D4CD-6656-5BBB-EC81-E02EC2A087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19400" y="391300"/>
          <a:ext cx="1547000" cy="278967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laus Siegaard" id="{23202EBA-B133-BB4B-8911-2E76CCDC28E4}" userId="S::claus.siegaard@tps.ltd::515b2a82-a978-46c2-bb83-eea2fb7cb7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10B2FB-E959-B74E-9DEB-C09E031B79DD}" name="ALcost" displayName="ALcost" ref="A7:C34" totalsRowShown="0" headerRowDxfId="62" dataDxfId="61">
  <tableColumns count="3">
    <tableColumn id="1" xr3:uid="{FF4512E0-BF66-0945-8532-1DD68FE64C5F}" name="Item number" dataDxfId="60"/>
    <tableColumn id="3" xr3:uid="{B4EDA124-0934-D54A-A764-B5A5B046FFFF}" name="Description " dataDxfId="59"/>
    <tableColumn id="4" xr3:uid="{CAFC24E1-ED36-254C-AAEE-23D648763DE3}" name="Line total (EUR)" dataDxfId="58" dataCellStyle="Comma"/>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8FF0D9-F41B-E146-B49E-56D24D19AD4E}" name="HLcost" displayName="HLcost" ref="G7:K31" totalsRowShown="0" headerRowDxfId="57" dataDxfId="55" headerRowBorderDxfId="56" tableBorderDxfId="54">
  <tableColumns count="5">
    <tableColumn id="1" xr3:uid="{9F710FBF-5821-9F47-88D5-8A5AA9550C42}" name="No." dataDxfId="53"/>
    <tableColumn id="2" xr3:uid="{2DA86E2E-08B6-CD49-A3BE-AB58C793A0CC}" name="Part No." dataDxfId="52"/>
    <tableColumn id="3" xr3:uid="{9CC96E09-02A5-8F4A-9F96-58D8F1401F5A}" name="Description" dataDxfId="51"/>
    <tableColumn id="4" xr3:uid="{F9214DE4-81C7-3042-A77C-6D247EA8A6D2}" name="USD" dataDxfId="50"/>
    <tableColumn id="5" xr3:uid="{11463781-CE5E-454D-939D-255713F92D2C}" name="EUR" dataDxfId="49">
      <calculatedColumnFormula>HLcost[[#This Row],[USD]]*$C$2/$C$3</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40" dT="2025-06-20T04:36:39.42" personId="{23202EBA-B133-BB4B-8911-2E76CCDC28E4}" id="{126C2FEC-77E5-5343-9B72-16E4F68FD625}">
    <text>This is only the Shear unit!
No motor  cover, no legs etc.
Pump house, stator, impeller and motor, assembled and tested ONLY</text>
  </threadedComment>
  <threadedComment ref="I40" dT="2025-12-17T06:18:54.80" personId="{23202EBA-B133-BB4B-8911-2E76CCDC28E4}" id="{96C99EB3-ED5B-B04A-8C0A-BE20DFC8F08D}" parentId="{126C2FEC-77E5-5343-9B72-16E4F68FD625}">
    <text>Remember to add SMS on the pump house with Dan approx EUR 600</text>
  </threadedComment>
</ThreadedComments>
</file>

<file path=xl/threadedComments/threadedComment2.xml><?xml version="1.0" encoding="utf-8"?>
<ThreadedComments xmlns="http://schemas.microsoft.com/office/spreadsheetml/2018/threadedcomments" xmlns:x="http://schemas.openxmlformats.org/spreadsheetml/2006/main">
  <threadedComment ref="BK34" dT="2023-08-11T11:39:58.22" personId="{23202EBA-B133-BB4B-8911-2E76CCDC28E4}" id="{09DD59C5-42DA-6D46-B7FE-3AF23BA5CF9D}">
    <text>Modification of injector/ball valve connection/hose</text>
  </threadedComment>
  <threadedComment ref="BK35" dT="2023-08-11T11:40:26.56" personId="{23202EBA-B133-BB4B-8911-2E76CCDC28E4}" id="{8FFB757E-9177-D24F-8C95-A52C6BF4CF96}">
    <text>Adaptor to install funnel and hose system</text>
  </threadedComment>
  <threadedComment ref="V75" dT="2025-12-11T05:42:38.18" personId="{23202EBA-B133-BB4B-8911-2E76CCDC28E4}" id="{1013DB84-9E42-2A44-93F5-74B2DA066479}">
    <text>2
 pcs</text>
  </threadedComment>
  <threadedComment ref="X75" dT="2025-12-11T05:42:38.18" personId="{23202EBA-B133-BB4B-8911-2E76CCDC28E4}" id="{78C98B62-AD5E-C04E-AD2F-32CE34616209}">
    <text>2
 pcs</text>
  </threadedComment>
  <threadedComment ref="AF118" dT="2023-09-26T07:00:32.07" personId="{23202EBA-B133-BB4B-8911-2E76CCDC28E4}" id="{EE1E0F02-9F72-3F4A-AFC7-E67EDF0106E7}">
    <text>Added 50% due to heavier 75 kW motor</text>
  </threadedComment>
  <threadedComment ref="L119" dT="2025-06-20T04:27:29.57" personId="{23202EBA-B133-BB4B-8911-2E76CCDC28E4}" id="{91700CAE-C95E-5F48-9099-0540CB639416}">
    <text>A guess for sending ball valve, seal water parts, feet</text>
  </threadedComment>
  <threadedComment ref="L218" dT="2025-06-20T04:29:08.86" personId="{23202EBA-B133-BB4B-8911-2E76CCDC28E4}" id="{50104189-1372-634D-BFD3-F842555D0C62}">
    <text xml:space="preserve">w/o the VN parts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FD08-D220-B347-ACAA-99FA3C9ED9FC}">
  <sheetPr>
    <tabColor theme="9"/>
  </sheetPr>
  <dimension ref="A2:BQ195"/>
  <sheetViews>
    <sheetView tabSelected="1" zoomScale="116" zoomScaleNormal="110" workbookViewId="0">
      <pane xSplit="3" topLeftCell="V1" activePane="topRight" state="frozen"/>
      <selection pane="topRight" activeCell="X32" sqref="X32"/>
    </sheetView>
  </sheetViews>
  <sheetFormatPr baseColWidth="10" defaultRowHeight="13" x14ac:dyDescent="0.15"/>
  <cols>
    <col min="1" max="1" width="22.6640625" style="124" bestFit="1" customWidth="1"/>
    <col min="2" max="2" width="34.1640625" style="124" customWidth="1"/>
    <col min="3" max="3" width="10.5" style="124" customWidth="1"/>
    <col min="4" max="4" width="9" style="124" bestFit="1" customWidth="1"/>
    <col min="5" max="5" width="11" style="124" hidden="1" customWidth="1"/>
    <col min="6" max="8" width="10.83203125" style="124" hidden="1" customWidth="1"/>
    <col min="9" max="14" width="10.83203125" style="124"/>
    <col min="15" max="15" width="13" style="124" bestFit="1" customWidth="1"/>
    <col min="16" max="16" width="18.1640625" style="124" bestFit="1" customWidth="1"/>
    <col min="17" max="17" width="18.1640625" style="124" customWidth="1"/>
    <col min="18" max="20" width="13.1640625" style="124" customWidth="1"/>
    <col min="21" max="21" width="12.83203125" style="124" customWidth="1"/>
    <col min="22" max="22" width="13.83203125" style="124" customWidth="1"/>
    <col min="23" max="23" width="12.1640625" style="124" customWidth="1"/>
    <col min="24" max="25" width="13.1640625" style="124" bestFit="1" customWidth="1"/>
    <col min="26" max="26" width="12" style="124" bestFit="1" customWidth="1"/>
    <col min="27" max="28" width="13" style="124" bestFit="1" customWidth="1"/>
    <col min="29" max="29" width="34" style="124" bestFit="1" customWidth="1"/>
    <col min="30" max="30" width="10.83203125" style="124" customWidth="1"/>
    <col min="31" max="32" width="10.83203125" style="124"/>
    <col min="33" max="35" width="10.83203125" style="96"/>
    <col min="36" max="16384" width="10.83203125" style="124"/>
  </cols>
  <sheetData>
    <row r="2" spans="1:63" x14ac:dyDescent="0.15">
      <c r="A2" s="94" t="s">
        <v>428</v>
      </c>
      <c r="B2" s="101" t="s">
        <v>163</v>
      </c>
      <c r="C2" s="101"/>
      <c r="D2" s="103"/>
      <c r="E2" s="103"/>
      <c r="F2" s="103"/>
      <c r="G2" s="210"/>
      <c r="H2" s="210"/>
      <c r="I2" s="210"/>
      <c r="J2" s="210"/>
      <c r="K2" s="210"/>
      <c r="L2" s="210"/>
      <c r="M2" s="210"/>
      <c r="N2" s="210"/>
      <c r="O2" s="210"/>
      <c r="P2" s="210"/>
      <c r="Q2" s="210"/>
      <c r="R2" s="210"/>
      <c r="S2" s="210"/>
      <c r="W2" s="167"/>
      <c r="X2" s="243"/>
      <c r="Z2" s="167"/>
      <c r="AA2" s="244"/>
      <c r="AG2" s="101" t="s">
        <v>434</v>
      </c>
      <c r="AH2" s="101" t="s">
        <v>547</v>
      </c>
      <c r="AI2" s="96" t="s">
        <v>473</v>
      </c>
    </row>
    <row r="3" spans="1:63" x14ac:dyDescent="0.15">
      <c r="A3" s="94" t="s">
        <v>488</v>
      </c>
      <c r="B3" s="103" t="s">
        <v>543</v>
      </c>
      <c r="C3" s="103"/>
      <c r="D3" s="103"/>
      <c r="E3" s="103"/>
      <c r="F3" s="103"/>
      <c r="G3" s="210"/>
      <c r="H3" s="210"/>
      <c r="I3" s="210"/>
      <c r="J3" s="210"/>
      <c r="K3" s="210"/>
      <c r="L3" s="210"/>
      <c r="M3" s="210"/>
      <c r="N3" s="210"/>
      <c r="O3" s="210"/>
      <c r="P3" s="210"/>
      <c r="Q3" s="210"/>
      <c r="R3" s="210"/>
      <c r="S3" s="210"/>
      <c r="W3" s="243"/>
      <c r="X3" s="243"/>
      <c r="AG3" s="101" t="s">
        <v>476</v>
      </c>
      <c r="AH3" s="245">
        <f>IF($B$3&lt;&gt;"None",VLOOKUP($B$3,Rules!$P$6:$X$57,9,FALSE),0)</f>
        <v>1E-3</v>
      </c>
      <c r="AI3" s="245">
        <f>IF($B$3&lt;&gt;"None",VLOOKUP($B$3,Rules!$Z$6:$AH$57,9,FALSE),0)</f>
        <v>1E-3</v>
      </c>
    </row>
    <row r="4" spans="1:63" x14ac:dyDescent="0.15">
      <c r="A4" s="94" t="s">
        <v>163</v>
      </c>
      <c r="B4" s="103" t="s">
        <v>413</v>
      </c>
      <c r="C4" s="103"/>
      <c r="D4" s="101"/>
      <c r="E4" s="101"/>
      <c r="F4" s="101"/>
      <c r="G4" s="101"/>
      <c r="H4" s="101"/>
      <c r="I4" s="101"/>
      <c r="J4" s="101"/>
      <c r="K4" s="101"/>
      <c r="L4" s="101"/>
      <c r="M4" s="101"/>
      <c r="N4" s="101"/>
      <c r="O4" s="101"/>
      <c r="P4" s="101"/>
      <c r="Q4" s="101"/>
      <c r="R4" s="210"/>
      <c r="S4" s="210"/>
      <c r="X4" s="244"/>
      <c r="Z4" s="244"/>
      <c r="AA4" s="244"/>
      <c r="AG4" s="101" t="s">
        <v>163</v>
      </c>
      <c r="AH4" s="245">
        <f>IF($AH$3&lt;&gt;0%,0,VLOOKUP($B$4, Rules!$A$6:$D$201, 4, FALSE))</f>
        <v>0</v>
      </c>
      <c r="AI4" s="245">
        <f>IF($AH$3&lt;&gt;0%,0,VLOOKUP($B$4, Rules!$A$6:$D$201, 4, FALSE))</f>
        <v>0</v>
      </c>
    </row>
    <row r="5" spans="1:63" x14ac:dyDescent="0.15">
      <c r="A5" s="94" t="s">
        <v>424</v>
      </c>
      <c r="B5" s="210" t="s">
        <v>433</v>
      </c>
      <c r="C5" s="210">
        <f>AH5</f>
        <v>0</v>
      </c>
      <c r="E5" s="210"/>
      <c r="F5" s="210"/>
      <c r="G5" s="210"/>
      <c r="H5" s="210"/>
      <c r="I5" s="210"/>
      <c r="J5" s="210"/>
      <c r="K5" s="210"/>
      <c r="L5" s="210"/>
      <c r="M5" s="210"/>
      <c r="N5" s="210"/>
      <c r="O5" s="210"/>
      <c r="P5" s="210"/>
      <c r="Q5" s="210"/>
      <c r="R5" s="210"/>
      <c r="S5" s="210"/>
      <c r="V5" s="246"/>
      <c r="W5" s="243"/>
      <c r="X5" s="243"/>
      <c r="AB5" s="243"/>
      <c r="AG5" s="101" t="s">
        <v>164</v>
      </c>
      <c r="AH5" s="245">
        <f>IF($AH$3&lt;&gt;0%,0,IF($B$5 &lt;&gt; "Yes",0, VLOOKUP($B$4, Rules!$A$6:$D$201, 3,FALSE)))</f>
        <v>0</v>
      </c>
      <c r="AI5" s="245">
        <f>IF($AH$3&lt;&gt;0%,0,IF($B$5 &lt;&gt; "Yes",0, VLOOKUP($B$4, Rules!$A$6:$D$201, 3,FALSE)))</f>
        <v>0</v>
      </c>
    </row>
    <row r="6" spans="1:63" x14ac:dyDescent="0.15">
      <c r="A6" s="94" t="s">
        <v>442</v>
      </c>
      <c r="B6" s="210" t="s">
        <v>432</v>
      </c>
      <c r="C6" s="210">
        <f>AH6</f>
        <v>0</v>
      </c>
      <c r="E6" s="210"/>
      <c r="F6" s="210"/>
      <c r="G6" s="210"/>
      <c r="H6" s="210"/>
      <c r="I6" s="210"/>
      <c r="J6" s="210"/>
      <c r="K6" s="210"/>
      <c r="L6" s="210"/>
      <c r="M6" s="210"/>
      <c r="N6" s="210"/>
      <c r="O6" s="210"/>
      <c r="P6" s="210"/>
      <c r="Q6" s="210"/>
      <c r="R6" s="210"/>
      <c r="S6" s="210"/>
      <c r="V6" s="246"/>
      <c r="W6" s="244"/>
      <c r="Y6" s="247"/>
      <c r="Z6" s="248"/>
      <c r="AA6" s="244"/>
      <c r="AG6" s="101" t="s">
        <v>20</v>
      </c>
      <c r="AH6" s="245">
        <f>IF($AH$3&lt;&gt;0%,0,IF($B$6 &lt;&gt; "Yes",0, VLOOKUP($B$4, Rules!$A$6:$D$201, 2,FALSE)))</f>
        <v>0</v>
      </c>
      <c r="AI6" s="245">
        <f>IF($AH$3&lt;&gt;0%,0,IF($B$6 &lt;&gt; "Yes",0, VLOOKUP($B$4, Rules!$A$6:$D$201, 2,FALSE)))</f>
        <v>0</v>
      </c>
    </row>
    <row r="7" spans="1:63" x14ac:dyDescent="0.15">
      <c r="A7" s="94" t="s">
        <v>437</v>
      </c>
      <c r="B7" s="249">
        <v>2025</v>
      </c>
      <c r="C7" s="249"/>
      <c r="D7" s="210"/>
      <c r="E7" s="210"/>
      <c r="F7" s="210"/>
      <c r="G7" s="210"/>
      <c r="H7" s="210"/>
      <c r="I7" s="210"/>
      <c r="J7" s="210"/>
      <c r="K7" s="210"/>
      <c r="L7" s="210"/>
      <c r="M7" s="210"/>
      <c r="N7" s="210"/>
      <c r="O7" s="210"/>
      <c r="P7" s="210"/>
      <c r="Q7" s="210"/>
      <c r="R7" s="210"/>
      <c r="S7" s="210"/>
      <c r="V7" s="246"/>
      <c r="X7" s="250"/>
      <c r="Y7" s="244"/>
      <c r="AG7" s="101" t="s">
        <v>437</v>
      </c>
      <c r="AH7" s="245">
        <f>IF($AH$3&lt;&gt;0%,0,VLOOKUP($B$7, Rules!$F$6:$G$7, 2, FALSE))</f>
        <v>0</v>
      </c>
      <c r="AI7" s="245">
        <f>IF($AH$3&lt;&gt;0%,0,VLOOKUP($B$7, Rules!$F$6:$G$7, 2, FALSE))</f>
        <v>0</v>
      </c>
    </row>
    <row r="8" spans="1:63" x14ac:dyDescent="0.15">
      <c r="A8" s="94" t="s">
        <v>438</v>
      </c>
      <c r="B8" s="103" t="s">
        <v>426</v>
      </c>
      <c r="C8" s="103"/>
      <c r="D8" s="210"/>
      <c r="E8" s="210"/>
      <c r="F8" s="210"/>
      <c r="G8" s="210"/>
      <c r="H8" s="210"/>
      <c r="I8" s="210"/>
      <c r="J8" s="210"/>
      <c r="K8" s="210"/>
      <c r="L8" s="210"/>
      <c r="M8" s="210"/>
      <c r="N8" s="210"/>
      <c r="O8" s="210"/>
      <c r="P8" s="210"/>
      <c r="Q8" s="210"/>
      <c r="R8" s="210"/>
      <c r="S8" s="210"/>
      <c r="V8" s="246"/>
      <c r="AG8" s="101" t="s">
        <v>438</v>
      </c>
      <c r="AH8" s="147">
        <f>IF($AH$3&lt;&gt;0%,0,VLOOKUP($B$8, Rules!$M$6:$N$7, 2,FALSE))</f>
        <v>0</v>
      </c>
      <c r="AI8" s="147">
        <f>IF($AH$3&lt;&gt;0%,0,VLOOKUP($B$8, Rules!$M$6:$N$7, 2,FALSE))</f>
        <v>0</v>
      </c>
    </row>
    <row r="9" spans="1:63" s="101" customFormat="1" x14ac:dyDescent="0.15">
      <c r="A9" s="94" t="s">
        <v>423</v>
      </c>
      <c r="B9" s="103" t="s">
        <v>436</v>
      </c>
      <c r="C9" s="103"/>
      <c r="D9" s="210"/>
      <c r="E9" s="210"/>
      <c r="F9" s="210"/>
      <c r="G9" s="210"/>
      <c r="H9" s="210"/>
      <c r="I9" s="210"/>
      <c r="J9" s="210"/>
      <c r="K9" s="210"/>
      <c r="L9" s="210"/>
      <c r="M9" s="210"/>
      <c r="N9" s="210"/>
      <c r="O9" s="210"/>
      <c r="P9" s="210"/>
      <c r="Q9" s="210"/>
      <c r="R9" s="210"/>
      <c r="S9" s="210"/>
      <c r="V9" s="251"/>
      <c r="X9" s="249"/>
      <c r="Y9" s="249"/>
      <c r="Z9" s="249"/>
      <c r="AA9" s="249"/>
      <c r="AB9" s="249"/>
      <c r="AF9" s="252"/>
      <c r="AG9" s="101" t="s">
        <v>423</v>
      </c>
      <c r="AH9" s="147">
        <f>IF($AH$3&lt;&gt;0%,0,VLOOKUP($B$9, Rules!$I$6:$J$10, 2,FALSE))</f>
        <v>0</v>
      </c>
      <c r="AI9" s="147">
        <f>IF($AH$3&lt;&gt;0%,0,VLOOKUP($B$9, Rules!$I$6:$J$10, 2,FALSE))</f>
        <v>0</v>
      </c>
      <c r="AJ9" s="252"/>
      <c r="AK9" s="249"/>
      <c r="AL9" s="249"/>
      <c r="AM9" s="249"/>
      <c r="AN9" s="253"/>
      <c r="AO9" s="253"/>
      <c r="AP9" s="210"/>
      <c r="AQ9" s="210"/>
      <c r="AR9" s="210"/>
      <c r="AS9" s="210"/>
      <c r="AT9" s="210"/>
      <c r="AU9" s="210"/>
      <c r="AV9" s="210"/>
      <c r="AW9" s="210"/>
      <c r="AX9" s="210"/>
      <c r="AY9" s="210"/>
      <c r="AZ9" s="210"/>
      <c r="BA9" s="210"/>
      <c r="BB9" s="210"/>
      <c r="BC9" s="210"/>
      <c r="BD9" s="210"/>
      <c r="BE9" s="210"/>
      <c r="BF9" s="254"/>
      <c r="BG9" s="254"/>
      <c r="BH9" s="254"/>
      <c r="BI9" s="254"/>
      <c r="BJ9" s="111"/>
      <c r="BK9" s="111"/>
    </row>
    <row r="10" spans="1:63" s="101" customFormat="1" x14ac:dyDescent="0.15">
      <c r="A10" s="94" t="s">
        <v>425</v>
      </c>
      <c r="B10" s="103" t="s">
        <v>426</v>
      </c>
      <c r="C10" s="103"/>
      <c r="D10" s="210"/>
      <c r="E10" s="210"/>
      <c r="F10" s="210"/>
      <c r="G10" s="210"/>
      <c r="H10" s="210"/>
      <c r="I10" s="210"/>
      <c r="J10" s="210"/>
      <c r="K10" s="210"/>
      <c r="L10" s="210"/>
      <c r="M10" s="210"/>
      <c r="N10" s="210"/>
      <c r="O10" s="210"/>
      <c r="P10" s="210"/>
      <c r="Q10" s="210"/>
      <c r="R10" s="210"/>
      <c r="S10" s="210"/>
      <c r="V10" s="251"/>
      <c r="X10" s="220"/>
      <c r="Y10" s="249"/>
      <c r="Z10" s="249"/>
      <c r="AA10" s="249"/>
      <c r="AB10" s="249"/>
      <c r="AF10" s="252"/>
      <c r="AG10" s="101" t="s">
        <v>425</v>
      </c>
      <c r="AH10" s="147">
        <f>IF($AH$3&lt;&gt;0%,0,VLOOKUP($B$10, Rules!$K$6:$L$7, 2,FALSE))</f>
        <v>0</v>
      </c>
      <c r="AI10" s="147">
        <f>IF($AH$3&lt;&gt;0%,0,VLOOKUP($B$10, Rules!$K$6:$L$7, 2,FALSE))</f>
        <v>0</v>
      </c>
      <c r="AJ10" s="252"/>
      <c r="AK10" s="249"/>
      <c r="AL10" s="249"/>
      <c r="AM10" s="249"/>
      <c r="AN10" s="253"/>
      <c r="AO10" s="253"/>
      <c r="AP10" s="210"/>
      <c r="AQ10" s="210"/>
      <c r="AR10" s="210"/>
      <c r="AS10" s="210"/>
      <c r="AT10" s="210"/>
      <c r="AU10" s="210"/>
      <c r="AV10" s="210"/>
      <c r="AW10" s="210"/>
      <c r="AX10" s="210"/>
      <c r="AY10" s="210"/>
      <c r="AZ10" s="210"/>
      <c r="BA10" s="210"/>
      <c r="BB10" s="210"/>
      <c r="BC10" s="210"/>
      <c r="BD10" s="210"/>
      <c r="BE10" s="210"/>
      <c r="BF10" s="254"/>
      <c r="BG10" s="254"/>
      <c r="BH10" s="254"/>
      <c r="BI10" s="254"/>
      <c r="BJ10" s="111"/>
      <c r="BK10" s="111"/>
    </row>
    <row r="11" spans="1:63" s="101" customFormat="1" x14ac:dyDescent="0.15">
      <c r="B11" s="103"/>
      <c r="C11" s="103"/>
      <c r="D11" s="210"/>
      <c r="E11" s="210"/>
      <c r="F11" s="210"/>
      <c r="G11" s="210"/>
      <c r="H11" s="210"/>
      <c r="I11" s="210"/>
      <c r="J11" s="210"/>
      <c r="K11" s="210"/>
      <c r="L11" s="210"/>
      <c r="M11" s="210"/>
      <c r="N11" s="210"/>
      <c r="O11" s="210"/>
      <c r="P11" s="210"/>
      <c r="Q11" s="210"/>
      <c r="R11" s="210"/>
      <c r="S11" s="210"/>
      <c r="V11" s="251"/>
      <c r="W11" s="255"/>
      <c r="X11" s="252"/>
      <c r="Y11" s="252"/>
      <c r="Z11" s="252"/>
      <c r="AA11" s="252"/>
      <c r="AB11" s="249"/>
      <c r="AF11" s="249"/>
      <c r="AJ11" s="253"/>
      <c r="AK11" s="249"/>
      <c r="AL11" s="249"/>
      <c r="AM11" s="249"/>
      <c r="AN11" s="249"/>
      <c r="AO11" s="249"/>
      <c r="AP11" s="210"/>
      <c r="AQ11" s="210"/>
      <c r="AR11" s="210"/>
      <c r="AS11" s="210"/>
      <c r="AT11" s="210"/>
      <c r="AU11" s="210"/>
      <c r="AV11" s="210"/>
      <c r="AW11" s="210"/>
      <c r="AX11" s="210"/>
      <c r="AY11" s="210"/>
      <c r="AZ11" s="210"/>
      <c r="BA11" s="254"/>
      <c r="BB11" s="254"/>
      <c r="BC11" s="254"/>
      <c r="BD11" s="254"/>
      <c r="BE11" s="111"/>
      <c r="BF11" s="111"/>
    </row>
    <row r="12" spans="1:63" s="101" customFormat="1" x14ac:dyDescent="0.15">
      <c r="V12" s="210"/>
      <c r="Y12" s="252"/>
      <c r="Z12" s="252"/>
      <c r="AA12" s="252"/>
      <c r="AB12" s="249"/>
      <c r="AF12" s="249"/>
      <c r="AG12" s="101" t="s">
        <v>92</v>
      </c>
      <c r="AH12" s="147">
        <f>(1/(1-AH3)/(1-AH4)/(1-AH7)/(1-AH5)/(1-AH6)/(1-AH9)/(1-AH10)/(1-AH8))</f>
        <v>1.0010010010010011</v>
      </c>
      <c r="AI12" s="147">
        <f>(1/(1-AI3)/(1-AI4)/(1-AI7)/(1-AI5)/(1-AI6)/(1-AI9)/(1-AI10)/(1-AI8))</f>
        <v>1.0010010010010011</v>
      </c>
      <c r="AJ12" s="253"/>
      <c r="AK12" s="249"/>
      <c r="AL12" s="249"/>
      <c r="AM12" s="249"/>
      <c r="AN12" s="249"/>
      <c r="AO12" s="249"/>
      <c r="AP12" s="210"/>
      <c r="AQ12" s="210"/>
      <c r="AR12" s="210"/>
      <c r="AS12" s="210"/>
      <c r="AT12" s="210"/>
      <c r="AU12" s="210"/>
      <c r="AV12" s="210"/>
      <c r="AW12" s="210"/>
      <c r="AX12" s="210"/>
      <c r="AY12" s="210"/>
      <c r="AZ12" s="210"/>
      <c r="BA12" s="254"/>
      <c r="BB12" s="254"/>
      <c r="BC12" s="254"/>
      <c r="BD12" s="254"/>
      <c r="BE12" s="111"/>
      <c r="BF12" s="111"/>
    </row>
    <row r="13" spans="1:63" s="101" customFormat="1" x14ac:dyDescent="0.15">
      <c r="V13" s="210"/>
      <c r="W13" s="210"/>
      <c r="AB13" s="210"/>
      <c r="AC13" s="210"/>
      <c r="AD13" s="210"/>
      <c r="AF13" s="249"/>
      <c r="AG13" s="249"/>
      <c r="AH13" s="249"/>
      <c r="AI13" s="253"/>
      <c r="AJ13" s="253"/>
      <c r="AK13" s="249"/>
      <c r="AL13" s="249"/>
      <c r="AM13" s="249"/>
      <c r="AN13" s="249"/>
      <c r="AO13" s="249"/>
      <c r="AP13" s="210"/>
      <c r="AQ13" s="210"/>
      <c r="AR13" s="210"/>
      <c r="AS13" s="210"/>
      <c r="AT13" s="210"/>
      <c r="AU13" s="210"/>
      <c r="AV13" s="210"/>
      <c r="AW13" s="210"/>
      <c r="AX13" s="210"/>
      <c r="AY13" s="210"/>
      <c r="AZ13" s="210"/>
      <c r="BA13" s="254"/>
      <c r="BB13" s="254"/>
      <c r="BC13" s="254"/>
      <c r="BD13" s="254"/>
      <c r="BE13" s="111"/>
      <c r="BF13" s="111"/>
    </row>
    <row r="14" spans="1:63" s="101" customFormat="1" x14ac:dyDescent="0.15">
      <c r="A14" s="121" t="s">
        <v>463</v>
      </c>
      <c r="B14" s="99" t="s">
        <v>464</v>
      </c>
      <c r="C14" s="99"/>
      <c r="E14" s="104" t="s">
        <v>454</v>
      </c>
      <c r="F14" s="104" t="s">
        <v>454</v>
      </c>
      <c r="G14" s="104" t="s">
        <v>454</v>
      </c>
      <c r="H14" s="104" t="s">
        <v>454</v>
      </c>
      <c r="I14" s="104" t="s">
        <v>452</v>
      </c>
      <c r="J14" s="104" t="s">
        <v>452</v>
      </c>
      <c r="K14" s="104" t="s">
        <v>454</v>
      </c>
      <c r="L14" s="104" t="s">
        <v>454</v>
      </c>
      <c r="M14" s="104"/>
      <c r="N14" s="104" t="s">
        <v>454</v>
      </c>
      <c r="O14" s="104" t="s">
        <v>454</v>
      </c>
      <c r="P14" s="104" t="s">
        <v>454</v>
      </c>
      <c r="Q14" s="104" t="s">
        <v>454</v>
      </c>
      <c r="R14" s="104" t="s">
        <v>454</v>
      </c>
      <c r="S14" s="104" t="s">
        <v>454</v>
      </c>
      <c r="T14" s="104" t="s">
        <v>454</v>
      </c>
      <c r="U14" s="104" t="s">
        <v>454</v>
      </c>
      <c r="V14" s="104" t="s">
        <v>454</v>
      </c>
      <c r="W14" s="104" t="s">
        <v>454</v>
      </c>
      <c r="X14" s="104" t="s">
        <v>455</v>
      </c>
      <c r="Y14" s="104" t="s">
        <v>660</v>
      </c>
      <c r="Z14" s="104" t="s">
        <v>454</v>
      </c>
      <c r="AA14" s="104" t="s">
        <v>454</v>
      </c>
      <c r="AB14" s="104" t="s">
        <v>660</v>
      </c>
      <c r="AC14" s="285" t="str">
        <f>B14</f>
        <v>Power</v>
      </c>
      <c r="AD14" s="210"/>
      <c r="AF14" s="249"/>
      <c r="AG14" s="249"/>
      <c r="AH14" s="249"/>
      <c r="AI14" s="253"/>
      <c r="AJ14" s="253"/>
      <c r="AK14" s="249"/>
      <c r="AL14" s="249"/>
      <c r="AM14" s="249"/>
      <c r="AN14" s="249"/>
      <c r="AO14" s="249"/>
      <c r="AP14" s="210"/>
      <c r="AQ14" s="210"/>
      <c r="AR14" s="210"/>
      <c r="AS14" s="210"/>
      <c r="AT14" s="210"/>
      <c r="AU14" s="210"/>
      <c r="AV14" s="210"/>
      <c r="AW14" s="210"/>
      <c r="AX14" s="210"/>
      <c r="AY14" s="210"/>
      <c r="AZ14" s="210"/>
      <c r="BA14" s="254"/>
      <c r="BB14" s="254"/>
      <c r="BC14" s="254"/>
      <c r="BD14" s="254"/>
      <c r="BE14" s="111"/>
      <c r="BF14" s="111"/>
    </row>
    <row r="15" spans="1:63" s="101" customFormat="1" x14ac:dyDescent="0.15">
      <c r="A15" s="94"/>
      <c r="B15" s="99" t="s">
        <v>509</v>
      </c>
      <c r="C15" s="99"/>
      <c r="P15" s="256">
        <v>0</v>
      </c>
      <c r="Q15" s="256"/>
      <c r="U15" s="176"/>
      <c r="V15" s="176"/>
      <c r="W15" s="256">
        <v>0</v>
      </c>
      <c r="X15" s="256">
        <v>2</v>
      </c>
      <c r="Y15" s="256">
        <v>0</v>
      </c>
      <c r="Z15" s="256">
        <v>2</v>
      </c>
      <c r="AA15" s="256">
        <v>2</v>
      </c>
      <c r="AB15" s="256">
        <v>0</v>
      </c>
      <c r="AC15" s="285" t="str">
        <f t="shared" ref="AC15:AC36" si="0">B15</f>
        <v>Extra powder inlets</v>
      </c>
      <c r="AD15" s="210"/>
      <c r="AF15" s="249"/>
      <c r="AG15" s="249"/>
      <c r="AH15" s="249"/>
      <c r="AI15" s="253"/>
      <c r="AJ15" s="253"/>
      <c r="AK15" s="249"/>
      <c r="AL15" s="249"/>
      <c r="AM15" s="249"/>
      <c r="AN15" s="249"/>
      <c r="AO15" s="249"/>
      <c r="AP15" s="210"/>
      <c r="AQ15" s="210"/>
      <c r="AR15" s="210"/>
      <c r="AS15" s="210"/>
      <c r="AT15" s="210"/>
      <c r="AU15" s="210"/>
      <c r="AV15" s="210"/>
      <c r="AW15" s="210"/>
      <c r="AX15" s="210"/>
      <c r="AY15" s="210"/>
      <c r="AZ15" s="210"/>
      <c r="BA15" s="254"/>
      <c r="BB15" s="254"/>
      <c r="BC15" s="254"/>
      <c r="BD15" s="254"/>
      <c r="BE15" s="111"/>
      <c r="BF15" s="111"/>
    </row>
    <row r="16" spans="1:63" s="101" customFormat="1" x14ac:dyDescent="0.15">
      <c r="A16" s="94"/>
      <c r="B16" s="99" t="s">
        <v>508</v>
      </c>
      <c r="C16" s="99"/>
      <c r="H16" s="112" t="s">
        <v>433</v>
      </c>
      <c r="N16" s="112" t="s">
        <v>432</v>
      </c>
      <c r="O16" s="112" t="s">
        <v>433</v>
      </c>
      <c r="P16" s="176" t="s">
        <v>433</v>
      </c>
      <c r="Q16" s="176"/>
      <c r="R16" s="176" t="s">
        <v>433</v>
      </c>
      <c r="S16" s="176" t="s">
        <v>433</v>
      </c>
      <c r="T16" s="176" t="s">
        <v>433</v>
      </c>
      <c r="U16" s="176" t="s">
        <v>433</v>
      </c>
      <c r="V16" s="176" t="s">
        <v>433</v>
      </c>
      <c r="W16" s="176" t="s">
        <v>433</v>
      </c>
      <c r="X16" s="176" t="s">
        <v>432</v>
      </c>
      <c r="Y16" s="176" t="s">
        <v>433</v>
      </c>
      <c r="Z16" s="176" t="s">
        <v>433</v>
      </c>
      <c r="AA16" s="176" t="s">
        <v>432</v>
      </c>
      <c r="AB16" s="176" t="s">
        <v>433</v>
      </c>
      <c r="AC16" s="285" t="str">
        <f t="shared" si="0"/>
        <v>V50 TinkTop</v>
      </c>
      <c r="AD16" s="210"/>
      <c r="AF16" s="249"/>
      <c r="AG16" s="249"/>
      <c r="AH16" s="249"/>
      <c r="AI16" s="253"/>
      <c r="AJ16" s="253"/>
      <c r="AK16" s="249"/>
      <c r="AL16" s="249"/>
      <c r="AM16" s="249"/>
      <c r="AN16" s="249"/>
      <c r="AO16" s="249"/>
      <c r="AP16" s="210"/>
      <c r="AQ16" s="210"/>
      <c r="AR16" s="210"/>
      <c r="AS16" s="210"/>
      <c r="AT16" s="210"/>
      <c r="AU16" s="210"/>
      <c r="AV16" s="210"/>
      <c r="AW16" s="210"/>
      <c r="AX16" s="210"/>
      <c r="AY16" s="210"/>
      <c r="AZ16" s="210"/>
      <c r="BA16" s="254"/>
      <c r="BB16" s="254"/>
      <c r="BC16" s="254"/>
      <c r="BD16" s="254"/>
      <c r="BE16" s="111"/>
      <c r="BF16" s="111"/>
    </row>
    <row r="17" spans="1:58" s="101" customFormat="1" x14ac:dyDescent="0.15">
      <c r="A17" s="94"/>
      <c r="B17" s="99" t="s">
        <v>642</v>
      </c>
      <c r="C17" s="99"/>
      <c r="P17" s="176" t="s">
        <v>651</v>
      </c>
      <c r="Q17" s="176"/>
      <c r="V17" s="210"/>
      <c r="W17" s="176" t="s">
        <v>653</v>
      </c>
      <c r="X17" s="176" t="s">
        <v>653</v>
      </c>
      <c r="Y17" s="176" t="s">
        <v>653</v>
      </c>
      <c r="Z17" s="176" t="s">
        <v>1453</v>
      </c>
      <c r="AA17" s="176" t="s">
        <v>653</v>
      </c>
      <c r="AB17" s="176" t="s">
        <v>653</v>
      </c>
      <c r="AC17" s="285" t="str">
        <f t="shared" si="0"/>
        <v>Vacuum pump</v>
      </c>
      <c r="AD17" s="210"/>
      <c r="AF17" s="249"/>
      <c r="AG17" s="249"/>
      <c r="AH17" s="249"/>
      <c r="AI17" s="253"/>
      <c r="AJ17" s="253"/>
      <c r="AK17" s="249"/>
      <c r="AL17" s="249"/>
      <c r="AM17" s="249"/>
      <c r="AN17" s="249"/>
      <c r="AO17" s="249"/>
      <c r="AP17" s="210"/>
      <c r="AQ17" s="210"/>
      <c r="AR17" s="210"/>
      <c r="AS17" s="210"/>
      <c r="AT17" s="210"/>
      <c r="AU17" s="210"/>
      <c r="AV17" s="210"/>
      <c r="AW17" s="210"/>
      <c r="AX17" s="210"/>
      <c r="AY17" s="210"/>
      <c r="AZ17" s="210"/>
      <c r="BA17" s="254"/>
      <c r="BB17" s="254"/>
      <c r="BC17" s="254"/>
      <c r="BD17" s="254"/>
      <c r="BE17" s="111"/>
      <c r="BF17" s="111"/>
    </row>
    <row r="18" spans="1:58" s="101" customFormat="1" x14ac:dyDescent="0.15">
      <c r="A18" s="94"/>
      <c r="B18" s="99" t="s">
        <v>1532</v>
      </c>
      <c r="C18" s="99"/>
      <c r="I18" s="176" t="s">
        <v>1533</v>
      </c>
      <c r="J18" s="176" t="s">
        <v>1533</v>
      </c>
      <c r="K18" s="176" t="s">
        <v>1533</v>
      </c>
      <c r="L18" s="176" t="s">
        <v>73</v>
      </c>
      <c r="M18" s="176" t="s">
        <v>1533</v>
      </c>
      <c r="N18" s="176" t="s">
        <v>73</v>
      </c>
      <c r="O18" s="176" t="s">
        <v>1533</v>
      </c>
      <c r="P18" s="176" t="s">
        <v>73</v>
      </c>
      <c r="Q18" s="176"/>
      <c r="R18" s="176" t="s">
        <v>1533</v>
      </c>
      <c r="S18" s="176" t="s">
        <v>1533</v>
      </c>
      <c r="T18" s="176" t="s">
        <v>1533</v>
      </c>
      <c r="U18" s="176" t="s">
        <v>73</v>
      </c>
      <c r="V18" s="176" t="s">
        <v>73</v>
      </c>
      <c r="W18" s="176" t="s">
        <v>73</v>
      </c>
      <c r="X18" s="176" t="s">
        <v>73</v>
      </c>
      <c r="Y18" s="176" t="s">
        <v>73</v>
      </c>
      <c r="Z18" s="176" t="s">
        <v>1533</v>
      </c>
      <c r="AA18" s="176" t="s">
        <v>73</v>
      </c>
      <c r="AB18" s="176" t="s">
        <v>73</v>
      </c>
      <c r="AC18" s="285" t="str">
        <f t="shared" si="0"/>
        <v>Foot brand</v>
      </c>
      <c r="AD18" s="210"/>
      <c r="AF18" s="249"/>
      <c r="AG18" s="249"/>
      <c r="AH18" s="249"/>
      <c r="AI18" s="253"/>
      <c r="AJ18" s="253"/>
      <c r="AK18" s="249"/>
      <c r="AL18" s="249"/>
      <c r="AM18" s="249"/>
      <c r="AN18" s="249"/>
      <c r="AO18" s="249"/>
      <c r="AP18" s="210"/>
      <c r="AQ18" s="210"/>
      <c r="AR18" s="210"/>
      <c r="AS18" s="210"/>
      <c r="AT18" s="210"/>
      <c r="AU18" s="210"/>
      <c r="AV18" s="210"/>
      <c r="AW18" s="210"/>
      <c r="AX18" s="210"/>
      <c r="AY18" s="210"/>
      <c r="AZ18" s="210"/>
      <c r="BA18" s="254"/>
      <c r="BB18" s="254"/>
      <c r="BC18" s="254"/>
      <c r="BD18" s="254"/>
      <c r="BE18" s="111"/>
      <c r="BF18" s="111"/>
    </row>
    <row r="19" spans="1:58" s="101" customFormat="1" x14ac:dyDescent="0.15">
      <c r="A19" s="94"/>
      <c r="B19" s="99" t="s">
        <v>1556</v>
      </c>
      <c r="C19" s="99"/>
      <c r="I19" s="176"/>
      <c r="J19" s="176"/>
      <c r="K19" s="176"/>
      <c r="L19" s="176"/>
      <c r="M19" s="176"/>
      <c r="N19" s="176"/>
      <c r="O19" s="176"/>
      <c r="P19" s="176" t="s">
        <v>1559</v>
      </c>
      <c r="Q19" s="176"/>
      <c r="R19" s="176" t="s">
        <v>1564</v>
      </c>
      <c r="S19" s="176" t="s">
        <v>1564</v>
      </c>
      <c r="T19" s="176" t="s">
        <v>1564</v>
      </c>
      <c r="U19" s="176" t="s">
        <v>1559</v>
      </c>
      <c r="V19" s="176" t="s">
        <v>1559</v>
      </c>
      <c r="W19" s="176" t="s">
        <v>1559</v>
      </c>
      <c r="X19" s="176" t="s">
        <v>1559</v>
      </c>
      <c r="Y19" s="176" t="s">
        <v>1559</v>
      </c>
      <c r="Z19" s="176" t="s">
        <v>1559</v>
      </c>
      <c r="AA19" s="176" t="s">
        <v>1559</v>
      </c>
      <c r="AB19" s="176" t="s">
        <v>1559</v>
      </c>
      <c r="AC19" s="285" t="str">
        <f t="shared" si="0"/>
        <v>Site glass brand</v>
      </c>
      <c r="AD19" s="210"/>
      <c r="AF19" s="249"/>
      <c r="AG19" s="249"/>
      <c r="AH19" s="249"/>
      <c r="AI19" s="253"/>
      <c r="AJ19" s="253"/>
      <c r="AK19" s="249"/>
      <c r="AL19" s="249"/>
      <c r="AM19" s="249"/>
      <c r="AN19" s="249"/>
      <c r="AO19" s="249"/>
      <c r="AP19" s="210"/>
      <c r="AQ19" s="210"/>
      <c r="AR19" s="210"/>
      <c r="AS19" s="210"/>
      <c r="AT19" s="210"/>
      <c r="AU19" s="210"/>
      <c r="AV19" s="210"/>
      <c r="AW19" s="210"/>
      <c r="AX19" s="210"/>
      <c r="AY19" s="210"/>
      <c r="AZ19" s="210"/>
      <c r="BA19" s="254"/>
      <c r="BB19" s="254"/>
      <c r="BC19" s="254"/>
      <c r="BD19" s="254"/>
      <c r="BE19" s="111"/>
      <c r="BF19" s="111"/>
    </row>
    <row r="20" spans="1:58" s="101" customFormat="1" x14ac:dyDescent="0.15">
      <c r="A20" s="94"/>
      <c r="B20" s="99" t="s">
        <v>786</v>
      </c>
      <c r="C20" s="99"/>
      <c r="P20" s="176" t="s">
        <v>432</v>
      </c>
      <c r="Q20" s="176"/>
      <c r="R20" s="176" t="s">
        <v>433</v>
      </c>
      <c r="S20" s="176" t="s">
        <v>433</v>
      </c>
      <c r="T20" s="176" t="s">
        <v>433</v>
      </c>
      <c r="U20" s="176" t="s">
        <v>432</v>
      </c>
      <c r="V20" s="176" t="s">
        <v>432</v>
      </c>
      <c r="W20" s="176" t="s">
        <v>432</v>
      </c>
      <c r="X20" s="176" t="s">
        <v>432</v>
      </c>
      <c r="Y20" s="176" t="s">
        <v>432</v>
      </c>
      <c r="Z20" s="176" t="s">
        <v>432</v>
      </c>
      <c r="AA20" s="176" t="s">
        <v>432</v>
      </c>
      <c r="AB20" s="176" t="s">
        <v>432</v>
      </c>
      <c r="AC20" s="285" t="str">
        <f t="shared" si="0"/>
        <v>CIP opiton</v>
      </c>
      <c r="AD20" s="210"/>
      <c r="AF20" s="249"/>
      <c r="AG20" s="249"/>
      <c r="AH20" s="249"/>
      <c r="AI20" s="253"/>
      <c r="AJ20" s="253"/>
      <c r="AK20" s="249"/>
      <c r="AL20" s="249"/>
      <c r="AM20" s="249"/>
      <c r="AN20" s="249"/>
      <c r="AO20" s="249"/>
      <c r="AP20" s="210"/>
      <c r="AQ20" s="210"/>
      <c r="AR20" s="210"/>
      <c r="AS20" s="210"/>
      <c r="AT20" s="210"/>
      <c r="AU20" s="210"/>
      <c r="AV20" s="210"/>
      <c r="AW20" s="210"/>
      <c r="AX20" s="210"/>
      <c r="AY20" s="210"/>
      <c r="AZ20" s="210"/>
      <c r="BA20" s="254"/>
      <c r="BB20" s="254"/>
      <c r="BC20" s="254"/>
      <c r="BD20" s="254"/>
      <c r="BE20" s="111"/>
      <c r="BF20" s="111"/>
    </row>
    <row r="21" spans="1:58" s="101" customFormat="1" x14ac:dyDescent="0.15">
      <c r="A21" s="94"/>
      <c r="B21" s="99" t="s">
        <v>1405</v>
      </c>
      <c r="C21" s="99"/>
      <c r="P21" s="176" t="s">
        <v>432</v>
      </c>
      <c r="Q21" s="176"/>
      <c r="R21" s="176" t="s">
        <v>433</v>
      </c>
      <c r="S21" s="176" t="s">
        <v>433</v>
      </c>
      <c r="T21" s="176" t="s">
        <v>433</v>
      </c>
      <c r="U21" s="176" t="s">
        <v>432</v>
      </c>
      <c r="V21" s="176" t="s">
        <v>432</v>
      </c>
      <c r="W21" s="176" t="s">
        <v>432</v>
      </c>
      <c r="X21" s="176" t="s">
        <v>432</v>
      </c>
      <c r="Y21" s="176" t="s">
        <v>432</v>
      </c>
      <c r="Z21" s="176" t="s">
        <v>432</v>
      </c>
      <c r="AA21" s="176" t="s">
        <v>432</v>
      </c>
      <c r="AB21" s="176" t="s">
        <v>432</v>
      </c>
      <c r="AC21" s="285" t="str">
        <f t="shared" si="0"/>
        <v>Non-foam</v>
      </c>
      <c r="AD21" s="210"/>
      <c r="AF21" s="249"/>
      <c r="AG21" s="249"/>
      <c r="AH21" s="249"/>
      <c r="AI21" s="253"/>
      <c r="AJ21" s="253"/>
      <c r="AK21" s="249"/>
      <c r="AL21" s="249"/>
      <c r="AM21" s="249"/>
      <c r="AN21" s="249"/>
      <c r="AO21" s="249"/>
      <c r="AP21" s="210"/>
      <c r="AQ21" s="210"/>
      <c r="AR21" s="210"/>
      <c r="AS21" s="210"/>
      <c r="AT21" s="210"/>
      <c r="AU21" s="210"/>
      <c r="AV21" s="210"/>
      <c r="AW21" s="210"/>
      <c r="AX21" s="210"/>
      <c r="AY21" s="210"/>
      <c r="AZ21" s="210"/>
      <c r="BA21" s="254"/>
      <c r="BB21" s="254"/>
      <c r="BC21" s="254"/>
      <c r="BD21" s="254"/>
      <c r="BE21" s="111"/>
      <c r="BF21" s="111"/>
    </row>
    <row r="22" spans="1:58" s="101" customFormat="1" x14ac:dyDescent="0.15">
      <c r="A22" s="94"/>
      <c r="B22" s="99" t="s">
        <v>787</v>
      </c>
      <c r="C22" s="99"/>
      <c r="P22" s="176" t="s">
        <v>432</v>
      </c>
      <c r="Q22" s="176"/>
      <c r="R22" s="176" t="s">
        <v>433</v>
      </c>
      <c r="S22" s="176" t="s">
        <v>433</v>
      </c>
      <c r="T22" s="176" t="s">
        <v>433</v>
      </c>
      <c r="U22" s="176" t="s">
        <v>433</v>
      </c>
      <c r="V22" s="176" t="s">
        <v>433</v>
      </c>
      <c r="W22" s="176" t="s">
        <v>432</v>
      </c>
      <c r="X22" s="176" t="s">
        <v>432</v>
      </c>
      <c r="Y22" s="176" t="s">
        <v>432</v>
      </c>
      <c r="Z22" s="176" t="s">
        <v>433</v>
      </c>
      <c r="AA22" s="176" t="s">
        <v>432</v>
      </c>
      <c r="AB22" s="176" t="s">
        <v>432</v>
      </c>
      <c r="AC22" s="285" t="str">
        <f t="shared" si="0"/>
        <v>Tangential inlet</v>
      </c>
      <c r="AD22" s="210"/>
      <c r="AF22" s="249"/>
      <c r="AG22" s="249"/>
      <c r="AH22" s="249"/>
      <c r="AI22" s="253"/>
      <c r="AJ22" s="253"/>
      <c r="AK22" s="249"/>
      <c r="AL22" s="249"/>
      <c r="AM22" s="249"/>
      <c r="AN22" s="249"/>
      <c r="AO22" s="249"/>
      <c r="AP22" s="210"/>
      <c r="AQ22" s="210"/>
      <c r="AR22" s="210"/>
      <c r="AS22" s="210"/>
      <c r="AT22" s="210"/>
      <c r="AU22" s="210"/>
      <c r="AV22" s="210"/>
      <c r="AW22" s="210"/>
      <c r="AX22" s="210"/>
      <c r="AY22" s="210"/>
      <c r="AZ22" s="210"/>
      <c r="BA22" s="254"/>
      <c r="BB22" s="254"/>
      <c r="BC22" s="254"/>
      <c r="BD22" s="254"/>
      <c r="BE22" s="111"/>
      <c r="BF22" s="111"/>
    </row>
    <row r="23" spans="1:58" s="101" customFormat="1" x14ac:dyDescent="0.15">
      <c r="A23" s="94"/>
      <c r="B23" s="99" t="s">
        <v>788</v>
      </c>
      <c r="C23" s="99"/>
      <c r="P23" s="176" t="s">
        <v>432</v>
      </c>
      <c r="Q23" s="176"/>
      <c r="R23" s="176"/>
      <c r="S23" s="176"/>
      <c r="T23" s="176"/>
      <c r="U23" s="176"/>
      <c r="V23" s="176"/>
      <c r="W23" s="176" t="s">
        <v>432</v>
      </c>
      <c r="X23" s="176" t="s">
        <v>432</v>
      </c>
      <c r="Y23" s="176" t="s">
        <v>432</v>
      </c>
      <c r="Z23" s="176" t="s">
        <v>432</v>
      </c>
      <c r="AA23" s="176" t="s">
        <v>432</v>
      </c>
      <c r="AB23" s="176" t="s">
        <v>432</v>
      </c>
      <c r="AC23" s="285" t="str">
        <f t="shared" si="0"/>
        <v>Minor ingredients tank connection (MBV)</v>
      </c>
      <c r="AD23" s="210"/>
      <c r="AF23" s="249"/>
      <c r="AG23" s="249"/>
      <c r="AH23" s="249"/>
      <c r="AI23" s="253"/>
      <c r="AJ23" s="253"/>
      <c r="AK23" s="249"/>
      <c r="AL23" s="249"/>
      <c r="AM23" s="249"/>
      <c r="AN23" s="249"/>
      <c r="AO23" s="249"/>
      <c r="AP23" s="210"/>
      <c r="AQ23" s="210"/>
      <c r="AR23" s="210"/>
      <c r="AS23" s="210"/>
      <c r="AT23" s="210"/>
      <c r="AU23" s="210"/>
      <c r="AV23" s="210"/>
      <c r="AW23" s="210"/>
      <c r="AX23" s="210"/>
      <c r="AY23" s="210"/>
      <c r="AZ23" s="210"/>
      <c r="BA23" s="254"/>
      <c r="BB23" s="254"/>
      <c r="BC23" s="254"/>
      <c r="BD23" s="254"/>
      <c r="BE23" s="111"/>
      <c r="BF23" s="111"/>
    </row>
    <row r="24" spans="1:58" s="101" customFormat="1" x14ac:dyDescent="0.15">
      <c r="A24" s="94"/>
      <c r="B24" s="99" t="s">
        <v>810</v>
      </c>
      <c r="C24" s="99"/>
      <c r="P24" s="176" t="s">
        <v>433</v>
      </c>
      <c r="Q24" s="176"/>
      <c r="T24" s="176" t="s">
        <v>433</v>
      </c>
      <c r="V24" s="210"/>
      <c r="W24" s="210"/>
      <c r="X24" s="176" t="s">
        <v>433</v>
      </c>
      <c r="Y24" s="176" t="s">
        <v>433</v>
      </c>
      <c r="AA24" s="176" t="s">
        <v>433</v>
      </c>
      <c r="AB24" s="176" t="s">
        <v>433</v>
      </c>
      <c r="AC24" s="285" t="str">
        <f t="shared" si="0"/>
        <v>300 mm impeller system</v>
      </c>
      <c r="AD24" s="210"/>
      <c r="AF24" s="249"/>
      <c r="AG24" s="249"/>
      <c r="AH24" s="249"/>
      <c r="AI24" s="253"/>
      <c r="AJ24" s="253"/>
      <c r="AK24" s="249"/>
      <c r="AL24" s="249"/>
      <c r="AM24" s="249"/>
      <c r="AN24" s="249"/>
      <c r="AO24" s="249"/>
      <c r="AP24" s="210"/>
      <c r="AQ24" s="210"/>
      <c r="AR24" s="210"/>
      <c r="AS24" s="210"/>
      <c r="AT24" s="210"/>
      <c r="AU24" s="210"/>
      <c r="AV24" s="210"/>
      <c r="AW24" s="210"/>
      <c r="AX24" s="210"/>
      <c r="AY24" s="210"/>
      <c r="AZ24" s="210"/>
      <c r="BA24" s="254"/>
      <c r="BB24" s="254"/>
      <c r="BC24" s="254"/>
      <c r="BD24" s="254"/>
      <c r="BE24" s="111"/>
      <c r="BF24" s="111"/>
    </row>
    <row r="25" spans="1:58" s="101" customFormat="1" x14ac:dyDescent="0.15">
      <c r="A25" s="94"/>
      <c r="B25" s="99" t="s">
        <v>1382</v>
      </c>
      <c r="C25" s="99"/>
      <c r="P25" s="176" t="s">
        <v>433</v>
      </c>
      <c r="Q25" s="176"/>
      <c r="R25" s="176" t="s">
        <v>433</v>
      </c>
      <c r="S25" s="176" t="s">
        <v>433</v>
      </c>
      <c r="T25" s="176" t="s">
        <v>433</v>
      </c>
      <c r="U25" s="176" t="s">
        <v>433</v>
      </c>
      <c r="V25" s="176" t="s">
        <v>433</v>
      </c>
      <c r="W25" s="176" t="s">
        <v>433</v>
      </c>
      <c r="X25" s="176" t="s">
        <v>432</v>
      </c>
      <c r="Y25" s="176" t="s">
        <v>433</v>
      </c>
      <c r="Z25" s="176" t="s">
        <v>433</v>
      </c>
      <c r="AA25" s="176" t="s">
        <v>433</v>
      </c>
      <c r="AB25" s="176" t="s">
        <v>433</v>
      </c>
      <c r="AC25" s="285" t="str">
        <f t="shared" si="0"/>
        <v>Insulation &amp; Cladding</v>
      </c>
      <c r="AD25" s="210"/>
      <c r="AF25" s="249"/>
      <c r="AG25" s="249"/>
      <c r="AH25" s="249"/>
      <c r="AI25" s="253"/>
      <c r="AJ25" s="253"/>
      <c r="AK25" s="249"/>
      <c r="AL25" s="249"/>
      <c r="AM25" s="249"/>
      <c r="AN25" s="249"/>
      <c r="AO25" s="249"/>
      <c r="AP25" s="210"/>
      <c r="AQ25" s="210"/>
      <c r="AR25" s="210"/>
      <c r="AS25" s="210"/>
      <c r="AT25" s="210"/>
      <c r="AU25" s="210"/>
      <c r="AV25" s="210"/>
      <c r="AW25" s="210"/>
      <c r="AX25" s="210"/>
      <c r="AY25" s="210"/>
      <c r="AZ25" s="210"/>
      <c r="BA25" s="254"/>
      <c r="BB25" s="254"/>
      <c r="BC25" s="254"/>
      <c r="BD25" s="254"/>
      <c r="BE25" s="111"/>
      <c r="BF25" s="111"/>
    </row>
    <row r="26" spans="1:58" s="101" customFormat="1" x14ac:dyDescent="0.15">
      <c r="A26" s="94"/>
      <c r="B26" s="99" t="s">
        <v>1406</v>
      </c>
      <c r="C26" s="99"/>
      <c r="P26" s="176" t="s">
        <v>433</v>
      </c>
      <c r="Q26" s="176"/>
      <c r="R26" s="176" t="s">
        <v>433</v>
      </c>
      <c r="S26" s="176" t="s">
        <v>433</v>
      </c>
      <c r="T26" s="176" t="s">
        <v>433</v>
      </c>
      <c r="U26" s="176" t="s">
        <v>433</v>
      </c>
      <c r="V26" s="176" t="s">
        <v>433</v>
      </c>
      <c r="W26" s="176" t="s">
        <v>433</v>
      </c>
      <c r="X26" s="176" t="s">
        <v>433</v>
      </c>
      <c r="Y26" s="176" t="s">
        <v>433</v>
      </c>
      <c r="Z26" s="176" t="s">
        <v>432</v>
      </c>
      <c r="AA26" s="176" t="s">
        <v>432</v>
      </c>
      <c r="AB26" s="176" t="s">
        <v>432</v>
      </c>
      <c r="AC26" s="285" t="str">
        <f t="shared" si="0"/>
        <v>Jacket, Insulation &amp; Cladding</v>
      </c>
      <c r="AD26" s="210"/>
      <c r="AF26" s="249"/>
      <c r="AG26" s="249"/>
      <c r="AH26" s="249"/>
      <c r="AI26" s="253"/>
      <c r="AJ26" s="253"/>
      <c r="AK26" s="249"/>
      <c r="AL26" s="249"/>
      <c r="AM26" s="249"/>
      <c r="AN26" s="249"/>
      <c r="AO26" s="249"/>
      <c r="AP26" s="210"/>
      <c r="AQ26" s="210"/>
      <c r="AR26" s="210"/>
      <c r="AS26" s="210"/>
      <c r="AT26" s="210"/>
      <c r="AU26" s="210"/>
      <c r="AV26" s="210"/>
      <c r="AW26" s="210"/>
      <c r="AX26" s="210"/>
      <c r="AY26" s="210"/>
      <c r="AZ26" s="210"/>
      <c r="BA26" s="254"/>
      <c r="BB26" s="254"/>
      <c r="BC26" s="254"/>
      <c r="BD26" s="254"/>
      <c r="BE26" s="111"/>
      <c r="BF26" s="111"/>
    </row>
    <row r="27" spans="1:58" s="101" customFormat="1" x14ac:dyDescent="0.15">
      <c r="A27" s="94"/>
      <c r="B27" s="99" t="s">
        <v>1396</v>
      </c>
      <c r="C27" s="99"/>
      <c r="P27" s="176"/>
      <c r="Q27" s="176"/>
      <c r="T27" s="176"/>
      <c r="V27" s="210"/>
      <c r="W27" s="210"/>
      <c r="X27" s="176"/>
      <c r="Y27" s="176"/>
      <c r="Z27" s="176" t="s">
        <v>433</v>
      </c>
      <c r="AA27" s="176" t="s">
        <v>433</v>
      </c>
      <c r="AB27" s="176" t="s">
        <v>433</v>
      </c>
      <c r="AC27" s="285" t="str">
        <f t="shared" si="0"/>
        <v>Coaxial system</v>
      </c>
      <c r="AD27" s="210"/>
      <c r="AF27" s="249"/>
      <c r="AG27" s="249"/>
      <c r="AH27" s="249"/>
      <c r="AI27" s="253"/>
      <c r="AJ27" s="253"/>
      <c r="AK27" s="249"/>
      <c r="AL27" s="249"/>
      <c r="AM27" s="249"/>
      <c r="AN27" s="249"/>
      <c r="AO27" s="249"/>
      <c r="AP27" s="210"/>
      <c r="AQ27" s="210"/>
      <c r="AR27" s="210"/>
      <c r="AS27" s="210"/>
      <c r="AT27" s="210"/>
      <c r="AU27" s="210"/>
      <c r="AV27" s="210"/>
      <c r="AW27" s="210"/>
      <c r="AX27" s="210"/>
      <c r="AY27" s="210"/>
      <c r="AZ27" s="210"/>
      <c r="BA27" s="254"/>
      <c r="BB27" s="254"/>
      <c r="BC27" s="254"/>
      <c r="BD27" s="254"/>
      <c r="BE27" s="111"/>
      <c r="BF27" s="111"/>
    </row>
    <row r="28" spans="1:58" s="101" customFormat="1" x14ac:dyDescent="0.15">
      <c r="A28" s="94"/>
      <c r="B28" s="99" t="s">
        <v>1378</v>
      </c>
      <c r="C28" s="99"/>
      <c r="P28" s="176"/>
      <c r="Q28" s="176"/>
      <c r="S28" s="176" t="s">
        <v>433</v>
      </c>
      <c r="T28" s="176" t="s">
        <v>433</v>
      </c>
      <c r="V28" s="210"/>
      <c r="W28" s="210"/>
      <c r="X28" s="176"/>
      <c r="Y28" s="176" t="s">
        <v>432</v>
      </c>
      <c r="Z28" s="176" t="s">
        <v>433</v>
      </c>
      <c r="AA28" s="176" t="s">
        <v>433</v>
      </c>
      <c r="AB28" s="176" t="s">
        <v>432</v>
      </c>
      <c r="AC28" s="285" t="str">
        <f t="shared" si="0"/>
        <v>Double high-shear unit</v>
      </c>
      <c r="AD28" s="210"/>
      <c r="AF28" s="249"/>
      <c r="AG28" s="249"/>
      <c r="AH28" s="249"/>
      <c r="AI28" s="253"/>
      <c r="AJ28" s="253"/>
      <c r="AK28" s="249"/>
      <c r="AL28" s="249"/>
      <c r="AM28" s="249"/>
      <c r="AN28" s="249"/>
      <c r="AO28" s="249"/>
      <c r="AP28" s="210"/>
      <c r="AQ28" s="210"/>
      <c r="AR28" s="210"/>
      <c r="AS28" s="210"/>
      <c r="AT28" s="210"/>
      <c r="AU28" s="210"/>
      <c r="AV28" s="210"/>
      <c r="AW28" s="210"/>
      <c r="AX28" s="210"/>
      <c r="AY28" s="210"/>
      <c r="AZ28" s="210"/>
      <c r="BA28" s="254"/>
      <c r="BB28" s="254"/>
      <c r="BC28" s="254"/>
      <c r="BD28" s="254"/>
      <c r="BE28" s="111"/>
      <c r="BF28" s="111"/>
    </row>
    <row r="29" spans="1:58" s="101" customFormat="1" x14ac:dyDescent="0.15">
      <c r="A29" s="94"/>
      <c r="B29" s="99" t="s">
        <v>1393</v>
      </c>
      <c r="C29" s="99"/>
      <c r="P29" s="176"/>
      <c r="Q29" s="176"/>
      <c r="T29" s="176"/>
      <c r="V29" s="210"/>
      <c r="W29" s="210"/>
      <c r="X29" s="176"/>
      <c r="Y29" s="176"/>
      <c r="Z29" s="176" t="s">
        <v>433</v>
      </c>
      <c r="AA29" s="176" t="s">
        <v>433</v>
      </c>
      <c r="AB29" s="176" t="s">
        <v>433</v>
      </c>
      <c r="AC29" s="285" t="str">
        <f t="shared" si="0"/>
        <v>Steam Injection nozzles</v>
      </c>
      <c r="AD29" s="210"/>
      <c r="AF29" s="249"/>
      <c r="AG29" s="249"/>
      <c r="AH29" s="249"/>
      <c r="AI29" s="253"/>
      <c r="AJ29" s="253"/>
      <c r="AK29" s="249"/>
      <c r="AL29" s="249"/>
      <c r="AM29" s="249"/>
      <c r="AN29" s="249"/>
      <c r="AO29" s="249"/>
      <c r="AP29" s="210"/>
      <c r="AQ29" s="210"/>
      <c r="AR29" s="210"/>
      <c r="AS29" s="210"/>
      <c r="AT29" s="210"/>
      <c r="AU29" s="210"/>
      <c r="AV29" s="210"/>
      <c r="AW29" s="210"/>
      <c r="AX29" s="210"/>
      <c r="AY29" s="210"/>
      <c r="AZ29" s="210"/>
      <c r="BA29" s="254"/>
      <c r="BB29" s="254"/>
      <c r="BC29" s="254"/>
      <c r="BD29" s="254"/>
      <c r="BE29" s="111"/>
      <c r="BF29" s="111"/>
    </row>
    <row r="30" spans="1:58" s="101" customFormat="1" x14ac:dyDescent="0.15">
      <c r="A30" s="94"/>
      <c r="B30" s="99" t="s">
        <v>1395</v>
      </c>
      <c r="C30" s="99"/>
      <c r="P30" s="176"/>
      <c r="Q30" s="176"/>
      <c r="T30" s="176"/>
      <c r="V30" s="210"/>
      <c r="W30" s="210"/>
      <c r="X30" s="176"/>
      <c r="Y30" s="176"/>
      <c r="Z30" s="176" t="s">
        <v>433</v>
      </c>
      <c r="AA30" s="176" t="s">
        <v>433</v>
      </c>
      <c r="AB30" s="176" t="s">
        <v>433</v>
      </c>
      <c r="AC30" s="285" t="str">
        <f t="shared" si="0"/>
        <v>Culinary steam unit, 5 µm</v>
      </c>
      <c r="AD30" s="210"/>
      <c r="AF30" s="249"/>
      <c r="AG30" s="249"/>
      <c r="AH30" s="249"/>
      <c r="AI30" s="253"/>
      <c r="AJ30" s="253"/>
      <c r="AK30" s="249"/>
      <c r="AL30" s="249"/>
      <c r="AM30" s="249"/>
      <c r="AN30" s="249"/>
      <c r="AO30" s="249"/>
      <c r="AP30" s="210"/>
      <c r="AQ30" s="210"/>
      <c r="AR30" s="210"/>
      <c r="AS30" s="210"/>
      <c r="AT30" s="210"/>
      <c r="AU30" s="210"/>
      <c r="AV30" s="210"/>
      <c r="AW30" s="210"/>
      <c r="AX30" s="210"/>
      <c r="AY30" s="210"/>
      <c r="AZ30" s="210"/>
      <c r="BA30" s="254"/>
      <c r="BB30" s="254"/>
      <c r="BC30" s="254"/>
      <c r="BD30" s="254"/>
      <c r="BE30" s="111"/>
      <c r="BF30" s="111"/>
    </row>
    <row r="31" spans="1:58" s="101" customFormat="1" x14ac:dyDescent="0.15">
      <c r="A31" s="94"/>
      <c r="B31" s="99" t="s">
        <v>1402</v>
      </c>
      <c r="C31" s="99"/>
      <c r="P31" s="176" t="s">
        <v>433</v>
      </c>
      <c r="Q31" s="176"/>
      <c r="R31" s="176"/>
      <c r="S31" s="176"/>
      <c r="T31" s="176"/>
      <c r="U31" s="176"/>
      <c r="V31" s="176"/>
      <c r="W31" s="176" t="s">
        <v>433</v>
      </c>
      <c r="X31" s="176" t="s">
        <v>433</v>
      </c>
      <c r="Y31" s="176" t="s">
        <v>433</v>
      </c>
      <c r="Z31" s="176" t="s">
        <v>433</v>
      </c>
      <c r="AA31" s="176" t="s">
        <v>433</v>
      </c>
      <c r="AB31" s="176" t="s">
        <v>433</v>
      </c>
      <c r="AC31" s="285" t="str">
        <f t="shared" si="0"/>
        <v>22L tank CIP</v>
      </c>
      <c r="AD31" s="251" t="s">
        <v>1403</v>
      </c>
      <c r="AF31" s="249"/>
      <c r="AG31" s="249"/>
      <c r="AH31" s="249"/>
      <c r="AI31" s="253"/>
      <c r="AJ31" s="253"/>
      <c r="AK31" s="249"/>
      <c r="AL31" s="249"/>
      <c r="AM31" s="249"/>
      <c r="AN31" s="249"/>
      <c r="AO31" s="249"/>
      <c r="AP31" s="210"/>
      <c r="AQ31" s="210"/>
      <c r="AR31" s="210"/>
      <c r="AS31" s="210"/>
      <c r="AT31" s="210"/>
      <c r="AU31" s="210"/>
      <c r="AV31" s="210"/>
      <c r="AW31" s="210"/>
      <c r="AX31" s="210"/>
      <c r="AY31" s="210"/>
      <c r="AZ31" s="210"/>
      <c r="BA31" s="254"/>
      <c r="BB31" s="254"/>
      <c r="BC31" s="254"/>
      <c r="BD31" s="254"/>
      <c r="BE31" s="111"/>
      <c r="BF31" s="111"/>
    </row>
    <row r="32" spans="1:58" s="101" customFormat="1" x14ac:dyDescent="0.15">
      <c r="A32" s="94"/>
      <c r="B32" s="99" t="s">
        <v>1418</v>
      </c>
      <c r="C32" s="99"/>
      <c r="I32" s="176" t="s">
        <v>433</v>
      </c>
      <c r="J32" s="176" t="s">
        <v>433</v>
      </c>
      <c r="K32" s="176" t="s">
        <v>433</v>
      </c>
      <c r="L32" s="176" t="s">
        <v>433</v>
      </c>
      <c r="M32" s="176" t="s">
        <v>433</v>
      </c>
      <c r="N32" s="176" t="s">
        <v>433</v>
      </c>
      <c r="O32" s="176" t="s">
        <v>433</v>
      </c>
      <c r="P32" s="176" t="s">
        <v>433</v>
      </c>
      <c r="Q32" s="176" t="s">
        <v>432</v>
      </c>
      <c r="R32" s="176" t="s">
        <v>433</v>
      </c>
      <c r="S32" s="176" t="s">
        <v>433</v>
      </c>
      <c r="T32" s="176" t="s">
        <v>433</v>
      </c>
      <c r="U32" s="176" t="s">
        <v>433</v>
      </c>
      <c r="V32" s="176" t="s">
        <v>433</v>
      </c>
      <c r="W32" s="176" t="s">
        <v>433</v>
      </c>
      <c r="X32" s="176" t="s">
        <v>432</v>
      </c>
      <c r="Y32" s="176" t="s">
        <v>433</v>
      </c>
      <c r="Z32" s="176" t="s">
        <v>433</v>
      </c>
      <c r="AA32" s="176" t="s">
        <v>432</v>
      </c>
      <c r="AB32" s="176" t="s">
        <v>433</v>
      </c>
      <c r="AC32" s="285" t="str">
        <f t="shared" si="0"/>
        <v>EU Documentation</v>
      </c>
      <c r="AD32" s="210"/>
      <c r="AF32" s="249"/>
      <c r="AG32" s="249"/>
      <c r="AH32" s="249"/>
      <c r="AI32" s="253"/>
      <c r="AJ32" s="253"/>
      <c r="AK32" s="249"/>
      <c r="AL32" s="249"/>
      <c r="AM32" s="249"/>
      <c r="AN32" s="249"/>
      <c r="AO32" s="249"/>
      <c r="AP32" s="210"/>
      <c r="AQ32" s="210"/>
      <c r="AR32" s="210"/>
      <c r="AS32" s="210"/>
      <c r="AT32" s="210"/>
      <c r="AU32" s="210"/>
      <c r="AV32" s="210"/>
      <c r="AW32" s="210"/>
      <c r="AX32" s="210"/>
      <c r="AY32" s="210"/>
      <c r="AZ32" s="210"/>
      <c r="BA32" s="254"/>
      <c r="BB32" s="254"/>
      <c r="BC32" s="254"/>
      <c r="BD32" s="254"/>
      <c r="BE32" s="111"/>
      <c r="BF32" s="111"/>
    </row>
    <row r="33" spans="1:65" s="101" customFormat="1" x14ac:dyDescent="0.15">
      <c r="A33" s="94"/>
      <c r="B33" s="99" t="s">
        <v>1421</v>
      </c>
      <c r="C33" s="99"/>
      <c r="P33" s="176" t="s">
        <v>433</v>
      </c>
      <c r="Q33" s="176"/>
      <c r="R33" s="176" t="s">
        <v>433</v>
      </c>
      <c r="S33" s="176" t="s">
        <v>433</v>
      </c>
      <c r="T33" s="176" t="s">
        <v>433</v>
      </c>
      <c r="U33" s="176" t="s">
        <v>433</v>
      </c>
      <c r="V33" s="176" t="s">
        <v>433</v>
      </c>
      <c r="W33" s="176" t="s">
        <v>433</v>
      </c>
      <c r="X33" s="176" t="s">
        <v>433</v>
      </c>
      <c r="Y33" s="176" t="s">
        <v>433</v>
      </c>
      <c r="Z33" s="176" t="s">
        <v>432</v>
      </c>
      <c r="AA33" s="176" t="s">
        <v>433</v>
      </c>
      <c r="AB33" s="176" t="s">
        <v>433</v>
      </c>
      <c r="AC33" s="285" t="str">
        <f t="shared" si="0"/>
        <v>Polish &amp; Grind external welds</v>
      </c>
      <c r="AD33" s="210"/>
      <c r="AF33" s="249"/>
      <c r="AG33" s="249"/>
      <c r="AH33" s="249"/>
      <c r="AI33" s="253"/>
      <c r="AJ33" s="253"/>
      <c r="AK33" s="249"/>
      <c r="AL33" s="249"/>
      <c r="AM33" s="249"/>
      <c r="AN33" s="249"/>
      <c r="AO33" s="249"/>
      <c r="AP33" s="210"/>
      <c r="AQ33" s="210"/>
      <c r="AR33" s="210"/>
      <c r="AS33" s="210"/>
      <c r="AT33" s="210"/>
      <c r="AU33" s="210"/>
      <c r="AV33" s="210"/>
      <c r="AW33" s="210"/>
      <c r="AX33" s="210"/>
      <c r="AY33" s="210"/>
      <c r="AZ33" s="210"/>
      <c r="BA33" s="254"/>
      <c r="BB33" s="254"/>
      <c r="BC33" s="254"/>
      <c r="BD33" s="254"/>
      <c r="BE33" s="111"/>
      <c r="BF33" s="111"/>
    </row>
    <row r="34" spans="1:65" s="101" customFormat="1" x14ac:dyDescent="0.15">
      <c r="A34" s="94"/>
      <c r="B34" s="99" t="s">
        <v>1492</v>
      </c>
      <c r="C34" s="99"/>
      <c r="P34" s="176" t="s">
        <v>433</v>
      </c>
      <c r="Q34" s="176"/>
      <c r="R34" s="176" t="s">
        <v>433</v>
      </c>
      <c r="S34" s="176" t="s">
        <v>433</v>
      </c>
      <c r="T34" s="176" t="s">
        <v>433</v>
      </c>
      <c r="U34" s="176" t="s">
        <v>433</v>
      </c>
      <c r="V34" s="176" t="s">
        <v>433</v>
      </c>
      <c r="W34" s="176" t="s">
        <v>433</v>
      </c>
      <c r="X34" s="176" t="s">
        <v>433</v>
      </c>
      <c r="Y34" s="176" t="s">
        <v>433</v>
      </c>
      <c r="Z34" s="176" t="s">
        <v>433</v>
      </c>
      <c r="AA34" s="176" t="s">
        <v>433</v>
      </c>
      <c r="AB34" s="176" t="s">
        <v>433</v>
      </c>
      <c r="AC34" s="285" t="str">
        <f t="shared" si="0"/>
        <v>Tangential Inlet hose</v>
      </c>
      <c r="AD34" s="210"/>
      <c r="AF34" s="249"/>
      <c r="AG34" s="249"/>
      <c r="AH34" s="249"/>
      <c r="AI34" s="253"/>
      <c r="AJ34" s="253"/>
      <c r="AK34" s="249"/>
      <c r="AL34" s="249"/>
      <c r="AM34" s="249"/>
      <c r="AN34" s="249"/>
      <c r="AO34" s="249"/>
      <c r="AP34" s="210"/>
      <c r="AQ34" s="210"/>
      <c r="AR34" s="210"/>
      <c r="AS34" s="210"/>
      <c r="AT34" s="210"/>
      <c r="AU34" s="210"/>
      <c r="AV34" s="210"/>
      <c r="AW34" s="210"/>
      <c r="AX34" s="210"/>
      <c r="AY34" s="210"/>
      <c r="AZ34" s="210"/>
      <c r="BA34" s="254"/>
      <c r="BB34" s="254"/>
      <c r="BC34" s="254"/>
      <c r="BD34" s="254"/>
      <c r="BE34" s="111"/>
      <c r="BF34" s="111"/>
    </row>
    <row r="35" spans="1:65" s="101" customFormat="1" x14ac:dyDescent="0.15">
      <c r="A35" s="94"/>
      <c r="B35" s="99" t="s">
        <v>1491</v>
      </c>
      <c r="C35" s="99"/>
      <c r="P35" s="176" t="s">
        <v>433</v>
      </c>
      <c r="Q35" s="176"/>
      <c r="R35" s="176" t="s">
        <v>433</v>
      </c>
      <c r="S35" s="176" t="s">
        <v>433</v>
      </c>
      <c r="T35" s="176" t="s">
        <v>433</v>
      </c>
      <c r="U35" s="176" t="s">
        <v>433</v>
      </c>
      <c r="V35" s="176" t="s">
        <v>433</v>
      </c>
      <c r="W35" s="176" t="s">
        <v>433</v>
      </c>
      <c r="X35" s="176" t="s">
        <v>433</v>
      </c>
      <c r="Y35" s="176" t="s">
        <v>433</v>
      </c>
      <c r="Z35" s="176" t="s">
        <v>433</v>
      </c>
      <c r="AA35" s="176" t="s">
        <v>433</v>
      </c>
      <c r="AB35" s="176" t="s">
        <v>433</v>
      </c>
      <c r="AC35" s="285" t="str">
        <f t="shared" si="0"/>
        <v>Outlet hose</v>
      </c>
      <c r="AD35" s="210"/>
      <c r="AF35" s="249"/>
      <c r="AG35" s="249"/>
      <c r="AH35" s="249"/>
      <c r="AI35" s="253"/>
      <c r="AJ35" s="253"/>
      <c r="AK35" s="249"/>
      <c r="AL35" s="249"/>
      <c r="AM35" s="249"/>
      <c r="AN35" s="249"/>
      <c r="AO35" s="249"/>
      <c r="AP35" s="210"/>
      <c r="AQ35" s="210"/>
      <c r="AR35" s="210"/>
      <c r="AS35" s="210"/>
      <c r="AT35" s="210"/>
      <c r="AU35" s="210"/>
      <c r="AV35" s="210"/>
      <c r="AW35" s="210"/>
      <c r="AX35" s="210"/>
      <c r="AY35" s="210"/>
      <c r="AZ35" s="210"/>
      <c r="BA35" s="254"/>
      <c r="BB35" s="254"/>
      <c r="BC35" s="254"/>
      <c r="BD35" s="254"/>
      <c r="BE35" s="111"/>
      <c r="BF35" s="111"/>
    </row>
    <row r="36" spans="1:65" s="101" customFormat="1" x14ac:dyDescent="0.15">
      <c r="A36" s="94"/>
      <c r="B36" s="99" t="s">
        <v>1496</v>
      </c>
      <c r="C36" s="99"/>
      <c r="P36" s="176" t="s">
        <v>433</v>
      </c>
      <c r="Q36" s="176"/>
      <c r="R36" s="176"/>
      <c r="S36" s="176"/>
      <c r="T36" s="176"/>
      <c r="U36" s="176"/>
      <c r="V36" s="176"/>
      <c r="W36" s="176" t="s">
        <v>433</v>
      </c>
      <c r="X36" s="176" t="s">
        <v>432</v>
      </c>
      <c r="Y36" s="176" t="s">
        <v>433</v>
      </c>
      <c r="Z36" s="176" t="s">
        <v>433</v>
      </c>
      <c r="AA36" s="176" t="s">
        <v>432</v>
      </c>
      <c r="AB36" s="176" t="s">
        <v>433</v>
      </c>
      <c r="AC36" s="285" t="str">
        <f t="shared" si="0"/>
        <v>Ingredients inlet hoses</v>
      </c>
      <c r="AD36" s="210"/>
      <c r="AF36" s="249"/>
      <c r="AG36" s="249"/>
      <c r="AH36" s="249"/>
      <c r="AI36" s="253"/>
      <c r="AJ36" s="253"/>
      <c r="AK36" s="249"/>
      <c r="AL36" s="249"/>
      <c r="AM36" s="249"/>
      <c r="AN36" s="249"/>
      <c r="AO36" s="249"/>
      <c r="AP36" s="210"/>
      <c r="AQ36" s="210"/>
      <c r="AR36" s="210"/>
      <c r="AS36" s="210"/>
      <c r="AT36" s="210"/>
      <c r="AU36" s="210"/>
      <c r="AV36" s="210"/>
      <c r="AW36" s="210"/>
      <c r="AX36" s="210"/>
      <c r="AY36" s="210"/>
      <c r="AZ36" s="210"/>
      <c r="BA36" s="254"/>
      <c r="BB36" s="254"/>
      <c r="BC36" s="254"/>
      <c r="BD36" s="254"/>
      <c r="BE36" s="111"/>
      <c r="BF36" s="111"/>
    </row>
    <row r="37" spans="1:65" s="101" customFormat="1" x14ac:dyDescent="0.15">
      <c r="A37" s="94"/>
      <c r="B37" s="99"/>
      <c r="C37" s="99"/>
      <c r="D37" s="103"/>
      <c r="E37" s="103"/>
      <c r="F37" s="103"/>
      <c r="G37" s="220"/>
      <c r="H37" s="210"/>
      <c r="I37" s="210"/>
      <c r="J37" s="210"/>
      <c r="K37" s="210"/>
      <c r="L37" s="210"/>
      <c r="M37" s="210"/>
      <c r="N37" s="210"/>
      <c r="O37" s="210"/>
      <c r="P37" s="210"/>
      <c r="Q37" s="210"/>
      <c r="R37" s="210"/>
      <c r="S37" s="210"/>
      <c r="T37" s="210"/>
      <c r="U37" s="210"/>
      <c r="V37" s="210"/>
      <c r="W37" s="210"/>
      <c r="X37" s="210"/>
      <c r="Y37" s="210"/>
      <c r="Z37" s="210"/>
      <c r="AA37" s="210"/>
      <c r="AB37" s="210"/>
      <c r="AF37" s="252"/>
      <c r="AG37" s="249"/>
      <c r="AH37" s="249"/>
      <c r="AI37" s="249"/>
      <c r="AJ37" s="252"/>
      <c r="AK37" s="249"/>
      <c r="AL37" s="249"/>
      <c r="AM37" s="249"/>
      <c r="AN37" s="253"/>
      <c r="AO37" s="253"/>
      <c r="AP37" s="210"/>
      <c r="AQ37" s="210"/>
      <c r="AR37" s="210"/>
      <c r="AS37" s="210"/>
      <c r="AT37" s="210"/>
      <c r="AU37" s="210"/>
      <c r="AV37" s="210"/>
      <c r="AW37" s="210"/>
      <c r="AX37" s="210"/>
      <c r="AY37" s="210"/>
      <c r="AZ37" s="210"/>
      <c r="BA37" s="210"/>
      <c r="BB37" s="210"/>
      <c r="BC37" s="210"/>
      <c r="BD37" s="210"/>
      <c r="BE37" s="210"/>
      <c r="BF37" s="254"/>
      <c r="BG37" s="254"/>
      <c r="BH37" s="254"/>
      <c r="BI37" s="254"/>
      <c r="BJ37" s="111"/>
      <c r="BK37" s="111"/>
    </row>
    <row r="38" spans="1:65" s="101" customFormat="1" x14ac:dyDescent="0.15">
      <c r="A38" s="94"/>
      <c r="B38" s="99" t="s">
        <v>36</v>
      </c>
      <c r="C38" s="99"/>
      <c r="E38" s="180" t="s">
        <v>37</v>
      </c>
      <c r="F38" s="180" t="s">
        <v>37</v>
      </c>
      <c r="G38" s="180" t="s">
        <v>37</v>
      </c>
      <c r="H38" s="180" t="s">
        <v>37</v>
      </c>
      <c r="I38" s="257" t="s">
        <v>159</v>
      </c>
      <c r="J38" s="257" t="s">
        <v>159</v>
      </c>
      <c r="K38" s="257" t="s">
        <v>159</v>
      </c>
      <c r="L38" s="257" t="s">
        <v>159</v>
      </c>
      <c r="M38" s="257" t="s">
        <v>159</v>
      </c>
      <c r="N38" s="257" t="s">
        <v>159</v>
      </c>
      <c r="O38" s="257" t="s">
        <v>159</v>
      </c>
      <c r="P38" s="257" t="s">
        <v>159</v>
      </c>
      <c r="Q38" s="257"/>
      <c r="R38" s="257" t="s">
        <v>159</v>
      </c>
      <c r="S38" s="257" t="s">
        <v>159</v>
      </c>
      <c r="T38" s="257" t="s">
        <v>159</v>
      </c>
      <c r="U38" s="257" t="s">
        <v>159</v>
      </c>
      <c r="V38" s="257" t="s">
        <v>159</v>
      </c>
      <c r="W38" s="257" t="s">
        <v>159</v>
      </c>
      <c r="X38" s="257" t="s">
        <v>159</v>
      </c>
      <c r="Y38" s="257" t="s">
        <v>159</v>
      </c>
      <c r="Z38" s="257" t="s">
        <v>159</v>
      </c>
      <c r="AA38" s="257" t="s">
        <v>159</v>
      </c>
      <c r="AB38" s="257" t="s">
        <v>159</v>
      </c>
      <c r="AC38" s="210"/>
      <c r="AD38" s="210"/>
      <c r="AE38" s="210"/>
      <c r="AF38" s="249"/>
      <c r="AG38" s="249"/>
      <c r="AH38" s="252"/>
      <c r="AI38" s="249"/>
      <c r="AJ38" s="249"/>
      <c r="AK38" s="249"/>
      <c r="AL38" s="252"/>
      <c r="AM38" s="249"/>
      <c r="AN38" s="249"/>
      <c r="AO38" s="249"/>
      <c r="AP38" s="107"/>
      <c r="AQ38" s="107"/>
      <c r="AR38" s="210"/>
      <c r="AS38" s="210"/>
      <c r="AT38" s="210"/>
      <c r="AU38" s="210"/>
      <c r="AV38" s="210"/>
      <c r="AW38" s="210"/>
      <c r="AX38" s="210"/>
      <c r="AY38" s="210"/>
      <c r="AZ38" s="210"/>
      <c r="BA38" s="210"/>
      <c r="BB38" s="210"/>
      <c r="BC38" s="210"/>
      <c r="BD38" s="210"/>
      <c r="BE38" s="210"/>
      <c r="BF38" s="210"/>
      <c r="BG38" s="210"/>
      <c r="BH38" s="254"/>
      <c r="BI38" s="254"/>
      <c r="BJ38" s="254"/>
      <c r="BK38" s="254"/>
      <c r="BL38" s="111"/>
      <c r="BM38" s="111"/>
    </row>
    <row r="39" spans="1:65" s="101" customFormat="1" ht="28" x14ac:dyDescent="0.15">
      <c r="B39" s="99" t="s">
        <v>160</v>
      </c>
      <c r="C39" s="99"/>
      <c r="D39" s="258" t="s">
        <v>178</v>
      </c>
      <c r="E39" s="259" t="s">
        <v>0</v>
      </c>
      <c r="F39" s="259" t="s">
        <v>67</v>
      </c>
      <c r="G39" s="259" t="s">
        <v>1</v>
      </c>
      <c r="H39" s="259" t="s">
        <v>2</v>
      </c>
      <c r="I39" s="294" t="s">
        <v>1437</v>
      </c>
      <c r="J39" s="259" t="s">
        <v>0</v>
      </c>
      <c r="K39" s="259" t="s">
        <v>197</v>
      </c>
      <c r="L39" s="259" t="s">
        <v>1</v>
      </c>
      <c r="M39" s="294" t="s">
        <v>1442</v>
      </c>
      <c r="N39" s="259" t="s">
        <v>2</v>
      </c>
      <c r="O39" s="259" t="s">
        <v>634</v>
      </c>
      <c r="P39" s="259" t="s">
        <v>656</v>
      </c>
      <c r="Q39" s="259" t="s">
        <v>40</v>
      </c>
      <c r="R39" s="259" t="s">
        <v>1279</v>
      </c>
      <c r="S39" s="259" t="s">
        <v>1280</v>
      </c>
      <c r="T39" s="259" t="s">
        <v>196</v>
      </c>
      <c r="U39" s="259" t="s">
        <v>121</v>
      </c>
      <c r="V39" s="259" t="s">
        <v>122</v>
      </c>
      <c r="W39" s="259" t="s">
        <v>75</v>
      </c>
      <c r="X39" s="259" t="s">
        <v>41</v>
      </c>
      <c r="Y39" s="259" t="s">
        <v>263</v>
      </c>
      <c r="Z39" s="259" t="s">
        <v>66</v>
      </c>
      <c r="AA39" s="259" t="s">
        <v>62</v>
      </c>
      <c r="AB39" s="259" t="s">
        <v>104</v>
      </c>
      <c r="AG39" s="249"/>
      <c r="AH39" s="249"/>
      <c r="AI39" s="249"/>
      <c r="AJ39" s="252"/>
      <c r="AK39" s="249"/>
      <c r="AL39" s="249"/>
      <c r="AM39" s="249"/>
      <c r="AN39" s="253"/>
      <c r="AO39" s="253"/>
      <c r="AP39" s="210"/>
      <c r="AQ39" s="210"/>
      <c r="AR39" s="210"/>
      <c r="AS39" s="210"/>
      <c r="AT39" s="210"/>
      <c r="AU39" s="210"/>
      <c r="AV39" s="210"/>
      <c r="AW39" s="210"/>
      <c r="AX39" s="210"/>
      <c r="AY39" s="210"/>
      <c r="AZ39" s="210"/>
      <c r="BA39" s="210"/>
      <c r="BB39" s="210"/>
      <c r="BC39" s="210"/>
      <c r="BD39" s="210"/>
      <c r="BE39" s="210"/>
      <c r="BF39" s="254"/>
      <c r="BG39" s="254"/>
      <c r="BH39" s="254"/>
      <c r="BI39" s="254"/>
      <c r="BJ39" s="111"/>
      <c r="BK39" s="111"/>
    </row>
    <row r="40" spans="1:65" s="101" customFormat="1" x14ac:dyDescent="0.15">
      <c r="B40" s="260" t="s">
        <v>430</v>
      </c>
      <c r="C40" s="260"/>
      <c r="D40" s="95"/>
      <c r="E40" s="101">
        <f>ROUNDUP('Internal Sales price'!E218*'External Prices'!$AH$12,0)</f>
        <v>15593</v>
      </c>
      <c r="F40" s="101">
        <f>ROUNDUP('Internal Sales price'!F218*'External Prices'!$AH$12,0)</f>
        <v>17480</v>
      </c>
      <c r="G40" s="101">
        <f>ROUNDUP('Internal Sales price'!H218*'External Prices'!$AH$12,0)</f>
        <v>21743</v>
      </c>
      <c r="H40" s="101">
        <f>ROUNDUP('Internal Sales price'!J218*'External Prices'!$AH$12,0)</f>
        <v>30134</v>
      </c>
      <c r="I40" s="104">
        <f>ROUNDUP('Internal Sales price'!L218*'External Prices'!$AH$12,0)</f>
        <v>12413</v>
      </c>
      <c r="J40" s="101">
        <f>ROUNDUP('Internal Sales price'!N218*'External Prices'!$AH$12,0)</f>
        <v>20058</v>
      </c>
      <c r="K40" s="101">
        <f>ROUNDUP('Internal Sales price'!P218*'External Prices'!$AH$12,0)</f>
        <v>21869</v>
      </c>
      <c r="L40" s="101">
        <f>ROUNDUP('Internal Sales price'!R218*'External Prices'!$AH$12,0)</f>
        <v>25050</v>
      </c>
      <c r="N40" s="101">
        <f>ROUNDUP('Internal Sales price'!V218*'External Prices'!$AH$12,0)</f>
        <v>29811</v>
      </c>
      <c r="O40" s="101">
        <f>ROUNDUP('Internal Sales price'!X218*'External Prices'!$AH$12,0)</f>
        <v>52357</v>
      </c>
      <c r="P40" s="101">
        <f>ROUNDUP('Internal Sales price'!Z218*'External Prices'!$AI$12,0)</f>
        <v>104435</v>
      </c>
      <c r="Q40" s="101">
        <f>ROUNDUP('Internal Sales price'!AB218*'External Prices'!$AI$12,0)</f>
        <v>15447</v>
      </c>
      <c r="R40" s="101">
        <f>ROUNDUP('Internal Sales price'!AD218*'External Prices'!$AH$12,0)</f>
        <v>36809</v>
      </c>
      <c r="S40" s="101">
        <f>ROUNDUP('Internal Sales price'!AE218*'External Prices'!$AH$12,0)</f>
        <v>37818</v>
      </c>
      <c r="T40" s="101">
        <f>ROUNDUP('Internal Sales price'!AF218*'External Prices'!$AH$12,0)</f>
        <v>49680</v>
      </c>
      <c r="U40" s="261">
        <f>ROUNDUP('Internal Sales price'!AH218*'External Prices'!$AI$12,0)</f>
        <v>56083</v>
      </c>
      <c r="V40" s="261">
        <f>ROUNDUP('Internal Sales price'!AI218*'External Prices'!$AI$12,0)</f>
        <v>57191</v>
      </c>
      <c r="W40" s="261">
        <f>ROUNDUP('Internal Sales price'!AK218*'External Prices'!$AI$12,0)</f>
        <v>95206</v>
      </c>
      <c r="X40" s="261">
        <f>ROUNDUP('Internal Sales price'!AL218*'External Prices'!$AI$12,0)</f>
        <v>117464</v>
      </c>
      <c r="Y40" s="261">
        <f>ROUNDUP('Internal Sales price'!AM218*'External Prices'!$AI$12,0)</f>
        <v>130198</v>
      </c>
      <c r="Z40" s="261">
        <f>ROUNDUP('Internal Sales price'!AO218*'External Prices'!$AI$12,0)</f>
        <v>120644</v>
      </c>
      <c r="AA40" s="261">
        <f>ROUNDUP('Internal Sales price'!AP218*'External Prices'!$AI$12,0)</f>
        <v>148861</v>
      </c>
      <c r="AB40" s="261">
        <f>ROUNDUP('Internal Sales price'!AQ218*'External Prices'!$AI$12,0)</f>
        <v>170773</v>
      </c>
      <c r="AC40" s="210"/>
      <c r="AD40" s="261"/>
      <c r="AG40" s="252"/>
      <c r="AH40" s="252"/>
      <c r="AI40" s="249"/>
      <c r="AJ40" s="249"/>
      <c r="AK40" s="249"/>
      <c r="AL40" s="252"/>
      <c r="AM40" s="249"/>
      <c r="AN40" s="249"/>
      <c r="AO40" s="249"/>
      <c r="AP40" s="107"/>
      <c r="AQ40" s="107"/>
      <c r="AR40" s="210"/>
      <c r="AS40" s="210"/>
      <c r="AT40" s="210"/>
      <c r="AU40" s="210"/>
      <c r="AV40" s="210"/>
      <c r="AW40" s="210"/>
      <c r="AX40" s="210"/>
      <c r="AY40" s="210"/>
      <c r="AZ40" s="210"/>
      <c r="BA40" s="210"/>
      <c r="BB40" s="210"/>
      <c r="BC40" s="210"/>
      <c r="BD40" s="210"/>
      <c r="BE40" s="210"/>
      <c r="BF40" s="210"/>
      <c r="BG40" s="210"/>
      <c r="BH40" s="254"/>
      <c r="BI40" s="254"/>
      <c r="BJ40" s="254"/>
      <c r="BK40" s="254"/>
      <c r="BL40" s="111"/>
      <c r="BM40" s="111"/>
    </row>
    <row r="41" spans="1:65" s="101" customFormat="1" x14ac:dyDescent="0.15">
      <c r="B41" s="260" t="s">
        <v>205</v>
      </c>
      <c r="C41" s="260"/>
      <c r="D41" s="101">
        <f>'Internal Sales price'!$AS$218*'External Prices'!$AH$12</f>
        <v>5606.6659278739398</v>
      </c>
      <c r="E41" s="101">
        <f>'Internal Sales price'!$AS$218*'External Prices'!$AH$12</f>
        <v>5606.6659278739398</v>
      </c>
      <c r="F41" s="101">
        <f>'Internal Sales price'!$AS$218*'External Prices'!$AH$12</f>
        <v>5606.6659278739398</v>
      </c>
      <c r="G41" s="101">
        <f>'Internal Sales price'!$AS$218*'External Prices'!$AH$12</f>
        <v>5606.6659278739398</v>
      </c>
      <c r="H41" s="101">
        <f>'Internal Sales price'!$AS$218*'External Prices'!$AH$12</f>
        <v>5606.6659278739398</v>
      </c>
      <c r="I41" s="101">
        <f>'Internal Sales price'!$AS$218*'External Prices'!$AH$12</f>
        <v>5606.6659278739398</v>
      </c>
      <c r="J41" s="101">
        <f>'Internal Sales price'!$AS$218*'External Prices'!$AH$12</f>
        <v>5606.6659278739398</v>
      </c>
      <c r="K41" s="101">
        <f>'Internal Sales price'!$AS$218*'External Prices'!$AH$12</f>
        <v>5606.6659278739398</v>
      </c>
      <c r="L41" s="101">
        <f>'Internal Sales price'!$AS$218*'External Prices'!$AH$12</f>
        <v>5606.6659278739398</v>
      </c>
      <c r="N41" s="101">
        <f>'Internal Sales price'!$AS$218*'External Prices'!$AH$12</f>
        <v>5606.6659278739398</v>
      </c>
      <c r="O41" s="101">
        <f>'Internal Sales price'!$AS$218*'External Prices'!$AH$12</f>
        <v>5606.6659278739398</v>
      </c>
      <c r="V41" s="210"/>
      <c r="W41" s="210"/>
      <c r="X41" s="210"/>
      <c r="Y41" s="210"/>
      <c r="Z41" s="210"/>
      <c r="AA41" s="210"/>
      <c r="AB41" s="210"/>
      <c r="AC41" s="210"/>
      <c r="AD41" s="210"/>
      <c r="AF41" s="252"/>
      <c r="AG41" s="252"/>
      <c r="AH41" s="252"/>
      <c r="AI41" s="249"/>
      <c r="AJ41" s="249"/>
      <c r="AK41" s="249"/>
      <c r="AL41" s="252"/>
      <c r="AM41" s="249"/>
      <c r="AN41" s="249"/>
      <c r="AO41" s="249"/>
      <c r="AP41" s="107"/>
      <c r="AQ41" s="107"/>
      <c r="AR41" s="210"/>
      <c r="AS41" s="210"/>
      <c r="AT41" s="210"/>
      <c r="AU41" s="210"/>
      <c r="AV41" s="210"/>
      <c r="AW41" s="210"/>
      <c r="AX41" s="210"/>
      <c r="AY41" s="210"/>
      <c r="AZ41" s="210"/>
      <c r="BA41" s="210"/>
      <c r="BB41" s="210"/>
      <c r="BC41" s="210"/>
      <c r="BD41" s="210"/>
      <c r="BE41" s="210"/>
      <c r="BF41" s="210"/>
      <c r="BG41" s="210"/>
      <c r="BH41" s="254"/>
      <c r="BI41" s="254"/>
      <c r="BJ41" s="254"/>
      <c r="BK41" s="254"/>
      <c r="BL41" s="111"/>
      <c r="BM41" s="111"/>
    </row>
    <row r="42" spans="1:65" s="101" customFormat="1" x14ac:dyDescent="0.15">
      <c r="B42" s="260" t="s">
        <v>68</v>
      </c>
      <c r="C42" s="260"/>
      <c r="D42" s="101">
        <f>'Internal Sales price'!$AT$218*'External Prices'!$AH$12</f>
        <v>5766.1220248793197</v>
      </c>
      <c r="E42" s="101">
        <f>'Internal Sales price'!$AT$218*'External Prices'!$AH$12</f>
        <v>5766.1220248793197</v>
      </c>
      <c r="F42" s="101">
        <f>'Internal Sales price'!$AT$218*'External Prices'!$AH$12</f>
        <v>5766.1220248793197</v>
      </c>
      <c r="G42" s="101">
        <f>'Internal Sales price'!$AT$218*'External Prices'!$AH$12</f>
        <v>5766.1220248793197</v>
      </c>
      <c r="H42" s="101">
        <f>'Internal Sales price'!$AT$218*'External Prices'!$AH$12</f>
        <v>5766.1220248793197</v>
      </c>
      <c r="I42" s="101">
        <f>'Internal Sales price'!$AT$218*'External Prices'!$AH$12</f>
        <v>5766.1220248793197</v>
      </c>
      <c r="J42" s="101">
        <f>'Internal Sales price'!$AT$218*'External Prices'!$AH$12</f>
        <v>5766.1220248793197</v>
      </c>
      <c r="K42" s="101">
        <f>'Internal Sales price'!$AT$218*'External Prices'!$AH$12</f>
        <v>5766.1220248793197</v>
      </c>
      <c r="L42" s="101">
        <f>'Internal Sales price'!$AT$218*'External Prices'!$AH$12</f>
        <v>5766.1220248793197</v>
      </c>
      <c r="N42" s="101">
        <f>'Internal Sales price'!$AT$218*'External Prices'!$AH$12</f>
        <v>5766.1220248793197</v>
      </c>
      <c r="O42" s="101">
        <f>'Internal Sales price'!$AT$218*'External Prices'!$AH$12</f>
        <v>5766.1220248793197</v>
      </c>
      <c r="V42" s="210"/>
      <c r="W42" s="210"/>
      <c r="X42" s="210"/>
      <c r="Y42" s="210"/>
      <c r="AA42" s="210"/>
      <c r="AB42" s="210"/>
      <c r="AC42" s="210"/>
      <c r="AD42" s="220"/>
      <c r="AF42" s="252"/>
      <c r="AG42" s="252"/>
      <c r="AH42" s="252"/>
      <c r="AI42" s="249"/>
      <c r="AJ42" s="249"/>
      <c r="AK42" s="249"/>
      <c r="AL42" s="252"/>
      <c r="AM42" s="249"/>
      <c r="AN42" s="249"/>
      <c r="AO42" s="249"/>
      <c r="AP42" s="107"/>
      <c r="AQ42" s="107"/>
      <c r="AR42" s="210"/>
      <c r="AS42" s="210"/>
      <c r="AT42" s="210"/>
      <c r="AU42" s="210"/>
      <c r="AV42" s="210"/>
      <c r="AW42" s="210"/>
      <c r="AX42" s="210"/>
      <c r="AY42" s="210"/>
      <c r="AZ42" s="210"/>
      <c r="BA42" s="210"/>
      <c r="BB42" s="210"/>
      <c r="BC42" s="210"/>
      <c r="BD42" s="210"/>
      <c r="BE42" s="210"/>
      <c r="BF42" s="210"/>
      <c r="BG42" s="210"/>
      <c r="BH42" s="254"/>
      <c r="BI42" s="254"/>
      <c r="BJ42" s="254"/>
      <c r="BK42" s="254"/>
      <c r="BL42" s="111"/>
      <c r="BM42" s="111"/>
    </row>
    <row r="43" spans="1:65" s="101" customFormat="1" x14ac:dyDescent="0.15">
      <c r="B43" s="260" t="s">
        <v>206</v>
      </c>
      <c r="C43" s="260"/>
      <c r="D43" s="101">
        <f>'Internal Sales price'!$AU$218*'External Prices'!$AH$12</f>
        <v>5925.5781218846987</v>
      </c>
      <c r="E43" s="101">
        <f>'Internal Sales price'!$AU$218*'External Prices'!$AH$12</f>
        <v>5925.5781218846987</v>
      </c>
      <c r="F43" s="101">
        <f>'Internal Sales price'!$AU$218*'External Prices'!$AH$12</f>
        <v>5925.5781218846987</v>
      </c>
      <c r="G43" s="101">
        <f>'Internal Sales price'!$AU$218*'External Prices'!$AH$12</f>
        <v>5925.5781218846987</v>
      </c>
      <c r="H43" s="101">
        <f>'Internal Sales price'!$AU$218*'External Prices'!$AH$12</f>
        <v>5925.5781218846987</v>
      </c>
      <c r="I43" s="101">
        <f>'Internal Sales price'!$AU$218*'External Prices'!$AH$12</f>
        <v>5925.5781218846987</v>
      </c>
      <c r="J43" s="101">
        <f>'Internal Sales price'!$AU$218*'External Prices'!$AH$12</f>
        <v>5925.5781218846987</v>
      </c>
      <c r="K43" s="101">
        <f>'Internal Sales price'!$AU$218*'External Prices'!$AH$12</f>
        <v>5925.5781218846987</v>
      </c>
      <c r="L43" s="101">
        <f>'Internal Sales price'!$AU$218*'External Prices'!$AH$12</f>
        <v>5925.5781218846987</v>
      </c>
      <c r="N43" s="101">
        <f>'Internal Sales price'!$AU$218*'External Prices'!$AH$12</f>
        <v>5925.5781218846987</v>
      </c>
      <c r="O43" s="101">
        <f>'Internal Sales price'!$AU$218*'External Prices'!$AH$12</f>
        <v>5925.5781218846987</v>
      </c>
      <c r="V43" s="210"/>
      <c r="W43" s="210"/>
      <c r="X43" s="210"/>
      <c r="Z43" s="210"/>
      <c r="AA43" s="210"/>
      <c r="AB43" s="210"/>
      <c r="AC43" s="210"/>
      <c r="AD43" s="249"/>
      <c r="AF43" s="252"/>
      <c r="AG43" s="252"/>
      <c r="AH43" s="252"/>
      <c r="AI43" s="249"/>
      <c r="AJ43" s="249"/>
      <c r="AK43" s="249"/>
      <c r="AL43" s="252"/>
      <c r="AM43" s="249"/>
      <c r="AN43" s="249"/>
      <c r="AO43" s="249"/>
      <c r="AP43" s="107"/>
      <c r="AQ43" s="107"/>
      <c r="AR43" s="210"/>
      <c r="AS43" s="210"/>
      <c r="AT43" s="210"/>
      <c r="AU43" s="210"/>
      <c r="AV43" s="210"/>
      <c r="AW43" s="210"/>
      <c r="AX43" s="210"/>
      <c r="AY43" s="210"/>
      <c r="AZ43" s="210"/>
      <c r="BA43" s="210"/>
      <c r="BB43" s="210"/>
      <c r="BC43" s="210"/>
      <c r="BD43" s="210"/>
      <c r="BE43" s="210"/>
      <c r="BF43" s="210"/>
      <c r="BG43" s="210"/>
      <c r="BH43" s="254"/>
      <c r="BI43" s="254"/>
      <c r="BJ43" s="254"/>
      <c r="BK43" s="254"/>
      <c r="BL43" s="111"/>
      <c r="BM43" s="111"/>
    </row>
    <row r="44" spans="1:65" s="101" customFormat="1" x14ac:dyDescent="0.15">
      <c r="B44" s="260" t="s">
        <v>69</v>
      </c>
      <c r="C44" s="260"/>
      <c r="D44" s="101">
        <f>'Internal Sales price'!$AV$218*'External Prices'!$AH$12</f>
        <v>6786.5913192801709</v>
      </c>
      <c r="E44" s="101">
        <f>'Internal Sales price'!$AV$218*'External Prices'!$AH$12</f>
        <v>6786.5913192801709</v>
      </c>
      <c r="F44" s="101">
        <f>'Internal Sales price'!$AV$218*'External Prices'!$AH$12</f>
        <v>6786.5913192801709</v>
      </c>
      <c r="G44" s="101">
        <f>'Internal Sales price'!$AV$218*'External Prices'!$AH$12</f>
        <v>6786.5913192801709</v>
      </c>
      <c r="H44" s="101">
        <f>'Internal Sales price'!$AV$218*'External Prices'!$AH$12</f>
        <v>6786.5913192801709</v>
      </c>
      <c r="I44" s="101">
        <f>'Internal Sales price'!$AV$218*'External Prices'!$AH$12</f>
        <v>6786.5913192801709</v>
      </c>
      <c r="J44" s="101">
        <f>'Internal Sales price'!$AV$218*'External Prices'!$AH$12</f>
        <v>6786.5913192801709</v>
      </c>
      <c r="K44" s="101">
        <f>'Internal Sales price'!$AV$218*'External Prices'!$AH$12</f>
        <v>6786.5913192801709</v>
      </c>
      <c r="L44" s="101">
        <f>'Internal Sales price'!$AV$218*'External Prices'!$AH$12</f>
        <v>6786.5913192801709</v>
      </c>
      <c r="N44" s="101">
        <f>'Internal Sales price'!$AV$218*'External Prices'!$AH$12</f>
        <v>6786.5913192801709</v>
      </c>
      <c r="O44" s="101">
        <f>'Internal Sales price'!$AV$218*'External Prices'!$AH$12</f>
        <v>6786.5913192801709</v>
      </c>
      <c r="V44" s="210"/>
      <c r="X44" s="210"/>
      <c r="Y44" s="210"/>
      <c r="Z44" s="210"/>
      <c r="AA44" s="210"/>
      <c r="AB44" s="210"/>
      <c r="AC44" s="210"/>
      <c r="AD44" s="249"/>
      <c r="AF44" s="252"/>
      <c r="AG44" s="252"/>
      <c r="AH44" s="252"/>
      <c r="AI44" s="249"/>
      <c r="AJ44" s="249"/>
      <c r="AK44" s="249"/>
      <c r="AL44" s="252"/>
      <c r="AM44" s="249"/>
      <c r="AN44" s="249"/>
      <c r="AO44" s="249"/>
      <c r="AP44" s="107"/>
      <c r="AQ44" s="107"/>
      <c r="AR44" s="210"/>
      <c r="AS44" s="210"/>
      <c r="AT44" s="210"/>
      <c r="AU44" s="210"/>
      <c r="AV44" s="210"/>
      <c r="AW44" s="210"/>
      <c r="AX44" s="210"/>
      <c r="AY44" s="210"/>
      <c r="AZ44" s="210"/>
      <c r="BA44" s="210"/>
      <c r="BB44" s="210"/>
      <c r="BC44" s="210"/>
      <c r="BD44" s="210"/>
      <c r="BE44" s="210"/>
      <c r="BF44" s="210"/>
      <c r="BG44" s="210"/>
      <c r="BH44" s="254"/>
      <c r="BI44" s="254"/>
      <c r="BJ44" s="254"/>
      <c r="BK44" s="254"/>
      <c r="BL44" s="111"/>
      <c r="BM44" s="111"/>
    </row>
    <row r="45" spans="1:65" s="101" customFormat="1" x14ac:dyDescent="0.15">
      <c r="A45" s="111" t="s">
        <v>1566</v>
      </c>
      <c r="B45" s="324" t="s">
        <v>162</v>
      </c>
      <c r="C45" s="260"/>
      <c r="D45" s="101">
        <f>'Internal Sales price'!$AW$218*'External Prices'!$AH$12</f>
        <v>5430.3028434521902</v>
      </c>
      <c r="E45" s="101">
        <f>'Internal Sales price'!$AW$218*'External Prices'!$AH$12</f>
        <v>5430.3028434521902</v>
      </c>
      <c r="F45" s="101">
        <f>'Internal Sales price'!$AW$218*'External Prices'!$AH$12</f>
        <v>5430.3028434521902</v>
      </c>
      <c r="G45" s="101">
        <f>'Internal Sales price'!$AW$218*'External Prices'!$AH$12</f>
        <v>5430.3028434521902</v>
      </c>
      <c r="H45" s="101">
        <f>'Internal Sales price'!$AW$218*'External Prices'!$AH$12</f>
        <v>5430.3028434521902</v>
      </c>
      <c r="I45" s="101">
        <f>'Internal Sales price'!$AW$218*'External Prices'!$AH$12</f>
        <v>5430.3028434521902</v>
      </c>
      <c r="J45" s="101">
        <f>'Internal Sales price'!$AW$218*'External Prices'!$AH$12</f>
        <v>5430.3028434521902</v>
      </c>
      <c r="K45" s="101">
        <f>'Internal Sales price'!$AW$218*'External Prices'!$AH$12</f>
        <v>5430.3028434521902</v>
      </c>
      <c r="L45" s="101">
        <f>'Internal Sales price'!$AW$218*'External Prices'!$AH$12</f>
        <v>5430.3028434521902</v>
      </c>
      <c r="N45" s="101">
        <f>'Internal Sales price'!$AW$218*'External Prices'!$AH$12</f>
        <v>5430.3028434521902</v>
      </c>
      <c r="O45" s="101">
        <f>'Internal Sales price'!$AW$218*'External Prices'!$AH$12</f>
        <v>5430.3028434521902</v>
      </c>
      <c r="V45" s="210"/>
      <c r="W45" s="210"/>
      <c r="X45" s="210"/>
      <c r="Y45" s="210"/>
      <c r="Z45" s="210"/>
      <c r="AA45" s="210"/>
      <c r="AB45" s="210"/>
      <c r="AC45" s="210"/>
      <c r="AD45" s="220"/>
      <c r="AF45" s="252"/>
      <c r="AG45" s="252"/>
      <c r="AH45" s="252"/>
      <c r="AI45" s="249"/>
      <c r="AJ45" s="249"/>
      <c r="AK45" s="249"/>
      <c r="AL45" s="252"/>
      <c r="AM45" s="249"/>
      <c r="AN45" s="249"/>
      <c r="AO45" s="249"/>
      <c r="AP45" s="107"/>
      <c r="AQ45" s="107"/>
      <c r="AR45" s="210"/>
      <c r="AS45" s="210"/>
      <c r="AT45" s="210"/>
      <c r="AU45" s="210"/>
      <c r="AV45" s="210"/>
      <c r="AW45" s="210"/>
      <c r="AX45" s="210"/>
      <c r="AY45" s="210"/>
      <c r="AZ45" s="210"/>
      <c r="BA45" s="210"/>
      <c r="BB45" s="210"/>
      <c r="BC45" s="210"/>
      <c r="BD45" s="210"/>
      <c r="BE45" s="210"/>
      <c r="BF45" s="210"/>
      <c r="BG45" s="210"/>
      <c r="BH45" s="254"/>
      <c r="BI45" s="254"/>
      <c r="BJ45" s="254"/>
      <c r="BK45" s="254"/>
      <c r="BL45" s="111"/>
      <c r="BM45" s="111"/>
    </row>
    <row r="46" spans="1:65" s="101" customFormat="1" x14ac:dyDescent="0.15">
      <c r="B46" s="260" t="s">
        <v>201</v>
      </c>
      <c r="C46" s="260"/>
      <c r="D46" s="101">
        <f>'Internal Sales price'!$AX$218*'External Prices'!$AH$12</f>
        <v>2957.4437676913626</v>
      </c>
      <c r="E46" s="101">
        <f>'Internal Sales price'!$AX$218*'External Prices'!$AH$12</f>
        <v>2957.4437676913626</v>
      </c>
      <c r="F46" s="101">
        <f>'Internal Sales price'!$AX$218*'External Prices'!$AH$12</f>
        <v>2957.4437676913626</v>
      </c>
      <c r="G46" s="101">
        <f>'Internal Sales price'!$AX$218*'External Prices'!$AH$12</f>
        <v>2957.4437676913626</v>
      </c>
      <c r="H46" s="101">
        <f>'Internal Sales price'!$AX$218*'External Prices'!$AH$12</f>
        <v>2957.4437676913626</v>
      </c>
      <c r="I46" s="101">
        <f>'Internal Sales price'!$AX$218*'External Prices'!$AH$12</f>
        <v>2957.4437676913626</v>
      </c>
      <c r="J46" s="101">
        <f>'Internal Sales price'!$AX$218*'External Prices'!$AH$12</f>
        <v>2957.4437676913626</v>
      </c>
      <c r="K46" s="101">
        <f>'Internal Sales price'!$AX$218*'External Prices'!$AH$12</f>
        <v>2957.4437676913626</v>
      </c>
      <c r="L46" s="101">
        <f>'Internal Sales price'!$AX$218*'External Prices'!$AH$12</f>
        <v>2957.4437676913626</v>
      </c>
      <c r="N46" s="101">
        <f>'Internal Sales price'!$AX$218*'External Prices'!$AH$12</f>
        <v>2957.4437676913626</v>
      </c>
      <c r="O46" s="101">
        <f>'Internal Sales price'!$AX$218*'External Prices'!$AH$12</f>
        <v>2957.4437676913626</v>
      </c>
      <c r="V46" s="210"/>
      <c r="W46" s="210"/>
      <c r="X46" s="210"/>
      <c r="Y46" s="210"/>
      <c r="Z46" s="249"/>
      <c r="AA46" s="210"/>
      <c r="AB46" s="210"/>
      <c r="AC46" s="210"/>
      <c r="AD46" s="210"/>
      <c r="AF46" s="252"/>
      <c r="AG46" s="252"/>
      <c r="AH46" s="252"/>
      <c r="AI46" s="249"/>
      <c r="AJ46" s="249"/>
      <c r="AK46" s="249"/>
      <c r="AL46" s="252"/>
      <c r="AM46" s="249"/>
      <c r="AN46" s="249"/>
      <c r="AO46" s="249"/>
      <c r="AP46" s="107"/>
      <c r="AQ46" s="107"/>
      <c r="AR46" s="210"/>
      <c r="AS46" s="210"/>
      <c r="AT46" s="210"/>
      <c r="AU46" s="210"/>
      <c r="AV46" s="210"/>
      <c r="AW46" s="210"/>
      <c r="AX46" s="210"/>
      <c r="AY46" s="210"/>
      <c r="AZ46" s="210"/>
      <c r="BA46" s="210"/>
      <c r="BB46" s="210"/>
      <c r="BC46" s="210"/>
      <c r="BD46" s="210"/>
      <c r="BE46" s="210"/>
      <c r="BF46" s="210"/>
      <c r="BG46" s="210"/>
      <c r="BH46" s="254"/>
      <c r="BI46" s="254"/>
      <c r="BJ46" s="254"/>
      <c r="BK46" s="254"/>
      <c r="BL46" s="111"/>
      <c r="BM46" s="111"/>
    </row>
    <row r="47" spans="1:65" s="101" customFormat="1" x14ac:dyDescent="0.15">
      <c r="B47" s="260" t="s">
        <v>202</v>
      </c>
      <c r="C47" s="260"/>
      <c r="D47" s="101">
        <f>'Internal Sales price'!$AY$218*'External Prices'!$AH$12</f>
        <v>3328.1543300120811</v>
      </c>
      <c r="E47" s="101">
        <f>'Internal Sales price'!$AY$218*'External Prices'!$AH$12</f>
        <v>3328.1543300120811</v>
      </c>
      <c r="F47" s="101">
        <f>'Internal Sales price'!$AY$218*'External Prices'!$AH$12</f>
        <v>3328.1543300120811</v>
      </c>
      <c r="G47" s="101">
        <f>'Internal Sales price'!$AY$218*'External Prices'!$AH$12</f>
        <v>3328.1543300120811</v>
      </c>
      <c r="H47" s="101">
        <f>'Internal Sales price'!$AY$218*'External Prices'!$AH$12</f>
        <v>3328.1543300120811</v>
      </c>
      <c r="I47" s="101">
        <f>'Internal Sales price'!$AY$218*'External Prices'!$AH$12</f>
        <v>3328.1543300120811</v>
      </c>
      <c r="J47" s="101">
        <f>'Internal Sales price'!$AY$218*'External Prices'!$AH$12</f>
        <v>3328.1543300120811</v>
      </c>
      <c r="K47" s="101">
        <f>'Internal Sales price'!$AY$218*'External Prices'!$AH$12</f>
        <v>3328.1543300120811</v>
      </c>
      <c r="L47" s="101">
        <f>'Internal Sales price'!$AY$218*'External Prices'!$AH$12</f>
        <v>3328.1543300120811</v>
      </c>
      <c r="N47" s="101">
        <f>'Internal Sales price'!$AY$218*'External Prices'!$AH$12</f>
        <v>3328.1543300120811</v>
      </c>
      <c r="O47" s="101">
        <f>'Internal Sales price'!$AY$218*'External Prices'!$AH$12</f>
        <v>3328.1543300120811</v>
      </c>
      <c r="V47" s="210"/>
      <c r="W47" s="210"/>
      <c r="X47" s="210"/>
      <c r="Y47" s="210"/>
      <c r="Z47" s="262"/>
      <c r="AA47" s="210"/>
      <c r="AB47" s="210"/>
      <c r="AC47" s="210"/>
      <c r="AD47" s="220"/>
      <c r="AF47" s="252"/>
      <c r="AG47" s="252"/>
      <c r="AH47" s="252"/>
      <c r="AI47" s="249"/>
      <c r="AJ47" s="249"/>
      <c r="AK47" s="249"/>
      <c r="AL47" s="252"/>
      <c r="AM47" s="249"/>
      <c r="AN47" s="249"/>
      <c r="AO47" s="249"/>
      <c r="AP47" s="107"/>
      <c r="AQ47" s="107"/>
      <c r="AR47" s="210"/>
      <c r="AS47" s="210"/>
      <c r="AT47" s="210"/>
      <c r="AU47" s="210"/>
      <c r="AV47" s="210"/>
      <c r="AW47" s="210"/>
      <c r="AX47" s="210"/>
      <c r="AY47" s="210"/>
      <c r="AZ47" s="210"/>
      <c r="BA47" s="210"/>
      <c r="BB47" s="210"/>
      <c r="BC47" s="210"/>
      <c r="BD47" s="210"/>
      <c r="BE47" s="210"/>
      <c r="BF47" s="210"/>
      <c r="BG47" s="210"/>
      <c r="BH47" s="254"/>
      <c r="BI47" s="254"/>
      <c r="BJ47" s="254"/>
      <c r="BK47" s="254"/>
      <c r="BL47" s="111"/>
      <c r="BM47" s="111"/>
    </row>
    <row r="48" spans="1:65" s="101" customFormat="1" x14ac:dyDescent="0.15">
      <c r="B48" s="260" t="s">
        <v>203</v>
      </c>
      <c r="C48" s="260"/>
      <c r="D48" s="101">
        <f>'Internal Sales price'!$AZ$218*'External Prices'!$AH$12</f>
        <v>3625.767034973785</v>
      </c>
      <c r="E48" s="101">
        <f>'Internal Sales price'!$AZ$218*'External Prices'!$AH$12</f>
        <v>3625.767034973785</v>
      </c>
      <c r="F48" s="101">
        <f>'Internal Sales price'!$AZ$218*'External Prices'!$AH$12</f>
        <v>3625.767034973785</v>
      </c>
      <c r="G48" s="101">
        <f>'Internal Sales price'!$AZ$218*'External Prices'!$AH$12</f>
        <v>3625.767034973785</v>
      </c>
      <c r="H48" s="101">
        <f>'Internal Sales price'!$AZ$218*'External Prices'!$AH$12</f>
        <v>3625.767034973785</v>
      </c>
      <c r="I48" s="101">
        <f>'Internal Sales price'!$AZ$218*'External Prices'!$AH$12</f>
        <v>3625.767034973785</v>
      </c>
      <c r="J48" s="101">
        <f>'Internal Sales price'!$AZ$218*'External Prices'!$AH$12</f>
        <v>3625.767034973785</v>
      </c>
      <c r="K48" s="101">
        <f>'Internal Sales price'!$AZ$218*'External Prices'!$AH$12</f>
        <v>3625.767034973785</v>
      </c>
      <c r="L48" s="101">
        <f>'Internal Sales price'!$AZ$218*'External Prices'!$AH$12</f>
        <v>3625.767034973785</v>
      </c>
      <c r="N48" s="101">
        <f>'Internal Sales price'!$AZ$218*'External Prices'!$AH$12</f>
        <v>3625.767034973785</v>
      </c>
      <c r="O48" s="101">
        <f>'Internal Sales price'!$AZ$218*'External Prices'!$AH$12</f>
        <v>3625.767034973785</v>
      </c>
      <c r="V48" s="210"/>
      <c r="W48" s="210"/>
      <c r="X48" s="210"/>
      <c r="Y48" s="210"/>
      <c r="Z48" s="249"/>
      <c r="AA48" s="210"/>
      <c r="AB48" s="210"/>
      <c r="AC48" s="210"/>
      <c r="AD48" s="210"/>
      <c r="AF48" s="252"/>
      <c r="AG48" s="252"/>
      <c r="AH48" s="252"/>
      <c r="AI48" s="249"/>
      <c r="AJ48" s="249"/>
      <c r="AK48" s="249"/>
      <c r="AL48" s="252"/>
      <c r="AM48" s="249"/>
      <c r="AN48" s="249"/>
      <c r="AO48" s="249"/>
      <c r="AP48" s="107"/>
      <c r="AQ48" s="107"/>
      <c r="AR48" s="210"/>
      <c r="AS48" s="210"/>
      <c r="AT48" s="210"/>
      <c r="AU48" s="210"/>
      <c r="AV48" s="210"/>
      <c r="AW48" s="210"/>
      <c r="AX48" s="210"/>
      <c r="AY48" s="210"/>
      <c r="AZ48" s="210"/>
      <c r="BA48" s="210"/>
      <c r="BB48" s="210"/>
      <c r="BC48" s="210"/>
      <c r="BD48" s="210"/>
      <c r="BE48" s="210"/>
      <c r="BF48" s="210"/>
      <c r="BG48" s="210"/>
      <c r="BH48" s="254"/>
      <c r="BI48" s="254"/>
      <c r="BJ48" s="254"/>
      <c r="BK48" s="254"/>
      <c r="BL48" s="111"/>
      <c r="BM48" s="111"/>
    </row>
    <row r="49" spans="1:65" s="101" customFormat="1" x14ac:dyDescent="0.15">
      <c r="B49" s="260" t="s">
        <v>204</v>
      </c>
      <c r="C49" s="260"/>
      <c r="D49" s="101">
        <f>'Internal Sales price'!$BA$218*'External Prices'!$AH$12</f>
        <v>3923.379739935488</v>
      </c>
      <c r="E49" s="101">
        <f>'Internal Sales price'!$BA$218*'External Prices'!$AH$12</f>
        <v>3923.379739935488</v>
      </c>
      <c r="F49" s="101">
        <f>'Internal Sales price'!$BA$218*'External Prices'!$AH$12</f>
        <v>3923.379739935488</v>
      </c>
      <c r="G49" s="101">
        <f>'Internal Sales price'!$BA$218*'External Prices'!$AH$12</f>
        <v>3923.379739935488</v>
      </c>
      <c r="H49" s="101">
        <f>'Internal Sales price'!$BA$218*'External Prices'!$AH$12</f>
        <v>3923.379739935488</v>
      </c>
      <c r="I49" s="101">
        <f>'Internal Sales price'!$BA$218*'External Prices'!$AH$12</f>
        <v>3923.379739935488</v>
      </c>
      <c r="J49" s="101">
        <f>'Internal Sales price'!$BA$218*'External Prices'!$AH$12</f>
        <v>3923.379739935488</v>
      </c>
      <c r="K49" s="101">
        <f>'Internal Sales price'!$BA$218*'External Prices'!$AH$12</f>
        <v>3923.379739935488</v>
      </c>
      <c r="L49" s="101">
        <f>'Internal Sales price'!$BA$218*'External Prices'!$AH$12</f>
        <v>3923.379739935488</v>
      </c>
      <c r="N49" s="101">
        <f>'Internal Sales price'!$BA$218*'External Prices'!$AH$12</f>
        <v>3923.379739935488</v>
      </c>
      <c r="O49" s="101">
        <f>'Internal Sales price'!$BA$218*'External Prices'!$AH$12</f>
        <v>3923.379739935488</v>
      </c>
      <c r="V49" s="210"/>
      <c r="W49" s="210"/>
      <c r="X49" s="210"/>
      <c r="Y49" s="210"/>
      <c r="Z49" s="210"/>
      <c r="AA49" s="210"/>
      <c r="AB49" s="210"/>
      <c r="AC49" s="210"/>
      <c r="AD49" s="210"/>
      <c r="AF49" s="252"/>
      <c r="AG49" s="252"/>
      <c r="AH49" s="252"/>
      <c r="AI49" s="249"/>
      <c r="AJ49" s="249"/>
      <c r="AK49" s="249"/>
      <c r="AL49" s="252"/>
      <c r="AM49" s="249"/>
      <c r="AN49" s="249"/>
      <c r="AO49" s="249"/>
      <c r="AP49" s="107"/>
      <c r="AQ49" s="107"/>
      <c r="AR49" s="210"/>
      <c r="AS49" s="210"/>
      <c r="AT49" s="210"/>
      <c r="AU49" s="210"/>
      <c r="AV49" s="210"/>
      <c r="AW49" s="210"/>
      <c r="AX49" s="210"/>
      <c r="AY49" s="210"/>
      <c r="AZ49" s="210"/>
      <c r="BA49" s="210"/>
      <c r="BB49" s="210"/>
      <c r="BC49" s="210"/>
      <c r="BD49" s="210"/>
      <c r="BE49" s="210"/>
      <c r="BF49" s="210"/>
      <c r="BG49" s="210"/>
      <c r="BH49" s="254"/>
      <c r="BI49" s="254"/>
      <c r="BJ49" s="254"/>
      <c r="BK49" s="254"/>
      <c r="BL49" s="111"/>
      <c r="BM49" s="111"/>
    </row>
    <row r="50" spans="1:65" s="101" customFormat="1" x14ac:dyDescent="0.15">
      <c r="A50" s="101" t="s">
        <v>823</v>
      </c>
      <c r="B50" s="260" t="s">
        <v>824</v>
      </c>
      <c r="C50" s="260"/>
      <c r="R50" s="101">
        <f>'Internal Sales price'!$BB$218*'External Prices'!$AI$12</f>
        <v>23285.440744324205</v>
      </c>
      <c r="S50" s="101">
        <f>'Internal Sales price'!$BB$218*'External Prices'!$AI$12</f>
        <v>23285.440744324205</v>
      </c>
      <c r="T50" s="240"/>
      <c r="U50" s="101">
        <f>'Internal Sales price'!$BB$218*'External Prices'!$AI$12</f>
        <v>23285.440744324205</v>
      </c>
      <c r="V50" s="101">
        <f>'Internal Sales price'!$BB$218*'External Prices'!$AI$12</f>
        <v>23285.440744324205</v>
      </c>
      <c r="W50" s="210"/>
      <c r="X50" s="210"/>
      <c r="Y50" s="210"/>
      <c r="Z50" s="210"/>
      <c r="AA50" s="210"/>
      <c r="AB50" s="210"/>
      <c r="AC50" s="210"/>
      <c r="AD50" s="210"/>
      <c r="AF50" s="252"/>
      <c r="AG50" s="252"/>
      <c r="AH50" s="252"/>
      <c r="AI50" s="249"/>
      <c r="AJ50" s="249"/>
      <c r="AK50" s="249"/>
      <c r="AL50" s="252"/>
      <c r="AM50" s="249"/>
      <c r="AN50" s="249"/>
      <c r="AO50" s="249"/>
      <c r="AP50" s="107"/>
      <c r="AQ50" s="107"/>
      <c r="AR50" s="210"/>
      <c r="AS50" s="210"/>
      <c r="AT50" s="210"/>
      <c r="AU50" s="210"/>
      <c r="AV50" s="210"/>
      <c r="AW50" s="210"/>
      <c r="AX50" s="210"/>
      <c r="AY50" s="210"/>
      <c r="AZ50" s="210"/>
      <c r="BA50" s="210"/>
      <c r="BB50" s="210"/>
      <c r="BC50" s="210"/>
      <c r="BD50" s="210"/>
      <c r="BE50" s="210"/>
      <c r="BF50" s="210"/>
      <c r="BG50" s="210"/>
      <c r="BH50" s="254"/>
      <c r="BI50" s="254"/>
      <c r="BJ50" s="254"/>
      <c r="BK50" s="254"/>
      <c r="BL50" s="111"/>
      <c r="BM50" s="111"/>
    </row>
    <row r="51" spans="1:65" s="101" customFormat="1" x14ac:dyDescent="0.15">
      <c r="A51" s="230" t="s">
        <v>1246</v>
      </c>
      <c r="B51" s="260" t="s">
        <v>825</v>
      </c>
      <c r="C51" s="260"/>
      <c r="V51" s="210"/>
      <c r="W51" s="103">
        <f>'Internal Sales price'!$BC$218*'External Prices'!$AI$12</f>
        <v>23598.645205685105</v>
      </c>
      <c r="X51" s="103">
        <f>'Internal Sales price'!$BC$218*'External Prices'!$AI$12</f>
        <v>23598.645205685105</v>
      </c>
      <c r="Y51" s="263"/>
      <c r="Z51" s="210"/>
      <c r="AA51" s="210"/>
      <c r="AB51" s="210"/>
      <c r="AC51" s="210"/>
      <c r="AD51" s="210"/>
      <c r="AF51" s="252"/>
      <c r="AG51" s="252"/>
      <c r="AH51" s="252"/>
      <c r="AI51" s="249"/>
      <c r="AJ51" s="249"/>
      <c r="AK51" s="249"/>
      <c r="AL51" s="252"/>
      <c r="AM51" s="249"/>
      <c r="AN51" s="249"/>
      <c r="AO51" s="249"/>
      <c r="AP51" s="107"/>
      <c r="AQ51" s="107"/>
      <c r="AR51" s="210"/>
      <c r="AS51" s="210"/>
      <c r="AT51" s="210"/>
      <c r="AU51" s="210"/>
      <c r="AV51" s="210"/>
      <c r="AW51" s="210"/>
      <c r="AX51" s="210"/>
      <c r="AY51" s="210"/>
      <c r="AZ51" s="210"/>
      <c r="BA51" s="210"/>
      <c r="BB51" s="210"/>
      <c r="BC51" s="210"/>
      <c r="BD51" s="210"/>
      <c r="BE51" s="210"/>
      <c r="BF51" s="210"/>
      <c r="BG51" s="210"/>
      <c r="BH51" s="254"/>
      <c r="BI51" s="254"/>
      <c r="BJ51" s="254"/>
      <c r="BK51" s="254"/>
      <c r="BL51" s="111"/>
      <c r="BM51" s="111"/>
    </row>
    <row r="52" spans="1:65" s="101" customFormat="1" x14ac:dyDescent="0.15">
      <c r="A52" s="101" t="s">
        <v>823</v>
      </c>
      <c r="B52" s="260" t="s">
        <v>826</v>
      </c>
      <c r="C52" s="260"/>
      <c r="V52" s="210"/>
      <c r="W52" s="210"/>
      <c r="X52" s="210"/>
      <c r="Y52" s="210"/>
      <c r="Z52" s="103">
        <f>'Internal Sales price'!$BD$218*'External Prices'!$AI$12</f>
        <v>30304.495913671126</v>
      </c>
      <c r="AA52" s="103">
        <f>'Internal Sales price'!$BD$218*'External Prices'!$AI$12</f>
        <v>30304.495913671126</v>
      </c>
      <c r="AB52" s="264"/>
      <c r="AC52" s="210"/>
      <c r="AD52" s="210"/>
      <c r="AF52" s="252"/>
      <c r="AG52" s="252"/>
      <c r="AH52" s="252"/>
      <c r="AI52" s="249"/>
      <c r="AJ52" s="249"/>
      <c r="AK52" s="249"/>
      <c r="AL52" s="252"/>
      <c r="AM52" s="249"/>
      <c r="AN52" s="249"/>
      <c r="AO52" s="249"/>
      <c r="AP52" s="107"/>
      <c r="AQ52" s="107"/>
      <c r="AR52" s="210"/>
      <c r="AS52" s="210"/>
      <c r="AT52" s="210"/>
      <c r="AU52" s="210"/>
      <c r="AV52" s="210"/>
      <c r="AW52" s="210"/>
      <c r="AX52" s="210"/>
      <c r="AY52" s="210"/>
      <c r="AZ52" s="210"/>
      <c r="BA52" s="210"/>
      <c r="BB52" s="210"/>
      <c r="BC52" s="210"/>
      <c r="BD52" s="210"/>
      <c r="BE52" s="210"/>
      <c r="BF52" s="210"/>
      <c r="BG52" s="210"/>
      <c r="BH52" s="254"/>
      <c r="BI52" s="254"/>
      <c r="BJ52" s="254"/>
      <c r="BK52" s="254"/>
      <c r="BL52" s="111"/>
      <c r="BM52" s="111"/>
    </row>
    <row r="53" spans="1:65" s="101" customFormat="1" x14ac:dyDescent="0.15">
      <c r="B53" s="260" t="s">
        <v>1267</v>
      </c>
      <c r="C53" s="260"/>
      <c r="V53" s="210"/>
      <c r="W53" s="210"/>
      <c r="X53" s="210"/>
      <c r="Y53" s="210"/>
      <c r="Z53" s="103"/>
      <c r="AA53" s="103"/>
      <c r="AB53" s="264"/>
      <c r="AC53" s="210"/>
      <c r="AD53" s="210"/>
      <c r="AF53" s="252"/>
      <c r="AG53" s="252"/>
      <c r="AH53" s="252"/>
      <c r="AI53" s="249"/>
      <c r="AJ53" s="249"/>
      <c r="AK53" s="249"/>
      <c r="AL53" s="252"/>
      <c r="AM53" s="249"/>
      <c r="AN53" s="249"/>
      <c r="AO53" s="249"/>
      <c r="AP53" s="107"/>
      <c r="AQ53" s="107"/>
      <c r="AR53" s="210"/>
      <c r="AS53" s="210"/>
      <c r="AT53" s="210"/>
      <c r="AU53" s="210"/>
      <c r="AV53" s="210"/>
      <c r="AW53" s="210"/>
      <c r="AX53" s="210"/>
      <c r="AY53" s="210"/>
      <c r="AZ53" s="210"/>
      <c r="BA53" s="210"/>
      <c r="BB53" s="210"/>
      <c r="BC53" s="210"/>
      <c r="BD53" s="210"/>
      <c r="BE53" s="210"/>
      <c r="BF53" s="210"/>
      <c r="BG53" s="210"/>
      <c r="BH53" s="254"/>
      <c r="BI53" s="254"/>
      <c r="BJ53" s="254"/>
      <c r="BK53" s="254"/>
      <c r="BL53" s="111"/>
      <c r="BM53" s="111"/>
    </row>
    <row r="54" spans="1:65" s="101" customFormat="1" x14ac:dyDescent="0.15">
      <c r="A54" s="101" t="s">
        <v>553</v>
      </c>
      <c r="B54" s="260" t="str">
        <f>'Cost prices'!B140</f>
        <v>Polish Vacuum 1000 top - bottom - shell  internal 0.6 µm</v>
      </c>
      <c r="C54" s="260"/>
      <c r="R54" s="265">
        <f>'Cost prices'!$H140
/VLOOKUP($A54,Rules!$I$23:$J$27, 2, FALSE)
/ 7.45* $AH$12</f>
        <v>437.89976675882718</v>
      </c>
      <c r="S54" s="265">
        <f>'Cost prices'!$H140
/VLOOKUP($A54,Rules!$I$23:$J$27, 2, FALSE)
/ 7.45* $AH$12</f>
        <v>437.89976675882718</v>
      </c>
      <c r="U54" s="265">
        <f>'Cost prices'!$H140
/VLOOKUP($A54,Rules!$I$23:$J$27, 2, FALSE)
/ 7.45* $AI$12</f>
        <v>437.89976675882718</v>
      </c>
      <c r="V54" s="265">
        <f>'Cost prices'!$H140
/VLOOKUP($A54,Rules!$I$23:$J$27, 2, FALSE)
/ 7.45* $AI$12</f>
        <v>437.89976675882718</v>
      </c>
      <c r="W54" s="265">
        <f>'Cost prices'!$H140
/VLOOKUP($A54,Rules!$I$23:$J$27, 2, FALSE)
/ 7.45* $AI$12</f>
        <v>437.89976675882718</v>
      </c>
      <c r="X54" s="265">
        <f>'Cost prices'!$H140
/VLOOKUP($A54,Rules!$I$23:$J$27, 2, FALSE)
/ 7.45* $AI$12</f>
        <v>437.89976675882718</v>
      </c>
      <c r="Y54" s="210"/>
      <c r="Z54" s="265">
        <f>'Cost prices'!$H140
/VLOOKUP($A54,Rules!$I$23:$J$27, 2, FALSE)
/ 7.45* $AI$12</f>
        <v>437.89976675882718</v>
      </c>
      <c r="AA54" s="265">
        <f>'Cost prices'!$H140
/VLOOKUP($A54,Rules!$I$23:$J$27, 2, FALSE)
/ 7.45* $AI$12</f>
        <v>437.89976675882718</v>
      </c>
      <c r="AB54" s="264"/>
      <c r="AC54" s="210"/>
      <c r="AD54" s="210"/>
      <c r="AF54" s="252"/>
      <c r="AG54" s="252"/>
      <c r="AH54" s="252"/>
      <c r="AI54" s="249"/>
      <c r="AJ54" s="249"/>
      <c r="AK54" s="249"/>
      <c r="AL54" s="252"/>
      <c r="AM54" s="249"/>
      <c r="AN54" s="249"/>
      <c r="AO54" s="249"/>
      <c r="AP54" s="107"/>
      <c r="AQ54" s="107"/>
      <c r="AR54" s="210"/>
      <c r="AS54" s="210"/>
      <c r="AT54" s="210"/>
      <c r="AU54" s="210"/>
      <c r="AV54" s="210"/>
      <c r="AW54" s="210"/>
      <c r="AX54" s="210"/>
      <c r="AY54" s="210"/>
      <c r="AZ54" s="210"/>
      <c r="BA54" s="210"/>
      <c r="BB54" s="210"/>
      <c r="BC54" s="210"/>
      <c r="BD54" s="210"/>
      <c r="BE54" s="210"/>
      <c r="BF54" s="210"/>
      <c r="BG54" s="210"/>
      <c r="BH54" s="254"/>
      <c r="BI54" s="254"/>
      <c r="BJ54" s="254"/>
      <c r="BK54" s="254"/>
      <c r="BL54" s="111"/>
      <c r="BM54" s="111"/>
    </row>
    <row r="55" spans="1:65" s="101" customFormat="1" x14ac:dyDescent="0.15">
      <c r="A55" s="101" t="s">
        <v>553</v>
      </c>
      <c r="B55" s="260" t="str">
        <f>'Cost prices'!B141</f>
        <v>Polish Vacuum 1000 top - bottom - shell  external 0.6 µm</v>
      </c>
      <c r="C55" s="260"/>
      <c r="R55" s="265">
        <f>'Cost prices'!$H141
/VLOOKUP($A55,Rules!$I$23:$J$27, 2, FALSE)
/ 7.45* $AH$12</f>
        <v>437.89976675882718</v>
      </c>
      <c r="S55" s="265">
        <f>'Cost prices'!$H141
/VLOOKUP($A55,Rules!$I$23:$J$27, 2, FALSE)
/ 7.45* $AH$12</f>
        <v>437.89976675882718</v>
      </c>
      <c r="U55" s="265">
        <f>'Cost prices'!$H141
/VLOOKUP($A55,Rules!$I$23:$J$27, 2, FALSE)
/ 7.45* $AI$12</f>
        <v>437.89976675882718</v>
      </c>
      <c r="V55" s="265">
        <f>'Cost prices'!$H141
/VLOOKUP($A55,Rules!$I$23:$J$27, 2, FALSE)
/ 7.45* $AI$12</f>
        <v>437.89976675882718</v>
      </c>
      <c r="W55" s="265">
        <f>'Cost prices'!$H141
/VLOOKUP($A55,Rules!$I$23:$J$27, 2, FALSE)
/ 7.45* $AI$12</f>
        <v>437.89976675882718</v>
      </c>
      <c r="X55" s="265">
        <f>'Cost prices'!$H141
/VLOOKUP($A55,Rules!$I$23:$J$27, 2, FALSE)
/ 7.45* $AI$12</f>
        <v>437.89976675882718</v>
      </c>
      <c r="Y55" s="210"/>
      <c r="Z55" s="265">
        <f>'Cost prices'!$H141
/VLOOKUP($A55,Rules!$I$23:$J$27, 2, FALSE)
/ 7.45* $AI$12</f>
        <v>437.89976675882718</v>
      </c>
      <c r="AA55" s="265">
        <f>'Cost prices'!$H141
/VLOOKUP($A55,Rules!$I$23:$J$27, 2, FALSE)
/ 7.45* $AI$12</f>
        <v>437.89976675882718</v>
      </c>
      <c r="AB55" s="264"/>
      <c r="AC55" s="210"/>
      <c r="AD55" s="210"/>
      <c r="AF55" s="252"/>
      <c r="AG55" s="252"/>
      <c r="AH55" s="252"/>
      <c r="AI55" s="249"/>
      <c r="AJ55" s="249"/>
      <c r="AK55" s="249"/>
      <c r="AL55" s="252"/>
      <c r="AM55" s="249"/>
      <c r="AN55" s="249"/>
      <c r="AO55" s="249"/>
      <c r="AP55" s="107"/>
      <c r="AQ55" s="107"/>
      <c r="AR55" s="210"/>
      <c r="AS55" s="210"/>
      <c r="AT55" s="210"/>
      <c r="AU55" s="210"/>
      <c r="AV55" s="210"/>
      <c r="AW55" s="210"/>
      <c r="AX55" s="210"/>
      <c r="AY55" s="210"/>
      <c r="AZ55" s="210"/>
      <c r="BA55" s="210"/>
      <c r="BB55" s="210"/>
      <c r="BC55" s="210"/>
      <c r="BD55" s="210"/>
      <c r="BE55" s="210"/>
      <c r="BF55" s="210"/>
      <c r="BG55" s="210"/>
      <c r="BH55" s="254"/>
      <c r="BI55" s="254"/>
      <c r="BJ55" s="254"/>
      <c r="BK55" s="254"/>
      <c r="BL55" s="111"/>
      <c r="BM55" s="111"/>
    </row>
    <row r="56" spans="1:65" s="101" customFormat="1" x14ac:dyDescent="0.15">
      <c r="A56" s="101" t="s">
        <v>1272</v>
      </c>
      <c r="B56" s="260" t="str">
        <f>'Cost prices'!B142</f>
        <v>Polish Vacuum 1000 top - bottom - shell internal 0.3 µm</v>
      </c>
      <c r="C56" s="260"/>
      <c r="R56" s="265">
        <f>'Cost prices'!$H142
/VLOOKUP($A56,Rules!$I$23:$J$27, 2, FALSE)
/ 7.45* $AH$12</f>
        <v>903.16826894008102</v>
      </c>
      <c r="S56" s="265">
        <f>'Cost prices'!$H142
/VLOOKUP($A56,Rules!$I$23:$J$27, 2, FALSE)
/ 7.45* $AH$12</f>
        <v>903.16826894008102</v>
      </c>
      <c r="U56" s="265">
        <f>'Cost prices'!$H142
/VLOOKUP($A56,Rules!$I$23:$J$27, 2, FALSE)
/ 7.45* $AI$12</f>
        <v>903.16826894008102</v>
      </c>
      <c r="V56" s="265">
        <f>'Cost prices'!$H142
/VLOOKUP($A56,Rules!$I$23:$J$27, 2, FALSE)
/ 7.45* $AI$12</f>
        <v>903.16826894008102</v>
      </c>
      <c r="W56" s="265">
        <f>'Cost prices'!$H142
/VLOOKUP($A56,Rules!$I$23:$J$27, 2, FALSE)
/ 7.45* $AI$12</f>
        <v>903.16826894008102</v>
      </c>
      <c r="X56" s="265">
        <f>'Cost prices'!$H142
/VLOOKUP($A56,Rules!$I$23:$J$27, 2, FALSE)
/ 7.45* $AI$12</f>
        <v>903.16826894008102</v>
      </c>
      <c r="Y56" s="210"/>
      <c r="Z56" s="265">
        <f>'Cost prices'!$H142
/VLOOKUP($A56,Rules!$I$23:$J$27, 2, FALSE)
/ 7.45* $AI$12</f>
        <v>903.16826894008102</v>
      </c>
      <c r="AA56" s="265">
        <f>'Cost prices'!$H142
/VLOOKUP($A56,Rules!$I$23:$J$27, 2, FALSE)
/ 7.45* $AI$12</f>
        <v>903.16826894008102</v>
      </c>
      <c r="AB56" s="264"/>
      <c r="AC56" s="210"/>
      <c r="AD56" s="210"/>
      <c r="AF56" s="252"/>
      <c r="AG56" s="252"/>
      <c r="AH56" s="252"/>
      <c r="AI56" s="249"/>
      <c r="AJ56" s="249"/>
      <c r="AK56" s="249"/>
      <c r="AL56" s="252"/>
      <c r="AM56" s="249"/>
      <c r="AN56" s="249"/>
      <c r="AO56" s="249"/>
      <c r="AP56" s="107"/>
      <c r="AQ56" s="107"/>
      <c r="AR56" s="210"/>
      <c r="AS56" s="210"/>
      <c r="AT56" s="210"/>
      <c r="AU56" s="210"/>
      <c r="AV56" s="210"/>
      <c r="AW56" s="210"/>
      <c r="AX56" s="210"/>
      <c r="AY56" s="210"/>
      <c r="AZ56" s="210"/>
      <c r="BA56" s="210"/>
      <c r="BB56" s="210"/>
      <c r="BC56" s="210"/>
      <c r="BD56" s="210"/>
      <c r="BE56" s="210"/>
      <c r="BF56" s="210"/>
      <c r="BG56" s="210"/>
      <c r="BH56" s="254"/>
      <c r="BI56" s="254"/>
      <c r="BJ56" s="254"/>
      <c r="BK56" s="254"/>
      <c r="BL56" s="111"/>
      <c r="BM56" s="111"/>
    </row>
    <row r="57" spans="1:65" s="101" customFormat="1" x14ac:dyDescent="0.15">
      <c r="A57" s="101" t="s">
        <v>1272</v>
      </c>
      <c r="B57" s="260" t="str">
        <f>'Cost prices'!B143</f>
        <v>Polish Vacuum 1000 top - bottom - shell external 0.3 µm</v>
      </c>
      <c r="C57" s="260"/>
      <c r="R57" s="265">
        <f>'Cost prices'!$H143
/VLOOKUP($A57,Rules!$I$23:$J$27, 2, FALSE)
/ 7.45* $AH$12</f>
        <v>903.16826894008102</v>
      </c>
      <c r="S57" s="265">
        <f>'Cost prices'!$H143
/VLOOKUP($A57,Rules!$I$23:$J$27, 2, FALSE)
/ 7.45* $AH$12</f>
        <v>903.16826894008102</v>
      </c>
      <c r="U57" s="265">
        <f>'Cost prices'!$H143
/VLOOKUP($A57,Rules!$I$23:$J$27, 2, FALSE)
/ 7.45* $AI$12</f>
        <v>903.16826894008102</v>
      </c>
      <c r="V57" s="265">
        <f>'Cost prices'!$H143
/VLOOKUP($A57,Rules!$I$23:$J$27, 2, FALSE)
/ 7.45* $AI$12</f>
        <v>903.16826894008102</v>
      </c>
      <c r="W57" s="265">
        <f>'Cost prices'!$H143
/VLOOKUP($A57,Rules!$I$23:$J$27, 2, FALSE)
/ 7.45* $AI$12</f>
        <v>903.16826894008102</v>
      </c>
      <c r="X57" s="265">
        <f>'Cost prices'!$H143
/VLOOKUP($A57,Rules!$I$23:$J$27, 2, FALSE)
/ 7.45* $AI$12</f>
        <v>903.16826894008102</v>
      </c>
      <c r="Y57" s="210"/>
      <c r="Z57" s="265">
        <f>'Cost prices'!$H143
/VLOOKUP($A57,Rules!$I$23:$J$27, 2, FALSE)
/ 7.45* $AI$12</f>
        <v>903.16826894008102</v>
      </c>
      <c r="AA57" s="265">
        <f>'Cost prices'!$H143
/VLOOKUP($A57,Rules!$I$23:$J$27, 2, FALSE)
/ 7.45* $AI$12</f>
        <v>903.16826894008102</v>
      </c>
      <c r="AB57" s="264"/>
      <c r="AC57" s="210"/>
      <c r="AD57" s="210"/>
      <c r="AF57" s="252"/>
      <c r="AG57" s="252"/>
      <c r="AH57" s="252"/>
      <c r="AI57" s="249"/>
      <c r="AJ57" s="249"/>
      <c r="AK57" s="249"/>
      <c r="AL57" s="252"/>
      <c r="AM57" s="249"/>
      <c r="AN57" s="249"/>
      <c r="AO57" s="249"/>
      <c r="AP57" s="107"/>
      <c r="AQ57" s="107"/>
      <c r="AR57" s="210"/>
      <c r="AS57" s="210"/>
      <c r="AT57" s="210"/>
      <c r="AU57" s="210"/>
      <c r="AV57" s="210"/>
      <c r="AW57" s="210"/>
      <c r="AX57" s="210"/>
      <c r="AY57" s="210"/>
      <c r="AZ57" s="210"/>
      <c r="BA57" s="210"/>
      <c r="BB57" s="210"/>
      <c r="BC57" s="210"/>
      <c r="BD57" s="210"/>
      <c r="BE57" s="210"/>
      <c r="BF57" s="210"/>
      <c r="BG57" s="210"/>
      <c r="BH57" s="254"/>
      <c r="BI57" s="254"/>
      <c r="BJ57" s="254"/>
      <c r="BK57" s="254"/>
      <c r="BL57" s="111"/>
      <c r="BM57" s="111"/>
    </row>
    <row r="58" spans="1:65" s="101" customFormat="1" x14ac:dyDescent="0.15">
      <c r="A58" s="101" t="s">
        <v>552</v>
      </c>
      <c r="B58" s="260" t="str">
        <f>'Cost prices'!B144</f>
        <v>Polish Vacuum 1000 leg support external 0.6 µm - 4 pcs</v>
      </c>
      <c r="C58" s="260"/>
      <c r="U58" s="265">
        <f>'Cost prices'!$H144
/VLOOKUP($A58,Rules!$I$23:$J$27, 2, FALSE)
/ 7.45* $AI$12</f>
        <v>272.01303158665974</v>
      </c>
      <c r="V58" s="265">
        <f>'Cost prices'!$H144
/VLOOKUP($A58,Rules!$I$23:$J$27, 2, FALSE)
/ 7.45* $AI$12</f>
        <v>272.01303158665974</v>
      </c>
      <c r="W58" s="265">
        <f>'Cost prices'!$H144
/VLOOKUP($A58,Rules!$I$23:$J$27, 2, FALSE)
/ 7.45* $AI$12</f>
        <v>272.01303158665974</v>
      </c>
      <c r="X58" s="265">
        <f>'Cost prices'!$H144
/VLOOKUP($A58,Rules!$I$23:$J$27, 2, FALSE)
/ 7.45* $AI$12</f>
        <v>272.01303158665974</v>
      </c>
      <c r="Y58" s="210"/>
      <c r="Z58" s="265">
        <f>'Cost prices'!$H144
/VLOOKUP($A58,Rules!$I$23:$J$27, 2, FALSE)
/ 7.45* $AI$12</f>
        <v>272.01303158665974</v>
      </c>
      <c r="AA58" s="265">
        <f>'Cost prices'!$H144
/VLOOKUP($A58,Rules!$I$23:$J$27, 2, FALSE)
/ 7.45* $AI$12</f>
        <v>272.01303158665974</v>
      </c>
      <c r="AB58" s="264"/>
      <c r="AC58" s="210"/>
      <c r="AD58" s="210"/>
      <c r="AF58" s="252"/>
      <c r="AG58" s="252"/>
      <c r="AH58" s="252"/>
      <c r="AI58" s="249"/>
      <c r="AJ58" s="249"/>
      <c r="AK58" s="249"/>
      <c r="AL58" s="252"/>
      <c r="AM58" s="249"/>
      <c r="AN58" s="249"/>
      <c r="AO58" s="249"/>
      <c r="AP58" s="107"/>
      <c r="AQ58" s="107"/>
      <c r="AR58" s="210"/>
      <c r="AS58" s="210"/>
      <c r="AT58" s="210"/>
      <c r="AU58" s="210"/>
      <c r="AV58" s="210"/>
      <c r="AW58" s="210"/>
      <c r="AX58" s="210"/>
      <c r="AY58" s="210"/>
      <c r="AZ58" s="210"/>
      <c r="BA58" s="210"/>
      <c r="BB58" s="210"/>
      <c r="BC58" s="210"/>
      <c r="BD58" s="210"/>
      <c r="BE58" s="210"/>
      <c r="BF58" s="210"/>
      <c r="BG58" s="210"/>
      <c r="BH58" s="254"/>
      <c r="BI58" s="254"/>
      <c r="BJ58" s="254"/>
      <c r="BK58" s="254"/>
      <c r="BL58" s="111"/>
      <c r="BM58" s="111"/>
    </row>
    <row r="59" spans="1:65" s="101" customFormat="1" x14ac:dyDescent="0.15">
      <c r="A59" s="101" t="s">
        <v>1272</v>
      </c>
      <c r="B59" s="260" t="str">
        <f>'Cost prices'!B145</f>
        <v>Polish Vacuum 1000 leg support external 0.3 µm - 4 pcs</v>
      </c>
      <c r="C59" s="260"/>
      <c r="U59" s="265">
        <f>'Cost prices'!$H145
/VLOOKUP($A59,Rules!$I$23:$J$27, 2, FALSE)
/ 7.45* $AI$12</f>
        <v>867.04153818247767</v>
      </c>
      <c r="V59" s="265">
        <f>'Cost prices'!$H145
/VLOOKUP($A59,Rules!$I$23:$J$27, 2, FALSE)
/ 7.45* $AI$12</f>
        <v>867.04153818247767</v>
      </c>
      <c r="W59" s="265">
        <f>'Cost prices'!$H145
/VLOOKUP($A59,Rules!$I$23:$J$27, 2, FALSE)
/ 7.45* $AI$12</f>
        <v>867.04153818247767</v>
      </c>
      <c r="X59" s="265">
        <f>'Cost prices'!$H145
/VLOOKUP($A59,Rules!$I$23:$J$27, 2, FALSE)
/ 7.45* $AI$12</f>
        <v>867.04153818247767</v>
      </c>
      <c r="Y59" s="210"/>
      <c r="Z59" s="265">
        <f>'Cost prices'!$H145
/VLOOKUP($A59,Rules!$I$23:$J$27, 2, FALSE)
/ 7.45* $AI$12</f>
        <v>867.04153818247767</v>
      </c>
      <c r="AA59" s="265">
        <f>'Cost prices'!$H145
/VLOOKUP($A59,Rules!$I$23:$J$27, 2, FALSE)
/ 7.45* $AI$12</f>
        <v>867.04153818247767</v>
      </c>
      <c r="AB59" s="264"/>
      <c r="AC59" s="210"/>
      <c r="AD59" s="210"/>
      <c r="AF59" s="252"/>
      <c r="AG59" s="252"/>
      <c r="AH59" s="252"/>
      <c r="AI59" s="249"/>
      <c r="AJ59" s="249"/>
      <c r="AK59" s="249"/>
      <c r="AL59" s="252"/>
      <c r="AM59" s="249"/>
      <c r="AN59" s="249"/>
      <c r="AO59" s="249"/>
      <c r="AP59" s="107"/>
      <c r="AQ59" s="107"/>
      <c r="AR59" s="210"/>
      <c r="AS59" s="210"/>
      <c r="AT59" s="210"/>
      <c r="AU59" s="210"/>
      <c r="AV59" s="210"/>
      <c r="AW59" s="210"/>
      <c r="AX59" s="210"/>
      <c r="AY59" s="210"/>
      <c r="AZ59" s="210"/>
      <c r="BA59" s="210"/>
      <c r="BB59" s="210"/>
      <c r="BC59" s="210"/>
      <c r="BD59" s="210"/>
      <c r="BE59" s="210"/>
      <c r="BF59" s="210"/>
      <c r="BG59" s="210"/>
      <c r="BH59" s="254"/>
      <c r="BI59" s="254"/>
      <c r="BJ59" s="254"/>
      <c r="BK59" s="254"/>
      <c r="BL59" s="111"/>
      <c r="BM59" s="111"/>
    </row>
    <row r="60" spans="1:65" s="101" customFormat="1" x14ac:dyDescent="0.15">
      <c r="B60" s="260" t="s">
        <v>186</v>
      </c>
      <c r="C60" s="260"/>
      <c r="D60" s="101">
        <f>'Internal Sales price'!$BJ$218*'External Prices'!$AH$12</f>
        <v>709.33688380069088</v>
      </c>
      <c r="E60" s="101">
        <f>'Internal Sales price'!$BJ$218*'External Prices'!$AH$12</f>
        <v>709.33688380069088</v>
      </c>
      <c r="F60" s="101">
        <f>'Internal Sales price'!$BJ$218*'External Prices'!$AH$12</f>
        <v>709.33688380069088</v>
      </c>
      <c r="G60" s="101">
        <f>'Internal Sales price'!$BJ$218*'External Prices'!$AH$12</f>
        <v>709.33688380069088</v>
      </c>
      <c r="H60" s="101">
        <f>'Internal Sales price'!$BJ$218*'External Prices'!$AH$12</f>
        <v>709.33688380069088</v>
      </c>
      <c r="I60" s="101" t="s">
        <v>87</v>
      </c>
      <c r="J60" s="103" t="s">
        <v>87</v>
      </c>
      <c r="K60" s="103" t="s">
        <v>87</v>
      </c>
      <c r="L60" s="103" t="s">
        <v>87</v>
      </c>
      <c r="M60" s="103"/>
      <c r="N60" s="101">
        <f>'Internal Sales price'!$BJ$218*'External Prices'!$AH$12</f>
        <v>709.33688380069088</v>
      </c>
      <c r="O60" s="101">
        <f>'Internal Sales price'!$BJ$218*'External Prices'!$AH$12</f>
        <v>709.33688380069088</v>
      </c>
      <c r="P60" s="103" t="s">
        <v>87</v>
      </c>
      <c r="Q60" s="103"/>
      <c r="R60" s="103" t="s">
        <v>87</v>
      </c>
      <c r="S60" s="103" t="s">
        <v>87</v>
      </c>
      <c r="T60" s="103" t="s">
        <v>87</v>
      </c>
      <c r="U60" s="103" t="s">
        <v>87</v>
      </c>
      <c r="V60" s="103" t="s">
        <v>87</v>
      </c>
      <c r="W60" s="103" t="s">
        <v>87</v>
      </c>
      <c r="X60" s="103" t="s">
        <v>87</v>
      </c>
      <c r="Y60" s="103" t="s">
        <v>87</v>
      </c>
      <c r="Z60" s="103" t="s">
        <v>87</v>
      </c>
      <c r="AA60" s="103" t="s">
        <v>87</v>
      </c>
      <c r="AB60" s="103" t="s">
        <v>87</v>
      </c>
      <c r="AC60" s="210"/>
      <c r="AD60" s="210"/>
      <c r="AF60" s="252"/>
      <c r="AG60" s="252"/>
      <c r="AH60" s="252"/>
      <c r="AI60" s="249"/>
      <c r="AJ60" s="249"/>
      <c r="AK60" s="249"/>
      <c r="AL60" s="252"/>
      <c r="AM60" s="249"/>
      <c r="AN60" s="249"/>
      <c r="AO60" s="249"/>
      <c r="AP60" s="107"/>
      <c r="AQ60" s="107"/>
      <c r="AR60" s="210"/>
      <c r="AS60" s="210"/>
      <c r="AT60" s="210"/>
      <c r="AU60" s="210"/>
      <c r="AV60" s="210"/>
      <c r="AW60" s="210"/>
      <c r="AX60" s="210"/>
      <c r="AY60" s="210"/>
      <c r="AZ60" s="210"/>
      <c r="BA60" s="210"/>
      <c r="BB60" s="210"/>
      <c r="BC60" s="210"/>
      <c r="BD60" s="210"/>
      <c r="BE60" s="210"/>
      <c r="BF60" s="210"/>
      <c r="BG60" s="210"/>
      <c r="BH60" s="254"/>
      <c r="BI60" s="254"/>
      <c r="BJ60" s="254"/>
      <c r="BK60" s="254"/>
      <c r="BL60" s="111"/>
      <c r="BM60" s="111"/>
    </row>
    <row r="61" spans="1:65" s="101" customFormat="1" x14ac:dyDescent="0.15">
      <c r="B61" s="260" t="s">
        <v>532</v>
      </c>
      <c r="C61" s="260"/>
      <c r="D61" s="266"/>
      <c r="E61" s="201"/>
      <c r="F61" s="201"/>
      <c r="G61" s="201"/>
      <c r="H61" s="201"/>
      <c r="I61" s="201"/>
      <c r="J61" s="201"/>
      <c r="K61" s="201"/>
      <c r="L61" s="201"/>
      <c r="M61" s="201"/>
      <c r="N61" s="201"/>
      <c r="O61" s="201"/>
      <c r="P61" s="267">
        <f>('Cost prices'!$H$117)/0.7/7.45*$AI$12</f>
        <v>642.71174338288438</v>
      </c>
      <c r="Q61" s="267"/>
      <c r="R61" s="267">
        <f>('Cost prices'!$H$117)/0.7/7.45*$AH$12</f>
        <v>642.71174338288438</v>
      </c>
      <c r="S61" s="267">
        <f>('Cost prices'!$H$117)/0.7/7.45*$AH$12</f>
        <v>642.71174338288438</v>
      </c>
      <c r="T61" s="267">
        <f>('Cost prices'!$H$117)/0.7/7.45*$AH$12</f>
        <v>642.71174338288438</v>
      </c>
      <c r="U61" s="267">
        <f>('Cost prices'!$H$117)/0.7/7.45*$AI$12</f>
        <v>642.71174338288438</v>
      </c>
      <c r="V61" s="267">
        <f>('Cost prices'!$H$117)/0.7/7.45*$AI$12</f>
        <v>642.71174338288438</v>
      </c>
      <c r="W61" s="267">
        <f>('Cost prices'!$H$117)/0.7/7.45*$AI$12</f>
        <v>642.71174338288438</v>
      </c>
      <c r="X61" s="267">
        <f>('Cost prices'!$H$117)/0.7/7.45*$AI$12</f>
        <v>642.71174338288438</v>
      </c>
      <c r="Y61" s="267">
        <f>('Cost prices'!$H$117)/0.7/7.45*$AI$12</f>
        <v>642.71174338288438</v>
      </c>
      <c r="Z61" s="267">
        <f>('Cost prices'!$H$117)/0.7/7.45*$AI$12</f>
        <v>642.71174338288438</v>
      </c>
      <c r="AA61" s="267">
        <f>('Cost prices'!$H$117)/0.7/7.45*$AI$12</f>
        <v>642.71174338288438</v>
      </c>
      <c r="AB61" s="267">
        <f>('Cost prices'!$H$117)/0.7/7.45*$AI$12</f>
        <v>642.71174338288438</v>
      </c>
      <c r="AC61" s="210"/>
      <c r="AD61" s="210"/>
      <c r="AF61" s="252"/>
      <c r="AG61" s="252"/>
      <c r="AH61" s="252"/>
      <c r="AI61" s="249"/>
      <c r="AJ61" s="249"/>
      <c r="AK61" s="249"/>
      <c r="AL61" s="252"/>
      <c r="AM61" s="249"/>
      <c r="AN61" s="249"/>
      <c r="AO61" s="249"/>
      <c r="AP61" s="107"/>
      <c r="AQ61" s="107"/>
      <c r="AR61" s="210"/>
      <c r="AS61" s="210"/>
      <c r="AT61" s="210"/>
      <c r="AU61" s="210"/>
      <c r="AV61" s="210"/>
      <c r="AW61" s="210"/>
      <c r="AX61" s="210"/>
      <c r="AY61" s="210"/>
      <c r="AZ61" s="210"/>
      <c r="BA61" s="210"/>
      <c r="BB61" s="210"/>
      <c r="BC61" s="210"/>
      <c r="BD61" s="210"/>
      <c r="BE61" s="210"/>
      <c r="BF61" s="210"/>
      <c r="BG61" s="210"/>
      <c r="BH61" s="254"/>
      <c r="BI61" s="254"/>
      <c r="BJ61" s="254"/>
      <c r="BK61" s="254"/>
      <c r="BL61" s="111"/>
      <c r="BM61" s="111"/>
    </row>
    <row r="62" spans="1:65" s="101" customFormat="1" x14ac:dyDescent="0.15">
      <c r="B62" s="260" t="s">
        <v>117</v>
      </c>
      <c r="C62" s="260"/>
      <c r="E62" s="101">
        <f>'Internal Sales price'!$BH$218*'External Prices'!$AH$12</f>
        <v>770.50241930939001</v>
      </c>
      <c r="F62" s="101">
        <f>'Internal Sales price'!$BH$218*'External Prices'!$AH$12</f>
        <v>770.50241930939001</v>
      </c>
      <c r="G62" s="101">
        <f>'Internal Sales price'!$BH$218*'External Prices'!$AH$12</f>
        <v>770.50241930939001</v>
      </c>
      <c r="H62" s="101">
        <f>'Internal Sales price'!$BH$218*'External Prices'!$AH$12</f>
        <v>770.50241930939001</v>
      </c>
      <c r="I62" s="104">
        <f>'Internal Sales price'!$BH$218*'External Prices'!$AH$12</f>
        <v>770.50241930939001</v>
      </c>
      <c r="J62" s="101">
        <f>'Internal Sales price'!$BH$218*'External Prices'!$AH$12</f>
        <v>770.50241930939001</v>
      </c>
      <c r="K62" s="101">
        <f>'Internal Sales price'!$BH$218*'External Prices'!$AH$12</f>
        <v>770.50241930939001</v>
      </c>
      <c r="L62" s="101">
        <f>'Internal Sales price'!$BH$218*'External Prices'!$AH$12</f>
        <v>770.50241930939001</v>
      </c>
      <c r="N62" s="101">
        <f>'Internal Sales price'!$BH$218*'External Prices'!$AH$12</f>
        <v>770.50241930939001</v>
      </c>
      <c r="O62" s="101">
        <f>'Internal Sales price'!$BH$218*'External Prices'!$AH$12</f>
        <v>770.50241930939001</v>
      </c>
      <c r="P62" s="103" t="s">
        <v>87</v>
      </c>
      <c r="Q62" s="103"/>
      <c r="R62" s="201" t="s">
        <v>1404</v>
      </c>
      <c r="S62" s="201" t="s">
        <v>1404</v>
      </c>
      <c r="T62" s="201" t="s">
        <v>1404</v>
      </c>
      <c r="U62" s="103" t="s">
        <v>87</v>
      </c>
      <c r="V62" s="103" t="s">
        <v>87</v>
      </c>
      <c r="W62" s="103" t="s">
        <v>87</v>
      </c>
      <c r="X62" s="103" t="s">
        <v>87</v>
      </c>
      <c r="Y62" s="103" t="s">
        <v>87</v>
      </c>
      <c r="Z62" s="103" t="s">
        <v>87</v>
      </c>
      <c r="AA62" s="103" t="s">
        <v>87</v>
      </c>
      <c r="AB62" s="103" t="s">
        <v>87</v>
      </c>
      <c r="AC62" s="210"/>
      <c r="AD62" s="210"/>
      <c r="AF62" s="252"/>
      <c r="AG62" s="252"/>
      <c r="AH62" s="252"/>
      <c r="AI62" s="249"/>
      <c r="AJ62" s="249"/>
      <c r="AK62" s="249"/>
      <c r="AL62" s="252"/>
      <c r="AM62" s="249"/>
      <c r="AN62" s="249"/>
      <c r="AO62" s="249"/>
      <c r="AP62" s="107"/>
      <c r="AQ62" s="107"/>
      <c r="AR62" s="210"/>
      <c r="AS62" s="210"/>
      <c r="AT62" s="210"/>
      <c r="AU62" s="210"/>
      <c r="AV62" s="210"/>
      <c r="AW62" s="210"/>
      <c r="AX62" s="210"/>
      <c r="AY62" s="210"/>
      <c r="AZ62" s="210"/>
      <c r="BA62" s="210"/>
      <c r="BB62" s="210"/>
      <c r="BC62" s="210"/>
      <c r="BD62" s="210"/>
      <c r="BE62" s="210"/>
      <c r="BF62" s="210"/>
      <c r="BG62" s="210"/>
      <c r="BH62" s="254"/>
      <c r="BI62" s="254"/>
      <c r="BJ62" s="254"/>
      <c r="BK62" s="254"/>
      <c r="BL62" s="111"/>
      <c r="BM62" s="111"/>
    </row>
    <row r="63" spans="1:65" s="101" customFormat="1" x14ac:dyDescent="0.15">
      <c r="B63" s="260" t="s">
        <v>183</v>
      </c>
      <c r="C63" s="260"/>
      <c r="E63" s="101">
        <f>'Internal Sales price'!$BI$218*'External Prices'!$AH$12</f>
        <v>225.33293031242883</v>
      </c>
      <c r="F63" s="101">
        <f>'Internal Sales price'!$BI$218*'External Prices'!$AH$12</f>
        <v>225.33293031242883</v>
      </c>
      <c r="G63" s="101">
        <f>'Internal Sales price'!$BI$218*'External Prices'!$AH$12</f>
        <v>225.33293031242883</v>
      </c>
      <c r="H63" s="101">
        <f>'Internal Sales price'!$BI$218*'External Prices'!$AH$12</f>
        <v>225.33293031242883</v>
      </c>
      <c r="I63" s="104">
        <f>'Internal Sales price'!$BI$218*'External Prices'!$AH$12</f>
        <v>225.33293031242883</v>
      </c>
      <c r="J63" s="101">
        <f>'Internal Sales price'!$BI$218*'External Prices'!$AH$12</f>
        <v>225.33293031242883</v>
      </c>
      <c r="K63" s="101">
        <f>'Internal Sales price'!$BI$218*'External Prices'!$AH$12</f>
        <v>225.33293031242883</v>
      </c>
      <c r="L63" s="101">
        <f>'Internal Sales price'!$BI$218*'External Prices'!$AH$12</f>
        <v>225.33293031242883</v>
      </c>
      <c r="N63" s="101">
        <f>'Internal Sales price'!$BI$218*'External Prices'!$AH$12</f>
        <v>225.33293031242883</v>
      </c>
      <c r="O63" s="101">
        <f>'Internal Sales price'!$BI$218*'External Prices'!$AH$12</f>
        <v>225.33293031242883</v>
      </c>
      <c r="P63" s="103">
        <f>'Internal Sales price'!$BI$218*'External Prices'!$AI$12</f>
        <v>225.33293031242883</v>
      </c>
      <c r="Q63" s="103"/>
      <c r="R63" s="103">
        <f>'Internal Sales price'!$BI$218*'External Prices'!$AH$12</f>
        <v>225.33293031242883</v>
      </c>
      <c r="S63" s="103">
        <f>'Internal Sales price'!$BI$218*'External Prices'!$AH$12</f>
        <v>225.33293031242883</v>
      </c>
      <c r="T63" s="103">
        <f>'Internal Sales price'!$BI$218*'External Prices'!$AH$12</f>
        <v>225.33293031242883</v>
      </c>
      <c r="U63" s="103">
        <f>'Internal Sales price'!$BI$218*'External Prices'!$AI$12</f>
        <v>225.33293031242883</v>
      </c>
      <c r="V63" s="103">
        <f>'Internal Sales price'!$BI$218*'External Prices'!$AI$12</f>
        <v>225.33293031242883</v>
      </c>
      <c r="W63" s="103">
        <f>'Internal Sales price'!$BI$218*'External Prices'!$AI$12</f>
        <v>225.33293031242883</v>
      </c>
      <c r="X63" s="103">
        <f>'Internal Sales price'!$BI$218*'External Prices'!$AI$12</f>
        <v>225.33293031242883</v>
      </c>
      <c r="Y63" s="103">
        <f>'Internal Sales price'!$BI$218*'External Prices'!$AI$12</f>
        <v>225.33293031242883</v>
      </c>
      <c r="Z63" s="103">
        <f>'Internal Sales price'!$BI$218*'External Prices'!$AI$12</f>
        <v>225.33293031242883</v>
      </c>
      <c r="AA63" s="103">
        <f>'Internal Sales price'!$BI$218*'External Prices'!$AI$12</f>
        <v>225.33293031242883</v>
      </c>
      <c r="AB63" s="103">
        <f>'Internal Sales price'!$BI$218*'External Prices'!$AI$12</f>
        <v>225.33293031242883</v>
      </c>
      <c r="AC63" s="210"/>
      <c r="AD63" s="210"/>
      <c r="AF63" s="252"/>
      <c r="AG63" s="252"/>
      <c r="AH63" s="252"/>
      <c r="AI63" s="249"/>
      <c r="AJ63" s="249"/>
      <c r="AK63" s="249"/>
      <c r="AL63" s="252"/>
      <c r="AM63" s="249"/>
      <c r="AN63" s="249"/>
      <c r="AO63" s="249"/>
      <c r="AP63" s="107"/>
      <c r="AQ63" s="107"/>
      <c r="AR63" s="210"/>
      <c r="AS63" s="210"/>
      <c r="AT63" s="210"/>
      <c r="AU63" s="210"/>
      <c r="AV63" s="210"/>
      <c r="AW63" s="210"/>
      <c r="AX63" s="210"/>
      <c r="AY63" s="210"/>
      <c r="AZ63" s="210"/>
      <c r="BA63" s="210"/>
      <c r="BB63" s="210"/>
      <c r="BC63" s="210"/>
      <c r="BD63" s="210"/>
      <c r="BE63" s="210"/>
      <c r="BF63" s="210"/>
      <c r="BG63" s="210"/>
      <c r="BH63" s="254"/>
      <c r="BI63" s="254"/>
      <c r="BJ63" s="254"/>
      <c r="BK63" s="254"/>
      <c r="BL63" s="111"/>
      <c r="BM63" s="111"/>
    </row>
    <row r="64" spans="1:65" s="101" customFormat="1" x14ac:dyDescent="0.15">
      <c r="B64" s="260" t="s">
        <v>27</v>
      </c>
      <c r="C64" s="260"/>
      <c r="D64" s="95"/>
      <c r="F64" s="103"/>
      <c r="G64" s="101">
        <f>'Internal Sales price'!$BG$218*'External Prices'!$AH$12</f>
        <v>904.26450342473061</v>
      </c>
      <c r="H64" s="103"/>
      <c r="I64" s="210" t="s">
        <v>87</v>
      </c>
      <c r="J64" s="103"/>
      <c r="K64" s="103"/>
      <c r="L64" s="210" t="s">
        <v>87</v>
      </c>
      <c r="M64" s="210"/>
      <c r="N64" s="210"/>
      <c r="O64" s="210"/>
      <c r="P64" s="210"/>
      <c r="Q64" s="210"/>
      <c r="R64" s="210"/>
      <c r="S64" s="210"/>
      <c r="T64" s="210"/>
      <c r="U64" s="210"/>
      <c r="V64" s="210"/>
      <c r="W64" s="210"/>
      <c r="X64" s="210"/>
      <c r="Y64" s="210"/>
      <c r="Z64" s="210"/>
      <c r="AA64" s="210"/>
      <c r="AB64" s="210"/>
      <c r="AC64" s="210"/>
      <c r="AD64" s="210"/>
      <c r="AF64" s="252"/>
      <c r="AG64" s="252"/>
      <c r="AH64" s="252"/>
      <c r="AI64" s="249"/>
      <c r="AJ64" s="249"/>
      <c r="AK64" s="249"/>
      <c r="AL64" s="252"/>
      <c r="AM64" s="249"/>
      <c r="AN64" s="249"/>
      <c r="AO64" s="249"/>
      <c r="AP64" s="107"/>
      <c r="AQ64" s="107"/>
      <c r="AR64" s="210"/>
      <c r="AS64" s="210"/>
      <c r="AT64" s="210"/>
      <c r="AU64" s="210"/>
      <c r="AV64" s="210"/>
      <c r="AW64" s="210"/>
      <c r="AX64" s="210"/>
      <c r="AY64" s="210"/>
      <c r="AZ64" s="210"/>
      <c r="BA64" s="210"/>
      <c r="BB64" s="210"/>
      <c r="BC64" s="210"/>
      <c r="BD64" s="210"/>
      <c r="BE64" s="210"/>
      <c r="BF64" s="210"/>
      <c r="BG64" s="210"/>
      <c r="BH64" s="254"/>
      <c r="BI64" s="254"/>
      <c r="BJ64" s="254"/>
      <c r="BK64" s="254"/>
      <c r="BL64" s="111"/>
      <c r="BM64" s="111"/>
    </row>
    <row r="65" spans="1:65" s="101" customFormat="1" x14ac:dyDescent="0.15">
      <c r="B65" s="260" t="s">
        <v>10</v>
      </c>
      <c r="C65" s="260"/>
      <c r="D65" s="95"/>
      <c r="F65" s="103"/>
      <c r="G65" s="101">
        <f>'Internal Sales price'!$BE$218*'External Prices'!$AH$12</f>
        <v>2432.5286197331225</v>
      </c>
      <c r="H65" s="101">
        <f>'Internal Sales price'!$BE$218*'External Prices'!$AH$12</f>
        <v>2432.5286197331225</v>
      </c>
      <c r="L65" s="101">
        <f>'Internal Sales price'!BL218*'External Prices'!$AH$12</f>
        <v>1085.7101100469656</v>
      </c>
      <c r="N65" s="101">
        <f>'Internal Sales price'!BL218*'External Prices'!$AH$12</f>
        <v>1085.7101100469656</v>
      </c>
      <c r="O65" s="176"/>
      <c r="P65" s="176"/>
      <c r="Q65" s="176"/>
      <c r="R65" s="210"/>
      <c r="S65" s="210"/>
      <c r="T65" s="210"/>
      <c r="U65" s="210"/>
      <c r="V65" s="210"/>
      <c r="W65" s="210"/>
      <c r="X65" s="210"/>
      <c r="Y65" s="210"/>
      <c r="Z65" s="210"/>
      <c r="AA65" s="210"/>
      <c r="AB65" s="210"/>
      <c r="AC65" s="210"/>
      <c r="AD65" s="210"/>
      <c r="AF65" s="252"/>
      <c r="AG65" s="252"/>
      <c r="AH65" s="252"/>
      <c r="AI65" s="249"/>
      <c r="AJ65" s="249"/>
      <c r="AK65" s="249"/>
      <c r="AL65" s="252"/>
      <c r="AM65" s="249"/>
      <c r="AN65" s="249"/>
      <c r="AO65" s="249"/>
      <c r="AP65" s="107"/>
      <c r="AQ65" s="107"/>
      <c r="AR65" s="210"/>
      <c r="AS65" s="210"/>
      <c r="AT65" s="210"/>
      <c r="AU65" s="210"/>
      <c r="AV65" s="210"/>
      <c r="AW65" s="210"/>
      <c r="AX65" s="210"/>
      <c r="AY65" s="210"/>
      <c r="AZ65" s="210"/>
      <c r="BA65" s="210"/>
      <c r="BB65" s="210"/>
      <c r="BC65" s="210"/>
      <c r="BD65" s="210"/>
      <c r="BE65" s="210"/>
      <c r="BF65" s="210"/>
      <c r="BG65" s="210"/>
      <c r="BH65" s="254"/>
      <c r="BI65" s="254"/>
      <c r="BJ65" s="254"/>
      <c r="BK65" s="254"/>
      <c r="BL65" s="111"/>
      <c r="BM65" s="111"/>
    </row>
    <row r="66" spans="1:65" s="101" customFormat="1" x14ac:dyDescent="0.15">
      <c r="A66" s="101" t="s">
        <v>552</v>
      </c>
      <c r="B66" s="94" t="s">
        <v>1429</v>
      </c>
      <c r="C66" s="260"/>
      <c r="D66" s="95"/>
      <c r="F66" s="103"/>
      <c r="I66" s="104">
        <f>'Cost prices'!H77
/VLOOKUP($A66,Rules!$I$23:$J$27, 2, FALSE)
/ 7.45* $AH$12</f>
        <v>564.42704054231888</v>
      </c>
      <c r="J66" s="101" t="s">
        <v>87</v>
      </c>
      <c r="K66" s="101" t="s">
        <v>87</v>
      </c>
      <c r="L66" s="101" t="s">
        <v>87</v>
      </c>
      <c r="O66" s="176"/>
      <c r="P66" s="176"/>
      <c r="Q66" s="176"/>
      <c r="R66" s="210"/>
      <c r="S66" s="210"/>
      <c r="T66" s="210"/>
      <c r="U66" s="210"/>
      <c r="V66" s="210"/>
      <c r="W66" s="210"/>
      <c r="X66" s="210"/>
      <c r="Y66" s="210"/>
      <c r="Z66" s="210"/>
      <c r="AA66" s="210"/>
      <c r="AB66" s="210"/>
      <c r="AC66" s="210"/>
      <c r="AD66" s="210"/>
      <c r="AF66" s="252"/>
      <c r="AG66" s="252"/>
      <c r="AH66" s="252"/>
      <c r="AI66" s="249"/>
      <c r="AJ66" s="249"/>
      <c r="AK66" s="249"/>
      <c r="AL66" s="252"/>
      <c r="AM66" s="249"/>
      <c r="AN66" s="249"/>
      <c r="AO66" s="249"/>
      <c r="AP66" s="107"/>
      <c r="AQ66" s="107"/>
      <c r="AR66" s="210"/>
      <c r="AS66" s="210"/>
      <c r="AT66" s="210"/>
      <c r="AU66" s="210"/>
      <c r="AV66" s="210"/>
      <c r="AW66" s="210"/>
      <c r="AX66" s="210"/>
      <c r="AY66" s="210"/>
      <c r="AZ66" s="210"/>
      <c r="BA66" s="210"/>
      <c r="BB66" s="210"/>
      <c r="BC66" s="210"/>
      <c r="BD66" s="210"/>
      <c r="BE66" s="210"/>
      <c r="BF66" s="210"/>
      <c r="BG66" s="210"/>
      <c r="BH66" s="254"/>
      <c r="BI66" s="254"/>
      <c r="BJ66" s="254"/>
      <c r="BK66" s="254"/>
      <c r="BL66" s="111"/>
      <c r="BM66" s="111"/>
    </row>
    <row r="67" spans="1:65" s="101" customFormat="1" x14ac:dyDescent="0.15">
      <c r="A67" s="101" t="s">
        <v>552</v>
      </c>
      <c r="B67" s="94" t="s">
        <v>1430</v>
      </c>
      <c r="C67" s="260"/>
      <c r="D67" s="95"/>
      <c r="F67" s="103"/>
      <c r="I67" s="104">
        <f>'Cost prices'!H78
/VLOOKUP($A67,Rules!$I$23:$J$27, 2, FALSE)
/ 7.45* $AH$12</f>
        <v>392.15212053743443</v>
      </c>
      <c r="J67" s="101" t="s">
        <v>87</v>
      </c>
      <c r="K67" s="101" t="s">
        <v>87</v>
      </c>
      <c r="L67" s="101" t="s">
        <v>87</v>
      </c>
      <c r="O67" s="176"/>
      <c r="P67" s="176"/>
      <c r="Q67" s="176"/>
      <c r="R67" s="210"/>
      <c r="S67" s="210"/>
      <c r="T67" s="210"/>
      <c r="U67" s="210"/>
      <c r="V67" s="210"/>
      <c r="W67" s="210"/>
      <c r="X67" s="210"/>
      <c r="Y67" s="210"/>
      <c r="Z67" s="210"/>
      <c r="AA67" s="210"/>
      <c r="AB67" s="210"/>
      <c r="AC67" s="210"/>
      <c r="AD67" s="210"/>
      <c r="AF67" s="252"/>
      <c r="AG67" s="252"/>
      <c r="AH67" s="252"/>
      <c r="AI67" s="249"/>
      <c r="AJ67" s="249"/>
      <c r="AK67" s="249"/>
      <c r="AL67" s="252"/>
      <c r="AM67" s="249"/>
      <c r="AN67" s="249"/>
      <c r="AO67" s="249"/>
      <c r="AP67" s="107"/>
      <c r="AQ67" s="107"/>
      <c r="AR67" s="210"/>
      <c r="AS67" s="210"/>
      <c r="AT67" s="210"/>
      <c r="AU67" s="210"/>
      <c r="AV67" s="210"/>
      <c r="AW67" s="210"/>
      <c r="AX67" s="210"/>
      <c r="AY67" s="210"/>
      <c r="AZ67" s="210"/>
      <c r="BA67" s="210"/>
      <c r="BB67" s="210"/>
      <c r="BC67" s="210"/>
      <c r="BD67" s="210"/>
      <c r="BE67" s="210"/>
      <c r="BF67" s="210"/>
      <c r="BG67" s="210"/>
      <c r="BH67" s="254"/>
      <c r="BI67" s="254"/>
      <c r="BJ67" s="254"/>
      <c r="BK67" s="254"/>
      <c r="BL67" s="111"/>
      <c r="BM67" s="111"/>
    </row>
    <row r="68" spans="1:65" s="101" customFormat="1" x14ac:dyDescent="0.15">
      <c r="A68" s="101" t="s">
        <v>552</v>
      </c>
      <c r="B68" s="94" t="s">
        <v>1435</v>
      </c>
      <c r="C68" s="260"/>
      <c r="D68" s="95"/>
      <c r="F68" s="103"/>
      <c r="I68" s="104">
        <f>'Cost prices'!H79
/VLOOKUP($A68,Rules!$I$23:$J$27, 2, FALSE)
/ 7.45* $AH$12</f>
        <v>873.84186397214421</v>
      </c>
      <c r="K68" s="101" t="s">
        <v>87</v>
      </c>
      <c r="L68" s="101" t="s">
        <v>87</v>
      </c>
      <c r="O68" s="176"/>
      <c r="P68" s="176"/>
      <c r="Q68" s="176"/>
      <c r="R68" s="210"/>
      <c r="S68" s="210"/>
      <c r="T68" s="210"/>
      <c r="U68" s="210"/>
      <c r="V68" s="210"/>
      <c r="W68" s="210"/>
      <c r="X68" s="210"/>
      <c r="Y68" s="210"/>
      <c r="Z68" s="210"/>
      <c r="AA68" s="210"/>
      <c r="AB68" s="210"/>
      <c r="AC68" s="210"/>
      <c r="AD68" s="210"/>
      <c r="AF68" s="252"/>
      <c r="AG68" s="252"/>
      <c r="AH68" s="252"/>
      <c r="AI68" s="249"/>
      <c r="AJ68" s="249"/>
      <c r="AK68" s="249"/>
      <c r="AL68" s="252"/>
      <c r="AM68" s="249"/>
      <c r="AN68" s="249"/>
      <c r="AO68" s="249"/>
      <c r="AP68" s="107"/>
      <c r="AQ68" s="107"/>
      <c r="AR68" s="210"/>
      <c r="AS68" s="210"/>
      <c r="AT68" s="210"/>
      <c r="AU68" s="210"/>
      <c r="AV68" s="210"/>
      <c r="AW68" s="210"/>
      <c r="AX68" s="210"/>
      <c r="AY68" s="210"/>
      <c r="AZ68" s="210"/>
      <c r="BA68" s="210"/>
      <c r="BB68" s="210"/>
      <c r="BC68" s="210"/>
      <c r="BD68" s="210"/>
      <c r="BE68" s="210"/>
      <c r="BF68" s="210"/>
      <c r="BG68" s="210"/>
      <c r="BH68" s="254"/>
      <c r="BI68" s="254"/>
      <c r="BJ68" s="254"/>
      <c r="BK68" s="254"/>
      <c r="BL68" s="111"/>
      <c r="BM68" s="111"/>
    </row>
    <row r="69" spans="1:65" s="101" customFormat="1" x14ac:dyDescent="0.15">
      <c r="A69" s="101" t="s">
        <v>552</v>
      </c>
      <c r="B69" s="94" t="s">
        <v>1431</v>
      </c>
      <c r="C69" s="260"/>
      <c r="D69" s="95"/>
      <c r="F69" s="103"/>
      <c r="I69" s="104">
        <f>'Cost prices'!H80
/VLOOKUP($A69,Rules!$I$23:$J$27, 2, FALSE)
/ 7.45* $AH$12</f>
        <v>418.22003606448931</v>
      </c>
      <c r="L69" s="101" t="s">
        <v>87</v>
      </c>
      <c r="O69" s="176"/>
      <c r="P69" s="176"/>
      <c r="Q69" s="176"/>
      <c r="R69" s="210"/>
      <c r="S69" s="210"/>
      <c r="T69" s="210"/>
      <c r="U69" s="210"/>
      <c r="V69" s="210"/>
      <c r="W69" s="210"/>
      <c r="X69" s="210"/>
      <c r="Y69" s="210"/>
      <c r="Z69" s="210"/>
      <c r="AA69" s="210"/>
      <c r="AB69" s="210"/>
      <c r="AC69" s="210"/>
      <c r="AD69" s="210"/>
      <c r="AF69" s="252"/>
      <c r="AG69" s="252"/>
      <c r="AH69" s="252"/>
      <c r="AI69" s="249"/>
      <c r="AJ69" s="249"/>
      <c r="AK69" s="249"/>
      <c r="AL69" s="252"/>
      <c r="AM69" s="249"/>
      <c r="AN69" s="249"/>
      <c r="AO69" s="249"/>
      <c r="AP69" s="107"/>
      <c r="AQ69" s="107"/>
      <c r="AR69" s="210"/>
      <c r="AS69" s="210"/>
      <c r="AT69" s="210"/>
      <c r="AU69" s="210"/>
      <c r="AV69" s="210"/>
      <c r="AW69" s="210"/>
      <c r="AX69" s="210"/>
      <c r="AY69" s="210"/>
      <c r="AZ69" s="210"/>
      <c r="BA69" s="210"/>
      <c r="BB69" s="210"/>
      <c r="BC69" s="210"/>
      <c r="BD69" s="210"/>
      <c r="BE69" s="210"/>
      <c r="BF69" s="210"/>
      <c r="BG69" s="210"/>
      <c r="BH69" s="254"/>
      <c r="BI69" s="254"/>
      <c r="BJ69" s="254"/>
      <c r="BK69" s="254"/>
      <c r="BL69" s="111"/>
      <c r="BM69" s="111"/>
    </row>
    <row r="70" spans="1:65" s="101" customFormat="1" x14ac:dyDescent="0.15">
      <c r="A70" s="101" t="s">
        <v>552</v>
      </c>
      <c r="B70" s="94" t="s">
        <v>1432</v>
      </c>
      <c r="C70" s="260" t="s">
        <v>1500</v>
      </c>
      <c r="D70" s="95"/>
      <c r="F70" s="103"/>
      <c r="I70" s="104">
        <f>('Cost prices'!H81+'Cost prices'!H28)
/VLOOKUP($A70,Rules!$I$23:$J$27, 2, FALSE)
/ 7.45* $AH$12
+
IFERROR(
  VLOOKUP(
    IF(OR('External Prices'!I18="MARTIN",'External Prices'!I18="MARTIN 3A"),
      "ST. STEEL BASE Ø 60 WITH BLUE EPDM VULCANISED RUBBER TILTING 10° ST. STEEL SCREW M16X150 WITH ST. STEEL BUSH 24X85 – USDA ACCEPTED",
      IF('External Prices'!I18="NGI",
        "Machine foot XH80-M20 x 150/85-M20 x 50",
        ""
      )
    ),
    'Cost prices'!$B$6:$H$376,
    7,
    FALSE
  )*3,
"")</f>
        <v>2193.2185628718335</v>
      </c>
      <c r="L70" s="101" t="s">
        <v>87</v>
      </c>
      <c r="O70" s="176"/>
      <c r="P70" s="176"/>
      <c r="Q70" s="176"/>
      <c r="R70" s="210"/>
      <c r="S70" s="210"/>
      <c r="T70" s="210"/>
      <c r="U70" s="210"/>
      <c r="V70" s="210"/>
      <c r="W70" s="210"/>
      <c r="X70" s="210"/>
      <c r="Y70" s="210"/>
      <c r="Z70" s="210"/>
      <c r="AA70" s="210"/>
      <c r="AB70" s="210"/>
      <c r="AC70" s="210"/>
      <c r="AD70" s="210"/>
      <c r="AF70" s="252"/>
      <c r="AG70" s="252"/>
      <c r="AH70" s="252"/>
      <c r="AI70" s="249"/>
      <c r="AJ70" s="249"/>
      <c r="AK70" s="249"/>
      <c r="AL70" s="252"/>
      <c r="AM70" s="249"/>
      <c r="AN70" s="249"/>
      <c r="AO70" s="249"/>
      <c r="AP70" s="107"/>
      <c r="AQ70" s="107"/>
      <c r="AR70" s="210"/>
      <c r="AS70" s="210"/>
      <c r="AT70" s="210"/>
      <c r="AU70" s="210"/>
      <c r="AV70" s="210"/>
      <c r="AW70" s="210"/>
      <c r="AX70" s="210"/>
      <c r="AY70" s="210"/>
      <c r="AZ70" s="210"/>
      <c r="BA70" s="210"/>
      <c r="BB70" s="210"/>
      <c r="BC70" s="210"/>
      <c r="BD70" s="210"/>
      <c r="BE70" s="210"/>
      <c r="BF70" s="210"/>
      <c r="BG70" s="210"/>
      <c r="BH70" s="254"/>
      <c r="BI70" s="254"/>
      <c r="BJ70" s="254"/>
      <c r="BK70" s="254"/>
      <c r="BL70" s="111"/>
      <c r="BM70" s="111"/>
    </row>
    <row r="71" spans="1:65" s="101" customFormat="1" x14ac:dyDescent="0.15">
      <c r="A71" s="101" t="s">
        <v>552</v>
      </c>
      <c r="B71" s="219" t="s">
        <v>1433</v>
      </c>
      <c r="C71" s="260"/>
      <c r="D71" s="95"/>
      <c r="F71" s="103"/>
      <c r="I71" s="104">
        <f>'Internal Sales price'!BL218*'External Prices'!$AH$12</f>
        <v>1085.7101100469656</v>
      </c>
      <c r="O71" s="176"/>
      <c r="P71" s="176"/>
      <c r="Q71" s="176"/>
      <c r="R71" s="210"/>
      <c r="S71" s="210"/>
      <c r="T71" s="210"/>
      <c r="U71" s="210"/>
      <c r="V71" s="210"/>
      <c r="W71" s="210"/>
      <c r="X71" s="210"/>
      <c r="Y71" s="210"/>
      <c r="Z71" s="210"/>
      <c r="AA71" s="210"/>
      <c r="AB71" s="210"/>
      <c r="AC71" s="210"/>
      <c r="AD71" s="210"/>
      <c r="AF71" s="252"/>
      <c r="AG71" s="252"/>
      <c r="AH71" s="252"/>
      <c r="AI71" s="249"/>
      <c r="AJ71" s="249"/>
      <c r="AK71" s="249"/>
      <c r="AL71" s="252"/>
      <c r="AM71" s="249"/>
      <c r="AN71" s="249"/>
      <c r="AO71" s="249"/>
      <c r="AP71" s="107"/>
      <c r="AQ71" s="107"/>
      <c r="AR71" s="210"/>
      <c r="AS71" s="210"/>
      <c r="AT71" s="210"/>
      <c r="AU71" s="210"/>
      <c r="AV71" s="210"/>
      <c r="AW71" s="210"/>
      <c r="AX71" s="210"/>
      <c r="AY71" s="210"/>
      <c r="AZ71" s="210"/>
      <c r="BA71" s="210"/>
      <c r="BB71" s="210"/>
      <c r="BC71" s="210"/>
      <c r="BD71" s="210"/>
      <c r="BE71" s="210"/>
      <c r="BF71" s="210"/>
      <c r="BG71" s="210"/>
      <c r="BH71" s="254"/>
      <c r="BI71" s="254"/>
      <c r="BJ71" s="254"/>
      <c r="BK71" s="254"/>
      <c r="BL71" s="111"/>
      <c r="BM71" s="111"/>
    </row>
    <row r="72" spans="1:65" s="101" customFormat="1" x14ac:dyDescent="0.15">
      <c r="B72" s="260" t="s">
        <v>177</v>
      </c>
      <c r="C72" s="260"/>
      <c r="D72" s="95"/>
      <c r="F72" s="103"/>
      <c r="G72" s="101">
        <f>'Internal Sales price'!$BK$218*'External Prices'!$AH$12</f>
        <v>5092.2965608724962</v>
      </c>
      <c r="H72" s="103"/>
      <c r="I72" s="103"/>
      <c r="J72" s="103"/>
      <c r="K72" s="103"/>
      <c r="L72" s="103"/>
      <c r="M72" s="103"/>
      <c r="N72" s="210"/>
      <c r="O72" s="210"/>
      <c r="P72" s="210"/>
      <c r="Q72" s="210"/>
      <c r="R72" s="210"/>
      <c r="S72" s="210"/>
      <c r="U72" s="210"/>
      <c r="V72" s="210"/>
      <c r="W72" s="210"/>
      <c r="X72" s="210"/>
      <c r="Y72" s="210"/>
      <c r="Z72" s="210"/>
      <c r="AA72" s="210"/>
      <c r="AB72" s="210"/>
      <c r="AC72" s="210"/>
      <c r="AD72" s="210"/>
      <c r="AF72" s="252"/>
      <c r="AG72" s="252"/>
      <c r="AH72" s="252"/>
      <c r="AI72" s="249"/>
      <c r="AJ72" s="249"/>
      <c r="AK72" s="249"/>
      <c r="AL72" s="252"/>
      <c r="AM72" s="249"/>
      <c r="AN72" s="249"/>
      <c r="AO72" s="249"/>
      <c r="AP72" s="107"/>
      <c r="AQ72" s="107"/>
      <c r="AR72" s="210"/>
      <c r="AS72" s="210"/>
      <c r="AT72" s="210"/>
      <c r="AU72" s="210"/>
      <c r="AV72" s="210"/>
      <c r="AW72" s="210"/>
      <c r="AX72" s="210"/>
      <c r="AY72" s="210"/>
      <c r="AZ72" s="210"/>
      <c r="BA72" s="210"/>
      <c r="BB72" s="210"/>
      <c r="BC72" s="210"/>
      <c r="BD72" s="210"/>
      <c r="BE72" s="210"/>
      <c r="BF72" s="210"/>
      <c r="BG72" s="210"/>
      <c r="BH72" s="254"/>
      <c r="BI72" s="254"/>
      <c r="BJ72" s="254"/>
      <c r="BK72" s="254"/>
      <c r="BL72" s="111"/>
      <c r="BM72" s="111"/>
    </row>
    <row r="73" spans="1:65" s="101" customFormat="1" x14ac:dyDescent="0.15">
      <c r="A73" s="268" t="s">
        <v>551</v>
      </c>
      <c r="B73" s="269"/>
      <c r="C73" s="269"/>
      <c r="D73" s="268"/>
      <c r="E73" s="268"/>
      <c r="F73" s="270"/>
      <c r="G73" s="268"/>
      <c r="H73" s="270"/>
      <c r="I73" s="270"/>
      <c r="J73" s="270"/>
      <c r="K73" s="270"/>
      <c r="L73" s="270"/>
      <c r="M73" s="270"/>
      <c r="N73" s="271"/>
      <c r="O73" s="271"/>
      <c r="P73" s="271"/>
      <c r="Q73" s="271"/>
      <c r="R73" s="271"/>
      <c r="S73" s="271"/>
      <c r="T73" s="268"/>
      <c r="U73" s="271"/>
      <c r="V73" s="271"/>
      <c r="W73" s="271"/>
      <c r="X73" s="271"/>
      <c r="Y73" s="271"/>
      <c r="Z73" s="271"/>
      <c r="AA73" s="271"/>
      <c r="AB73" s="271"/>
      <c r="AC73" s="210"/>
      <c r="AD73" s="210"/>
      <c r="AF73" s="252"/>
      <c r="AG73" s="252"/>
      <c r="AH73" s="252"/>
      <c r="AI73" s="249"/>
      <c r="AJ73" s="249"/>
      <c r="AK73" s="249"/>
      <c r="AL73" s="252"/>
      <c r="AM73" s="249"/>
      <c r="AN73" s="249"/>
      <c r="AO73" s="249"/>
      <c r="AP73" s="107"/>
      <c r="AQ73" s="107"/>
      <c r="AR73" s="210"/>
      <c r="AS73" s="210"/>
      <c r="AT73" s="210"/>
      <c r="AU73" s="210"/>
      <c r="AV73" s="210"/>
      <c r="AW73" s="210"/>
      <c r="AX73" s="210"/>
      <c r="AY73" s="210"/>
      <c r="AZ73" s="210"/>
      <c r="BA73" s="210"/>
      <c r="BB73" s="210"/>
      <c r="BC73" s="210"/>
      <c r="BD73" s="210"/>
      <c r="BE73" s="210"/>
      <c r="BF73" s="210"/>
      <c r="BG73" s="210"/>
      <c r="BH73" s="254"/>
      <c r="BI73" s="254"/>
      <c r="BJ73" s="254"/>
      <c r="BK73" s="254"/>
      <c r="BL73" s="111"/>
      <c r="BM73" s="111"/>
    </row>
    <row r="74" spans="1:65" s="101" customFormat="1" x14ac:dyDescent="0.15">
      <c r="A74" s="101" t="s">
        <v>552</v>
      </c>
      <c r="B74" s="99" t="s">
        <v>118</v>
      </c>
      <c r="C74" s="99"/>
      <c r="F74" s="103"/>
      <c r="G74" s="103"/>
      <c r="H74" s="103"/>
      <c r="I74" s="103"/>
      <c r="J74" s="103"/>
      <c r="K74" s="103"/>
      <c r="L74" s="103"/>
      <c r="M74" s="103"/>
      <c r="N74" s="210"/>
      <c r="O74" s="210"/>
      <c r="P74" s="210"/>
      <c r="Q74" s="210"/>
      <c r="R74" s="265">
        <f>'Cost prices'!$H$263
/VLOOKUP($A74,Rules!$I$23:$J$27, 2, FALSE)
/ 7.45* $AH$12</f>
        <v>340.05434657801192</v>
      </c>
      <c r="S74" s="265">
        <f>'Cost prices'!$H$263
/VLOOKUP($A74,Rules!$I$23:$J$27, 2, FALSE)
/ 7.45* $AH$12</f>
        <v>340.05434657801192</v>
      </c>
      <c r="T74" s="265">
        <f>'Cost prices'!$H$263
/VLOOKUP($A74,Rules!$I$23:$J$27, 2, FALSE)
/ 7.45* $AH$12</f>
        <v>340.05434657801192</v>
      </c>
      <c r="U74" s="210"/>
      <c r="V74" s="210"/>
      <c r="W74" s="210"/>
      <c r="X74" s="210"/>
      <c r="Y74" s="210"/>
      <c r="Z74" s="210"/>
      <c r="AA74" s="210"/>
      <c r="AB74" s="210"/>
      <c r="AC74" s="210"/>
      <c r="AD74" s="210"/>
      <c r="AF74" s="252"/>
      <c r="AG74" s="252"/>
      <c r="AH74" s="252"/>
      <c r="AI74" s="249"/>
      <c r="AJ74" s="249"/>
      <c r="AK74" s="249"/>
      <c r="AL74" s="252"/>
      <c r="AM74" s="249"/>
      <c r="AN74" s="249"/>
      <c r="AO74" s="249"/>
      <c r="AP74" s="107"/>
      <c r="AQ74" s="107"/>
      <c r="AR74" s="210"/>
      <c r="AS74" s="210"/>
      <c r="AT74" s="210"/>
      <c r="AU74" s="210"/>
      <c r="AV74" s="210"/>
      <c r="AW74" s="210"/>
      <c r="AX74" s="210"/>
      <c r="AY74" s="210"/>
      <c r="AZ74" s="210"/>
      <c r="BA74" s="210"/>
      <c r="BB74" s="210"/>
      <c r="BC74" s="210"/>
      <c r="BD74" s="210"/>
      <c r="BE74" s="210"/>
      <c r="BF74" s="210"/>
      <c r="BG74" s="210"/>
      <c r="BH74" s="254"/>
      <c r="BI74" s="254"/>
      <c r="BJ74" s="254"/>
      <c r="BK74" s="254"/>
      <c r="BL74" s="111"/>
      <c r="BM74" s="111"/>
    </row>
    <row r="75" spans="1:65" s="101" customFormat="1" x14ac:dyDescent="0.15">
      <c r="A75" s="101" t="s">
        <v>552</v>
      </c>
      <c r="B75" s="99" t="s">
        <v>119</v>
      </c>
      <c r="C75" s="99"/>
      <c r="F75" s="103"/>
      <c r="G75" s="103"/>
      <c r="H75" s="103"/>
      <c r="I75" s="103"/>
      <c r="J75" s="103"/>
      <c r="K75" s="103"/>
      <c r="L75" s="103"/>
      <c r="M75" s="103"/>
      <c r="N75" s="210"/>
      <c r="O75" s="210"/>
      <c r="P75" s="210"/>
      <c r="Q75" s="210"/>
      <c r="R75" s="265">
        <f>'Cost prices'!$H$263
/VLOOKUP($A75,Rules!$I$23:$J$27, 2, FALSE)
/ 7.45* $AH$12</f>
        <v>340.05434657801192</v>
      </c>
      <c r="S75" s="265">
        <f>'Cost prices'!$H$263
/VLOOKUP($A75,Rules!$I$23:$J$27, 2, FALSE)
/ 7.45* $AH$12</f>
        <v>340.05434657801192</v>
      </c>
      <c r="T75" s="265">
        <f>'Cost prices'!$H$263
/VLOOKUP($A75,Rules!$I$23:$J$27, 2, FALSE)
/ 7.45* $AH$12</f>
        <v>340.05434657801192</v>
      </c>
      <c r="U75" s="210"/>
      <c r="V75" s="210"/>
      <c r="W75" s="210"/>
      <c r="X75" s="210"/>
      <c r="Y75" s="210"/>
      <c r="Z75" s="210"/>
      <c r="AA75" s="210"/>
      <c r="AB75" s="210"/>
      <c r="AC75" s="210"/>
      <c r="AD75" s="210"/>
      <c r="AF75" s="252"/>
      <c r="AG75" s="252"/>
      <c r="AH75" s="252"/>
      <c r="AI75" s="249"/>
      <c r="AJ75" s="249"/>
      <c r="AK75" s="249"/>
      <c r="AL75" s="252"/>
      <c r="AM75" s="249"/>
      <c r="AN75" s="249"/>
      <c r="AO75" s="249"/>
      <c r="AP75" s="107"/>
      <c r="AQ75" s="107"/>
      <c r="AR75" s="210"/>
      <c r="AS75" s="210"/>
      <c r="AT75" s="210"/>
      <c r="AU75" s="210"/>
      <c r="AV75" s="210"/>
      <c r="AW75" s="210"/>
      <c r="AX75" s="210"/>
      <c r="AY75" s="210"/>
      <c r="AZ75" s="210"/>
      <c r="BA75" s="210"/>
      <c r="BB75" s="210"/>
      <c r="BC75" s="210"/>
      <c r="BD75" s="210"/>
      <c r="BE75" s="210"/>
      <c r="BF75" s="210"/>
      <c r="BG75" s="210"/>
      <c r="BH75" s="254"/>
      <c r="BI75" s="254"/>
      <c r="BJ75" s="254"/>
      <c r="BK75" s="254"/>
      <c r="BL75" s="111"/>
      <c r="BM75" s="111"/>
    </row>
    <row r="76" spans="1:65" s="101" customFormat="1" x14ac:dyDescent="0.15">
      <c r="A76" s="101" t="s">
        <v>552</v>
      </c>
      <c r="B76" s="99" t="s">
        <v>50</v>
      </c>
      <c r="C76" s="99"/>
      <c r="F76" s="103"/>
      <c r="G76" s="103"/>
      <c r="H76" s="103"/>
      <c r="I76" s="103"/>
      <c r="J76" s="103"/>
      <c r="K76" s="103"/>
      <c r="L76" s="103"/>
      <c r="M76" s="103"/>
      <c r="N76" s="210"/>
      <c r="O76" s="210"/>
      <c r="P76" s="265">
        <f>'Cost prices'!$H$264
/VLOOKUP($A76,Rules!$I$23:$J$27, 2, FALSE)
/ 7.45* $AI$12</f>
        <v>313.88684469002055</v>
      </c>
      <c r="Q76" s="265"/>
      <c r="R76" s="265">
        <f>'Cost prices'!$H$264
/VLOOKUP($A76,Rules!$I$23:$J$27, 2, FALSE)
/ 7.45* $AI$12</f>
        <v>313.88684469002055</v>
      </c>
      <c r="S76" s="265">
        <f>'Cost prices'!$H$264
/VLOOKUP($A76,Rules!$I$23:$J$27, 2, FALSE)
/ 7.45* $AI$12</f>
        <v>313.88684469002055</v>
      </c>
      <c r="T76" s="265">
        <f>'Cost prices'!$H$264
/VLOOKUP($A76,Rules!$I$23:$J$27, 2, FALSE)
/ 7.45* $AI$12</f>
        <v>313.88684469002055</v>
      </c>
      <c r="U76" s="210"/>
      <c r="V76" s="210"/>
      <c r="W76" s="265">
        <f>'Cost prices'!$H$264
/VLOOKUP($A76,Rules!$I$23:$J$27, 2, FALSE)
/ 7.45* $AI$12</f>
        <v>313.88684469002055</v>
      </c>
      <c r="X76" s="265">
        <f>'Cost prices'!$H$264
/VLOOKUP($A76,Rules!$I$23:$J$27, 2, FALSE)
/ 7.45* $AI$12</f>
        <v>313.88684469002055</v>
      </c>
      <c r="Y76" s="265">
        <f>'Cost prices'!$H$264
/VLOOKUP($A76,Rules!$I$23:$J$27, 2, FALSE)
/ 7.45* $AI$12</f>
        <v>313.88684469002055</v>
      </c>
      <c r="Z76" s="210"/>
      <c r="AA76" s="210"/>
      <c r="AB76" s="210"/>
      <c r="AC76" s="210"/>
      <c r="AD76" s="210"/>
      <c r="AF76" s="252"/>
      <c r="AG76" s="252"/>
      <c r="AH76" s="252"/>
      <c r="AI76" s="249"/>
      <c r="AJ76" s="249"/>
      <c r="AK76" s="249"/>
      <c r="AL76" s="252"/>
      <c r="AM76" s="249"/>
      <c r="AN76" s="249"/>
      <c r="AO76" s="249"/>
      <c r="AP76" s="107"/>
      <c r="AQ76" s="107"/>
      <c r="AR76" s="210"/>
      <c r="AS76" s="210"/>
      <c r="AT76" s="210"/>
      <c r="AU76" s="210"/>
      <c r="AV76" s="210"/>
      <c r="AW76" s="210"/>
      <c r="AX76" s="210"/>
      <c r="AY76" s="210"/>
      <c r="AZ76" s="210"/>
      <c r="BA76" s="210"/>
      <c r="BB76" s="210"/>
      <c r="BC76" s="210"/>
      <c r="BD76" s="210"/>
      <c r="BE76" s="210"/>
      <c r="BF76" s="210"/>
      <c r="BG76" s="210"/>
      <c r="BH76" s="254"/>
      <c r="BI76" s="254"/>
      <c r="BJ76" s="254"/>
      <c r="BK76" s="254"/>
      <c r="BL76" s="111"/>
      <c r="BM76" s="111"/>
    </row>
    <row r="77" spans="1:65" s="101" customFormat="1" x14ac:dyDescent="0.15">
      <c r="A77" s="101" t="s">
        <v>426</v>
      </c>
      <c r="B77" s="99" t="s">
        <v>180</v>
      </c>
      <c r="C77" s="99"/>
      <c r="F77" s="103"/>
      <c r="G77" s="103"/>
      <c r="H77" s="103"/>
      <c r="I77" s="103"/>
      <c r="J77" s="103"/>
      <c r="K77" s="103"/>
      <c r="L77" s="103"/>
      <c r="M77" s="103"/>
      <c r="N77" s="210"/>
      <c r="O77" s="210"/>
      <c r="P77" s="210"/>
      <c r="Q77" s="210"/>
      <c r="R77" s="265">
        <f>('Cost prices'!$H$185*2+'Cost prices'!$H$265)
/VLOOKUP($A77,Rules!$I$23:$J$27, 2, FALSE)
/ 7.45* $AH$12</f>
        <v>1475.6393892560934</v>
      </c>
      <c r="S77" s="265">
        <f>('Cost prices'!$H$185*2+'Cost prices'!$H$265)
/VLOOKUP($A77,Rules!$I$23:$J$27, 2, FALSE)
/ 7.45* $AH$12</f>
        <v>1475.6393892560934</v>
      </c>
      <c r="T77" s="265">
        <f>('Cost prices'!$H$185*2+'Cost prices'!$H$265)
/VLOOKUP($A77,Rules!$I$23:$J$27, 2, FALSE)
/ 7.45* $AH$12</f>
        <v>1475.6393892560934</v>
      </c>
      <c r="U77" s="210"/>
      <c r="V77" s="210"/>
      <c r="W77" s="210"/>
      <c r="X77" s="210"/>
      <c r="Y77" s="210"/>
      <c r="Z77" s="210"/>
      <c r="AA77" s="210"/>
      <c r="AB77" s="210"/>
      <c r="AC77" s="210"/>
      <c r="AD77" s="210"/>
      <c r="AF77" s="252"/>
      <c r="AG77" s="252"/>
      <c r="AH77" s="252"/>
      <c r="AI77" s="249"/>
      <c r="AJ77" s="249"/>
      <c r="AK77" s="249"/>
      <c r="AL77" s="252"/>
      <c r="AM77" s="249"/>
      <c r="AN77" s="249"/>
      <c r="AO77" s="249"/>
      <c r="AP77" s="107"/>
      <c r="AQ77" s="107"/>
      <c r="AR77" s="210"/>
      <c r="AS77" s="210"/>
      <c r="AT77" s="210"/>
      <c r="AU77" s="210"/>
      <c r="AV77" s="210"/>
      <c r="AW77" s="210"/>
      <c r="AX77" s="210"/>
      <c r="AY77" s="210"/>
      <c r="AZ77" s="210"/>
      <c r="BA77" s="210"/>
      <c r="BB77" s="210"/>
      <c r="BC77" s="210"/>
      <c r="BD77" s="210"/>
      <c r="BE77" s="210"/>
      <c r="BF77" s="210"/>
      <c r="BG77" s="210"/>
      <c r="BH77" s="254"/>
      <c r="BI77" s="254"/>
      <c r="BJ77" s="254"/>
      <c r="BK77" s="254"/>
      <c r="BL77" s="111"/>
      <c r="BM77" s="111"/>
    </row>
    <row r="78" spans="1:65" s="101" customFormat="1" x14ac:dyDescent="0.15">
      <c r="A78" s="101" t="s">
        <v>426</v>
      </c>
      <c r="B78" s="99" t="s">
        <v>179</v>
      </c>
      <c r="C78" s="99"/>
      <c r="F78" s="103"/>
      <c r="G78" s="103"/>
      <c r="H78" s="103"/>
      <c r="I78" s="103"/>
      <c r="J78" s="103"/>
      <c r="K78" s="103"/>
      <c r="L78" s="103"/>
      <c r="M78" s="103"/>
      <c r="N78" s="210"/>
      <c r="O78" s="210"/>
      <c r="P78" s="210"/>
      <c r="Q78" s="210"/>
      <c r="R78" s="265">
        <f>3500/
VLOOKUP($A78,Rules!$I$23:$J$27, 2, FALSE)
/ 7.45* $AH$12</f>
        <v>671.81275234966517</v>
      </c>
      <c r="S78" s="265">
        <f>3500/
VLOOKUP($A78,Rules!$I$23:$J$27, 2, FALSE)
/ 7.45* $AH$12</f>
        <v>671.81275234966517</v>
      </c>
      <c r="T78" s="265">
        <f>3500/
VLOOKUP($A78,Rules!$I$23:$J$27, 2, FALSE)
/ 7.45* $AH$12</f>
        <v>671.81275234966517</v>
      </c>
      <c r="U78" s="210"/>
      <c r="V78" s="210"/>
      <c r="W78" s="210"/>
      <c r="X78" s="210"/>
      <c r="Y78" s="210"/>
      <c r="Z78" s="210"/>
      <c r="AA78" s="210"/>
      <c r="AB78" s="210"/>
      <c r="AC78" s="210"/>
      <c r="AD78" s="210"/>
      <c r="AF78" s="252"/>
      <c r="AG78" s="252"/>
      <c r="AH78" s="252"/>
      <c r="AI78" s="249"/>
      <c r="AJ78" s="249"/>
      <c r="AK78" s="249"/>
      <c r="AL78" s="252"/>
      <c r="AM78" s="249"/>
      <c r="AN78" s="249"/>
      <c r="AO78" s="249"/>
      <c r="AP78" s="107"/>
      <c r="AQ78" s="107"/>
      <c r="AR78" s="210"/>
      <c r="AS78" s="210"/>
      <c r="AT78" s="210"/>
      <c r="AU78" s="210"/>
      <c r="AV78" s="210"/>
      <c r="AW78" s="210"/>
      <c r="AX78" s="210"/>
      <c r="AY78" s="210"/>
      <c r="AZ78" s="210"/>
      <c r="BA78" s="210"/>
      <c r="BB78" s="210"/>
      <c r="BC78" s="210"/>
      <c r="BD78" s="210"/>
      <c r="BE78" s="210"/>
      <c r="BF78" s="210"/>
      <c r="BG78" s="210"/>
      <c r="BH78" s="254"/>
      <c r="BI78" s="254"/>
      <c r="BJ78" s="254"/>
      <c r="BK78" s="254"/>
      <c r="BL78" s="111"/>
      <c r="BM78" s="111"/>
    </row>
    <row r="79" spans="1:65" s="101" customFormat="1" x14ac:dyDescent="0.15">
      <c r="A79" s="101" t="s">
        <v>426</v>
      </c>
      <c r="B79" s="99" t="s">
        <v>447</v>
      </c>
      <c r="C79" s="99"/>
      <c r="F79" s="103"/>
      <c r="G79" s="103"/>
      <c r="H79" s="103"/>
      <c r="I79" s="103"/>
      <c r="J79" s="103"/>
      <c r="K79" s="103"/>
      <c r="L79" s="103"/>
      <c r="M79" s="103"/>
      <c r="N79" s="210"/>
      <c r="O79" s="210"/>
      <c r="P79" s="210"/>
      <c r="Q79" s="210"/>
      <c r="R79" s="265">
        <f>('Cost prices'!$H$223*2+'Cost prices'!$H$232*2)/
VLOOKUP($A79,Rules!$I$23:$J$27, 2, FALSE)
/ 7.45* $AH$12</f>
        <v>3527.5432671405833</v>
      </c>
      <c r="S79" s="265">
        <f>('Cost prices'!$H$223*2+'Cost prices'!$H$232*2)/
VLOOKUP($A79,Rules!$I$23:$J$27, 2, FALSE)
/ 7.45* $AH$12</f>
        <v>3527.5432671405833</v>
      </c>
      <c r="T79" s="265">
        <f>('Cost prices'!$H$223*2+'Cost prices'!$H$232*2)/
VLOOKUP($A79,Rules!$I$23:$J$27, 2, FALSE)
/ 7.45* $AH$12</f>
        <v>3527.5432671405833</v>
      </c>
      <c r="U79" s="210"/>
      <c r="V79" s="210"/>
      <c r="W79" s="210"/>
      <c r="X79" s="210"/>
      <c r="Y79" s="210"/>
      <c r="Z79" s="210"/>
      <c r="AA79" s="210"/>
      <c r="AB79" s="210"/>
      <c r="AC79" s="210"/>
      <c r="AD79" s="210"/>
      <c r="AF79" s="252"/>
      <c r="AG79" s="252"/>
      <c r="AH79" s="252"/>
      <c r="AI79" s="249"/>
      <c r="AJ79" s="249"/>
      <c r="AK79" s="249"/>
      <c r="AL79" s="252"/>
      <c r="AM79" s="249"/>
      <c r="AN79" s="249"/>
      <c r="AO79" s="249"/>
      <c r="AP79" s="107"/>
      <c r="AQ79" s="107"/>
      <c r="AR79" s="210"/>
      <c r="AS79" s="210"/>
      <c r="AT79" s="210"/>
      <c r="AU79" s="210"/>
      <c r="AV79" s="210"/>
      <c r="AW79" s="210"/>
      <c r="AX79" s="210"/>
      <c r="AY79" s="210"/>
      <c r="AZ79" s="210"/>
      <c r="BA79" s="210"/>
      <c r="BB79" s="210"/>
      <c r="BC79" s="210"/>
      <c r="BD79" s="210"/>
      <c r="BE79" s="210"/>
      <c r="BF79" s="210"/>
      <c r="BG79" s="210"/>
      <c r="BH79" s="254"/>
      <c r="BI79" s="254"/>
      <c r="BJ79" s="254"/>
      <c r="BK79" s="254"/>
      <c r="BL79" s="111"/>
      <c r="BM79" s="111"/>
    </row>
    <row r="80" spans="1:65" s="101" customFormat="1" x14ac:dyDescent="0.15">
      <c r="A80" s="101" t="s">
        <v>426</v>
      </c>
      <c r="B80" s="99" t="s">
        <v>446</v>
      </c>
      <c r="C80" s="99"/>
      <c r="F80" s="103"/>
      <c r="G80" s="103"/>
      <c r="H80" s="103"/>
      <c r="I80" s="103"/>
      <c r="J80" s="103"/>
      <c r="K80" s="103"/>
      <c r="L80" s="103"/>
      <c r="M80" s="103"/>
      <c r="N80" s="210"/>
      <c r="O80" s="210"/>
      <c r="P80" s="210"/>
      <c r="Q80" s="210"/>
      <c r="R80" s="265">
        <f>('Cost prices'!$H$223*4)/
VLOOKUP($A80,Rules!$I$23:$J$27, 2, FALSE)
/ 7.45* $AH$12</f>
        <v>404.63857913522349</v>
      </c>
      <c r="S80" s="265">
        <f>('Cost prices'!$H$223*4)/
VLOOKUP($A80,Rules!$I$23:$J$27, 2, FALSE)
/ 7.45* $AH$12</f>
        <v>404.63857913522349</v>
      </c>
      <c r="T80" s="265">
        <f>('Cost prices'!$H$223*4)/
VLOOKUP($A80,Rules!$I$23:$J$27, 2, FALSE)
/ 7.45* $AH$12</f>
        <v>404.63857913522349</v>
      </c>
      <c r="U80" s="210"/>
      <c r="V80" s="210"/>
      <c r="W80" s="210"/>
      <c r="X80" s="210"/>
      <c r="Y80" s="210"/>
      <c r="Z80" s="210"/>
      <c r="AA80" s="210"/>
      <c r="AB80" s="210"/>
      <c r="AC80" s="210"/>
      <c r="AD80" s="210"/>
      <c r="AF80" s="252"/>
      <c r="AG80" s="252"/>
      <c r="AH80" s="252"/>
      <c r="AI80" s="249"/>
      <c r="AJ80" s="249"/>
      <c r="AK80" s="249"/>
      <c r="AL80" s="252"/>
      <c r="AM80" s="249"/>
      <c r="AN80" s="249"/>
      <c r="AO80" s="249"/>
      <c r="AP80" s="107"/>
      <c r="AQ80" s="107"/>
      <c r="AR80" s="210"/>
      <c r="AS80" s="210"/>
      <c r="AT80" s="210"/>
      <c r="AU80" s="210"/>
      <c r="AV80" s="210"/>
      <c r="AW80" s="210"/>
      <c r="AX80" s="210"/>
      <c r="AY80" s="210"/>
      <c r="AZ80" s="210"/>
      <c r="BA80" s="210"/>
      <c r="BB80" s="210"/>
      <c r="BC80" s="210"/>
      <c r="BD80" s="210"/>
      <c r="BE80" s="210"/>
      <c r="BF80" s="210"/>
      <c r="BG80" s="210"/>
      <c r="BH80" s="254"/>
      <c r="BI80" s="254"/>
      <c r="BJ80" s="254"/>
      <c r="BK80" s="254"/>
      <c r="BL80" s="111"/>
      <c r="BM80" s="111"/>
    </row>
    <row r="81" spans="1:69" s="101" customFormat="1" x14ac:dyDescent="0.15">
      <c r="A81" s="101" t="s">
        <v>426</v>
      </c>
      <c r="B81" s="99" t="s">
        <v>444</v>
      </c>
      <c r="C81" s="99"/>
      <c r="F81" s="103"/>
      <c r="G81" s="103"/>
      <c r="H81" s="103"/>
      <c r="I81" s="103"/>
      <c r="J81" s="103"/>
      <c r="K81" s="103"/>
      <c r="L81" s="103"/>
      <c r="M81" s="103"/>
      <c r="N81" s="210"/>
      <c r="O81" s="210"/>
      <c r="P81" s="210"/>
      <c r="Q81" s="210"/>
      <c r="R81" s="265">
        <f>('Cost prices'!$H$176+'Cost prices'!$H$177)/
VLOOKUP($A81,Rules!$I$23:$J$27, 2, FALSE)
/ 7.45* $AH$12</f>
        <v>3024.5605912720016</v>
      </c>
      <c r="S81" s="265">
        <f>('Cost prices'!$H$176+'Cost prices'!$H$177)/
VLOOKUP($A81,Rules!$I$23:$J$27, 2, FALSE)
/ 7.45* $AH$12</f>
        <v>3024.5605912720016</v>
      </c>
      <c r="T81" s="265">
        <f>('Cost prices'!$H$176+'Cost prices'!$H$177)/
VLOOKUP($A81,Rules!$I$23:$J$27, 2, FALSE)
/ 7.45* $AH$12</f>
        <v>3024.5605912720016</v>
      </c>
      <c r="U81" s="210"/>
      <c r="V81" s="210"/>
      <c r="W81" s="210"/>
      <c r="X81" s="210"/>
      <c r="Y81" s="210"/>
      <c r="Z81" s="210"/>
      <c r="AA81" s="210"/>
      <c r="AB81" s="210"/>
      <c r="AC81" s="210"/>
      <c r="AD81" s="210"/>
      <c r="AF81" s="252"/>
      <c r="AG81" s="252"/>
      <c r="AH81" s="252"/>
      <c r="AI81" s="249"/>
      <c r="AJ81" s="249"/>
      <c r="AK81" s="249"/>
      <c r="AL81" s="252"/>
      <c r="AM81" s="249"/>
      <c r="AN81" s="249"/>
      <c r="AO81" s="249"/>
      <c r="AP81" s="107"/>
      <c r="AQ81" s="107"/>
      <c r="AR81" s="210"/>
      <c r="AS81" s="210"/>
      <c r="AT81" s="210"/>
      <c r="AU81" s="210"/>
      <c r="AV81" s="210"/>
      <c r="AW81" s="210"/>
      <c r="AX81" s="210"/>
      <c r="AY81" s="210"/>
      <c r="AZ81" s="210"/>
      <c r="BA81" s="210"/>
      <c r="BB81" s="210"/>
      <c r="BC81" s="210"/>
      <c r="BD81" s="210"/>
      <c r="BE81" s="210"/>
      <c r="BF81" s="210"/>
      <c r="BG81" s="210"/>
      <c r="BH81" s="254"/>
      <c r="BI81" s="254"/>
      <c r="BJ81" s="254"/>
      <c r="BK81" s="254"/>
      <c r="BL81" s="111"/>
      <c r="BM81" s="111"/>
    </row>
    <row r="82" spans="1:69" s="101" customFormat="1" x14ac:dyDescent="0.15">
      <c r="A82" s="101" t="s">
        <v>426</v>
      </c>
      <c r="B82" s="99" t="s">
        <v>566</v>
      </c>
      <c r="C82" s="99"/>
      <c r="F82" s="103"/>
      <c r="G82" s="103"/>
      <c r="H82" s="103"/>
      <c r="I82" s="103"/>
      <c r="J82" s="103"/>
      <c r="K82" s="103"/>
      <c r="L82" s="103"/>
      <c r="M82" s="103"/>
      <c r="N82" s="210"/>
      <c r="O82" s="210"/>
      <c r="P82" s="210"/>
      <c r="Q82" s="210"/>
      <c r="R82" s="265">
        <f>'Cost prices'!$H$127/
VLOOKUP($A82,Rules!$I$23:$J$27, 2, FALSE)
/ 7.45* $AH$12</f>
        <v>963.37948686941991</v>
      </c>
      <c r="S82" s="265">
        <f>'Cost prices'!$H$127/
VLOOKUP($A82,Rules!$I$23:$J$27, 2, FALSE)
/ 7.45* $AH$12</f>
        <v>963.37948686941991</v>
      </c>
      <c r="T82" s="265">
        <f>'Cost prices'!$H$127/
VLOOKUP($A82,Rules!$I$23:$J$27, 2, FALSE)
/ 7.45* $AH$12</f>
        <v>963.37948686941991</v>
      </c>
      <c r="U82" s="210"/>
      <c r="V82" s="210"/>
      <c r="W82" s="210"/>
      <c r="X82" s="210"/>
      <c r="Y82" s="210"/>
      <c r="Z82" s="210"/>
      <c r="AA82" s="210"/>
      <c r="AB82" s="210"/>
      <c r="AC82" s="210"/>
      <c r="AD82" s="210"/>
      <c r="AF82" s="252"/>
      <c r="AG82" s="252"/>
      <c r="AH82" s="252"/>
      <c r="AI82" s="249"/>
      <c r="AJ82" s="249"/>
      <c r="AK82" s="249"/>
      <c r="AL82" s="252"/>
      <c r="AM82" s="249"/>
      <c r="AN82" s="249"/>
      <c r="AO82" s="249"/>
      <c r="AP82" s="107"/>
      <c r="AQ82" s="107"/>
      <c r="AR82" s="210"/>
      <c r="AS82" s="210"/>
      <c r="AT82" s="210"/>
      <c r="AU82" s="210"/>
      <c r="AV82" s="210"/>
      <c r="AW82" s="210"/>
      <c r="AX82" s="210"/>
      <c r="AY82" s="210"/>
      <c r="AZ82" s="210"/>
      <c r="BA82" s="210"/>
      <c r="BB82" s="210"/>
      <c r="BC82" s="210"/>
      <c r="BD82" s="210"/>
      <c r="BE82" s="210"/>
      <c r="BF82" s="210"/>
      <c r="BG82" s="210"/>
      <c r="BH82" s="254"/>
      <c r="BI82" s="254"/>
      <c r="BJ82" s="254"/>
      <c r="BK82" s="254"/>
      <c r="BL82" s="111"/>
      <c r="BM82" s="111"/>
    </row>
    <row r="83" spans="1:69" s="101" customFormat="1" x14ac:dyDescent="0.15">
      <c r="A83" s="101" t="s">
        <v>553</v>
      </c>
      <c r="B83" s="99" t="s">
        <v>565</v>
      </c>
      <c r="C83" s="99"/>
      <c r="F83" s="103"/>
      <c r="G83" s="103"/>
      <c r="H83" s="103"/>
      <c r="I83" s="103"/>
      <c r="J83" s="103"/>
      <c r="K83" s="103"/>
      <c r="L83" s="103"/>
      <c r="M83" s="103"/>
      <c r="N83" s="210"/>
      <c r="O83" s="210"/>
      <c r="P83" s="210"/>
      <c r="Q83" s="210"/>
      <c r="R83" s="265">
        <f>'Cost prices'!$H$110/
VLOOKUP($A83,Rules!$I$23:$J$27, 2, FALSE)
/ 7.45* $AH$12</f>
        <v>525.47972011059255</v>
      </c>
      <c r="S83" s="265">
        <f>'Cost prices'!$H$110/
VLOOKUP($A83,Rules!$I$23:$J$27, 2, FALSE)
/ 7.45* $AH$12</f>
        <v>525.47972011059255</v>
      </c>
      <c r="T83" s="265">
        <f>'Cost prices'!$H$110/
VLOOKUP($A83,Rules!$I$23:$J$27, 2, FALSE)
/ 7.45* $AH$12</f>
        <v>525.47972011059255</v>
      </c>
      <c r="U83" s="210"/>
      <c r="V83" s="210"/>
      <c r="W83" s="210"/>
      <c r="X83" s="210"/>
      <c r="Y83" s="210"/>
      <c r="Z83" s="210"/>
      <c r="AA83" s="210"/>
      <c r="AB83" s="210"/>
      <c r="AC83" s="210"/>
      <c r="AD83" s="210"/>
      <c r="AF83" s="252"/>
      <c r="AG83" s="252"/>
      <c r="AH83" s="252"/>
      <c r="AI83" s="249"/>
      <c r="AJ83" s="249"/>
      <c r="AK83" s="249"/>
      <c r="AL83" s="252"/>
      <c r="AM83" s="249"/>
      <c r="AN83" s="249"/>
      <c r="AO83" s="249"/>
      <c r="AP83" s="107"/>
      <c r="AQ83" s="107"/>
      <c r="AR83" s="210"/>
      <c r="AS83" s="210"/>
      <c r="AT83" s="210"/>
      <c r="AU83" s="210"/>
      <c r="AV83" s="210"/>
      <c r="AW83" s="210"/>
      <c r="AX83" s="210"/>
      <c r="AY83" s="210"/>
      <c r="AZ83" s="210"/>
      <c r="BA83" s="210"/>
      <c r="BB83" s="210"/>
      <c r="BC83" s="210"/>
      <c r="BD83" s="210"/>
      <c r="BE83" s="210"/>
      <c r="BF83" s="210"/>
      <c r="BG83" s="210"/>
      <c r="BH83" s="254"/>
      <c r="BI83" s="254"/>
      <c r="BJ83" s="254"/>
      <c r="BK83" s="254"/>
      <c r="BL83" s="111"/>
      <c r="BM83" s="111"/>
    </row>
    <row r="84" spans="1:69" s="101" customFormat="1" x14ac:dyDescent="0.15">
      <c r="A84" s="101" t="s">
        <v>552</v>
      </c>
      <c r="B84" s="99" t="s">
        <v>445</v>
      </c>
      <c r="C84" s="99"/>
      <c r="F84" s="103"/>
      <c r="G84" s="103"/>
      <c r="H84" s="103"/>
      <c r="I84" s="103"/>
      <c r="J84" s="103"/>
      <c r="K84" s="103"/>
      <c r="L84" s="103"/>
      <c r="M84" s="103"/>
      <c r="N84" s="210"/>
      <c r="O84" s="210"/>
      <c r="P84" s="265"/>
      <c r="Q84" s="265"/>
      <c r="R84" s="265">
        <f>('Cost prices'!$H$110+'Cost prices'!$H$196)/
VLOOKUP($A84,Rules!$I$23:$J$27, 2, FALSE)
/ 7.45* $AH$12</f>
        <v>796.08451720571759</v>
      </c>
      <c r="S84" s="265">
        <f>('Cost prices'!$H$110+'Cost prices'!$H$196)/
VLOOKUP($A84,Rules!$I$23:$J$27, 2, FALSE)
/ 7.45* $AH$12</f>
        <v>796.08451720571759</v>
      </c>
      <c r="T84" s="265">
        <f>('Cost prices'!$H$110+'Cost prices'!$H$196)/
VLOOKUP($A84,Rules!$I$23:$J$27, 2, FALSE)
/ 7.45* $AH$12</f>
        <v>796.08451720571759</v>
      </c>
      <c r="U84" s="265">
        <f>('Cost prices'!$H$110+'Cost prices'!$H$196)/
VLOOKUP($A84,Rules!$I$23:$J$27, 2, FALSE)
/ 7.45* $AI$12</f>
        <v>796.08451720571759</v>
      </c>
      <c r="V84" s="265">
        <f>('Cost prices'!$H$110+'Cost prices'!$H$196)/
VLOOKUP($A84,Rules!$I$23:$J$27, 2, FALSE)
/ 7.45* $AI$12</f>
        <v>796.08451720571759</v>
      </c>
      <c r="W84" s="265">
        <f>('Cost prices'!$H$110+'Cost prices'!$H$196)/
VLOOKUP($A84,Rules!$I$23:$J$27, 2, FALSE)
/ 7.45* $AI$12</f>
        <v>796.08451720571759</v>
      </c>
      <c r="X84" s="265">
        <f>('Cost prices'!$H$110+'Cost prices'!$H$196)/
VLOOKUP($A84,Rules!$I$23:$J$27, 2, FALSE)
/ 7.45* $AI$12</f>
        <v>796.08451720571759</v>
      </c>
      <c r="Y84" s="265">
        <f>('Cost prices'!$H$110+'Cost prices'!$H$196)/
VLOOKUP($A84,Rules!$I$23:$J$27, 2, FALSE)
/ 7.45* $AI$12</f>
        <v>796.08451720571759</v>
      </c>
      <c r="Z84" s="265">
        <f>('Cost prices'!$H$110+'Cost prices'!$H$196)/
VLOOKUP($A84,Rules!$I$23:$J$27, 2, FALSE)
/ 7.45* $AI$12</f>
        <v>796.08451720571759</v>
      </c>
      <c r="AA84" s="265">
        <f>('Cost prices'!$H$110+'Cost prices'!$H$196)/
VLOOKUP($A84,Rules!$I$23:$J$27, 2, FALSE)
/ 7.45* $AI$12</f>
        <v>796.08451720571759</v>
      </c>
      <c r="AB84" s="265">
        <f>('Cost prices'!$H$110+'Cost prices'!$H$196)/
VLOOKUP($A84,Rules!$I$23:$J$27, 2, FALSE)
/ 7.45* $AI$12</f>
        <v>796.08451720571759</v>
      </c>
      <c r="AC84" s="210"/>
      <c r="AD84" s="210"/>
      <c r="AF84" s="252"/>
      <c r="AG84" s="252"/>
      <c r="AH84" s="252"/>
      <c r="AI84" s="249"/>
      <c r="AJ84" s="249"/>
      <c r="AK84" s="249"/>
      <c r="AL84" s="252"/>
      <c r="AM84" s="249"/>
      <c r="AN84" s="249"/>
      <c r="AO84" s="249"/>
      <c r="AP84" s="107"/>
      <c r="AQ84" s="107"/>
      <c r="AR84" s="210"/>
      <c r="AS84" s="210"/>
      <c r="AT84" s="210"/>
      <c r="AU84" s="210"/>
      <c r="AV84" s="210"/>
      <c r="AW84" s="210"/>
      <c r="AX84" s="210"/>
      <c r="AY84" s="210"/>
      <c r="AZ84" s="210"/>
      <c r="BA84" s="210"/>
      <c r="BB84" s="210"/>
      <c r="BC84" s="210"/>
      <c r="BD84" s="210"/>
      <c r="BE84" s="210"/>
      <c r="BF84" s="210"/>
      <c r="BG84" s="210"/>
      <c r="BH84" s="254"/>
      <c r="BI84" s="254"/>
      <c r="BJ84" s="254"/>
      <c r="BK84" s="254"/>
      <c r="BL84" s="111"/>
      <c r="BM84" s="111"/>
    </row>
    <row r="85" spans="1:69" s="101" customFormat="1" x14ac:dyDescent="0.15">
      <c r="A85" s="101" t="s">
        <v>426</v>
      </c>
      <c r="B85" s="260" t="s">
        <v>207</v>
      </c>
      <c r="C85" s="260"/>
      <c r="F85" s="103"/>
      <c r="G85" s="265">
        <f>'Cost prices'!$H$197/
VLOOKUP($A85,Rules!$I$23:$J$27, 2, FALSE)
/ 7.45* $AH$12</f>
        <v>144.75461079487928</v>
      </c>
      <c r="H85" s="210"/>
      <c r="I85" s="265">
        <f>'Cost prices'!$H$197/
VLOOKUP($A85,Rules!$I$23:$J$27, 2, FALSE)
/ 7.45* $AH$12</f>
        <v>144.75461079487928</v>
      </c>
      <c r="J85" s="265">
        <f>'Cost prices'!$H$197/
VLOOKUP($A85,Rules!$I$23:$J$27, 2, FALSE)
/ 7.45* $AH$12</f>
        <v>144.75461079487928</v>
      </c>
      <c r="K85" s="265">
        <f>'Cost prices'!$H$197/
VLOOKUP($A85,Rules!$I$23:$J$27, 2, FALSE)
/ 7.45* $AH$12</f>
        <v>144.75461079487928</v>
      </c>
      <c r="L85" s="265">
        <f>'Cost prices'!$H$197/
VLOOKUP($A85,Rules!$I$23:$J$27, 2, FALSE)
/ 7.45* $AH$12</f>
        <v>144.75461079487928</v>
      </c>
      <c r="M85" s="265"/>
      <c r="N85" s="211"/>
      <c r="O85" s="211"/>
      <c r="P85" s="211"/>
      <c r="Q85" s="211"/>
      <c r="R85" s="211"/>
      <c r="S85" s="211"/>
      <c r="T85" s="211"/>
      <c r="U85" s="211"/>
      <c r="V85" s="211"/>
      <c r="W85" s="211"/>
      <c r="X85" s="211"/>
      <c r="Y85" s="211"/>
      <c r="Z85" s="211"/>
      <c r="AA85" s="211"/>
      <c r="AB85" s="211"/>
      <c r="AC85" s="211"/>
      <c r="AD85" s="211"/>
      <c r="AE85" s="211"/>
      <c r="AF85" s="238"/>
      <c r="AG85" s="238"/>
      <c r="AH85" s="238"/>
      <c r="AI85" s="238"/>
      <c r="AJ85" s="238"/>
      <c r="AK85" s="238"/>
      <c r="AL85" s="238"/>
      <c r="AM85" s="238"/>
      <c r="AN85" s="238"/>
      <c r="AO85" s="238"/>
      <c r="AP85" s="211"/>
      <c r="AQ85" s="211"/>
      <c r="AR85" s="211"/>
      <c r="AS85" s="211"/>
      <c r="AT85" s="211"/>
      <c r="AU85" s="211"/>
      <c r="AV85" s="211"/>
      <c r="AW85" s="211"/>
      <c r="AX85" s="211"/>
      <c r="AY85" s="211"/>
      <c r="AZ85" s="211"/>
      <c r="BA85" s="211"/>
      <c r="BB85" s="211"/>
      <c r="BC85" s="211"/>
      <c r="BD85" s="211"/>
      <c r="BE85" s="211"/>
      <c r="BF85" s="211"/>
      <c r="BG85" s="211"/>
      <c r="BH85" s="272"/>
      <c r="BI85" s="272"/>
      <c r="BJ85" s="272"/>
      <c r="BK85" s="272"/>
      <c r="BL85" s="211"/>
      <c r="BM85" s="111"/>
      <c r="BP85" s="211"/>
      <c r="BQ85" s="211"/>
    </row>
    <row r="86" spans="1:69" x14ac:dyDescent="0.15">
      <c r="A86" s="101" t="s">
        <v>552</v>
      </c>
      <c r="B86" s="99" t="s">
        <v>1408</v>
      </c>
      <c r="C86" s="99"/>
      <c r="D86" s="273"/>
      <c r="P86" s="265">
        <f>'Cost prices'!$H$384/
VLOOKUP($A86,Rules!$I$23:$J$27, 2, FALSE)
/ 7.45* $AI$12</f>
        <v>946.54847504432985</v>
      </c>
      <c r="Q86" s="265"/>
      <c r="W86" s="265">
        <f>'Cost prices'!$H$384/
VLOOKUP($A86,Rules!$I$23:$J$27, 2, FALSE)
/ 7.45* $AI$12</f>
        <v>946.54847504432985</v>
      </c>
      <c r="X86" s="265">
        <f>'Cost prices'!$H$384/
VLOOKUP($A86,Rules!$I$23:$J$27, 2, FALSE)
/ 7.45* $AI$12</f>
        <v>946.54847504432985</v>
      </c>
      <c r="Y86" s="265">
        <f>'Cost prices'!$H$384/
VLOOKUP($A86,Rules!$I$23:$J$27, 2, FALSE)
/ 7.45* $AI$12</f>
        <v>946.54847504432985</v>
      </c>
      <c r="Z86" s="265">
        <f>'Cost prices'!$H$384/
VLOOKUP($A86,Rules!$I$23:$J$27, 2, FALSE)
/ 7.45* $AI$12</f>
        <v>946.54847504432985</v>
      </c>
      <c r="AA86" s="265">
        <f>'Cost prices'!$H$384/
VLOOKUP($A86,Rules!$I$23:$J$27, 2, FALSE)
/ 7.45* $AI$12</f>
        <v>946.54847504432985</v>
      </c>
      <c r="AB86" s="265">
        <f>'Cost prices'!$H$384/
VLOOKUP($A86,Rules!$I$23:$J$27, 2, FALSE)
/ 7.45* $AI$12</f>
        <v>946.54847504432985</v>
      </c>
    </row>
    <row r="87" spans="1:69" s="101" customFormat="1" x14ac:dyDescent="0.15">
      <c r="A87" s="101" t="s">
        <v>552</v>
      </c>
      <c r="B87" s="260" t="s">
        <v>832</v>
      </c>
      <c r="C87" s="260"/>
      <c r="F87" s="103"/>
      <c r="G87" s="265"/>
      <c r="H87" s="210"/>
      <c r="I87" s="210"/>
      <c r="J87" s="210"/>
      <c r="K87" s="210"/>
      <c r="L87" s="210"/>
      <c r="M87" s="210"/>
      <c r="N87" s="211"/>
      <c r="O87" s="211"/>
      <c r="P87" s="211"/>
      <c r="Q87" s="211"/>
      <c r="R87" s="211"/>
      <c r="S87" s="211"/>
      <c r="T87" s="211"/>
      <c r="U87" s="211"/>
      <c r="V87" s="211"/>
      <c r="W87" s="265">
        <f>'Cost prices'!$H304/
VLOOKUP($A87,Rules!$I$23:$J$27, 2, FALSE)
/ 7.45* $AI$12</f>
        <v>4207.0626102700498</v>
      </c>
      <c r="X87" s="265">
        <f>'Cost prices'!$H304/
VLOOKUP($A87,Rules!$I$23:$J$27, 2, FALSE)
/ 7.45* $AI$12</f>
        <v>4207.0626102700498</v>
      </c>
      <c r="Y87" s="265">
        <f>'Cost prices'!$H304/
VLOOKUP($A87,Rules!$I$23:$J$27, 2, FALSE)
/ 7.45* $AI$12</f>
        <v>4207.0626102700498</v>
      </c>
      <c r="Z87" s="265">
        <f>'Cost prices'!$H304/
VLOOKUP($A87,Rules!$I$23:$J$27, 2, FALSE)
/ 7.45* $AI$12</f>
        <v>4207.0626102700498</v>
      </c>
      <c r="AA87" s="265">
        <f>'Cost prices'!$H304/
VLOOKUP($A87,Rules!$I$23:$J$27, 2, FALSE)
/ 7.45* $AI$12</f>
        <v>4207.0626102700498</v>
      </c>
      <c r="AB87" s="265">
        <f>'Cost prices'!$H304/
VLOOKUP($A87,Rules!$I$23:$J$27, 2, FALSE)
/ 7.45* $AI$12</f>
        <v>4207.0626102700498</v>
      </c>
      <c r="AC87" s="211"/>
      <c r="AD87" s="211"/>
      <c r="AE87" s="211"/>
      <c r="AF87" s="238"/>
      <c r="AG87" s="238"/>
      <c r="AH87" s="238"/>
      <c r="AI87" s="238"/>
      <c r="AJ87" s="238"/>
      <c r="AK87" s="238"/>
      <c r="AL87" s="238"/>
      <c r="AM87" s="238"/>
      <c r="AN87" s="238"/>
      <c r="AO87" s="238"/>
      <c r="AP87" s="211"/>
      <c r="AQ87" s="211"/>
      <c r="AR87" s="211"/>
      <c r="AS87" s="211"/>
      <c r="AT87" s="211"/>
      <c r="AU87" s="211"/>
      <c r="AV87" s="211"/>
      <c r="AW87" s="211"/>
      <c r="AX87" s="211"/>
      <c r="AY87" s="211"/>
      <c r="AZ87" s="211"/>
      <c r="BA87" s="211"/>
      <c r="BB87" s="211"/>
      <c r="BC87" s="211"/>
      <c r="BD87" s="211"/>
      <c r="BE87" s="211"/>
      <c r="BF87" s="211"/>
      <c r="BG87" s="211"/>
      <c r="BH87" s="272"/>
      <c r="BI87" s="272"/>
      <c r="BJ87" s="272"/>
      <c r="BK87" s="272"/>
      <c r="BL87" s="211"/>
      <c r="BM87" s="111"/>
      <c r="BP87" s="211"/>
      <c r="BQ87" s="211"/>
    </row>
    <row r="88" spans="1:69" s="101" customFormat="1" x14ac:dyDescent="0.15">
      <c r="A88" s="101" t="s">
        <v>552</v>
      </c>
      <c r="B88" s="99" t="s">
        <v>549</v>
      </c>
      <c r="C88" s="99"/>
      <c r="F88" s="103"/>
      <c r="G88" s="220"/>
      <c r="H88" s="210"/>
      <c r="I88" s="210"/>
      <c r="J88" s="210"/>
      <c r="K88" s="210"/>
      <c r="L88" s="210"/>
      <c r="M88" s="210"/>
      <c r="N88" s="211"/>
      <c r="O88" s="211"/>
      <c r="P88" s="265">
        <f>'Cost prices'!$H375/
VLOOKUP($A88,Rules!$I$23:$J$27, 2, FALSE)
/ 7.45* $AI$12</f>
        <v>13775.923574581293</v>
      </c>
      <c r="Q88" s="265"/>
      <c r="R88" s="211"/>
      <c r="S88" s="211"/>
      <c r="T88" s="211"/>
      <c r="U88" s="265">
        <f>'Cost prices'!$H375/
VLOOKUP($A88,Rules!$I$23:$J$27, 2, FALSE)
/ 7.45* $AI$12</f>
        <v>13775.923574581293</v>
      </c>
      <c r="V88" s="265">
        <f>'Cost prices'!$H375/
VLOOKUP($A88,Rules!$I$23:$J$27, 2, FALSE)
/ 7.45* $AI$12</f>
        <v>13775.923574581293</v>
      </c>
      <c r="W88" s="265">
        <f>'Cost prices'!$H375/
VLOOKUP($A88,Rules!$I$23:$J$27, 2, FALSE)
/ 7.45* $AI$12</f>
        <v>13775.923574581293</v>
      </c>
      <c r="X88" s="265">
        <f>'Cost prices'!$H375/
VLOOKUP($A88,Rules!$I$23:$J$27, 2, FALSE)
/ 7.45* $AI$12</f>
        <v>13775.923574581293</v>
      </c>
      <c r="Y88" s="265">
        <f>'Cost prices'!$H375/
VLOOKUP($A88,Rules!$I$23:$J$27, 2, FALSE)
/ 7.45* $AI$12</f>
        <v>13775.923574581293</v>
      </c>
      <c r="Z88" s="265">
        <f>'Cost prices'!$H375/
VLOOKUP($A88,Rules!$I$23:$J$27, 2, FALSE)
/ 7.45* $AI$12</f>
        <v>13775.923574581293</v>
      </c>
      <c r="AA88" s="265">
        <f>'Cost prices'!$H375/
VLOOKUP($A88,Rules!$I$23:$J$27, 2, FALSE)
/ 7.45* $AI$12</f>
        <v>13775.923574581293</v>
      </c>
      <c r="AB88" s="265">
        <f>'Cost prices'!$H375/
VLOOKUP($A88,Rules!$I$23:$J$27, 2, FALSE)
/ 7.45* $AI$12</f>
        <v>13775.923574581293</v>
      </c>
      <c r="AC88" s="211"/>
      <c r="AD88" s="211"/>
      <c r="AE88" s="211"/>
      <c r="AF88" s="238"/>
      <c r="AG88" s="238"/>
      <c r="AH88" s="238"/>
      <c r="AI88" s="238"/>
      <c r="AJ88" s="238"/>
      <c r="AK88" s="238"/>
      <c r="AL88" s="238"/>
      <c r="AM88" s="238"/>
      <c r="AN88" s="238"/>
      <c r="AO88" s="238"/>
      <c r="AP88" s="211"/>
      <c r="AQ88" s="211"/>
      <c r="AR88" s="211"/>
      <c r="AS88" s="211"/>
      <c r="AT88" s="211"/>
      <c r="AU88" s="211"/>
      <c r="AV88" s="211"/>
      <c r="AW88" s="211"/>
      <c r="AX88" s="211"/>
      <c r="AY88" s="211"/>
      <c r="AZ88" s="211"/>
      <c r="BA88" s="211"/>
      <c r="BB88" s="211"/>
      <c r="BC88" s="211"/>
      <c r="BD88" s="211"/>
      <c r="BE88" s="211"/>
      <c r="BF88" s="211"/>
      <c r="BG88" s="211"/>
      <c r="BH88" s="272"/>
      <c r="BI88" s="272"/>
      <c r="BJ88" s="272"/>
      <c r="BK88" s="272"/>
      <c r="BL88" s="211"/>
      <c r="BM88" s="111"/>
      <c r="BP88" s="211"/>
      <c r="BQ88" s="211"/>
    </row>
    <row r="89" spans="1:69" x14ac:dyDescent="0.15">
      <c r="A89" s="101" t="s">
        <v>552</v>
      </c>
      <c r="B89" s="99" t="s">
        <v>443</v>
      </c>
      <c r="C89" s="99"/>
      <c r="D89" s="101"/>
      <c r="P89" s="265">
        <f>'Cost prices'!$H376/
VLOOKUP($A89,Rules!$I$23:$J$27, 2, FALSE)
/ 7.45* $AI$12</f>
        <v>23204.665383899497</v>
      </c>
      <c r="Q89" s="265"/>
      <c r="U89" s="265">
        <f>'Cost prices'!$H376/
VLOOKUP($A89,Rules!$I$23:$J$27, 2, FALSE)
/ 7.45* $AI$12</f>
        <v>23204.665383899497</v>
      </c>
      <c r="V89" s="265">
        <f>'Cost prices'!$H376/
VLOOKUP($A89,Rules!$I$23:$J$27, 2, FALSE)
/ 7.45* $AI$12</f>
        <v>23204.665383899497</v>
      </c>
      <c r="W89" s="265">
        <f>'Cost prices'!$H376/
VLOOKUP($A89,Rules!$I$23:$J$27, 2, FALSE)
/ 7.45* $AI$12</f>
        <v>23204.665383899497</v>
      </c>
      <c r="X89" s="265">
        <f>'Cost prices'!$H376/
VLOOKUP($A89,Rules!$I$23:$J$27, 2, FALSE)
/ 7.45* $AI$12</f>
        <v>23204.665383899497</v>
      </c>
      <c r="Y89" s="265">
        <f>'Cost prices'!$H376/
VLOOKUP($A89,Rules!$I$23:$J$27, 2, FALSE)
/ 7.45* $AI$12</f>
        <v>23204.665383899497</v>
      </c>
      <c r="Z89" s="265">
        <f>'Cost prices'!$H376/
VLOOKUP($A89,Rules!$I$23:$J$27, 2, FALSE)
/ 7.45* $AI$12</f>
        <v>23204.665383899497</v>
      </c>
      <c r="AA89" s="265">
        <f>'Cost prices'!$H376/
VLOOKUP($A89,Rules!$I$23:$J$27, 2, FALSE)
/ 7.45* $AI$12</f>
        <v>23204.665383899497</v>
      </c>
      <c r="AB89" s="265">
        <f>'Cost prices'!$H376/
VLOOKUP($A89,Rules!$I$23:$J$27, 2, FALSE)
/ 7.45* $AI$12</f>
        <v>23204.665383899497</v>
      </c>
    </row>
    <row r="90" spans="1:69" x14ac:dyDescent="0.15">
      <c r="A90" s="101" t="s">
        <v>552</v>
      </c>
      <c r="B90" s="99" t="s">
        <v>761</v>
      </c>
      <c r="C90" s="99"/>
      <c r="D90" s="101"/>
      <c r="P90" s="265">
        <f>'Cost prices'!$H377/
VLOOKUP($A90,Rules!$I$23:$J$27, 2, FALSE)
/ 7.45* $AI$12</f>
        <v>74796.84975144903</v>
      </c>
      <c r="Q90" s="265"/>
      <c r="U90" s="265">
        <f>'Cost prices'!$H377/
VLOOKUP($A90,Rules!$I$23:$J$27, 2, FALSE)
/ 7.45* $AI$12</f>
        <v>74796.84975144903</v>
      </c>
      <c r="V90" s="265">
        <f>'Cost prices'!$H377/
VLOOKUP($A90,Rules!$I$23:$J$27, 2, FALSE)
/ 7.45* $AI$12</f>
        <v>74796.84975144903</v>
      </c>
      <c r="W90" s="265">
        <f>'Cost prices'!$H377/
VLOOKUP($A90,Rules!$I$23:$J$27, 2, FALSE)
/ 7.45* $AI$12</f>
        <v>74796.84975144903</v>
      </c>
      <c r="X90" s="265">
        <f>'Cost prices'!$H377/
VLOOKUP($A90,Rules!$I$23:$J$27, 2, FALSE)
/ 7.45* $AI$12</f>
        <v>74796.84975144903</v>
      </c>
      <c r="Y90" s="265">
        <f>'Cost prices'!$H377/
VLOOKUP($A90,Rules!$I$23:$J$27, 2, FALSE)
/ 7.45* $AI$12</f>
        <v>74796.84975144903</v>
      </c>
      <c r="Z90" s="265">
        <f>'Cost prices'!$H377/
VLOOKUP($A90,Rules!$I$23:$J$27, 2, FALSE)
/ 7.45* $AI$12</f>
        <v>74796.84975144903</v>
      </c>
      <c r="AA90" s="265">
        <f>'Cost prices'!$H377/
VLOOKUP($A90,Rules!$I$23:$J$27, 2, FALSE)
/ 7.45* $AI$12</f>
        <v>74796.84975144903</v>
      </c>
      <c r="AB90" s="265">
        <f>'Cost prices'!$H377/
VLOOKUP($A90,Rules!$I$23:$J$27, 2, FALSE)
/ 7.45* $AI$12</f>
        <v>74796.84975144903</v>
      </c>
    </row>
    <row r="91" spans="1:69" x14ac:dyDescent="0.15">
      <c r="A91" s="101" t="s">
        <v>552</v>
      </c>
      <c r="B91" s="99" t="s">
        <v>508</v>
      </c>
      <c r="C91" s="99"/>
      <c r="D91" s="101"/>
      <c r="P91" s="265">
        <f>'Cost prices'!$H$208/
VLOOKUP($A91,Rules!$I$23:$J$27, 2, FALSE)
/ 7.45* $AI$12</f>
        <v>467.44778730566344</v>
      </c>
      <c r="Q91" s="265"/>
      <c r="U91" s="265">
        <f>'Cost prices'!$H$208/
VLOOKUP($A91,Rules!$I$23:$J$27, 2, FALSE)
/ 7.45* $AI$12</f>
        <v>467.44778730566344</v>
      </c>
      <c r="V91" s="265">
        <f>'Cost prices'!$H$208/
VLOOKUP($A91,Rules!$I$23:$J$27, 2, FALSE)
/ 7.45* $AI$12</f>
        <v>467.44778730566344</v>
      </c>
      <c r="W91" s="265">
        <f>'Cost prices'!$H$208/
VLOOKUP($A91,Rules!$I$23:$J$27, 2, FALSE)
/ 7.45* $AI$12</f>
        <v>467.44778730566344</v>
      </c>
      <c r="X91" s="265">
        <f>'Cost prices'!$H$208/
VLOOKUP($A91,Rules!$I$23:$J$27, 2, FALSE)
/ 7.45* $AI$12</f>
        <v>467.44778730566344</v>
      </c>
      <c r="Y91" s="265">
        <f>'Cost prices'!$H$208/
VLOOKUP($A91,Rules!$I$23:$J$27, 2, FALSE)
/ 7.45* $AI$12</f>
        <v>467.44778730566344</v>
      </c>
      <c r="Z91" s="265">
        <f>'Cost prices'!$H$208/
VLOOKUP($A91,Rules!$I$23:$J$27, 2, FALSE)
/ 7.45* $AI$12</f>
        <v>467.44778730566344</v>
      </c>
      <c r="AA91" s="265">
        <f>'Cost prices'!$H$208/
VLOOKUP($A91,Rules!$I$23:$J$27, 2, FALSE)
/ 7.45* $AI$12</f>
        <v>467.44778730566344</v>
      </c>
      <c r="AB91" s="265">
        <f>'Cost prices'!$H$208/
VLOOKUP($A91,Rules!$I$23:$J$27, 2, FALSE)
/ 7.45* $AI$12</f>
        <v>467.44778730566344</v>
      </c>
    </row>
    <row r="92" spans="1:69" x14ac:dyDescent="0.15">
      <c r="A92" s="101" t="s">
        <v>553</v>
      </c>
      <c r="B92" s="99" t="s">
        <v>545</v>
      </c>
      <c r="C92" s="99"/>
      <c r="D92" s="273"/>
      <c r="P92" s="265">
        <f>'Cost prices'!$H$379/
VLOOKUP($A92,Rules!$I$23:$J$27, 2, FALSE)
/ 7.45* $AI$12</f>
        <v>1457.1359156594056</v>
      </c>
      <c r="Q92" s="265"/>
      <c r="W92" s="265">
        <f>'Cost prices'!$H$379/
VLOOKUP($A92,Rules!$I$23:$J$27, 2, FALSE)
/ 7.45* $AI$12</f>
        <v>1457.1359156594056</v>
      </c>
      <c r="X92" s="265">
        <f>'Cost prices'!$H$379/
VLOOKUP($A92,Rules!$I$23:$J$27, 2, FALSE)
/ 7.45* $AI$12</f>
        <v>1457.1359156594056</v>
      </c>
      <c r="Y92" s="265">
        <f>'Cost prices'!$H$379/
VLOOKUP($A92,Rules!$I$23:$J$27, 2, FALSE)
/ 7.45* $AI$12</f>
        <v>1457.1359156594056</v>
      </c>
      <c r="Z92" s="265">
        <f>'Cost prices'!$H$379/
VLOOKUP($A92,Rules!$I$23:$J$27, 2, FALSE)
/ 7.45* $AI$12</f>
        <v>1457.1359156594056</v>
      </c>
      <c r="AA92" s="265">
        <f>'Cost prices'!$H$379/
VLOOKUP($A92,Rules!$I$23:$J$27, 2, FALSE)
/ 7.45* $AI$12</f>
        <v>1457.1359156594056</v>
      </c>
      <c r="AB92" s="265">
        <f>'Cost prices'!$H$379/
VLOOKUP($A92,Rules!$I$23:$J$27, 2, FALSE)
/ 7.45* $AI$12</f>
        <v>1457.1359156594056</v>
      </c>
    </row>
    <row r="93" spans="1:69" x14ac:dyDescent="0.15">
      <c r="A93" s="101" t="s">
        <v>426</v>
      </c>
      <c r="B93" s="99" t="s">
        <v>528</v>
      </c>
      <c r="C93" s="99"/>
      <c r="D93" s="273"/>
      <c r="P93" s="265">
        <f>'Cost prices'!$H$121/
VLOOKUP($A93,Rules!$I$23:$J$27, 2, FALSE)
/ 7.45* $AI$12</f>
        <v>578.02769212165197</v>
      </c>
      <c r="Q93" s="265"/>
      <c r="U93" s="265">
        <f>'Cost prices'!$H$121/
VLOOKUP($A93,Rules!$I$23:$J$27, 2, FALSE)
/ 7.45* $AI$12</f>
        <v>578.02769212165197</v>
      </c>
      <c r="V93" s="265">
        <f>'Cost prices'!$H$121/
VLOOKUP($A93,Rules!$I$23:$J$27, 2, FALSE)
/ 7.45* $AI$12</f>
        <v>578.02769212165197</v>
      </c>
      <c r="W93" s="265">
        <f>'Cost prices'!$H$121/
VLOOKUP($A93,Rules!$I$23:$J$27, 2, FALSE)
/ 7.45* $AI$12</f>
        <v>578.02769212165197</v>
      </c>
      <c r="X93" s="265">
        <f>'Cost prices'!$H$121/
VLOOKUP($A93,Rules!$I$23:$J$27, 2, FALSE)
/ 7.45* $AI$12</f>
        <v>578.02769212165197</v>
      </c>
      <c r="Y93" s="265">
        <f>'Cost prices'!$H$121/
VLOOKUP($A93,Rules!$I$23:$J$27, 2, FALSE)
/ 7.45* $AI$12</f>
        <v>578.02769212165197</v>
      </c>
      <c r="Z93" s="265">
        <f>'Cost prices'!$H$121/
VLOOKUP($A93,Rules!$I$23:$J$27, 2, FALSE)
/ 7.45* $AI$12</f>
        <v>578.02769212165197</v>
      </c>
      <c r="AA93" s="265">
        <f>'Cost prices'!$H$121/
VLOOKUP($A93,Rules!$I$23:$J$27, 2, FALSE)
/ 7.45* $AI$12</f>
        <v>578.02769212165197</v>
      </c>
      <c r="AB93" s="265">
        <f>'Cost prices'!$H$121/
VLOOKUP($A93,Rules!$I$23:$J$27, 2, FALSE)
/ 7.45* $AI$12</f>
        <v>578.02769212165197</v>
      </c>
    </row>
    <row r="94" spans="1:69" x14ac:dyDescent="0.15">
      <c r="A94" s="101" t="s">
        <v>553</v>
      </c>
      <c r="B94" s="99" t="s">
        <v>530</v>
      </c>
      <c r="C94" s="99"/>
      <c r="D94" s="273"/>
      <c r="P94" s="265">
        <f>'Cost prices'!$H$122/
VLOOKUP($A94,Rules!$I$23:$J$27, 2, FALSE)
/ 7.45* $AI$12</f>
        <v>1252.4633968929272</v>
      </c>
      <c r="Q94" s="265"/>
      <c r="U94" s="265">
        <f>'Cost prices'!$H$122/
VLOOKUP($A94,Rules!$I$23:$J$27, 2, FALSE)
/ 7.45* $AI$12</f>
        <v>1252.4633968929272</v>
      </c>
      <c r="V94" s="265">
        <f>'Cost prices'!$H$122/
VLOOKUP($A94,Rules!$I$23:$J$27, 2, FALSE)
/ 7.45* $AI$12</f>
        <v>1252.4633968929272</v>
      </c>
      <c r="W94" s="265">
        <f>'Cost prices'!$H$122/
VLOOKUP($A94,Rules!$I$23:$J$27, 2, FALSE)
/ 7.45* $AI$12</f>
        <v>1252.4633968929272</v>
      </c>
      <c r="X94" s="265">
        <f>'Cost prices'!$H$122/
VLOOKUP($A94,Rules!$I$23:$J$27, 2, FALSE)
/ 7.45* $AI$12</f>
        <v>1252.4633968929272</v>
      </c>
      <c r="Y94" s="265">
        <f>'Cost prices'!$H$122/
VLOOKUP($A94,Rules!$I$23:$J$27, 2, FALSE)
/ 7.45* $AI$12</f>
        <v>1252.4633968929272</v>
      </c>
      <c r="Z94" s="265">
        <f>'Cost prices'!$H$122/
VLOOKUP($A94,Rules!$I$23:$J$27, 2, FALSE)
/ 7.45* $AI$12</f>
        <v>1252.4633968929272</v>
      </c>
      <c r="AA94" s="265">
        <f>'Cost prices'!$H$122/
VLOOKUP($A94,Rules!$I$23:$J$27, 2, FALSE)
/ 7.45* $AI$12</f>
        <v>1252.4633968929272</v>
      </c>
      <c r="AB94" s="265">
        <f>'Cost prices'!$H$122/
VLOOKUP($A94,Rules!$I$23:$J$27, 2, FALSE)
/ 7.45* $AI$12</f>
        <v>1252.4633968929272</v>
      </c>
    </row>
    <row r="95" spans="1:69" x14ac:dyDescent="0.15">
      <c r="A95" s="101" t="s">
        <v>426</v>
      </c>
      <c r="B95" s="99" t="s">
        <v>555</v>
      </c>
      <c r="C95" s="99"/>
      <c r="D95" s="273"/>
      <c r="P95" s="265"/>
      <c r="Q95" s="265"/>
      <c r="U95" s="265">
        <f>'Cost prices'!$H$123/
VLOOKUP($A95,Rules!$I$23:$J$27, 2, FALSE)
/ 7.45* $AI$12</f>
        <v>1513.8820507948028</v>
      </c>
      <c r="V95" s="265">
        <f>'Cost prices'!$H$123/
VLOOKUP($A95,Rules!$I$23:$J$27, 2, FALSE)
/ 7.45* $AI$12</f>
        <v>1513.8820507948028</v>
      </c>
      <c r="W95" s="265">
        <f>'Cost prices'!$H$123/
VLOOKUP($A95,Rules!$I$23:$J$27, 2, FALSE)
/ 7.45* $AI$12</f>
        <v>1513.8820507948028</v>
      </c>
      <c r="X95" s="265">
        <f>'Cost prices'!$H$123/
VLOOKUP($A95,Rules!$I$23:$J$27, 2, FALSE)
/ 7.45* $AI$12</f>
        <v>1513.8820507948028</v>
      </c>
      <c r="Y95" s="265">
        <f>'Cost prices'!$H$123/
VLOOKUP($A95,Rules!$I$23:$J$27, 2, FALSE)
/ 7.45* $AI$12</f>
        <v>1513.8820507948028</v>
      </c>
      <c r="Z95" s="265">
        <f>'Cost prices'!$H$123/
VLOOKUP($A95,Rules!$I$23:$J$27, 2, FALSE)
/ 7.45* $AI$12</f>
        <v>1513.8820507948028</v>
      </c>
      <c r="AA95" s="265">
        <f>'Cost prices'!$H$123/
VLOOKUP($A95,Rules!$I$23:$J$27, 2, FALSE)
/ 7.45* $AI$12</f>
        <v>1513.8820507948028</v>
      </c>
      <c r="AB95" s="265">
        <f>'Cost prices'!$H$123/
VLOOKUP($A95,Rules!$I$23:$J$27, 2, FALSE)
/ 7.45* $AI$12</f>
        <v>1513.8820507948028</v>
      </c>
    </row>
    <row r="96" spans="1:69" x14ac:dyDescent="0.15">
      <c r="A96" s="101" t="s">
        <v>552</v>
      </c>
      <c r="B96" s="99" t="s">
        <v>524</v>
      </c>
      <c r="C96" s="99"/>
      <c r="D96" s="273"/>
      <c r="P96" s="265">
        <f>'Cost prices'!$H$124/
VLOOKUP($A96,Rules!$I$23:$J$27, 2, FALSE)
/ 7.45</f>
        <v>4765.658112909593</v>
      </c>
      <c r="Q96" s="265"/>
      <c r="U96" s="265">
        <f>'Cost prices'!$H$124/
VLOOKUP($A96,Rules!$I$23:$J$27, 2, FALSE)
/ 7.45</f>
        <v>4765.658112909593</v>
      </c>
      <c r="V96" s="265">
        <f>'Cost prices'!$H$124/
VLOOKUP($A96,Rules!$I$23:$J$27, 2, FALSE)
/ 7.45</f>
        <v>4765.658112909593</v>
      </c>
      <c r="W96" s="265">
        <f>'Cost prices'!$H$124/
VLOOKUP($A96,Rules!$I$23:$J$27, 2, FALSE)
/ 7.45</f>
        <v>4765.658112909593</v>
      </c>
      <c r="X96" s="265">
        <f>'Cost prices'!$H$124/
VLOOKUP($A96,Rules!$I$23:$J$27, 2, FALSE)
/ 7.45</f>
        <v>4765.658112909593</v>
      </c>
      <c r="Y96" s="265"/>
      <c r="Z96" s="265">
        <f>'Cost prices'!$H$124/
VLOOKUP($A96,Rules!$I$23:$J$27, 2, FALSE)
/ 7.45</f>
        <v>4765.658112909593</v>
      </c>
      <c r="AA96" s="265">
        <f>'Cost prices'!$H$124/
VLOOKUP($A96,Rules!$I$23:$J$27, 2, FALSE)
/ 7.45</f>
        <v>4765.658112909593</v>
      </c>
      <c r="AB96" s="265"/>
    </row>
    <row r="97" spans="1:28" x14ac:dyDescent="0.15">
      <c r="A97" s="101" t="s">
        <v>552</v>
      </c>
      <c r="B97" s="99" t="s">
        <v>535</v>
      </c>
      <c r="C97" s="99"/>
      <c r="D97" s="273"/>
      <c r="P97" s="265">
        <f>'Cost prices'!$H$125/
VLOOKUP($A97,Rules!$I$23:$J$27, 2, FALSE)
/ 7.45</f>
        <v>7666.4934859849982</v>
      </c>
      <c r="Q97" s="265"/>
      <c r="U97" s="265">
        <f>'Cost prices'!$H$125/
VLOOKUP($A97,Rules!$I$23:$J$27, 2, FALSE)
/ 7.45</f>
        <v>7666.4934859849982</v>
      </c>
      <c r="V97" s="265">
        <f>'Cost prices'!$H$125/
VLOOKUP($A97,Rules!$I$23:$J$27, 2, FALSE)
/ 7.45</f>
        <v>7666.4934859849982</v>
      </c>
      <c r="W97" s="265">
        <f>'Cost prices'!$H$125/
VLOOKUP($A97,Rules!$I$23:$J$27, 2, FALSE)
/ 7.45</f>
        <v>7666.4934859849982</v>
      </c>
      <c r="X97" s="265">
        <f>'Cost prices'!$H$125/
VLOOKUP($A97,Rules!$I$23:$J$27, 2, FALSE)
/ 7.45</f>
        <v>7666.4934859849982</v>
      </c>
      <c r="Y97" s="265"/>
      <c r="Z97" s="265">
        <f>'Cost prices'!$H$125/
VLOOKUP($A97,Rules!$I$23:$J$27, 2, FALSE)
/ 7.45</f>
        <v>7666.4934859849982</v>
      </c>
      <c r="AA97" s="265">
        <f>'Cost prices'!$H$125/
VLOOKUP($A97,Rules!$I$23:$J$27, 2, FALSE)
/ 7.45</f>
        <v>7666.4934859849982</v>
      </c>
      <c r="AB97" s="265"/>
    </row>
    <row r="98" spans="1:28" x14ac:dyDescent="0.15">
      <c r="A98" s="101" t="s">
        <v>426</v>
      </c>
      <c r="B98" s="99" t="s">
        <v>1278</v>
      </c>
      <c r="C98" s="99"/>
      <c r="D98" s="273"/>
      <c r="P98" s="265">
        <f>('Cost prices'!$H$195+'Cost prices'!$H$208+'Cost prices'!$H$252)/
VLOOKUP($A98,Rules!$I$23:$J$27, 2, FALSE)
/ 7.45*$AI$12</f>
        <v>2220.8370594947773</v>
      </c>
      <c r="Q98" s="265"/>
      <c r="U98" s="265">
        <f>('Cost prices'!$H$195+'Cost prices'!$H$208+'Cost prices'!$H$250)/
VLOOKUP($A98,Rules!$I$23:$J$27, 2, FALSE)
/ 7.45*$AI$12</f>
        <v>2231.4905509536384</v>
      </c>
      <c r="V98" s="265">
        <f>('Cost prices'!$H$195+'Cost prices'!$H$208+'Cost prices'!$H$250)/
VLOOKUP($A98,Rules!$I$23:$J$27, 2, FALSE)
/ 7.45*$AI$12</f>
        <v>2231.4905509536384</v>
      </c>
      <c r="W98" s="265">
        <f>('Cost prices'!$H$195+'Cost prices'!$H$208+'Cost prices'!$H$250)/
VLOOKUP($A98,Rules!$I$23:$J$27, 2, FALSE)
/ 7.45*$AI$12</f>
        <v>2231.4905509536384</v>
      </c>
      <c r="X98" s="265">
        <f>('Cost prices'!$H$195+'Cost prices'!$H$208+'Cost prices'!$H$250)/
VLOOKUP($A98,Rules!$I$23:$J$27, 2, FALSE)
/ 7.45*$AI$12</f>
        <v>2231.4905509536384</v>
      </c>
      <c r="Y98" s="265">
        <f>('Cost prices'!$H$195+'Cost prices'!$H$208+'Cost prices'!$H$250)/
VLOOKUP($A98,Rules!$I$23:$J$27, 2, FALSE)
/ 7.45*$AI$12</f>
        <v>2231.4905509536384</v>
      </c>
      <c r="Z98" s="265">
        <f>('Cost prices'!$H$195+'Cost prices'!$H$208+'Cost prices'!$H$250)/
VLOOKUP($A98,Rules!$I$23:$J$27, 2, FALSE)
/ 7.45*$AI$12</f>
        <v>2231.4905509536384</v>
      </c>
      <c r="AA98" s="265">
        <f>('Cost prices'!$H$195+'Cost prices'!$H$208+'Cost prices'!$H$250)/
VLOOKUP($A98,Rules!$I$23:$J$27, 2, FALSE)
/ 7.45*$AI$12</f>
        <v>2231.4905509536384</v>
      </c>
      <c r="AB98" s="265">
        <f>('Cost prices'!$H$195+'Cost prices'!$H$208+'Cost prices'!$H$250)/
VLOOKUP($A98,Rules!$I$23:$J$27, 2, FALSE)
/ 7.45*$AI$12</f>
        <v>2231.4905509536384</v>
      </c>
    </row>
    <row r="99" spans="1:28" x14ac:dyDescent="0.15">
      <c r="A99" s="101" t="s">
        <v>426</v>
      </c>
      <c r="B99" s="99" t="s">
        <v>753</v>
      </c>
      <c r="C99" s="99"/>
      <c r="D99" s="273"/>
      <c r="P99" s="265"/>
      <c r="Q99" s="265"/>
      <c r="U99" s="265"/>
      <c r="V99" s="265"/>
      <c r="W99" s="265"/>
      <c r="X99" s="265"/>
      <c r="Y99" s="265"/>
      <c r="Z99" s="265">
        <f>('Cost prices'!$H$463)/
VLOOKUP($A99,Rules!$I$23:$J$27, 2, FALSE)
/ 7.45*$AI$12</f>
        <v>41683.419945752095</v>
      </c>
      <c r="AA99" s="265">
        <f>('Cost prices'!$H$463)/
VLOOKUP($A99,Rules!$I$23:$J$27, 2, FALSE)
/ 7.45*$AI$12</f>
        <v>41683.419945752095</v>
      </c>
      <c r="AB99" s="265">
        <f>('Cost prices'!$H$463)/
VLOOKUP($A99,Rules!$I$23:$J$27, 2, FALSE)
/ 7.45*$AI$12</f>
        <v>41683.419945752095</v>
      </c>
    </row>
    <row r="100" spans="1:28" x14ac:dyDescent="0.15">
      <c r="A100" s="101" t="s">
        <v>552</v>
      </c>
      <c r="B100" s="99" t="s">
        <v>560</v>
      </c>
      <c r="C100" s="99"/>
      <c r="P100" s="265">
        <f>'Cost prices'!$H$373/
VLOOKUP($A100,Rules!$I$23:$J$27, 2, FALSE)
/ 7.45* $AI$12</f>
        <v>1896.883065457878</v>
      </c>
      <c r="Q100" s="265"/>
      <c r="U100" s="265">
        <f>'Cost prices'!$H$373/
VLOOKUP($A100,Rules!$I$23:$J$27, 2, FALSE)
/ 7.45* $AI$12</f>
        <v>1896.883065457878</v>
      </c>
      <c r="V100" s="265">
        <f>'Cost prices'!$H$373/
VLOOKUP($A100,Rules!$I$23:$J$27, 2, FALSE)
/ 7.45* $AI$12</f>
        <v>1896.883065457878</v>
      </c>
      <c r="W100" s="265">
        <f>'Cost prices'!$H$373/
VLOOKUP($A100,Rules!$I$23:$J$27, 2, FALSE)
/ 7.45* $AI$12</f>
        <v>1896.883065457878</v>
      </c>
      <c r="X100" s="265">
        <f>'Cost prices'!$H$373/
VLOOKUP($A100,Rules!$I$23:$J$27, 2, FALSE)
/ 7.45* $AI$12</f>
        <v>1896.883065457878</v>
      </c>
      <c r="Y100" s="265">
        <f>'Cost prices'!$H$373/
VLOOKUP($A100,Rules!$I$23:$J$27, 2, FALSE)
/ 7.45* $AI$12</f>
        <v>1896.883065457878</v>
      </c>
      <c r="Z100" s="265">
        <f>'Cost prices'!$H$373/
VLOOKUP($A100,Rules!$I$23:$J$27, 2, FALSE)
/ 7.45* $AI$12</f>
        <v>1896.883065457878</v>
      </c>
      <c r="AA100" s="265">
        <f>'Cost prices'!$H$373/
VLOOKUP($A100,Rules!$I$23:$J$27, 2, FALSE)
/ 7.45* $AI$12</f>
        <v>1896.883065457878</v>
      </c>
      <c r="AB100" s="265">
        <f>'Cost prices'!$H$373/
VLOOKUP($A100,Rules!$I$23:$J$27, 2, FALSE)
/ 7.45* $AI$12</f>
        <v>1896.883065457878</v>
      </c>
    </row>
    <row r="101" spans="1:28" x14ac:dyDescent="0.15">
      <c r="A101" s="101" t="s">
        <v>426</v>
      </c>
      <c r="B101" s="99" t="s">
        <v>1276</v>
      </c>
      <c r="C101" s="99"/>
      <c r="P101" s="265">
        <f>'Cost prices'!$H412/
VLOOKUP($A101,Rules!$I$23:$J$27, 2, FALSE)
/ 7.45* $AI$12</f>
        <v>578.02769212165197</v>
      </c>
      <c r="Q101" s="265"/>
      <c r="R101" s="265">
        <f>'Cost prices'!$H412/
VLOOKUP($A101,Rules!$I$23:$J$27, 2, FALSE)
/ 7.45* $AH$12</f>
        <v>578.02769212165197</v>
      </c>
      <c r="S101" s="265">
        <f>'Cost prices'!$H412/
VLOOKUP($A101,Rules!$I$23:$J$27, 2, FALSE)
/ 7.45* $AH$12</f>
        <v>578.02769212165197</v>
      </c>
      <c r="T101" s="265">
        <f>'Cost prices'!$H412/
VLOOKUP($A101,Rules!$I$23:$J$27, 2, FALSE)
/ 7.45* $AH$12</f>
        <v>578.02769212165197</v>
      </c>
      <c r="U101" s="265">
        <f>'Cost prices'!$H412/
VLOOKUP($A101,Rules!$I$23:$J$27, 2, FALSE)
/ 7.45* $AI$12</f>
        <v>578.02769212165197</v>
      </c>
      <c r="V101" s="265">
        <f>'Cost prices'!$H412/
VLOOKUP($A101,Rules!$I$23:$J$27, 2, FALSE)
/ 7.45* $AI$12</f>
        <v>578.02769212165197</v>
      </c>
      <c r="W101" s="265">
        <f>'Cost prices'!$H412/
VLOOKUP($A101,Rules!$I$23:$J$27, 2, FALSE)
/ 7.45* $AI$12</f>
        <v>578.02769212165197</v>
      </c>
      <c r="X101" s="265">
        <f>'Cost prices'!$H412/
VLOOKUP($A101,Rules!$I$23:$J$27, 2, FALSE)
/ 7.45* $AI$12</f>
        <v>578.02769212165197</v>
      </c>
      <c r="Y101" s="265">
        <f>'Cost prices'!$H412/
VLOOKUP($A101,Rules!$I$23:$J$27, 2, FALSE)
/ 7.45* $AI$12</f>
        <v>578.02769212165197</v>
      </c>
      <c r="Z101" s="265">
        <f>'Cost prices'!$H412/
VLOOKUP($A101,Rules!$I$23:$J$27, 2, FALSE)
/ 7.45* $AI$12</f>
        <v>578.02769212165197</v>
      </c>
      <c r="AA101" s="265">
        <f>'Cost prices'!$H412/
VLOOKUP($A101,Rules!$I$23:$J$27, 2, FALSE)
/ 7.45* $AI$12</f>
        <v>578.02769212165197</v>
      </c>
      <c r="AB101" s="265">
        <f>'Cost prices'!$H412/
VLOOKUP($A101,Rules!$I$23:$J$27, 2, FALSE)
/ 7.45* $AI$12</f>
        <v>578.02769212165197</v>
      </c>
    </row>
    <row r="102" spans="1:28" x14ac:dyDescent="0.15">
      <c r="A102" s="101" t="s">
        <v>552</v>
      </c>
      <c r="B102" s="99" t="s">
        <v>568</v>
      </c>
      <c r="C102" s="99"/>
      <c r="P102" s="265">
        <f>'Cost prices'!$H413/
VLOOKUP($A102,Rules!$I$23:$J$27, 2, FALSE)
/ 7.45* $AI$12</f>
        <v>4646.8892896054367</v>
      </c>
      <c r="Q102" s="265"/>
      <c r="R102" s="265">
        <f>'Cost prices'!$H413/
VLOOKUP($A102,Rules!$I$23:$J$27, 2, FALSE)
/ 7.45* $AH$12</f>
        <v>4646.8892896054367</v>
      </c>
      <c r="S102" s="265">
        <f>'Cost prices'!$H413/
VLOOKUP($A102,Rules!$I$23:$J$27, 2, FALSE)
/ 7.45* $AH$12</f>
        <v>4646.8892896054367</v>
      </c>
      <c r="T102" s="265">
        <f>'Cost prices'!$H413/
VLOOKUP($A102,Rules!$I$23:$J$27, 2, FALSE)
/ 7.45* $AH$12</f>
        <v>4646.8892896054367</v>
      </c>
      <c r="U102" s="265">
        <f>'Cost prices'!$H413/
VLOOKUP($A102,Rules!$I$23:$J$27, 2, FALSE)
/ 7.45* $AI$12</f>
        <v>4646.8892896054367</v>
      </c>
      <c r="V102" s="265">
        <f>'Cost prices'!$H413/
VLOOKUP($A102,Rules!$I$23:$J$27, 2, FALSE)
/ 7.45* $AI$12</f>
        <v>4646.8892896054367</v>
      </c>
      <c r="W102" s="265">
        <f>'Cost prices'!$H413/
VLOOKUP($A102,Rules!$I$23:$J$27, 2, FALSE)
/ 7.45* $AI$12</f>
        <v>4646.8892896054367</v>
      </c>
      <c r="X102" s="265">
        <f>'Cost prices'!$H413/
VLOOKUP($A102,Rules!$I$23:$J$27, 2, FALSE)
/ 7.45* $AI$12</f>
        <v>4646.8892896054367</v>
      </c>
      <c r="Y102" s="265">
        <f>'Cost prices'!$H413/
VLOOKUP($A102,Rules!$I$23:$J$27, 2, FALSE)
/ 7.45* $AI$12</f>
        <v>4646.8892896054367</v>
      </c>
      <c r="Z102" s="265">
        <f>'Cost prices'!$H413/
VLOOKUP($A102,Rules!$I$23:$J$27, 2, FALSE)
/ 7.45* $AI$12</f>
        <v>4646.8892896054367</v>
      </c>
      <c r="AA102" s="265">
        <f>'Cost prices'!$H413/
VLOOKUP($A102,Rules!$I$23:$J$27, 2, FALSE)
/ 7.45* $AI$12</f>
        <v>4646.8892896054367</v>
      </c>
      <c r="AB102" s="265">
        <f>'Cost prices'!$H413/
VLOOKUP($A102,Rules!$I$23:$J$27, 2, FALSE)
/ 7.45* $AI$12</f>
        <v>4646.8892896054367</v>
      </c>
    </row>
    <row r="103" spans="1:28" x14ac:dyDescent="0.15">
      <c r="A103" s="101" t="s">
        <v>552</v>
      </c>
      <c r="B103" s="99" t="s">
        <v>569</v>
      </c>
      <c r="C103" s="99"/>
      <c r="P103" s="265">
        <f>'Cost prices'!$H414/
VLOOKUP($A103,Rules!$I$23:$J$27, 2, FALSE)
/ 7.45* $AI$12</f>
        <v>7253.680842310926</v>
      </c>
      <c r="Q103" s="265"/>
      <c r="R103" s="265">
        <f>'Cost prices'!$H414/
VLOOKUP($A103,Rules!$I$23:$J$27, 2, FALSE)
/ 7.45* $AH$12</f>
        <v>7253.680842310926</v>
      </c>
      <c r="S103" s="265">
        <f>'Cost prices'!$H414/
VLOOKUP($A103,Rules!$I$23:$J$27, 2, FALSE)
/ 7.45* $AH$12</f>
        <v>7253.680842310926</v>
      </c>
      <c r="T103" s="265">
        <f>'Cost prices'!$H414/
VLOOKUP($A103,Rules!$I$23:$J$27, 2, FALSE)
/ 7.45* $AH$12</f>
        <v>7253.680842310926</v>
      </c>
      <c r="U103" s="265">
        <f>'Cost prices'!$H414/
VLOOKUP($A103,Rules!$I$23:$J$27, 2, FALSE)
/ 7.45* $AI$12</f>
        <v>7253.680842310926</v>
      </c>
      <c r="V103" s="265">
        <f>'Cost prices'!$H414/
VLOOKUP($A103,Rules!$I$23:$J$27, 2, FALSE)
/ 7.45* $AI$12</f>
        <v>7253.680842310926</v>
      </c>
      <c r="W103" s="265">
        <f>'Cost prices'!$H414/
VLOOKUP($A103,Rules!$I$23:$J$27, 2, FALSE)
/ 7.45* $AI$12</f>
        <v>7253.680842310926</v>
      </c>
      <c r="X103" s="265">
        <f>'Cost prices'!$H414/
VLOOKUP($A103,Rules!$I$23:$J$27, 2, FALSE)
/ 7.45* $AI$12</f>
        <v>7253.680842310926</v>
      </c>
      <c r="Y103" s="265">
        <f>'Cost prices'!$H414/
VLOOKUP($A103,Rules!$I$23:$J$27, 2, FALSE)
/ 7.45* $AI$12</f>
        <v>7253.680842310926</v>
      </c>
      <c r="Z103" s="265">
        <f>'Cost prices'!$H414/
VLOOKUP($A103,Rules!$I$23:$J$27, 2, FALSE)
/ 7.45* $AI$12</f>
        <v>7253.680842310926</v>
      </c>
      <c r="AA103" s="265">
        <f>'Cost prices'!$H414/
VLOOKUP($A103,Rules!$I$23:$J$27, 2, FALSE)
/ 7.45* $AI$12</f>
        <v>7253.680842310926</v>
      </c>
      <c r="AB103" s="265">
        <f>'Cost prices'!$H414/
VLOOKUP($A103,Rules!$I$23:$J$27, 2, FALSE)
/ 7.45* $AI$12</f>
        <v>7253.680842310926</v>
      </c>
    </row>
    <row r="104" spans="1:28" x14ac:dyDescent="0.15">
      <c r="A104" s="101" t="s">
        <v>552</v>
      </c>
      <c r="B104" s="99" t="s">
        <v>570</v>
      </c>
      <c r="C104" s="99"/>
      <c r="P104" s="265">
        <f>'Cost prices'!$H415/
VLOOKUP($A104,Rules!$I$23:$J$27, 2, FALSE)
/ 7.45* $AI$12</f>
        <v>5780.2769212165185</v>
      </c>
      <c r="Q104" s="265"/>
      <c r="R104" s="265">
        <f>'Cost prices'!$H415/
VLOOKUP($A104,Rules!$I$23:$J$27, 2, FALSE)
/ 7.45* $AH$12</f>
        <v>5780.2769212165185</v>
      </c>
      <c r="S104" s="265">
        <f>'Cost prices'!$H415/
VLOOKUP($A104,Rules!$I$23:$J$27, 2, FALSE)
/ 7.45* $AH$12</f>
        <v>5780.2769212165185</v>
      </c>
      <c r="T104" s="265">
        <f>'Cost prices'!$H415/
VLOOKUP($A104,Rules!$I$23:$J$27, 2, FALSE)
/ 7.45* $AH$12</f>
        <v>5780.2769212165185</v>
      </c>
      <c r="U104" s="265">
        <f>'Cost prices'!$H415/
VLOOKUP($A104,Rules!$I$23:$J$27, 2, FALSE)
/ 7.45* $AI$12</f>
        <v>5780.2769212165185</v>
      </c>
      <c r="V104" s="265">
        <f>'Cost prices'!$H415/
VLOOKUP($A104,Rules!$I$23:$J$27, 2, FALSE)
/ 7.45* $AI$12</f>
        <v>5780.2769212165185</v>
      </c>
      <c r="W104" s="265">
        <f>'Cost prices'!$H415/
VLOOKUP($A104,Rules!$I$23:$J$27, 2, FALSE)
/ 7.45* $AI$12</f>
        <v>5780.2769212165185</v>
      </c>
      <c r="X104" s="265">
        <f>'Cost prices'!$H415/
VLOOKUP($A104,Rules!$I$23:$J$27, 2, FALSE)
/ 7.45* $AI$12</f>
        <v>5780.2769212165185</v>
      </c>
      <c r="Y104" s="265">
        <f>'Cost prices'!$H415/
VLOOKUP($A104,Rules!$I$23:$J$27, 2, FALSE)
/ 7.45* $AI$12</f>
        <v>5780.2769212165185</v>
      </c>
      <c r="Z104" s="265">
        <f>'Cost prices'!$H415/
VLOOKUP($A104,Rules!$I$23:$J$27, 2, FALSE)
/ 7.45* $AI$12</f>
        <v>5780.2769212165185</v>
      </c>
      <c r="AA104" s="265">
        <f>'Cost prices'!$H415/
VLOOKUP($A104,Rules!$I$23:$J$27, 2, FALSE)
/ 7.45* $AI$12</f>
        <v>5780.2769212165185</v>
      </c>
      <c r="AB104" s="265">
        <f>'Cost prices'!$H415/
VLOOKUP($A104,Rules!$I$23:$J$27, 2, FALSE)
/ 7.45* $AI$12</f>
        <v>5780.2769212165185</v>
      </c>
    </row>
    <row r="105" spans="1:28" x14ac:dyDescent="0.15">
      <c r="A105" s="101" t="s">
        <v>552</v>
      </c>
      <c r="B105" s="99" t="s">
        <v>573</v>
      </c>
      <c r="C105" s="99"/>
      <c r="P105" s="265">
        <f>'Cost prices'!$H416/
VLOOKUP($A105,Rules!$I$23:$J$27, 2, FALSE)
/ 7.45* $AI$12</f>
        <v>4646.8892896054367</v>
      </c>
      <c r="Q105" s="265"/>
      <c r="R105" s="265">
        <f>'Cost prices'!$H416/
VLOOKUP($A105,Rules!$I$23:$J$27, 2, FALSE)
/ 7.45* $AH$12</f>
        <v>4646.8892896054367</v>
      </c>
      <c r="S105" s="265">
        <f>'Cost prices'!$H416/
VLOOKUP($A105,Rules!$I$23:$J$27, 2, FALSE)
/ 7.45* $AH$12</f>
        <v>4646.8892896054367</v>
      </c>
      <c r="T105" s="265">
        <f>'Cost prices'!$H416/
VLOOKUP($A105,Rules!$I$23:$J$27, 2, FALSE)
/ 7.45* $AH$12</f>
        <v>4646.8892896054367</v>
      </c>
      <c r="U105" s="265">
        <f>'Cost prices'!$H416/
VLOOKUP($A105,Rules!$I$23:$J$27, 2, FALSE)
/ 7.45* $AI$12</f>
        <v>4646.8892896054367</v>
      </c>
      <c r="V105" s="265">
        <f>'Cost prices'!$H416/
VLOOKUP($A105,Rules!$I$23:$J$27, 2, FALSE)
/ 7.45* $AI$12</f>
        <v>4646.8892896054367</v>
      </c>
      <c r="W105" s="265">
        <f>'Cost prices'!$H416/
VLOOKUP($A105,Rules!$I$23:$J$27, 2, FALSE)
/ 7.45* $AI$12</f>
        <v>4646.8892896054367</v>
      </c>
      <c r="X105" s="265">
        <f>'Cost prices'!$H416/
VLOOKUP($A105,Rules!$I$23:$J$27, 2, FALSE)
/ 7.45* $AI$12</f>
        <v>4646.8892896054367</v>
      </c>
      <c r="Y105" s="265">
        <f>'Cost prices'!$H416/
VLOOKUP($A105,Rules!$I$23:$J$27, 2, FALSE)
/ 7.45* $AI$12</f>
        <v>4646.8892896054367</v>
      </c>
      <c r="Z105" s="265">
        <f>'Cost prices'!$H416/
VLOOKUP($A105,Rules!$I$23:$J$27, 2, FALSE)
/ 7.45* $AI$12</f>
        <v>4646.8892896054367</v>
      </c>
      <c r="AA105" s="265">
        <f>'Cost prices'!$H416/
VLOOKUP($A105,Rules!$I$23:$J$27, 2, FALSE)
/ 7.45* $AI$12</f>
        <v>4646.8892896054367</v>
      </c>
      <c r="AB105" s="265">
        <f>'Cost prices'!$H416/
VLOOKUP($A105,Rules!$I$23:$J$27, 2, FALSE)
/ 7.45* $AI$12</f>
        <v>4646.8892896054367</v>
      </c>
    </row>
    <row r="106" spans="1:28" x14ac:dyDescent="0.15">
      <c r="A106" s="101" t="s">
        <v>552</v>
      </c>
      <c r="B106" s="99" t="s">
        <v>719</v>
      </c>
      <c r="C106" s="99"/>
      <c r="P106" s="265">
        <f>'Cost prices'!$H417/
VLOOKUP($A106,Rules!$I$23:$J$27, 2, FALSE)
/ 7.45* $AI$12</f>
        <v>5553.5993948943023</v>
      </c>
      <c r="Q106" s="265"/>
      <c r="R106" s="265">
        <f>'Cost prices'!$H417/
VLOOKUP($A106,Rules!$I$23:$J$27, 2, FALSE)
/ 7.45* $AI$12</f>
        <v>5553.5993948943023</v>
      </c>
      <c r="S106" s="265">
        <f>'Cost prices'!$H417/
VLOOKUP($A106,Rules!$I$23:$J$27, 2, FALSE)
/ 7.45* $AI$12</f>
        <v>5553.5993948943023</v>
      </c>
      <c r="T106" s="265">
        <f>'Cost prices'!$H417/
VLOOKUP($A106,Rules!$I$23:$J$27, 2, FALSE)
/ 7.45* $AI$12</f>
        <v>5553.5993948943023</v>
      </c>
      <c r="U106" s="265">
        <f>'Cost prices'!$H417/
VLOOKUP($A106,Rules!$I$23:$J$27, 2, FALSE)
/ 7.45* $AI$12</f>
        <v>5553.5993948943023</v>
      </c>
      <c r="V106" s="265">
        <f>'Cost prices'!$H417/
VLOOKUP($A106,Rules!$I$23:$J$27, 2, FALSE)
/ 7.45* $AI$12</f>
        <v>5553.5993948943023</v>
      </c>
      <c r="W106" s="265">
        <f>'Cost prices'!$H417/
VLOOKUP($A106,Rules!$I$23:$J$27, 2, FALSE)
/ 7.45* $AI$12</f>
        <v>5553.5993948943023</v>
      </c>
      <c r="X106" s="265">
        <f>'Cost prices'!$H417/
VLOOKUP($A106,Rules!$I$23:$J$27, 2, FALSE)
/ 7.45* $AI$12</f>
        <v>5553.5993948943023</v>
      </c>
      <c r="Y106" s="265">
        <f>'Cost prices'!$H417/
VLOOKUP($A106,Rules!$I$23:$J$27, 2, FALSE)
/ 7.45* $AI$12</f>
        <v>5553.5993948943023</v>
      </c>
      <c r="Z106" s="265">
        <f>'Cost prices'!$H417/
VLOOKUP($A106,Rules!$I$23:$J$27, 2, FALSE)
/ 7.45* $AI$12</f>
        <v>5553.5993948943023</v>
      </c>
      <c r="AA106" s="265">
        <f>'Cost prices'!$H417/
VLOOKUP($A106,Rules!$I$23:$J$27, 2, FALSE)
/ 7.45* $AI$12</f>
        <v>5553.5993948943023</v>
      </c>
      <c r="AB106" s="265">
        <f>'Cost prices'!$H417/
VLOOKUP($A106,Rules!$I$23:$J$27, 2, FALSE)
/ 7.45* $AI$12</f>
        <v>5553.5993948943023</v>
      </c>
    </row>
    <row r="107" spans="1:28" x14ac:dyDescent="0.15">
      <c r="B107" s="99"/>
      <c r="C107" s="99"/>
    </row>
    <row r="108" spans="1:28" x14ac:dyDescent="0.15">
      <c r="A108" s="274" t="s">
        <v>1299</v>
      </c>
      <c r="B108" s="275"/>
      <c r="C108" s="275"/>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c r="AA108" s="276"/>
      <c r="AB108" s="276"/>
    </row>
    <row r="109" spans="1:28" x14ac:dyDescent="0.15">
      <c r="A109" s="101" t="s">
        <v>552</v>
      </c>
      <c r="B109" s="185" t="str">
        <f>'Cost prices'!B151</f>
        <v>12 m3 - 304</v>
      </c>
      <c r="C109" s="185"/>
      <c r="AB109" s="277">
        <f>('Cost prices'!H151+1*'Cost prices'!$H$185+'Cost prices'!$H$211*2+'Cost prices'!$H$223*4+'Cost prices'!$H$263*2)/
VLOOKUP($A109,Rules!$I$23:$J$27, 2, FALSE)
/ 7.45* $AI$12</f>
        <v>11500.444544206444</v>
      </c>
    </row>
    <row r="110" spans="1:28" x14ac:dyDescent="0.15">
      <c r="A110" s="101" t="s">
        <v>552</v>
      </c>
      <c r="B110" s="185" t="str">
        <f>'Cost prices'!B152</f>
        <v>15 m3 - 304</v>
      </c>
      <c r="C110" s="185"/>
      <c r="AB110" s="277">
        <f>('Cost prices'!H152+1*'Cost prices'!$H$185+'Cost prices'!$H$211*2+'Cost prices'!$H$223*4+'Cost prices'!$H$263*2)/
VLOOKUP($A110,Rules!$I$23:$J$27, 2, FALSE)
/ 7.45* $AI$12</f>
        <v>12577.162794236971</v>
      </c>
    </row>
    <row r="111" spans="1:28" x14ac:dyDescent="0.15">
      <c r="A111" s="101" t="s">
        <v>552</v>
      </c>
      <c r="B111" s="185" t="str">
        <f>'Cost prices'!B153</f>
        <v>20 m3 - 304</v>
      </c>
      <c r="C111" s="185"/>
      <c r="AB111" s="277">
        <f>('Cost prices'!H153+1*'Cost prices'!$H$185+'Cost prices'!$H$211*2+'Cost prices'!$H$223*4+'Cost prices'!$H$263*2)/
VLOOKUP($A111,Rules!$I$23:$J$27, 2, FALSE)
/ 7.45* $AI$12</f>
        <v>14685.263789033585</v>
      </c>
    </row>
    <row r="112" spans="1:28" x14ac:dyDescent="0.15">
      <c r="A112" s="101" t="s">
        <v>552</v>
      </c>
      <c r="B112" s="185" t="str">
        <f>'Cost prices'!B154</f>
        <v>12 m3 - 304 - Shell cladding 1.5mm/Bottom cladding 2mm – Rockwool 80KG/M3.</v>
      </c>
      <c r="C112" s="185"/>
      <c r="AB112" s="277">
        <f>('Cost prices'!H154+1*'Cost prices'!$H$185+'Cost prices'!$H$211*2+'Cost prices'!$H$223*4+'Cost prices'!$H$263*2)/
VLOOKUP($A112,Rules!$I$23:$J$27, 2, FALSE)
/ 7.45* $AI$12</f>
        <v>15863.98692590911</v>
      </c>
    </row>
    <row r="113" spans="1:28" x14ac:dyDescent="0.15">
      <c r="A113" s="101" t="s">
        <v>552</v>
      </c>
      <c r="B113" s="185" t="str">
        <f>'Cost prices'!B155</f>
        <v>15 m3 - 304 - Shell cladding 1.5mm/Bottom cladding 2mm – Rockwool 80KG/M3.</v>
      </c>
      <c r="C113" s="185"/>
      <c r="AB113" s="277">
        <f>('Cost prices'!H155+1*'Cost prices'!$H$185+'Cost prices'!$H$211*2+'Cost prices'!$H$223*4+'Cost prices'!$H$263*2)/
VLOOKUP($A113,Rules!$I$23:$J$27, 2, FALSE)
/ 7.45* $AI$12</f>
        <v>17994.755673337946</v>
      </c>
    </row>
    <row r="114" spans="1:28" x14ac:dyDescent="0.15">
      <c r="A114" s="101" t="s">
        <v>552</v>
      </c>
      <c r="B114" s="185" t="str">
        <f>'Cost prices'!B156</f>
        <v>20 m3 - 304 - Shell cladding 1.5mm/Bottom cladding 2mm – Rockwool 80KG/M3.</v>
      </c>
      <c r="C114" s="185"/>
      <c r="AB114" s="277">
        <f>('Cost prices'!H156+1*'Cost prices'!$H$185+'Cost prices'!$H$211*2+'Cost prices'!$H$223*4+'Cost prices'!$H$263*2)/
VLOOKUP($A114,Rules!$I$23:$J$27, 2, FALSE)
/ 7.45* $AI$12</f>
        <v>21145.573289216751</v>
      </c>
    </row>
    <row r="115" spans="1:28" x14ac:dyDescent="0.15">
      <c r="A115" s="101" t="s">
        <v>552</v>
      </c>
      <c r="B115" s="185" t="str">
        <f>'Cost prices'!B157</f>
        <v>12 m3 - 304 - Shell cladding 1.5mm/Bottom cladding 2mm – PIR Panel 40KG/M3.</v>
      </c>
      <c r="C115" s="185"/>
      <c r="AB115" s="277">
        <f>('Cost prices'!H157+1*'Cost prices'!$H$185+'Cost prices'!$H$211*2+'Cost prices'!$H$223*4+'Cost prices'!$H$263*2)/
VLOOKUP($A115,Rules!$I$23:$J$27, 2, FALSE)
/ 7.45* $AI$12</f>
        <v>16929.371299623526</v>
      </c>
    </row>
    <row r="116" spans="1:28" x14ac:dyDescent="0.15">
      <c r="A116" s="101" t="s">
        <v>552</v>
      </c>
      <c r="B116" s="185" t="str">
        <f>'Cost prices'!B158</f>
        <v>15 m3 - 304 - Shell cladding 1.5mm/Bottom cladding 2mm – PIR Panel 40KG/M3.</v>
      </c>
      <c r="C116" s="185"/>
      <c r="AB116" s="277">
        <f>('Cost prices'!H158+1*'Cost prices'!$H$185+'Cost prices'!$H$211*2+'Cost prices'!$H$223*4+'Cost prices'!$H$263*2)/
VLOOKUP($A116,Rules!$I$23:$J$27, 2, FALSE)
/ 7.45* $AI$12</f>
        <v>19309.485326006798</v>
      </c>
    </row>
    <row r="117" spans="1:28" x14ac:dyDescent="0.15">
      <c r="A117" s="101" t="s">
        <v>552</v>
      </c>
      <c r="B117" s="185" t="str">
        <f>'Cost prices'!B159</f>
        <v>20 m3 - 304 - Shell cladding 1.5mm/Bottom cladding 2mm – PIR Panel 40KG/M3.</v>
      </c>
      <c r="C117" s="185"/>
      <c r="AB117" s="277">
        <f>('Cost prices'!H159+1*'Cost prices'!$H$185+'Cost prices'!$H$211*2+'Cost prices'!$H$223*4+'Cost prices'!$H$263*2)/
VLOOKUP($A117,Rules!$I$23:$J$27, 2, FALSE)
/ 7.45* $AI$12</f>
        <v>22641.644962943381</v>
      </c>
    </row>
    <row r="118" spans="1:28" x14ac:dyDescent="0.15">
      <c r="A118" s="101" t="s">
        <v>552</v>
      </c>
      <c r="B118" s="185" t="str">
        <f>'Cost prices'!B160</f>
        <v>0.5 m3 - 316 -  Shell cladding 1.5mm - Rockwool xxKG/M3.</v>
      </c>
      <c r="C118" s="185"/>
      <c r="AB118" s="277">
        <f>('Cost prices'!H160+1*'Cost prices'!$H$185+'Cost prices'!$H$211*2+'Cost prices'!$H$223*4+'Cost prices'!$H$263*2)/
VLOOKUP($A118,Rules!$I$23:$J$27, 2, FALSE)
/ 7.45* $AI$12</f>
        <v>5731.5014993060358</v>
      </c>
    </row>
    <row r="119" spans="1:28" x14ac:dyDescent="0.15">
      <c r="A119" s="101" t="s">
        <v>552</v>
      </c>
      <c r="B119" s="185" t="str">
        <f>'Cost prices'!B161</f>
        <v>0.5 m3 - 316 -  Shell cladding 1.5mm - Rockwool xxKG/M3 - prepared for agitator</v>
      </c>
      <c r="C119" s="185"/>
      <c r="AB119" s="277">
        <f>('Cost prices'!H161+1*'Cost prices'!$H$185+'Cost prices'!$H$211*2+'Cost prices'!$H$223*4+'Cost prices'!$H$263*2)/
VLOOKUP($A119,Rules!$I$23:$J$27, 2, FALSE)
/ 7.45* $AI$12</f>
        <v>6513.538965117682</v>
      </c>
    </row>
    <row r="120" spans="1:28" x14ac:dyDescent="0.15">
      <c r="A120" s="101" t="s">
        <v>552</v>
      </c>
      <c r="B120" s="185" t="str">
        <f>'Cost prices'!B162</f>
        <v>4 m3 - 316 - Shell cladding 1.5mm/Bottom cladding 2mm – Rockwool xxKG/M3. Prepared for agitator</v>
      </c>
      <c r="C120" s="185"/>
      <c r="AB120" s="277">
        <f>('Cost prices'!H162+1*'Cost prices'!$H$185+'Cost prices'!$H$211*2+'Cost prices'!$H$223*4+'Cost prices'!$H$263*2)/
VLOOKUP($A120,Rules!$I$23:$J$27, 2, FALSE)
/ 7.45* $AI$12</f>
        <v>16759.363154881867</v>
      </c>
    </row>
    <row r="121" spans="1:28" x14ac:dyDescent="0.15">
      <c r="A121" s="101" t="s">
        <v>552</v>
      </c>
      <c r="B121" s="185" t="str">
        <f>'Cost prices'!B163</f>
        <v>12 m3 - 316 - Shell cladding 1.5mm/Bottom cladding 2mm – Rockwool xxKG/M3. Prepared for agitator</v>
      </c>
      <c r="C121" s="185"/>
      <c r="AB121" s="277">
        <f>('Cost prices'!H163+1*'Cost prices'!$H$185+'Cost prices'!$H$211*2+'Cost prices'!$H$223*4+'Cost prices'!$H$263*2)/
VLOOKUP($A121,Rules!$I$23:$J$27, 2, FALSE)
/ 7.45* $AI$12</f>
        <v>26665.171055162722</v>
      </c>
    </row>
    <row r="122" spans="1:28" x14ac:dyDescent="0.15">
      <c r="B122" s="185"/>
      <c r="C122" s="185"/>
    </row>
    <row r="123" spans="1:28" x14ac:dyDescent="0.15">
      <c r="B123" s="185"/>
      <c r="C123" s="185"/>
    </row>
    <row r="124" spans="1:28" x14ac:dyDescent="0.15">
      <c r="B124" s="185"/>
      <c r="C124" s="185"/>
    </row>
    <row r="125" spans="1:28" x14ac:dyDescent="0.15">
      <c r="B125" s="185"/>
      <c r="C125" s="185"/>
    </row>
    <row r="126" spans="1:28" x14ac:dyDescent="0.15">
      <c r="B126" s="185"/>
      <c r="C126" s="185"/>
    </row>
    <row r="127" spans="1:28" x14ac:dyDescent="0.15">
      <c r="B127" s="185"/>
      <c r="C127" s="185"/>
    </row>
    <row r="128" spans="1:28" x14ac:dyDescent="0.15">
      <c r="B128" s="185"/>
      <c r="C128" s="185"/>
    </row>
    <row r="129" spans="2:3" x14ac:dyDescent="0.15">
      <c r="B129" s="185"/>
      <c r="C129" s="185"/>
    </row>
    <row r="130" spans="2:3" x14ac:dyDescent="0.15">
      <c r="B130" s="185"/>
      <c r="C130" s="185"/>
    </row>
    <row r="131" spans="2:3" x14ac:dyDescent="0.15">
      <c r="B131" s="185"/>
      <c r="C131" s="185"/>
    </row>
    <row r="132" spans="2:3" x14ac:dyDescent="0.15">
      <c r="B132" s="185"/>
      <c r="C132" s="185"/>
    </row>
    <row r="133" spans="2:3" x14ac:dyDescent="0.15">
      <c r="B133" s="185"/>
      <c r="C133" s="185"/>
    </row>
    <row r="134" spans="2:3" x14ac:dyDescent="0.15">
      <c r="B134" s="185"/>
      <c r="C134" s="185"/>
    </row>
    <row r="135" spans="2:3" x14ac:dyDescent="0.15">
      <c r="B135" s="185"/>
      <c r="C135" s="185"/>
    </row>
    <row r="136" spans="2:3" x14ac:dyDescent="0.15">
      <c r="B136" s="185"/>
      <c r="C136" s="185"/>
    </row>
    <row r="137" spans="2:3" x14ac:dyDescent="0.15">
      <c r="B137" s="185"/>
      <c r="C137" s="185"/>
    </row>
    <row r="138" spans="2:3" x14ac:dyDescent="0.15">
      <c r="B138" s="185"/>
      <c r="C138" s="185"/>
    </row>
    <row r="139" spans="2:3" x14ac:dyDescent="0.15">
      <c r="B139" s="185"/>
      <c r="C139" s="185"/>
    </row>
    <row r="140" spans="2:3" x14ac:dyDescent="0.15">
      <c r="B140" s="185"/>
      <c r="C140" s="185"/>
    </row>
    <row r="141" spans="2:3" x14ac:dyDescent="0.15">
      <c r="B141" s="185"/>
      <c r="C141" s="185"/>
    </row>
    <row r="142" spans="2:3" x14ac:dyDescent="0.15">
      <c r="B142" s="185"/>
      <c r="C142" s="185"/>
    </row>
    <row r="143" spans="2:3" x14ac:dyDescent="0.15">
      <c r="B143" s="185"/>
      <c r="C143" s="185"/>
    </row>
    <row r="144" spans="2:3" x14ac:dyDescent="0.15">
      <c r="B144" s="185"/>
      <c r="C144" s="185"/>
    </row>
    <row r="145" spans="2:3" x14ac:dyDescent="0.15">
      <c r="B145" s="185"/>
      <c r="C145" s="185"/>
    </row>
    <row r="146" spans="2:3" x14ac:dyDescent="0.15">
      <c r="B146" s="185"/>
      <c r="C146" s="185"/>
    </row>
    <row r="147" spans="2:3" x14ac:dyDescent="0.15">
      <c r="B147" s="185"/>
      <c r="C147" s="185"/>
    </row>
    <row r="148" spans="2:3" x14ac:dyDescent="0.15">
      <c r="B148" s="185"/>
      <c r="C148" s="185"/>
    </row>
    <row r="149" spans="2:3" x14ac:dyDescent="0.15">
      <c r="B149" s="185"/>
      <c r="C149" s="185"/>
    </row>
    <row r="150" spans="2:3" x14ac:dyDescent="0.15">
      <c r="B150" s="185"/>
      <c r="C150" s="185"/>
    </row>
    <row r="151" spans="2:3" x14ac:dyDescent="0.15">
      <c r="B151" s="185"/>
      <c r="C151" s="185"/>
    </row>
    <row r="152" spans="2:3" x14ac:dyDescent="0.15">
      <c r="B152" s="185"/>
      <c r="C152" s="185"/>
    </row>
    <row r="153" spans="2:3" x14ac:dyDescent="0.15">
      <c r="B153" s="185"/>
      <c r="C153" s="185"/>
    </row>
    <row r="154" spans="2:3" x14ac:dyDescent="0.15">
      <c r="B154" s="185"/>
      <c r="C154" s="185"/>
    </row>
    <row r="155" spans="2:3" x14ac:dyDescent="0.15">
      <c r="B155" s="185"/>
      <c r="C155" s="185"/>
    </row>
    <row r="156" spans="2:3" x14ac:dyDescent="0.15">
      <c r="B156" s="185"/>
      <c r="C156" s="185"/>
    </row>
    <row r="157" spans="2:3" x14ac:dyDescent="0.15">
      <c r="B157" s="185"/>
      <c r="C157" s="185"/>
    </row>
    <row r="158" spans="2:3" x14ac:dyDescent="0.15">
      <c r="B158" s="185"/>
      <c r="C158" s="185"/>
    </row>
    <row r="159" spans="2:3" x14ac:dyDescent="0.15">
      <c r="B159" s="185"/>
      <c r="C159" s="185"/>
    </row>
    <row r="160" spans="2:3" x14ac:dyDescent="0.15">
      <c r="B160" s="185"/>
      <c r="C160" s="185"/>
    </row>
    <row r="161" spans="2:3" x14ac:dyDescent="0.15">
      <c r="B161" s="185"/>
      <c r="C161" s="185"/>
    </row>
    <row r="162" spans="2:3" x14ac:dyDescent="0.15">
      <c r="B162" s="185"/>
      <c r="C162" s="185"/>
    </row>
    <row r="163" spans="2:3" x14ac:dyDescent="0.15">
      <c r="B163" s="185"/>
      <c r="C163" s="185"/>
    </row>
    <row r="164" spans="2:3" x14ac:dyDescent="0.15">
      <c r="B164" s="185"/>
      <c r="C164" s="185"/>
    </row>
    <row r="165" spans="2:3" x14ac:dyDescent="0.15">
      <c r="B165" s="185"/>
      <c r="C165" s="185"/>
    </row>
    <row r="166" spans="2:3" x14ac:dyDescent="0.15">
      <c r="B166" s="185"/>
      <c r="C166" s="185"/>
    </row>
    <row r="167" spans="2:3" x14ac:dyDescent="0.15">
      <c r="B167" s="185"/>
      <c r="C167" s="185"/>
    </row>
    <row r="168" spans="2:3" x14ac:dyDescent="0.15">
      <c r="B168" s="185"/>
      <c r="C168" s="185"/>
    </row>
    <row r="169" spans="2:3" x14ac:dyDescent="0.15">
      <c r="B169" s="185"/>
      <c r="C169" s="185"/>
    </row>
    <row r="170" spans="2:3" x14ac:dyDescent="0.15">
      <c r="B170" s="185"/>
      <c r="C170" s="185"/>
    </row>
    <row r="171" spans="2:3" x14ac:dyDescent="0.15">
      <c r="B171" s="185"/>
      <c r="C171" s="185"/>
    </row>
    <row r="172" spans="2:3" x14ac:dyDescent="0.15">
      <c r="B172" s="185"/>
      <c r="C172" s="185"/>
    </row>
    <row r="173" spans="2:3" x14ac:dyDescent="0.15">
      <c r="B173" s="185"/>
      <c r="C173" s="185"/>
    </row>
    <row r="174" spans="2:3" x14ac:dyDescent="0.15">
      <c r="B174" s="185"/>
      <c r="C174" s="185"/>
    </row>
    <row r="175" spans="2:3" x14ac:dyDescent="0.15">
      <c r="B175" s="185"/>
      <c r="C175" s="185"/>
    </row>
    <row r="176" spans="2:3" x14ac:dyDescent="0.15">
      <c r="B176" s="185"/>
      <c r="C176" s="185"/>
    </row>
    <row r="177" spans="2:3" x14ac:dyDescent="0.15">
      <c r="B177" s="185"/>
      <c r="C177" s="185"/>
    </row>
    <row r="178" spans="2:3" x14ac:dyDescent="0.15">
      <c r="B178" s="185"/>
      <c r="C178" s="185"/>
    </row>
    <row r="179" spans="2:3" x14ac:dyDescent="0.15">
      <c r="B179" s="185"/>
      <c r="C179" s="185"/>
    </row>
    <row r="180" spans="2:3" x14ac:dyDescent="0.15">
      <c r="B180" s="185"/>
      <c r="C180" s="185"/>
    </row>
    <row r="181" spans="2:3" x14ac:dyDescent="0.15">
      <c r="B181" s="185"/>
      <c r="C181" s="185"/>
    </row>
    <row r="182" spans="2:3" x14ac:dyDescent="0.15">
      <c r="B182" s="185"/>
      <c r="C182" s="185"/>
    </row>
    <row r="183" spans="2:3" x14ac:dyDescent="0.15">
      <c r="B183" s="185"/>
      <c r="C183" s="185"/>
    </row>
    <row r="184" spans="2:3" x14ac:dyDescent="0.15">
      <c r="B184" s="185"/>
      <c r="C184" s="185"/>
    </row>
    <row r="185" spans="2:3" x14ac:dyDescent="0.15">
      <c r="B185" s="185"/>
      <c r="C185" s="185"/>
    </row>
    <row r="186" spans="2:3" x14ac:dyDescent="0.15">
      <c r="B186" s="185"/>
      <c r="C186" s="185"/>
    </row>
    <row r="187" spans="2:3" x14ac:dyDescent="0.15">
      <c r="B187" s="185"/>
      <c r="C187" s="185"/>
    </row>
    <row r="188" spans="2:3" x14ac:dyDescent="0.15">
      <c r="B188" s="185"/>
      <c r="C188" s="185"/>
    </row>
    <row r="189" spans="2:3" x14ac:dyDescent="0.15">
      <c r="B189" s="185"/>
      <c r="C189" s="185"/>
    </row>
    <row r="190" spans="2:3" x14ac:dyDescent="0.15">
      <c r="B190" s="185"/>
      <c r="C190" s="185"/>
    </row>
    <row r="191" spans="2:3" x14ac:dyDescent="0.15">
      <c r="B191" s="185"/>
      <c r="C191" s="185"/>
    </row>
    <row r="192" spans="2:3" x14ac:dyDescent="0.15">
      <c r="B192" s="185"/>
      <c r="C192" s="185"/>
    </row>
    <row r="193" spans="2:3" x14ac:dyDescent="0.15">
      <c r="B193" s="185"/>
      <c r="C193" s="185"/>
    </row>
    <row r="194" spans="2:3" x14ac:dyDescent="0.15">
      <c r="B194" s="185"/>
      <c r="C194" s="185"/>
    </row>
    <row r="195" spans="2:3" x14ac:dyDescent="0.15">
      <c r="B195" s="185"/>
      <c r="C195" s="185"/>
    </row>
  </sheetData>
  <phoneticPr fontId="4" type="noConversion"/>
  <conditionalFormatting sqref="H16:O16">
    <cfRule type="cellIs" dxfId="48" priority="79" operator="equal">
      <formula>"Yes"</formula>
    </cfRule>
  </conditionalFormatting>
  <conditionalFormatting sqref="I32:AB32 P33:AB36">
    <cfRule type="containsText" dxfId="47" priority="15" operator="containsText" text="Yes">
      <formula>NOT(ISERROR(SEARCH("Yes",I32)))</formula>
    </cfRule>
  </conditionalFormatting>
  <conditionalFormatting sqref="I32:AB32 X33:X36 AA33:AA36">
    <cfRule type="containsText" dxfId="46" priority="11" operator="containsText" text="Yes">
      <formula>NOT(ISERROR(SEARCH("Yes",I32)))</formula>
    </cfRule>
    <cfRule type="containsText" dxfId="45" priority="12" operator="containsText" text="No">
      <formula>NOT(ISERROR(SEARCH("No",I32)))</formula>
    </cfRule>
    <cfRule type="containsText" dxfId="44" priority="13" operator="containsText" text="5.5 SS">
      <formula>NOT(ISERROR(SEARCH("5.5 SS",I32)))</formula>
    </cfRule>
    <cfRule type="cellIs" dxfId="43" priority="14" operator="equal">
      <formula>"Yes"</formula>
    </cfRule>
  </conditionalFormatting>
  <conditionalFormatting sqref="N85:BL85 BP85:BQ85 P87:V87 N87:O88 AC87:BL88 BP87:BQ88 R88:T88">
    <cfRule type="cellIs" dxfId="42" priority="82" operator="greaterThan">
      <formula>0</formula>
    </cfRule>
  </conditionalFormatting>
  <conditionalFormatting sqref="P15:Q15">
    <cfRule type="cellIs" dxfId="41" priority="5" operator="greaterThan">
      <formula>0</formula>
    </cfRule>
  </conditionalFormatting>
  <conditionalFormatting sqref="P16:Q17">
    <cfRule type="containsText" dxfId="40" priority="1" operator="containsText" text="No">
      <formula>NOT(ISERROR(SEARCH("No",P16)))</formula>
    </cfRule>
  </conditionalFormatting>
  <conditionalFormatting sqref="P20:Q30">
    <cfRule type="containsText" dxfId="39" priority="3" operator="containsText" text="No">
      <formula>NOT(ISERROR(SEARCH("No",P20)))</formula>
    </cfRule>
  </conditionalFormatting>
  <conditionalFormatting sqref="P28:Q28">
    <cfRule type="containsText" dxfId="38" priority="2" operator="containsText" text="Yes">
      <formula>NOT(ISERROR(SEARCH("Yes",P28)))</formula>
    </cfRule>
  </conditionalFormatting>
  <conditionalFormatting sqref="P31:Y31 P33:W36 Y33:Z36 AB33:AB36 Z27:AB31">
    <cfRule type="containsText" dxfId="37" priority="40" operator="containsText" text="Yes">
      <formula>NOT(ISERROR(SEARCH("Yes",P27)))</formula>
    </cfRule>
  </conditionalFormatting>
  <conditionalFormatting sqref="P31:Y31 P33:W36 Y33:Z36 AB33:AB36">
    <cfRule type="containsText" dxfId="36" priority="37" operator="containsText" text="No">
      <formula>NOT(ISERROR(SEARCH("No",P31)))</formula>
    </cfRule>
    <cfRule type="containsText" dxfId="35" priority="38" operator="containsText" text="5.5 SS">
      <formula>NOT(ISERROR(SEARCH("5.5 SS",P31)))</formula>
    </cfRule>
    <cfRule type="cellIs" dxfId="34" priority="39" operator="equal">
      <formula>"Yes"</formula>
    </cfRule>
  </conditionalFormatting>
  <conditionalFormatting sqref="P31:Y31">
    <cfRule type="containsText" dxfId="33" priority="36" operator="containsText" text="Yes">
      <formula>NOT(ISERROR(SEARCH("Yes",P31)))</formula>
    </cfRule>
  </conditionalFormatting>
  <conditionalFormatting sqref="R25:W26">
    <cfRule type="containsText" dxfId="32" priority="32" operator="containsText" text="Yes">
      <formula>NOT(ISERROR(SEARCH("Yes",R25)))</formula>
    </cfRule>
    <cfRule type="containsText" dxfId="31" priority="33" operator="containsText" text="No">
      <formula>NOT(ISERROR(SEARCH("No",R25)))</formula>
    </cfRule>
  </conditionalFormatting>
  <conditionalFormatting sqref="R16:AB17 AA24 X24:X30 Y25:AB26">
    <cfRule type="containsText" dxfId="30" priority="71" operator="containsText" text="No">
      <formula>NOT(ISERROR(SEARCH("No",R16)))</formula>
    </cfRule>
  </conditionalFormatting>
  <conditionalFormatting sqref="R20:AB23 H16:O16">
    <cfRule type="containsText" dxfId="29" priority="67" operator="containsText" text="No">
      <formula>NOT(ISERROR(SEARCH("No",H16)))</formula>
    </cfRule>
  </conditionalFormatting>
  <conditionalFormatting sqref="S28:T28">
    <cfRule type="containsText" dxfId="28" priority="22" operator="containsText" text="Yes">
      <formula>NOT(ISERROR(SEARCH("Yes",S28)))</formula>
    </cfRule>
    <cfRule type="containsText" dxfId="27" priority="23" operator="containsText" text="No">
      <formula>NOT(ISERROR(SEARCH("No",S28)))</formula>
    </cfRule>
    <cfRule type="containsText" dxfId="26" priority="24" operator="containsText" text="5.5 SS">
      <formula>NOT(ISERROR(SEARCH("5.5 SS",S28)))</formula>
    </cfRule>
    <cfRule type="cellIs" dxfId="25" priority="25" operator="equal">
      <formula>"Yes"</formula>
    </cfRule>
  </conditionalFormatting>
  <conditionalFormatting sqref="T24 T27 T29:T30">
    <cfRule type="containsText" dxfId="24" priority="60" operator="containsText" text="5.5 SS">
      <formula>NOT(ISERROR(SEARCH("5.5 SS",T24)))</formula>
    </cfRule>
    <cfRule type="cellIs" dxfId="23" priority="61" operator="equal">
      <formula>"Yes"</formula>
    </cfRule>
    <cfRule type="containsText" dxfId="22" priority="57" operator="containsText" text="No">
      <formula>NOT(ISERROR(SEARCH("No",T24)))</formula>
    </cfRule>
    <cfRule type="containsText" dxfId="21" priority="58" operator="containsText" text="Yes">
      <formula>NOT(ISERROR(SEARCH("Yes",T24)))</formula>
    </cfRule>
    <cfRule type="containsText" dxfId="20" priority="59" operator="containsText" text="No">
      <formula>NOT(ISERROR(SEARCH("No",T24)))</formula>
    </cfRule>
  </conditionalFormatting>
  <conditionalFormatting sqref="T24">
    <cfRule type="containsText" dxfId="19" priority="56" operator="containsText" text="Yes">
      <formula>NOT(ISERROR(SEARCH("Yes",T24)))</formula>
    </cfRule>
  </conditionalFormatting>
  <conditionalFormatting sqref="T27:T30 S28">
    <cfRule type="containsText" dxfId="18" priority="26" operator="containsText" text="Yes">
      <formula>NOT(ISERROR(SEARCH("Yes",S27)))</formula>
    </cfRule>
  </conditionalFormatting>
  <conditionalFormatting sqref="U15:AB15">
    <cfRule type="cellIs" dxfId="17" priority="81" operator="greaterThan">
      <formula>0</formula>
    </cfRule>
  </conditionalFormatting>
  <conditionalFormatting sqref="W17:AB17">
    <cfRule type="containsText" dxfId="16" priority="16" operator="containsText" text="No">
      <formula>NOT(ISERROR(SEARCH("No",W17)))</formula>
    </cfRule>
  </conditionalFormatting>
  <conditionalFormatting sqref="X24:Y27 Y25:AB26 X29:Y30 AA24:AB24 P16:AB17 P20:Q27 P29:Q30 R20:AB23">
    <cfRule type="containsText" dxfId="15" priority="64" operator="containsText" text="Yes">
      <formula>NOT(ISERROR(SEARCH("Yes",P16)))</formula>
    </cfRule>
  </conditionalFormatting>
  <conditionalFormatting sqref="X28:Y28">
    <cfRule type="containsText" dxfId="14" priority="41" operator="containsText" text="Yes">
      <formula>NOT(ISERROR(SEARCH("Yes",X28)))</formula>
    </cfRule>
  </conditionalFormatting>
  <conditionalFormatting sqref="Y24:Y27 Y29:Y30">
    <cfRule type="containsText" dxfId="13" priority="52" operator="containsText" text="No">
      <formula>NOT(ISERROR(SEARCH("No",Y24)))</formula>
    </cfRule>
    <cfRule type="containsText" dxfId="12" priority="54" operator="containsText" text="5.5 SS">
      <formula>NOT(ISERROR(SEARCH("5.5 SS",Y24)))</formula>
    </cfRule>
    <cfRule type="cellIs" dxfId="11" priority="55" operator="equal">
      <formula>"Yes"</formula>
    </cfRule>
  </conditionalFormatting>
  <conditionalFormatting sqref="Y24:Y30 Z27:AB31">
    <cfRule type="containsText" dxfId="10" priority="45" operator="containsText" text="Yes">
      <formula>NOT(ISERROR(SEARCH("Yes",Y24)))</formula>
    </cfRule>
  </conditionalFormatting>
  <conditionalFormatting sqref="Y28 Z27:AB31">
    <cfRule type="containsText" dxfId="9" priority="42" operator="containsText" text="No">
      <formula>NOT(ISERROR(SEARCH("No",Y27)))</formula>
    </cfRule>
    <cfRule type="containsText" dxfId="8" priority="43" operator="containsText" text="5.5 SS">
      <formula>NOT(ISERROR(SEARCH("5.5 SS",Y27)))</formula>
    </cfRule>
  </conditionalFormatting>
  <conditionalFormatting sqref="Z27:AB31 Y28">
    <cfRule type="cellIs" dxfId="7" priority="44" operator="equal">
      <formula>"Yes"</formula>
    </cfRule>
  </conditionalFormatting>
  <conditionalFormatting sqref="AB24">
    <cfRule type="cellIs" dxfId="6" priority="50" operator="equal">
      <formula>"Yes"</formula>
    </cfRule>
    <cfRule type="containsText" dxfId="5" priority="49" operator="containsText" text="5.5 SS">
      <formula>NOT(ISERROR(SEARCH("5.5 SS",AB24)))</formula>
    </cfRule>
    <cfRule type="containsText" dxfId="4" priority="47" operator="containsText" text="No">
      <formula>NOT(ISERROR(SEARCH("No",AB24)))</formula>
    </cfRule>
    <cfRule type="containsText" dxfId="3" priority="46" operator="containsText" text="Yes">
      <formula>NOT(ISERROR(SEARCH("Yes",AB24)))</formula>
    </cfRule>
  </conditionalFormatting>
  <dataValidations count="2">
    <dataValidation type="list" allowBlank="1" showInputMessage="1" showErrorMessage="1" sqref="I18:AB18" xr:uid="{48F0A5BB-58FB-7349-8AA3-625FFEFA835F}">
      <formula1>FOOT_BRAND</formula1>
    </dataValidation>
    <dataValidation type="list" allowBlank="1" showInputMessage="1" showErrorMessage="1" sqref="P19:AB19" xr:uid="{195C0D12-61C1-1744-818B-7AC942F45F39}">
      <formula1>SITE_GLASS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3">
        <x14:dataValidation type="list" allowBlank="1" showInputMessage="1" showErrorMessage="1" xr:uid="{B0E99066-2D45-7A4C-ACE9-92C1AB37C8AF}">
          <x14:formula1>
            <xm:f>Rules!$K$6:$K$7</xm:f>
          </x14:formula1>
          <xm:sqref>B10:B11</xm:sqref>
        </x14:dataValidation>
        <x14:dataValidation type="list" allowBlank="1" showInputMessage="1" showErrorMessage="1" xr:uid="{27FAF0BC-F201-C04C-89C1-A08C8566A341}">
          <x14:formula1>
            <xm:f>Rules!$A$6:$A$201</xm:f>
          </x14:formula1>
          <xm:sqref>B4</xm:sqref>
        </x14:dataValidation>
        <x14:dataValidation type="list" allowBlank="1" showInputMessage="1" showErrorMessage="1" xr:uid="{DE32DC25-D75D-2F43-BF35-26ADFBE2BB9E}">
          <x14:formula1>
            <xm:f>Rules!$M$6:$M$7</xm:f>
          </x14:formula1>
          <xm:sqref>B8</xm:sqref>
        </x14:dataValidation>
        <x14:dataValidation type="list" allowBlank="1" showInputMessage="1" showErrorMessage="1" xr:uid="{F503F4C2-6B43-9640-86C0-F8EAD1C56CB8}">
          <x14:formula1>
            <xm:f>Rules!$H$6:$H$7</xm:f>
          </x14:formula1>
          <xm:sqref>S28 B5:B6 R25:W26 T24 H16 R20:V22 W20:AB23 I32:O32 T27:T31 R31:S31 U31:W31 X24:Y31 AA24:AB31 Z25:Z31 P20:Q31 N16:AB16 P32:AB36</xm:sqref>
        </x14:dataValidation>
        <x14:dataValidation type="list" allowBlank="1" showInputMessage="1" showErrorMessage="1" xr:uid="{1C73C38B-C85C-D448-95E9-A23F09F024E1}">
          <x14:formula1>
            <xm:f>Rules!$F$6:$F$7</xm:f>
          </x14:formula1>
          <xm:sqref>B7</xm:sqref>
        </x14:dataValidation>
        <x14:dataValidation type="list" allowBlank="1" showInputMessage="1" showErrorMessage="1" xr:uid="{7DC67AE3-971B-4440-92DC-40BE4F587530}">
          <x14:formula1>
            <xm:f>Rules!$I$6:$I$10</xm:f>
          </x14:formula1>
          <xm:sqref>B9</xm:sqref>
        </x14:dataValidation>
        <x14:dataValidation type="list" allowBlank="1" showInputMessage="1" showErrorMessage="1" xr:uid="{5B527F8A-73C5-D341-95C2-2794008A8221}">
          <x14:formula1>
            <xm:f>Rules!$H$15:$H$19</xm:f>
          </x14:formula1>
          <xm:sqref>W15:AB15 P15:Q15</xm:sqref>
        </x14:dataValidation>
        <x14:dataValidation type="list" allowBlank="1" showInputMessage="1" showErrorMessage="1" xr:uid="{514C0AD4-1B47-4F4A-B417-4837CA31D5B1}">
          <x14:formula1>
            <xm:f>Rules!$O$6:$O$10</xm:f>
          </x14:formula1>
          <xm:sqref>R14:S14 U14:W14 Z14 E14:O14</xm:sqref>
        </x14:dataValidation>
        <x14:dataValidation type="list" allowBlank="1" showInputMessage="1" showErrorMessage="1" xr:uid="{AAE1429E-0563-4549-8E3B-D663C956138B}">
          <x14:formula1>
            <xm:f>Rules!$O$12:$O$16</xm:f>
          </x14:formula1>
          <xm:sqref>Y14 AB14</xm:sqref>
        </x14:dataValidation>
        <x14:dataValidation type="list" allowBlank="1" showInputMessage="1" showErrorMessage="1" xr:uid="{17200DA9-4131-4149-B2D1-03A66980266A}">
          <x14:formula1>
            <xm:f>Rules!$O$6:$O$13</xm:f>
          </x14:formula1>
          <xm:sqref>X14 T14 AA14 P14:Q14</xm:sqref>
        </x14:dataValidation>
        <x14:dataValidation type="list" allowBlank="1" showInputMessage="1" showErrorMessage="1" xr:uid="{FBC69DC0-226E-B947-B405-C1701604F634}">
          <x14:formula1>
            <xm:f>Rules!$I$23:$I$27</xm:f>
          </x14:formula1>
          <xm:sqref>A54:A59 A109:A121 A74:A106 A66:A71</xm:sqref>
        </x14:dataValidation>
        <x14:dataValidation type="list" allowBlank="1" showInputMessage="1" showErrorMessage="1" xr:uid="{C0C712BE-BAF2-3341-9005-06B07ED27D80}">
          <x14:formula1>
            <xm:f>Rules!$P$6:$P$57</xm:f>
          </x14:formula1>
          <xm:sqref>B3</xm:sqref>
        </x14:dataValidation>
        <x14:dataValidation type="list" allowBlank="1" showInputMessage="1" showErrorMessage="1" xr:uid="{B6F7A998-E97B-8647-9A9F-C10FEFB3FED1}">
          <x14:formula1>
            <xm:f>Rules!$J$35:$J$46</xm:f>
          </x14:formula1>
          <xm:sqref>W17:AB17 P17:Q17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1A57-D6DD-1542-A1AF-035BC3AE1EB8}">
  <sheetPr>
    <tabColor rgb="FFFF0000"/>
  </sheetPr>
  <dimension ref="A1:BM287"/>
  <sheetViews>
    <sheetView zoomScaleNormal="100" workbookViewId="0">
      <pane xSplit="2" ySplit="3" topLeftCell="J159" activePane="bottomRight" state="frozen"/>
      <selection pane="topRight" activeCell="C1" sqref="C1"/>
      <selection pane="bottomLeft" activeCell="A4" sqref="A4"/>
      <selection pane="bottomRight" activeCell="L221" sqref="L221"/>
    </sheetView>
  </sheetViews>
  <sheetFormatPr baseColWidth="10" defaultColWidth="8.83203125" defaultRowHeight="15" outlineLevelRow="1" x14ac:dyDescent="0.2"/>
  <cols>
    <col min="1" max="1" width="26.6640625" style="175" bestFit="1" customWidth="1"/>
    <col min="2" max="2" width="56.6640625" style="99" customWidth="1"/>
    <col min="3" max="3" width="5.33203125" style="103" bestFit="1" customWidth="1"/>
    <col min="5" max="6" width="13.6640625" style="101" bestFit="1" customWidth="1"/>
    <col min="7" max="7" width="4.83203125" style="101" bestFit="1" customWidth="1"/>
    <col min="8" max="8" width="13.6640625" style="101" bestFit="1" customWidth="1"/>
    <col min="9" max="9" width="4.83203125" style="101" bestFit="1" customWidth="1"/>
    <col min="10" max="10" width="13.6640625" style="101" bestFit="1" customWidth="1"/>
    <col min="11" max="11" width="4.83203125" style="103" bestFit="1" customWidth="1"/>
    <col min="12" max="12" width="13.6640625" style="101" bestFit="1" customWidth="1"/>
    <col min="13" max="13" width="5" style="101" customWidth="1"/>
    <col min="14" max="14" width="13.6640625" style="101" customWidth="1"/>
    <col min="15" max="15" width="4.33203125" style="101" customWidth="1"/>
    <col min="16" max="16" width="13.6640625" style="101" customWidth="1"/>
    <col min="17" max="17" width="5.33203125" style="101" customWidth="1"/>
    <col min="18" max="18" width="13.6640625" style="101" customWidth="1"/>
    <col min="19" max="19" width="5" style="101" customWidth="1"/>
    <col min="20" max="20" width="13.6640625" style="240" customWidth="1"/>
    <col min="21" max="21" width="5" style="101" bestFit="1" customWidth="1"/>
    <col min="22" max="22" width="13.6640625" style="101" bestFit="1" customWidth="1"/>
    <col min="23" max="23" width="5.5" style="101" customWidth="1"/>
    <col min="24" max="24" width="13.5" style="101" customWidth="1"/>
    <col min="25" max="25" width="5.1640625" style="101" customWidth="1"/>
    <col min="26" max="26" width="18.33203125" style="101" bestFit="1" customWidth="1"/>
    <col min="27" max="27" width="4.83203125" style="101" customWidth="1"/>
    <col min="28" max="28" width="13.5" style="101" customWidth="1"/>
    <col min="29" max="29" width="5" style="101" customWidth="1"/>
    <col min="30" max="32" width="13.5" style="101" customWidth="1"/>
    <col min="33" max="33" width="5" style="101" customWidth="1"/>
    <col min="34" max="35" width="13.5" style="101" customWidth="1"/>
    <col min="36" max="36" width="5.1640625" style="101" customWidth="1"/>
    <col min="37" max="37" width="13.6640625" style="101" customWidth="1"/>
    <col min="38" max="38" width="13.6640625" style="101" bestFit="1" customWidth="1"/>
    <col min="39" max="39" width="13.6640625" style="101" customWidth="1"/>
    <col min="40" max="40" width="5.1640625" style="101" customWidth="1"/>
    <col min="41" max="42" width="13.6640625" style="101" bestFit="1" customWidth="1"/>
    <col min="43" max="43" width="13.6640625" style="101" customWidth="1"/>
    <col min="44" max="44" width="5" style="101" bestFit="1" customWidth="1"/>
    <col min="45" max="46" width="23.6640625" style="101" bestFit="1" customWidth="1"/>
    <col min="47" max="47" width="25.1640625" style="101" bestFit="1" customWidth="1"/>
    <col min="48" max="49" width="23.6640625" style="101" bestFit="1" customWidth="1"/>
    <col min="50" max="51" width="23.5" style="101" bestFit="1" customWidth="1"/>
    <col min="52" max="52" width="25" style="101" bestFit="1" customWidth="1"/>
    <col min="53" max="53" width="23.5" style="101" bestFit="1" customWidth="1"/>
    <col min="54" max="54" width="27.1640625" style="101" bestFit="1" customWidth="1"/>
    <col min="55" max="55" width="26.33203125" style="101" bestFit="1" customWidth="1"/>
    <col min="56" max="56" width="23.33203125" style="101" customWidth="1"/>
    <col min="57" max="57" width="8" style="101" bestFit="1" customWidth="1"/>
    <col min="58" max="58" width="8.83203125" style="101" bestFit="1" customWidth="1"/>
    <col min="59" max="59" width="14.5" style="101" bestFit="1" customWidth="1"/>
    <col min="60" max="60" width="9.33203125" style="101" bestFit="1" customWidth="1"/>
    <col min="61" max="61" width="12.5" style="101" bestFit="1" customWidth="1"/>
    <col min="62" max="62" width="9.1640625" style="101" bestFit="1" customWidth="1"/>
    <col min="63" max="63" width="12.5" style="111" bestFit="1" customWidth="1"/>
    <col min="64" max="64" width="12.1640625" style="101" bestFit="1" customWidth="1"/>
    <col min="65" max="65" width="13.1640625" style="101" bestFit="1" customWidth="1"/>
    <col min="66" max="16384" width="8.83203125" style="101"/>
  </cols>
  <sheetData>
    <row r="1" spans="1:64" ht="43" x14ac:dyDescent="0.2">
      <c r="E1" s="176" t="s">
        <v>0</v>
      </c>
      <c r="F1" s="176" t="s">
        <v>67</v>
      </c>
      <c r="G1" s="176"/>
      <c r="H1" s="101" t="s">
        <v>1</v>
      </c>
      <c r="J1" s="101" t="s">
        <v>2</v>
      </c>
      <c r="L1" s="318" t="s">
        <v>1437</v>
      </c>
      <c r="N1" s="101" t="s">
        <v>1436</v>
      </c>
      <c r="P1" s="101" t="s">
        <v>1474</v>
      </c>
      <c r="R1" s="101" t="s">
        <v>1428</v>
      </c>
      <c r="T1" s="299" t="s">
        <v>1442</v>
      </c>
      <c r="V1" s="101" t="s">
        <v>471</v>
      </c>
      <c r="X1" s="101" t="s">
        <v>634</v>
      </c>
      <c r="Z1" s="101" t="s">
        <v>656</v>
      </c>
      <c r="AB1" s="176" t="s">
        <v>40</v>
      </c>
      <c r="AC1" s="176"/>
      <c r="AD1" s="101" t="s">
        <v>1279</v>
      </c>
      <c r="AE1" s="101" t="s">
        <v>1280</v>
      </c>
      <c r="AF1" s="101" t="s">
        <v>1281</v>
      </c>
      <c r="AH1" s="101" t="s">
        <v>121</v>
      </c>
      <c r="AI1" s="101" t="s">
        <v>122</v>
      </c>
      <c r="AK1" s="101" t="s">
        <v>75</v>
      </c>
      <c r="AL1" s="101" t="s">
        <v>41</v>
      </c>
      <c r="AM1" s="101" t="s">
        <v>263</v>
      </c>
      <c r="AO1" s="101" t="s">
        <v>66</v>
      </c>
      <c r="AP1" s="101" t="s">
        <v>62</v>
      </c>
      <c r="AQ1" s="101" t="s">
        <v>104</v>
      </c>
      <c r="AS1" s="95" t="s">
        <v>205</v>
      </c>
      <c r="AT1" s="95" t="s">
        <v>68</v>
      </c>
      <c r="AU1" s="95" t="s">
        <v>206</v>
      </c>
      <c r="AV1" s="95" t="s">
        <v>69</v>
      </c>
      <c r="AW1" s="95" t="s">
        <v>162</v>
      </c>
      <c r="AX1" s="95" t="s">
        <v>201</v>
      </c>
      <c r="AY1" s="176" t="s">
        <v>202</v>
      </c>
      <c r="AZ1" s="176" t="s">
        <v>203</v>
      </c>
      <c r="BA1" s="176" t="s">
        <v>204</v>
      </c>
      <c r="BB1" s="176" t="s">
        <v>824</v>
      </c>
      <c r="BC1" s="176" t="s">
        <v>825</v>
      </c>
      <c r="BD1" s="176" t="s">
        <v>826</v>
      </c>
      <c r="BE1" s="101" t="s">
        <v>10</v>
      </c>
      <c r="BG1" s="101" t="s">
        <v>27</v>
      </c>
      <c r="BH1" s="101" t="s">
        <v>117</v>
      </c>
      <c r="BI1" s="177" t="s">
        <v>181</v>
      </c>
      <c r="BJ1" s="177" t="s">
        <v>185</v>
      </c>
      <c r="BK1" s="111" t="s">
        <v>177</v>
      </c>
      <c r="BL1" s="177" t="s">
        <v>1433</v>
      </c>
    </row>
    <row r="2" spans="1:64" x14ac:dyDescent="0.2">
      <c r="E2" s="176"/>
      <c r="F2" s="176"/>
      <c r="G2" s="176"/>
      <c r="L2" s="176"/>
      <c r="AB2" s="176"/>
      <c r="AC2" s="176"/>
      <c r="BC2" s="178" t="s">
        <v>1246</v>
      </c>
    </row>
    <row r="3" spans="1:64" x14ac:dyDescent="0.2">
      <c r="B3" s="179"/>
      <c r="E3" s="180" t="s">
        <v>37</v>
      </c>
      <c r="F3" s="180" t="s">
        <v>37</v>
      </c>
      <c r="G3" s="176"/>
      <c r="H3" s="180" t="s">
        <v>37</v>
      </c>
      <c r="I3" s="176"/>
      <c r="J3" s="180" t="s">
        <v>37</v>
      </c>
      <c r="L3" s="176" t="s">
        <v>159</v>
      </c>
      <c r="M3" s="293"/>
      <c r="N3" s="176" t="s">
        <v>159</v>
      </c>
      <c r="O3" s="176"/>
      <c r="P3" s="176"/>
      <c r="Q3" s="293"/>
      <c r="R3" s="176" t="s">
        <v>159</v>
      </c>
      <c r="S3" s="176"/>
      <c r="T3" s="300" t="s">
        <v>159</v>
      </c>
      <c r="U3" s="176"/>
      <c r="V3" s="181" t="s">
        <v>159</v>
      </c>
      <c r="W3" s="181"/>
      <c r="X3" s="181" t="s">
        <v>159</v>
      </c>
      <c r="Y3" s="181"/>
      <c r="Z3" s="176" t="s">
        <v>159</v>
      </c>
      <c r="AA3" s="176"/>
      <c r="AB3" s="180" t="s">
        <v>37</v>
      </c>
      <c r="AC3" s="176"/>
      <c r="AD3" s="176" t="s">
        <v>159</v>
      </c>
      <c r="AE3" s="176" t="s">
        <v>159</v>
      </c>
      <c r="AF3" s="176" t="s">
        <v>159</v>
      </c>
      <c r="AG3" s="176"/>
      <c r="AH3" s="176" t="s">
        <v>159</v>
      </c>
      <c r="AI3" s="176" t="s">
        <v>159</v>
      </c>
      <c r="AJ3" s="176"/>
      <c r="AK3" s="176" t="s">
        <v>159</v>
      </c>
      <c r="AL3" s="176" t="s">
        <v>159</v>
      </c>
      <c r="AM3" s="176" t="s">
        <v>159</v>
      </c>
      <c r="AN3" s="176"/>
      <c r="AO3" s="176" t="s">
        <v>159</v>
      </c>
      <c r="AP3" s="176" t="s">
        <v>159</v>
      </c>
      <c r="AQ3" s="176" t="s">
        <v>159</v>
      </c>
      <c r="AR3" s="176"/>
      <c r="AS3" s="180" t="s">
        <v>159</v>
      </c>
      <c r="AT3" s="180" t="s">
        <v>159</v>
      </c>
      <c r="AU3" s="180" t="s">
        <v>159</v>
      </c>
      <c r="AV3" s="180" t="s">
        <v>159</v>
      </c>
      <c r="AW3" s="180" t="s">
        <v>159</v>
      </c>
      <c r="AX3" s="180" t="s">
        <v>37</v>
      </c>
      <c r="AY3" s="180" t="s">
        <v>37</v>
      </c>
      <c r="AZ3" s="180" t="s">
        <v>37</v>
      </c>
      <c r="BA3" s="180" t="s">
        <v>37</v>
      </c>
      <c r="BB3" s="180"/>
      <c r="BC3" s="180"/>
      <c r="BD3" s="180"/>
      <c r="BE3" s="180" t="s">
        <v>37</v>
      </c>
      <c r="BF3" s="176"/>
      <c r="BG3" s="180" t="s">
        <v>37</v>
      </c>
      <c r="BH3" s="180" t="s">
        <v>37</v>
      </c>
      <c r="BI3" s="176"/>
      <c r="BJ3" s="176"/>
      <c r="BK3" s="182"/>
    </row>
    <row r="4" spans="1:64" s="99" customFormat="1" ht="13" outlineLevel="1" x14ac:dyDescent="0.2">
      <c r="A4" s="183" t="s">
        <v>4</v>
      </c>
      <c r="T4" s="301"/>
    </row>
    <row r="5" spans="1:64" s="99" customFormat="1" ht="13" outlineLevel="1" x14ac:dyDescent="0.2">
      <c r="A5" s="183"/>
      <c r="B5" s="99" t="s">
        <v>5</v>
      </c>
      <c r="E5" s="99" t="s">
        <v>7</v>
      </c>
      <c r="F5" s="99" t="s">
        <v>7</v>
      </c>
      <c r="T5" s="301"/>
      <c r="Z5" s="99" t="s">
        <v>7</v>
      </c>
      <c r="AB5" s="99" t="s">
        <v>7</v>
      </c>
      <c r="AD5" s="99" t="s">
        <v>7</v>
      </c>
      <c r="AE5" s="99" t="s">
        <v>7</v>
      </c>
      <c r="AF5" s="184" t="s">
        <v>105</v>
      </c>
      <c r="AK5" s="99" t="s">
        <v>7</v>
      </c>
      <c r="AL5" s="99" t="s">
        <v>7</v>
      </c>
      <c r="AM5" s="184" t="s">
        <v>105</v>
      </c>
      <c r="AO5" s="99" t="s">
        <v>7</v>
      </c>
      <c r="AP5" s="99" t="s">
        <v>7</v>
      </c>
      <c r="AQ5" s="184" t="s">
        <v>105</v>
      </c>
      <c r="BK5" s="179"/>
    </row>
    <row r="6" spans="1:64" outlineLevel="1" x14ac:dyDescent="0.2">
      <c r="B6" s="99" t="s">
        <v>9</v>
      </c>
      <c r="E6" s="103">
        <f>VLOOKUP($B6,'Cost prices'!$B$6:$H$538,7, FALSE)</f>
        <v>5081</v>
      </c>
      <c r="F6" s="103">
        <f>VLOOKUP($B6,'Cost prices'!$B$6:$H$538,7, FALSE)</f>
        <v>5081</v>
      </c>
      <c r="H6" s="103">
        <f>VLOOKUP($B6,'Cost prices'!$B$6:$H$538,7, FALSE)</f>
        <v>5081</v>
      </c>
      <c r="J6" s="103">
        <f>VLOOKUP($B6,'Cost prices'!$B$6:$H$538,7, FALSE)</f>
        <v>5081</v>
      </c>
      <c r="L6" s="103">
        <f>VLOOKUP($B6,'Cost prices'!$B$6:$H$538,7, FALSE)</f>
        <v>5081</v>
      </c>
      <c r="M6" s="103"/>
      <c r="N6" s="103">
        <f>VLOOKUP($B6,'Cost prices'!$B$6:$H$538,7, FALSE)</f>
        <v>5081</v>
      </c>
      <c r="O6" s="103"/>
      <c r="P6" s="103">
        <f>VLOOKUP($B6,'Cost prices'!$B$6:$H$538,7, FALSE)</f>
        <v>5081</v>
      </c>
      <c r="Q6" s="103"/>
      <c r="R6" s="103">
        <f>VLOOKUP($B6,'Cost prices'!$B$6:$H$538,7, FALSE)</f>
        <v>5081</v>
      </c>
      <c r="S6" s="103"/>
      <c r="T6" s="263">
        <f>VLOOKUP($B6,'Cost prices'!$B$6:$H$538,7, FALSE)</f>
        <v>5081</v>
      </c>
      <c r="U6" s="103"/>
      <c r="V6" s="103">
        <f>VLOOKUP($B6,'Cost prices'!$B$6:$H$538,7, FALSE)</f>
        <v>5081</v>
      </c>
      <c r="W6" s="103"/>
      <c r="X6" s="103">
        <f>VLOOKUP($B6,'Cost prices'!$B$6:$H$538,7, FALSE)</f>
        <v>5081</v>
      </c>
      <c r="Y6" s="103"/>
      <c r="Z6" s="103">
        <f>IF('External Prices'!P$24="No",VLOOKUP($B6,'Cost prices'!$B$6:$H$538,7,FALSE),VLOOKUP($B6,'Cost prices'!$B$6:$H$538,7,FALSE)*2)</f>
        <v>5081</v>
      </c>
      <c r="AA6" s="175"/>
      <c r="AB6" s="103">
        <f>VLOOKUP($B6,'Cost prices'!$B$6:$H$538,7, FALSE)</f>
        <v>5081</v>
      </c>
      <c r="AD6" s="103">
        <f>VLOOKUP($B6,'Cost prices'!$B$6:$H$538,7, FALSE)</f>
        <v>5081</v>
      </c>
      <c r="AE6" s="103">
        <f>VLOOKUP($B6,'Cost prices'!$B$6:$H$538,7, FALSE)*
IF('External Prices'!S$28&lt;&gt;"No",2,1)</f>
        <v>5081</v>
      </c>
      <c r="AF6" s="103">
        <f>IF('External Prices'!T$24="No",VLOOKUP($B6,'Cost prices'!$B$6:$H$538,7,FALSE),VLOOKUP($B6,'Cost prices'!$B$6:$H$538,7,FALSE)*2)*
IF('External Prices'!T$28&lt;&gt;"No",2,1)</f>
        <v>5081</v>
      </c>
      <c r="AG6" s="175"/>
      <c r="AH6" s="103">
        <f>VLOOKUP($B6,'Cost prices'!$B$6:$H$538,7, FALSE)</f>
        <v>5081</v>
      </c>
      <c r="AI6" s="103">
        <f>VLOOKUP($B6,'Cost prices'!$B$6:$H$538,7, FALSE)</f>
        <v>5081</v>
      </c>
      <c r="AJ6" s="175"/>
      <c r="AK6" s="103">
        <f>VLOOKUP($B6,'Cost prices'!$B$6:$H$538,7, FALSE)</f>
        <v>5081</v>
      </c>
      <c r="AL6" s="103">
        <f>IF('External Prices'!X$24="No",VLOOKUP($B6,'Cost prices'!$B$6:$H$538,7,FALSE),VLOOKUP($B6,'Cost prices'!$B$6:$H$538,7,FALSE)*2)</f>
        <v>5081</v>
      </c>
      <c r="AM6" s="103">
        <f>IF('External Prices'!Y$24="No",VLOOKUP($B6,'Cost prices'!$B$6:$H$538,7,FALSE),VLOOKUP($B6,'Cost prices'!$B$6:$H$538,7,FALSE)*2)*
IF('External Prices'!Y$28&lt;&gt;"No",2,1)</f>
        <v>10162</v>
      </c>
      <c r="AN6" s="175"/>
      <c r="AO6" s="103">
        <f>VLOOKUP($B6,'Cost prices'!$B$6:$H$538,7, FALSE)*
IF('External Prices'!Z$28&lt;&gt;"No",2,1)</f>
        <v>5081</v>
      </c>
      <c r="AP6" s="103">
        <f>IF('External Prices'!AA$24="No",VLOOKUP($B6,'Cost prices'!$B$6:$H$538,7,FALSE),VLOOKUP($B6,'Cost prices'!$B$6:$H$538,7,FALSE)*2)*
IF('External Prices'!AA$28&lt;&gt;"No",2,1)</f>
        <v>5081</v>
      </c>
      <c r="AQ6" s="103">
        <f>IF('External Prices'!AB$24="No",VLOOKUP($B6,'Cost prices'!$B$6:$H$538,7,FALSE),VLOOKUP($B6,'Cost prices'!$B$6:$H$538,7,FALSE)*2)*
IF('External Prices'!AB$28&lt;&gt;"No",2,1)</f>
        <v>10162</v>
      </c>
      <c r="AR6" s="175"/>
      <c r="AS6" s="175"/>
      <c r="AT6" s="175"/>
      <c r="AU6" s="175"/>
      <c r="AV6" s="175"/>
      <c r="AW6" s="175"/>
      <c r="AX6" s="175"/>
      <c r="AY6" s="175"/>
      <c r="AZ6" s="175"/>
      <c r="BA6" s="175"/>
      <c r="BB6" s="175"/>
      <c r="BC6" s="175"/>
      <c r="BD6" s="175"/>
      <c r="BE6" s="175"/>
      <c r="BF6" s="175"/>
      <c r="BG6" s="175"/>
    </row>
    <row r="7" spans="1:64" outlineLevel="1" x14ac:dyDescent="0.2">
      <c r="B7" s="99" t="s">
        <v>123</v>
      </c>
      <c r="E7" s="103">
        <f>VLOOKUP($B7,'Cost prices'!$B$6:$H$538,7, FALSE)</f>
        <v>4720</v>
      </c>
      <c r="F7" s="103">
        <f>VLOOKUP($B7,'Cost prices'!$B$6:$H$538,7, FALSE)</f>
        <v>4720</v>
      </c>
      <c r="H7" s="103">
        <f>VLOOKUP($B7,'Cost prices'!$B$6:$H$538,7, FALSE)</f>
        <v>4720</v>
      </c>
      <c r="J7" s="103">
        <f>VLOOKUP($B7,'Cost prices'!$B$6:$H$538,7, FALSE)</f>
        <v>4720</v>
      </c>
      <c r="L7" s="103">
        <f>VLOOKUP($B7,'Cost prices'!$B$6:$H$538,7, FALSE)</f>
        <v>4720</v>
      </c>
      <c r="M7" s="103"/>
      <c r="N7" s="103">
        <f>VLOOKUP($B7,'Cost prices'!$B$6:$H$538,7, FALSE)</f>
        <v>4720</v>
      </c>
      <c r="O7" s="103"/>
      <c r="P7" s="103">
        <f>VLOOKUP($B7,'Cost prices'!$B$6:$H$538,7, FALSE)</f>
        <v>4720</v>
      </c>
      <c r="Q7" s="103"/>
      <c r="R7" s="103">
        <f>VLOOKUP($B7,'Cost prices'!$B$6:$H$538,7, FALSE)</f>
        <v>4720</v>
      </c>
      <c r="S7" s="103"/>
      <c r="T7" s="263">
        <f>VLOOKUP($B7,'Cost prices'!$B$6:$H$538,7, FALSE)</f>
        <v>4720</v>
      </c>
      <c r="U7" s="103"/>
      <c r="V7" s="103">
        <f>VLOOKUP($B7,'Cost prices'!$B$6:$H$538,7, FALSE)</f>
        <v>4720</v>
      </c>
      <c r="W7" s="103"/>
      <c r="X7" s="103">
        <f>VLOOKUP($B7,'Cost prices'!$B$6:$H$538,7, FALSE)</f>
        <v>4720</v>
      </c>
      <c r="Y7" s="103"/>
      <c r="Z7" s="103">
        <f>IF('External Prices'!P$24="No",VLOOKUP($B7,'Cost prices'!$B$6:$H$538,7,FALSE),VLOOKUP($B7,'Cost prices'!$B$6:$H$538,7,FALSE)*1.5)</f>
        <v>4720</v>
      </c>
      <c r="AA7" s="175"/>
      <c r="AB7" s="103">
        <f>VLOOKUP($B7,'Cost prices'!$B$6:$H$538,7, FALSE)</f>
        <v>4720</v>
      </c>
      <c r="AD7" s="103">
        <f>VLOOKUP($B7,'Cost prices'!$B$6:$H$538,7, FALSE)</f>
        <v>4720</v>
      </c>
      <c r="AE7" s="103">
        <f>VLOOKUP($B7,'Cost prices'!$B$6:$H$538,7, FALSE)*
IF('External Prices'!S$28&lt;&gt;"No",2,1)</f>
        <v>4720</v>
      </c>
      <c r="AF7" s="103">
        <f>IF('External Prices'!T$24="No",VLOOKUP($B7,'Cost prices'!$B$6:$H$538,7,FALSE),VLOOKUP($B7,'Cost prices'!$B$6:$H$538,7,FALSE)*1.5)*
IF('External Prices'!T$28&lt;&gt;"No",2,1)</f>
        <v>4720</v>
      </c>
      <c r="AG7" s="175"/>
      <c r="AH7" s="103">
        <f>VLOOKUP($B7,'Cost prices'!$B$6:$H$538,7, FALSE)</f>
        <v>4720</v>
      </c>
      <c r="AI7" s="103">
        <f>VLOOKUP($B7,'Cost prices'!$B$6:$H$538,7, FALSE)</f>
        <v>4720</v>
      </c>
      <c r="AJ7" s="175"/>
      <c r="AK7" s="103">
        <f>VLOOKUP($B7,'Cost prices'!$B$6:$H$538,7, FALSE)</f>
        <v>4720</v>
      </c>
      <c r="AL7" s="103">
        <f>IF('External Prices'!X$24="No",VLOOKUP($B7,'Cost prices'!$B$6:$H$538,7,FALSE),VLOOKUP($B7,'Cost prices'!$B$6:$H$538,7,FALSE)*1.5)</f>
        <v>4720</v>
      </c>
      <c r="AM7" s="103">
        <f>IF('External Prices'!Y$24="No",VLOOKUP($B7,'Cost prices'!$B$6:$H$538,7,FALSE),VLOOKUP($B7,'Cost prices'!$B$6:$H$538,7,FALSE)*1.5)*
IF('External Prices'!Y$28&lt;&gt;"No",2,1)</f>
        <v>9440</v>
      </c>
      <c r="AN7" s="175"/>
      <c r="AO7" s="103">
        <f>VLOOKUP($B7,'Cost prices'!$B$6:$H$538,7, FALSE)*
IF('External Prices'!Z$28&lt;&gt;"No",2,1)</f>
        <v>4720</v>
      </c>
      <c r="AP7" s="103">
        <f>IF('External Prices'!AA$24="No",VLOOKUP($B7,'Cost prices'!$B$6:$H$538,7,FALSE),VLOOKUP($B7,'Cost prices'!$B$6:$H$538,7,FALSE)*1.5)*
IF('External Prices'!AA$28&lt;&gt;"No",2,1)</f>
        <v>4720</v>
      </c>
      <c r="AQ7" s="103">
        <f>IF('External Prices'!AB$24="No",VLOOKUP($B7,'Cost prices'!$B$6:$H$538,7,FALSE),VLOOKUP($B7,'Cost prices'!$B$6:$H$538,7,FALSE)*1.5)*
IF('External Prices'!AB$28&lt;&gt;"No",2,1)</f>
        <v>9440</v>
      </c>
      <c r="AR7" s="175"/>
      <c r="AS7" s="175"/>
      <c r="AT7" s="175"/>
      <c r="AU7" s="175"/>
      <c r="AV7" s="175"/>
      <c r="AW7" s="175"/>
      <c r="AX7" s="175"/>
      <c r="AY7" s="175"/>
      <c r="AZ7" s="175"/>
      <c r="BA7" s="175"/>
      <c r="BB7" s="175"/>
      <c r="BC7" s="175"/>
      <c r="BD7" s="175"/>
      <c r="BE7" s="175"/>
      <c r="BF7" s="175"/>
      <c r="BG7" s="175"/>
    </row>
    <row r="8" spans="1:64" outlineLevel="1" x14ac:dyDescent="0.2">
      <c r="B8" s="99" t="s">
        <v>11</v>
      </c>
      <c r="E8" s="103">
        <f>VLOOKUP($B8,'Cost prices'!$B$6:$H$538,7, FALSE)</f>
        <v>4307</v>
      </c>
      <c r="F8" s="103">
        <f>VLOOKUP($B8,'Cost prices'!$B$6:$H$538,7, FALSE)</f>
        <v>4307</v>
      </c>
      <c r="H8" s="103">
        <f>VLOOKUP($B8,'Cost prices'!$B$6:$H$538,7, FALSE)</f>
        <v>4307</v>
      </c>
      <c r="J8" s="103">
        <f>VLOOKUP($B8,'Cost prices'!$B$6:$H$538,7, FALSE)</f>
        <v>4307</v>
      </c>
      <c r="L8" s="103">
        <f>VLOOKUP($B8,'Cost prices'!$B$6:$H$538,7, FALSE)</f>
        <v>4307</v>
      </c>
      <c r="M8" s="103"/>
      <c r="N8" s="103">
        <f>VLOOKUP($B8,'Cost prices'!$B$6:$H$538,7, FALSE)</f>
        <v>4307</v>
      </c>
      <c r="O8" s="103"/>
      <c r="P8" s="103">
        <f>VLOOKUP($B8,'Cost prices'!$B$6:$H$538,7, FALSE)</f>
        <v>4307</v>
      </c>
      <c r="Q8" s="103"/>
      <c r="R8" s="103">
        <f>VLOOKUP($B8,'Cost prices'!$B$6:$H$538,7, FALSE)</f>
        <v>4307</v>
      </c>
      <c r="S8" s="103"/>
      <c r="T8" s="263">
        <f>VLOOKUP($B8,'Cost prices'!$B$6:$H$538,7, FALSE)</f>
        <v>4307</v>
      </c>
      <c r="U8" s="103"/>
      <c r="V8" s="103">
        <f>VLOOKUP($B8,'Cost prices'!$B$6:$H$538,7, FALSE)</f>
        <v>4307</v>
      </c>
      <c r="W8" s="103"/>
      <c r="X8" s="103">
        <f>VLOOKUP($B8,'Cost prices'!$B$6:$H$538,7, FALSE)</f>
        <v>4307</v>
      </c>
      <c r="Y8" s="103"/>
      <c r="Z8" s="103">
        <f>IF('External Prices'!P$24="No",VLOOKUP($B8,'Cost prices'!$B$6:$H$538,7,FALSE),VLOOKUP($B8,'Cost prices'!$B$6:$H$538,7,FALSE)*1.5)</f>
        <v>4307</v>
      </c>
      <c r="AA8" s="175"/>
      <c r="AB8" s="103">
        <f>VLOOKUP($B8,'Cost prices'!$B$6:$H$538,7, FALSE)</f>
        <v>4307</v>
      </c>
      <c r="AD8" s="103">
        <f>VLOOKUP($B8,'Cost prices'!$B$6:$H$538,7, FALSE)</f>
        <v>4307</v>
      </c>
      <c r="AE8" s="103">
        <f>VLOOKUP($B8,'Cost prices'!$B$6:$H$538,7, FALSE)*
IF('External Prices'!S$28&lt;&gt;"No",2,1)</f>
        <v>4307</v>
      </c>
      <c r="AF8" s="103">
        <f>IF('External Prices'!T$24="No",VLOOKUP($B8,'Cost prices'!$B$6:$H$538,7,FALSE),VLOOKUP($B8,'Cost prices'!$B$6:$H$538,7,FALSE)*1.5)*
IF('External Prices'!T$28&lt;&gt;"No",2,1)</f>
        <v>4307</v>
      </c>
      <c r="AG8" s="175"/>
      <c r="AH8" s="103">
        <f>VLOOKUP($B8,'Cost prices'!$B$6:$H$538,7, FALSE)</f>
        <v>4307</v>
      </c>
      <c r="AI8" s="103">
        <f>VLOOKUP($B8,'Cost prices'!$B$6:$H$538,7, FALSE)</f>
        <v>4307</v>
      </c>
      <c r="AJ8" s="175"/>
      <c r="AK8" s="103">
        <f>VLOOKUP($B8,'Cost prices'!$B$6:$H$538,7, FALSE)</f>
        <v>4307</v>
      </c>
      <c r="AL8" s="103">
        <f>IF('External Prices'!X$24="No",VLOOKUP($B8,'Cost prices'!$B$6:$H$538,7,FALSE),VLOOKUP($B8,'Cost prices'!$B$6:$H$538,7,FALSE)*1.5)</f>
        <v>4307</v>
      </c>
      <c r="AM8" s="103">
        <f>IF('External Prices'!Y$24="No",VLOOKUP($B8,'Cost prices'!$B$6:$H$538,7,FALSE),VLOOKUP($B8,'Cost prices'!$B$6:$H$538,7,FALSE)*1.5)*
IF('External Prices'!Y$28&lt;&gt;"No",2,1)</f>
        <v>8614</v>
      </c>
      <c r="AN8" s="175"/>
      <c r="AO8" s="103">
        <f>VLOOKUP($B8,'Cost prices'!$B$6:$H$538,7, FALSE)*
IF('External Prices'!Z$28&lt;&gt;"No",2,1)</f>
        <v>4307</v>
      </c>
      <c r="AP8" s="103">
        <f>IF('External Prices'!AA$24="No",VLOOKUP($B8,'Cost prices'!$B$6:$H$538,7,FALSE),VLOOKUP($B8,'Cost prices'!$B$6:$H$538,7,FALSE)*1.5)*
IF('External Prices'!AA$28&lt;&gt;"No",2,1)</f>
        <v>4307</v>
      </c>
      <c r="AQ8" s="103">
        <f>IF('External Prices'!AB$24="No",VLOOKUP($B8,'Cost prices'!$B$6:$H$538,7,FALSE),VLOOKUP($B8,'Cost prices'!$B$6:$H$538,7,FALSE)*1.5)*
IF('External Prices'!AB$28&lt;&gt;"No",2,1)</f>
        <v>8614</v>
      </c>
      <c r="AR8" s="175"/>
      <c r="AS8" s="175"/>
      <c r="AT8" s="175"/>
      <c r="AU8" s="175"/>
      <c r="AV8" s="175"/>
      <c r="AW8" s="175"/>
      <c r="AX8" s="175"/>
      <c r="AY8" s="175"/>
      <c r="AZ8" s="175"/>
      <c r="BA8" s="175"/>
      <c r="BB8" s="175"/>
      <c r="BC8" s="175"/>
      <c r="BD8" s="175"/>
      <c r="BE8" s="175"/>
      <c r="BF8" s="175"/>
      <c r="BG8" s="175"/>
    </row>
    <row r="9" spans="1:64" outlineLevel="1" x14ac:dyDescent="0.2">
      <c r="B9" s="99" t="s">
        <v>12</v>
      </c>
      <c r="E9" s="103">
        <f>VLOOKUP($B9,'Cost prices'!$B$6:$H$538,7, FALSE)</f>
        <v>8591</v>
      </c>
      <c r="F9" s="103">
        <f>VLOOKUP($B9,'Cost prices'!$B$6:$H$538,7, FALSE)</f>
        <v>8591</v>
      </c>
      <c r="H9" s="103">
        <f>VLOOKUP($B9,'Cost prices'!$B$6:$H$538,7, FALSE)</f>
        <v>8591</v>
      </c>
      <c r="J9" s="103">
        <f>VLOOKUP($B9,'Cost prices'!$B$6:$H$538,7, FALSE)</f>
        <v>8591</v>
      </c>
      <c r="L9" s="103">
        <f>VLOOKUP($B9,'Cost prices'!$B$6:$H$538,7, FALSE)</f>
        <v>8591</v>
      </c>
      <c r="M9" s="103"/>
      <c r="N9" s="103">
        <f>VLOOKUP($B9,'Cost prices'!$B$6:$H$538,7, FALSE)</f>
        <v>8591</v>
      </c>
      <c r="O9" s="103"/>
      <c r="P9" s="103">
        <f>VLOOKUP($B9,'Cost prices'!$B$6:$H$538,7, FALSE)</f>
        <v>8591</v>
      </c>
      <c r="Q9" s="103"/>
      <c r="R9" s="103">
        <f>VLOOKUP($B9,'Cost prices'!$B$6:$H$538,7, FALSE)</f>
        <v>8591</v>
      </c>
      <c r="S9" s="103"/>
      <c r="T9" s="263">
        <f>VLOOKUP($B9,'Cost prices'!$B$6:$H$538,7, FALSE)</f>
        <v>8591</v>
      </c>
      <c r="U9" s="103"/>
      <c r="V9" s="103">
        <f>VLOOKUP($B9,'Cost prices'!$B$6:$H$538,7, FALSE)</f>
        <v>8591</v>
      </c>
      <c r="W9" s="103"/>
      <c r="X9" s="103">
        <f>VLOOKUP($B9,'Cost prices'!$B$6:$H$538,7, FALSE)</f>
        <v>8591</v>
      </c>
      <c r="Y9" s="103"/>
      <c r="Z9" s="103"/>
      <c r="AA9" s="175"/>
      <c r="AB9" s="103"/>
      <c r="AD9" s="103"/>
      <c r="AE9" s="103"/>
      <c r="AF9" s="103"/>
      <c r="AG9" s="175"/>
      <c r="AH9" s="103"/>
      <c r="AI9" s="103"/>
      <c r="AJ9" s="175"/>
      <c r="AK9" s="103"/>
      <c r="AL9" s="103"/>
      <c r="AM9" s="103"/>
      <c r="AN9" s="175"/>
      <c r="AO9" s="103"/>
      <c r="AP9" s="103"/>
      <c r="AQ9" s="103"/>
      <c r="AR9" s="175"/>
      <c r="AS9" s="175"/>
      <c r="AT9" s="175"/>
      <c r="AU9" s="175"/>
      <c r="AV9" s="175"/>
      <c r="AW9" s="175"/>
      <c r="AX9" s="175"/>
      <c r="AY9" s="175"/>
      <c r="AZ9" s="175"/>
      <c r="BA9" s="175"/>
      <c r="BB9" s="175"/>
      <c r="BC9" s="175"/>
      <c r="BD9" s="175"/>
      <c r="BE9" s="175"/>
      <c r="BF9" s="175"/>
      <c r="BG9" s="175"/>
    </row>
    <row r="10" spans="1:64" outlineLevel="1" x14ac:dyDescent="0.2">
      <c r="A10" s="111" t="s">
        <v>718</v>
      </c>
      <c r="B10" s="99" t="s">
        <v>55</v>
      </c>
      <c r="E10" s="103"/>
      <c r="F10" s="103"/>
      <c r="H10" s="103"/>
      <c r="J10" s="103"/>
      <c r="L10" s="103"/>
      <c r="M10" s="103"/>
      <c r="N10" s="103"/>
      <c r="O10" s="103"/>
      <c r="P10" s="103"/>
      <c r="Q10" s="103"/>
      <c r="R10" s="103"/>
      <c r="S10" s="103"/>
      <c r="T10" s="263"/>
      <c r="U10" s="103"/>
      <c r="V10" s="103"/>
      <c r="W10" s="103"/>
      <c r="X10" s="103"/>
      <c r="Y10" s="103"/>
      <c r="Z10" s="103"/>
      <c r="AA10" s="175"/>
      <c r="AB10" s="103"/>
      <c r="AD10" s="103"/>
      <c r="AE10" s="103"/>
      <c r="AF10" s="103"/>
      <c r="AG10" s="175"/>
      <c r="AH10" s="103"/>
      <c r="AI10" s="103"/>
      <c r="AJ10" s="175"/>
      <c r="AK10" s="103"/>
      <c r="AL10" s="103"/>
      <c r="AM10" s="103"/>
      <c r="AN10" s="175"/>
      <c r="AO10" s="103"/>
      <c r="AP10" s="103"/>
      <c r="AQ10" s="103"/>
      <c r="AR10" s="175"/>
      <c r="AS10" s="175"/>
      <c r="AT10" s="175"/>
      <c r="AU10" s="175"/>
      <c r="AV10" s="175"/>
      <c r="AW10" s="175"/>
      <c r="AX10" s="175"/>
      <c r="AY10" s="175"/>
      <c r="AZ10" s="175"/>
      <c r="BA10" s="175"/>
      <c r="BB10" s="175"/>
      <c r="BC10" s="175"/>
      <c r="BD10" s="175"/>
      <c r="BE10" s="175"/>
      <c r="BF10" s="175"/>
      <c r="BG10" s="175"/>
    </row>
    <row r="11" spans="1:64" outlineLevel="1" x14ac:dyDescent="0.2">
      <c r="B11" s="99" t="s">
        <v>1502</v>
      </c>
      <c r="E11" s="103">
        <f>VLOOKUP($B11,'Cost prices'!$B$6:$H$538,7, FALSE)</f>
        <v>1005</v>
      </c>
      <c r="F11" s="103">
        <f>VLOOKUP($B11,'Cost prices'!$B$6:$H$538,7, FALSE)</f>
        <v>1005</v>
      </c>
      <c r="H11" s="103">
        <f>VLOOKUP($B11,'Cost prices'!$B$6:$H$538,7, FALSE)</f>
        <v>1005</v>
      </c>
      <c r="J11" s="103">
        <f>VLOOKUP($B11,'Cost prices'!$B$6:$H$538,7, FALSE)</f>
        <v>1005</v>
      </c>
      <c r="L11" s="103">
        <f>VLOOKUP($B11,'Cost prices'!$B$6:$H$538,7, FALSE)</f>
        <v>1005</v>
      </c>
      <c r="M11" s="103"/>
      <c r="N11" s="103">
        <f>VLOOKUP($B11,'Cost prices'!$B$6:$H$538,7, FALSE)</f>
        <v>1005</v>
      </c>
      <c r="O11" s="103"/>
      <c r="P11" s="103">
        <f>VLOOKUP($B11,'Cost prices'!$B$6:$H$538,7, FALSE)</f>
        <v>1005</v>
      </c>
      <c r="Q11" s="103"/>
      <c r="R11" s="103">
        <f>VLOOKUP($B11,'Cost prices'!$B$6:$H$538,7, FALSE)</f>
        <v>1005</v>
      </c>
      <c r="S11" s="103"/>
      <c r="T11" s="263">
        <f>VLOOKUP($B11,'Cost prices'!$B$6:$H$538,7, FALSE)</f>
        <v>1005</v>
      </c>
      <c r="U11" s="103"/>
      <c r="V11" s="103">
        <f>VLOOKUP($B11,'Cost prices'!$B$6:$H$538,7, FALSE)</f>
        <v>1005</v>
      </c>
      <c r="W11" s="103"/>
      <c r="X11" s="103">
        <f>VLOOKUP($B11,'Cost prices'!$B$6:$H$538,7, FALSE)</f>
        <v>1005</v>
      </c>
      <c r="Y11" s="103"/>
      <c r="Z11" s="103">
        <f>VLOOKUP($B11,'Cost prices'!$B$6:$H$538,7, FALSE)</f>
        <v>1005</v>
      </c>
      <c r="AA11" s="175"/>
      <c r="AB11" s="103">
        <f>VLOOKUP($B11,'Cost prices'!$B$6:$H$538,7, FALSE)</f>
        <v>1005</v>
      </c>
      <c r="AD11" s="103">
        <f>VLOOKUP($B11,'Cost prices'!$B$6:$H$538,7, FALSE)</f>
        <v>1005</v>
      </c>
      <c r="AE11" s="103">
        <f>VLOOKUP($B11,'Cost prices'!$B$6:$H$538,7, FALSE)*
IF('External Prices'!S$28&lt;&gt;"No",2,1)</f>
        <v>1005</v>
      </c>
      <c r="AF11" s="103">
        <f>VLOOKUP($B11,'Cost prices'!$B$6:$H$538,7, FALSE)*
IF('External Prices'!T$28&lt;&gt;"No",2,1)</f>
        <v>1005</v>
      </c>
      <c r="AG11" s="175"/>
      <c r="AH11" s="103">
        <f>VLOOKUP($B11,'Cost prices'!$B$6:$H$538,7, FALSE)</f>
        <v>1005</v>
      </c>
      <c r="AI11" s="103">
        <f>VLOOKUP($B11,'Cost prices'!$B$6:$H$538,7, FALSE)</f>
        <v>1005</v>
      </c>
      <c r="AJ11" s="175"/>
      <c r="AK11" s="103">
        <f>VLOOKUP($B11,'Cost prices'!$B$6:$H$538,7, FALSE)</f>
        <v>1005</v>
      </c>
      <c r="AL11" s="103">
        <f>VLOOKUP($B11,'Cost prices'!$B$6:$H$538,7, FALSE)</f>
        <v>1005</v>
      </c>
      <c r="AM11" s="103">
        <f>VLOOKUP($B11,'Cost prices'!$B$6:$H$538,7, FALSE)*
IF('External Prices'!Y$28&lt;&gt;"No",2,1)</f>
        <v>2010</v>
      </c>
      <c r="AN11" s="175"/>
      <c r="AO11" s="103">
        <f>VLOOKUP($B11,'Cost prices'!$B$6:$H$538,7, FALSE)*
IF('External Prices'!Z$28&lt;&gt;"No",2,1)</f>
        <v>1005</v>
      </c>
      <c r="AP11" s="103">
        <f>VLOOKUP($B11,'Cost prices'!$B$6:$H$538,7, FALSE)*
IF('External Prices'!AA$28&lt;&gt;"No",2,1)</f>
        <v>1005</v>
      </c>
      <c r="AQ11" s="103">
        <f>VLOOKUP($B11,'Cost prices'!$B$6:$H$538,7, FALSE)*
IF('External Prices'!AB$28&lt;&gt;"No",2,1)</f>
        <v>2010</v>
      </c>
      <c r="AR11" s="175"/>
      <c r="AS11" s="175"/>
      <c r="AT11" s="175"/>
      <c r="AU11" s="175"/>
      <c r="AV11" s="175"/>
      <c r="AW11" s="175"/>
      <c r="AX11" s="175"/>
      <c r="AY11" s="175"/>
      <c r="AZ11" s="175"/>
      <c r="BA11" s="175"/>
      <c r="BB11" s="175"/>
      <c r="BC11" s="175"/>
      <c r="BD11" s="175"/>
      <c r="BE11" s="175"/>
      <c r="BF11" s="175"/>
      <c r="BG11" s="175"/>
    </row>
    <row r="12" spans="1:64" outlineLevel="1" x14ac:dyDescent="0.2">
      <c r="B12" s="99" t="s">
        <v>1503</v>
      </c>
      <c r="E12" s="103" t="str">
        <f>VLOOKUP($B12,'Cost prices'!$B$6:$H$538,7, FALSE)</f>
        <v>Incl Seneberg</v>
      </c>
      <c r="F12" s="103" t="str">
        <f>VLOOKUP($B12,'Cost prices'!$B$6:$H$538,7, FALSE)</f>
        <v>Incl Seneberg</v>
      </c>
      <c r="H12" s="103" t="str">
        <f>VLOOKUP($B12,'Cost prices'!$B$6:$H$538,7, FALSE)</f>
        <v>Incl Seneberg</v>
      </c>
      <c r="J12" s="103" t="str">
        <f>VLOOKUP($B12,'Cost prices'!$B$6:$H$538,7, FALSE)</f>
        <v>Incl Seneberg</v>
      </c>
      <c r="L12" s="103" t="str">
        <f>VLOOKUP($B12,'Cost prices'!$B$6:$H$538,7, FALSE)</f>
        <v>Incl Seneberg</v>
      </c>
      <c r="M12" s="103"/>
      <c r="N12" s="103" t="str">
        <f>VLOOKUP($B12,'Cost prices'!$B$6:$H$538,7, FALSE)</f>
        <v>Incl Seneberg</v>
      </c>
      <c r="O12" s="103"/>
      <c r="P12" s="103" t="str">
        <f>VLOOKUP($B12,'Cost prices'!$B$6:$H$538,7, FALSE)</f>
        <v>Incl Seneberg</v>
      </c>
      <c r="Q12" s="103"/>
      <c r="R12" s="103" t="str">
        <f>VLOOKUP($B12,'Cost prices'!$B$6:$H$538,7, FALSE)</f>
        <v>Incl Seneberg</v>
      </c>
      <c r="S12" s="103"/>
      <c r="T12" s="263" t="str">
        <f>VLOOKUP($B12,'Cost prices'!$B$6:$H$538,7, FALSE)</f>
        <v>Incl Seneberg</v>
      </c>
      <c r="U12" s="103"/>
      <c r="V12" s="103" t="str">
        <f>VLOOKUP($B12,'Cost prices'!$B$6:$H$538,7, FALSE)</f>
        <v>Incl Seneberg</v>
      </c>
      <c r="W12" s="103"/>
      <c r="X12" s="103" t="str">
        <f>VLOOKUP($B12,'Cost prices'!$B$6:$H$538,7, FALSE)</f>
        <v>Incl Seneberg</v>
      </c>
      <c r="Y12" s="103"/>
      <c r="Z12" s="103" t="str">
        <f>VLOOKUP($B12,'Cost prices'!$B$6:$H$538,7, FALSE)</f>
        <v>Incl Seneberg</v>
      </c>
      <c r="AA12" s="175"/>
      <c r="AB12" s="103" t="str">
        <f>VLOOKUP($B12,'Cost prices'!$B$6:$H$538,7, FALSE)</f>
        <v>Incl Seneberg</v>
      </c>
      <c r="AD12" s="103" t="str">
        <f>VLOOKUP($B12,'Cost prices'!$B$6:$H$538,7, FALSE)</f>
        <v>Incl Seneberg</v>
      </c>
      <c r="AE12" s="103" t="str">
        <f>VLOOKUP($B12,'Cost prices'!$B$6:$H$538,7, FALSE)</f>
        <v>Incl Seneberg</v>
      </c>
      <c r="AF12" s="103" t="str">
        <f>VLOOKUP($B12,'Cost prices'!$B$6:$H$538,7, FALSE)</f>
        <v>Incl Seneberg</v>
      </c>
      <c r="AG12" s="175"/>
      <c r="AH12" s="103" t="str">
        <f>VLOOKUP($B12,'Cost prices'!$B$6:$H$538,7, FALSE)</f>
        <v>Incl Seneberg</v>
      </c>
      <c r="AI12" s="103" t="str">
        <f>VLOOKUP($B12,'Cost prices'!$B$6:$H$538,7, FALSE)</f>
        <v>Incl Seneberg</v>
      </c>
      <c r="AJ12" s="175"/>
      <c r="AK12" s="103" t="str">
        <f>VLOOKUP($B12,'Cost prices'!$B$6:$H$538,7, FALSE)</f>
        <v>Incl Seneberg</v>
      </c>
      <c r="AL12" s="103" t="str">
        <f>VLOOKUP($B12,'Cost prices'!$B$6:$H$538,7, FALSE)</f>
        <v>Incl Seneberg</v>
      </c>
      <c r="AM12" s="103" t="str">
        <f>VLOOKUP($B12,'Cost prices'!$B$6:$H$538,7, FALSE)</f>
        <v>Incl Seneberg</v>
      </c>
      <c r="AN12" s="175"/>
      <c r="AO12" s="103" t="str">
        <f>VLOOKUP($B12,'Cost prices'!$B$6:$H$538,7, FALSE)</f>
        <v>Incl Seneberg</v>
      </c>
      <c r="AP12" s="103" t="str">
        <f>VLOOKUP($B12,'Cost prices'!$B$6:$H$538,7, FALSE)</f>
        <v>Incl Seneberg</v>
      </c>
      <c r="AQ12" s="103" t="str">
        <f>VLOOKUP($B12,'Cost prices'!$B$6:$H$538,7, FALSE)</f>
        <v>Incl Seneberg</v>
      </c>
      <c r="AR12" s="175"/>
      <c r="AS12" s="175"/>
      <c r="AT12" s="175"/>
      <c r="AU12" s="175"/>
      <c r="AV12" s="175"/>
      <c r="AW12" s="175"/>
      <c r="AX12" s="175"/>
      <c r="AY12" s="175"/>
      <c r="AZ12" s="175"/>
      <c r="BA12" s="175"/>
      <c r="BB12" s="175"/>
      <c r="BC12" s="175"/>
      <c r="BD12" s="175"/>
      <c r="BE12" s="175"/>
      <c r="BF12" s="175"/>
      <c r="BG12" s="175"/>
    </row>
    <row r="13" spans="1:64" outlineLevel="1" x14ac:dyDescent="0.2">
      <c r="B13" s="99" t="s">
        <v>1497</v>
      </c>
      <c r="E13" s="103">
        <f>VLOOKUP($B13,'Cost prices'!$B$6:$H$538,7, FALSE)</f>
        <v>4960.9549999999999</v>
      </c>
      <c r="F13" s="103">
        <f>VLOOKUP($B13,'Cost prices'!$B$6:$H$538,7, FALSE)</f>
        <v>4960.9549999999999</v>
      </c>
      <c r="H13" s="103">
        <f>VLOOKUP($B13,'Cost prices'!$B$6:$H$538,7, FALSE)</f>
        <v>4960.9549999999999</v>
      </c>
      <c r="J13" s="103">
        <f>VLOOKUP($B13,'Cost prices'!$B$6:$H$538,7, FALSE)</f>
        <v>4960.9549999999999</v>
      </c>
      <c r="L13" s="103">
        <f>VLOOKUP($B13,'Cost prices'!$B$6:$H$538,7, FALSE)</f>
        <v>4960.9549999999999</v>
      </c>
      <c r="M13" s="103"/>
      <c r="N13" s="103">
        <f>VLOOKUP($B13,'Cost prices'!$B$6:$H$538,7, FALSE)</f>
        <v>4960.9549999999999</v>
      </c>
      <c r="O13" s="103"/>
      <c r="P13" s="103">
        <f>VLOOKUP($B13,'Cost prices'!$B$6:$H$538,7, FALSE)</f>
        <v>4960.9549999999999</v>
      </c>
      <c r="Q13" s="103"/>
      <c r="R13" s="103">
        <f>VLOOKUP($B13,'Cost prices'!$B$6:$H$538,7, FALSE)</f>
        <v>4960.9549999999999</v>
      </c>
      <c r="S13" s="103"/>
      <c r="T13" s="103">
        <f>VLOOKUP($B13,'Cost prices'!$B$6:$H$538,7, FALSE)</f>
        <v>4960.9549999999999</v>
      </c>
      <c r="U13" s="103"/>
      <c r="V13" s="103">
        <f>VLOOKUP($B13,'Cost prices'!$B$6:$H$538,7, FALSE)</f>
        <v>4960.9549999999999</v>
      </c>
      <c r="W13" s="103"/>
      <c r="X13" s="103">
        <f>VLOOKUP($B13,'Cost prices'!$B$6:$H$538,7, FALSE)</f>
        <v>4960.9549999999999</v>
      </c>
      <c r="Y13" s="103"/>
      <c r="Z13" s="103">
        <f>VLOOKUP($B13,'Cost prices'!$B$6:$H$538,7, FALSE)</f>
        <v>4960.9549999999999</v>
      </c>
      <c r="AA13" s="175"/>
      <c r="AB13" s="103"/>
      <c r="AD13" s="103"/>
      <c r="AE13" s="103"/>
      <c r="AF13" s="103"/>
      <c r="AG13" s="175"/>
      <c r="AH13" s="103"/>
      <c r="AI13" s="103"/>
      <c r="AJ13" s="175"/>
      <c r="AK13" s="103"/>
      <c r="AL13" s="103"/>
      <c r="AM13" s="103"/>
      <c r="AN13" s="175"/>
      <c r="AO13" s="103"/>
      <c r="AP13" s="103"/>
      <c r="AQ13" s="103"/>
      <c r="AR13" s="175"/>
      <c r="AS13" s="175"/>
      <c r="AT13" s="175"/>
      <c r="AU13" s="175"/>
      <c r="AV13" s="175"/>
      <c r="AW13" s="175"/>
      <c r="AX13" s="175"/>
      <c r="AY13" s="175"/>
      <c r="AZ13" s="175"/>
      <c r="BA13" s="175"/>
      <c r="BB13" s="175"/>
      <c r="BC13" s="175"/>
      <c r="BD13" s="175"/>
      <c r="BE13" s="175"/>
      <c r="BF13" s="175"/>
      <c r="BG13" s="175"/>
    </row>
    <row r="14" spans="1:64" outlineLevel="1" x14ac:dyDescent="0.2">
      <c r="B14" s="99" t="s">
        <v>264</v>
      </c>
      <c r="E14" s="103">
        <f>VLOOKUP($B14,'Cost prices'!$B$6:$H$538,7, FALSE)</f>
        <v>8223.7569999999996</v>
      </c>
      <c r="F14" s="103">
        <f>VLOOKUP($B14,'Cost prices'!$B$6:$H$538,7, FALSE)</f>
        <v>8223.7569999999996</v>
      </c>
      <c r="H14" s="103">
        <f>VLOOKUP($B14,'Cost prices'!$B$6:$H$538,7, FALSE)</f>
        <v>8223.7569999999996</v>
      </c>
      <c r="J14" s="103">
        <f>VLOOKUP($B14,'Cost prices'!$B$6:$H$538,7, FALSE)</f>
        <v>8223.7569999999996</v>
      </c>
      <c r="L14" s="103">
        <f>VLOOKUP($B14,'Cost prices'!$B$6:$H$538,7, FALSE)</f>
        <v>8223.7569999999996</v>
      </c>
      <c r="M14" s="103"/>
      <c r="N14" s="103">
        <f>VLOOKUP($B14,'Cost prices'!$B$6:$H$538,7, FALSE)</f>
        <v>8223.7569999999996</v>
      </c>
      <c r="O14" s="103"/>
      <c r="P14" s="103">
        <f>VLOOKUP($B14,'Cost prices'!$B$6:$H$538,7, FALSE)</f>
        <v>8223.7569999999996</v>
      </c>
      <c r="Q14" s="103"/>
      <c r="R14" s="103">
        <f>VLOOKUP($B14,'Cost prices'!$B$6:$H$538,7, FALSE)</f>
        <v>8223.7569999999996</v>
      </c>
      <c r="S14" s="103"/>
      <c r="T14" s="263">
        <f>VLOOKUP($B14,'Cost prices'!$B$6:$H$538,7, FALSE)</f>
        <v>8223.7569999999996</v>
      </c>
      <c r="U14" s="103"/>
      <c r="V14" s="103">
        <f>VLOOKUP($B14,'Cost prices'!$B$6:$H$538,7, FALSE)</f>
        <v>8223.7569999999996</v>
      </c>
      <c r="W14" s="103"/>
      <c r="X14" s="103">
        <f>VLOOKUP($B14,'Cost prices'!$B$6:$H$538,7, FALSE)</f>
        <v>8223.7569999999996</v>
      </c>
      <c r="Y14" s="103"/>
      <c r="Z14" s="103">
        <f>VLOOKUP($B14,'Cost prices'!$B$6:$H$538,7, FALSE)</f>
        <v>8223.7569999999996</v>
      </c>
      <c r="AA14" s="175"/>
      <c r="AB14" s="103">
        <f>VLOOKUP($B14,'Cost prices'!$B$6:$H$538,7, FALSE)</f>
        <v>8223.7569999999996</v>
      </c>
      <c r="AD14" s="103">
        <f>VLOOKUP($B14,'Cost prices'!$B$6:$H$538,7, FALSE)</f>
        <v>8223.7569999999996</v>
      </c>
      <c r="AE14" s="103">
        <f>VLOOKUP($B14,'Cost prices'!$B$6:$H$538,7, FALSE)</f>
        <v>8223.7569999999996</v>
      </c>
      <c r="AF14" s="103">
        <f>VLOOKUP($B14,'Cost prices'!$B$6:$H$538,7, FALSE)</f>
        <v>8223.7569999999996</v>
      </c>
      <c r="AG14" s="175"/>
      <c r="AH14" s="103">
        <f>VLOOKUP($B14,'Cost prices'!$B$6:$H$538,7, FALSE)</f>
        <v>8223.7569999999996</v>
      </c>
      <c r="AI14" s="103">
        <f>VLOOKUP($B14,'Cost prices'!$B$6:$H$538,7, FALSE)</f>
        <v>8223.7569999999996</v>
      </c>
      <c r="AJ14" s="175"/>
      <c r="AK14" s="103">
        <f>VLOOKUP($B14,'Cost prices'!$B$6:$H$538,7, FALSE)</f>
        <v>8223.7569999999996</v>
      </c>
      <c r="AL14" s="103">
        <f>VLOOKUP($B14,'Cost prices'!$B$6:$H$538,7, FALSE)</f>
        <v>8223.7569999999996</v>
      </c>
      <c r="AM14" s="103">
        <f>VLOOKUP($B14,'Cost prices'!$B$6:$H$538,7, FALSE)</f>
        <v>8223.7569999999996</v>
      </c>
      <c r="AN14" s="175"/>
      <c r="AO14" s="103">
        <f>VLOOKUP($B14,'Cost prices'!$B$6:$H$538,7, FALSE)</f>
        <v>8223.7569999999996</v>
      </c>
      <c r="AP14" s="103">
        <f>VLOOKUP($B14,'Cost prices'!$B$6:$H$538,7, FALSE)</f>
        <v>8223.7569999999996</v>
      </c>
      <c r="AQ14" s="103">
        <f>VLOOKUP($B14,'Cost prices'!$B$6:$H$538,7, FALSE)</f>
        <v>8223.7569999999996</v>
      </c>
      <c r="AR14" s="175"/>
      <c r="AS14" s="175"/>
      <c r="AT14" s="175"/>
      <c r="AU14" s="175"/>
      <c r="AV14" s="175"/>
      <c r="AW14" s="175"/>
      <c r="AX14" s="175"/>
      <c r="AY14" s="175"/>
      <c r="AZ14" s="175"/>
      <c r="BA14" s="175"/>
      <c r="BB14" s="175"/>
      <c r="BC14" s="175"/>
      <c r="BD14" s="175"/>
      <c r="BE14" s="175"/>
      <c r="BF14" s="175"/>
      <c r="BG14" s="175"/>
    </row>
    <row r="15" spans="1:64" outlineLevel="1" x14ac:dyDescent="0.2">
      <c r="B15" s="99" t="s">
        <v>194</v>
      </c>
      <c r="E15" s="103">
        <f>VLOOKUP($B15,'Cost prices'!$B$6:$H$538,7, FALSE)</f>
        <v>14519.0815</v>
      </c>
      <c r="F15" s="103">
        <f>VLOOKUP($B15,'Cost prices'!$B$6:$H$538,7, FALSE)</f>
        <v>14519.0815</v>
      </c>
      <c r="G15" s="103"/>
      <c r="H15" s="103">
        <f>VLOOKUP($B15,'Cost prices'!$B$6:$H$538,7, FALSE)</f>
        <v>14519.0815</v>
      </c>
      <c r="J15" s="103">
        <f>VLOOKUP($B15,'Cost prices'!$B$6:$H$538,7, FALSE)</f>
        <v>14519.0815</v>
      </c>
      <c r="L15" s="103">
        <f>VLOOKUP($B15,'Cost prices'!$B$6:$H$538,7, FALSE)</f>
        <v>14519.0815</v>
      </c>
      <c r="M15" s="103"/>
      <c r="N15" s="103">
        <f>VLOOKUP($B15,'Cost prices'!$B$6:$H$538,7, FALSE)</f>
        <v>14519.0815</v>
      </c>
      <c r="O15" s="103"/>
      <c r="P15" s="103">
        <f>VLOOKUP($B15,'Cost prices'!$B$6:$H$538,7, FALSE)</f>
        <v>14519.0815</v>
      </c>
      <c r="Q15" s="103"/>
      <c r="R15" s="103">
        <f>VLOOKUP($B15,'Cost prices'!$B$6:$H$538,7, FALSE)</f>
        <v>14519.0815</v>
      </c>
      <c r="S15" s="103"/>
      <c r="T15" s="263">
        <f>VLOOKUP($B15,'Cost prices'!$B$6:$H$538,7, FALSE)</f>
        <v>14519.0815</v>
      </c>
      <c r="U15" s="103"/>
      <c r="V15" s="103">
        <f>VLOOKUP($B15,'Cost prices'!$B$6:$H$538,7, FALSE)</f>
        <v>14519.0815</v>
      </c>
      <c r="W15" s="103"/>
      <c r="X15" s="103">
        <f>VLOOKUP($B15,'Cost prices'!$B$6:$H$538,7, FALSE)</f>
        <v>14519.0815</v>
      </c>
      <c r="Y15" s="103"/>
      <c r="Z15" s="103"/>
      <c r="AA15" s="175"/>
      <c r="AB15" s="103"/>
      <c r="AC15" s="103"/>
      <c r="AD15" s="103"/>
      <c r="AE15" s="103"/>
      <c r="AF15" s="103"/>
      <c r="AG15" s="175"/>
      <c r="AH15" s="103"/>
      <c r="AI15" s="103"/>
      <c r="AJ15" s="175"/>
      <c r="AK15" s="103"/>
      <c r="AL15" s="103"/>
      <c r="AM15" s="103"/>
      <c r="AN15" s="175"/>
      <c r="AO15" s="103"/>
      <c r="AP15" s="103"/>
      <c r="AQ15" s="103"/>
      <c r="AR15" s="175"/>
      <c r="AS15" s="175"/>
      <c r="AT15" s="175"/>
      <c r="AU15" s="175"/>
      <c r="AV15" s="175"/>
      <c r="AW15" s="175"/>
      <c r="AX15" s="175"/>
      <c r="AY15" s="175"/>
      <c r="AZ15" s="175"/>
      <c r="BA15" s="175"/>
      <c r="BB15" s="175"/>
      <c r="BC15" s="175"/>
      <c r="BD15" s="175"/>
      <c r="BE15" s="175"/>
      <c r="BF15" s="175"/>
      <c r="BG15" s="175"/>
    </row>
    <row r="16" spans="1:64" outlineLevel="1" x14ac:dyDescent="0.2">
      <c r="B16" s="99" t="s">
        <v>195</v>
      </c>
      <c r="E16" s="103"/>
      <c r="F16" s="103"/>
      <c r="G16" s="103"/>
      <c r="H16" s="103"/>
      <c r="J16" s="103"/>
      <c r="L16" s="103"/>
      <c r="M16" s="103"/>
      <c r="N16" s="103"/>
      <c r="O16" s="103"/>
      <c r="P16" s="103"/>
      <c r="Q16" s="103"/>
      <c r="R16" s="103"/>
      <c r="S16" s="103"/>
      <c r="T16" s="263"/>
      <c r="U16" s="103"/>
      <c r="W16" s="103"/>
      <c r="X16" s="103"/>
      <c r="Y16" s="103"/>
      <c r="Z16" s="103">
        <f>VLOOKUP($B16,'Cost prices'!$B$6:$H$538,7, FALSE)</f>
        <v>16009.0815</v>
      </c>
      <c r="AA16" s="175"/>
      <c r="AB16" s="103">
        <f>VLOOKUP($B16,'Cost prices'!$B$6:$H$538,7, FALSE)</f>
        <v>16009.0815</v>
      </c>
      <c r="AC16" s="103"/>
      <c r="AD16" s="103">
        <f>VLOOKUP($B16,'Cost prices'!$B$6:$H$538,7, FALSE)</f>
        <v>16009.0815</v>
      </c>
      <c r="AE16" s="103">
        <f>VLOOKUP($B16,'Cost prices'!$B$6:$H$538,7, FALSE)*
IF('External Prices'!S$28&lt;&gt;"No",2,1)</f>
        <v>16009.0815</v>
      </c>
      <c r="AF16" s="103">
        <f>VLOOKUP($B16,'Cost prices'!$B$6:$H$538,7, FALSE)*
IF('External Prices'!T$28&lt;&gt;"No",2,1)</f>
        <v>16009.0815</v>
      </c>
      <c r="AG16" s="175"/>
      <c r="AH16" s="103">
        <f>VLOOKUP($B16,'Cost prices'!$B$6:$H$538,7, FALSE)</f>
        <v>16009.0815</v>
      </c>
      <c r="AI16" s="103">
        <f>VLOOKUP($B16,'Cost prices'!$B$6:$H$538,7, FALSE)</f>
        <v>16009.0815</v>
      </c>
      <c r="AJ16" s="175"/>
      <c r="AK16" s="103">
        <f>VLOOKUP($B16,'Cost prices'!$B$6:$H$538,7, FALSE)</f>
        <v>16009.0815</v>
      </c>
      <c r="AL16" s="103">
        <f>VLOOKUP($B16,'Cost prices'!$B$6:$H$538,7, FALSE)</f>
        <v>16009.0815</v>
      </c>
      <c r="AM16" s="103">
        <f>VLOOKUP($B16,'Cost prices'!$B$6:$H$538,7, FALSE)*
IF('External Prices'!Y$28&lt;&gt;"No",2,1)</f>
        <v>32018.163</v>
      </c>
      <c r="AN16" s="175"/>
      <c r="AO16" s="103">
        <f>VLOOKUP($B16,'Cost prices'!$B$6:$H$538,7, FALSE)*
IF('External Prices'!Z$28&lt;&gt;"No",2,1)</f>
        <v>16009.0815</v>
      </c>
      <c r="AP16" s="103">
        <f>VLOOKUP($B16,'Cost prices'!$B$6:$H$538,7, FALSE)*
IF('External Prices'!AA$28&lt;&gt;"No",2,1)</f>
        <v>16009.0815</v>
      </c>
      <c r="AQ16" s="103">
        <f>VLOOKUP($B16,'Cost prices'!$B$6:$H$538,7, FALSE)*
IF('External Prices'!AB$28&lt;&gt;"No",2,1)</f>
        <v>32018.163</v>
      </c>
      <c r="AR16" s="175"/>
      <c r="AS16" s="175"/>
      <c r="AT16" s="175"/>
      <c r="AU16" s="175"/>
      <c r="AV16" s="175"/>
      <c r="AW16" s="175"/>
      <c r="AX16" s="175"/>
      <c r="AY16" s="175"/>
      <c r="AZ16" s="175"/>
      <c r="BA16" s="175"/>
      <c r="BB16" s="175"/>
      <c r="BC16" s="175"/>
      <c r="BD16" s="175"/>
      <c r="BE16" s="175"/>
      <c r="BF16" s="175"/>
      <c r="BG16" s="175"/>
    </row>
    <row r="17" spans="1:64" outlineLevel="1" x14ac:dyDescent="0.2">
      <c r="AI17" s="175"/>
    </row>
    <row r="18" spans="1:64" outlineLevel="1" x14ac:dyDescent="0.2">
      <c r="A18" s="175" t="s">
        <v>726</v>
      </c>
      <c r="AI18" s="175"/>
    </row>
    <row r="19" spans="1:64" outlineLevel="1" x14ac:dyDescent="0.2">
      <c r="B19" s="185" t="s">
        <v>13</v>
      </c>
      <c r="C19" s="186"/>
      <c r="E19" s="186"/>
      <c r="H19" s="175"/>
      <c r="J19" s="175"/>
      <c r="L19" s="186"/>
      <c r="M19" s="175"/>
      <c r="N19" s="175"/>
      <c r="O19" s="175"/>
      <c r="P19" s="175"/>
      <c r="Q19" s="175"/>
      <c r="R19" s="175"/>
      <c r="S19" s="175"/>
      <c r="T19" s="302"/>
      <c r="U19" s="175"/>
      <c r="V19" s="175"/>
      <c r="W19" s="175"/>
      <c r="X19" s="175"/>
      <c r="Y19" s="175"/>
      <c r="Z19" s="175"/>
      <c r="AA19" s="175"/>
      <c r="AD19" s="175"/>
      <c r="AE19" s="175"/>
      <c r="AF19" s="175"/>
      <c r="AG19" s="175"/>
      <c r="AH19" s="175"/>
      <c r="AI19" s="175"/>
      <c r="AJ19" s="175"/>
      <c r="AK19" s="175"/>
      <c r="AL19" s="175"/>
      <c r="AM19" s="175"/>
      <c r="AN19" s="175"/>
      <c r="AO19" s="175"/>
      <c r="AP19" s="175"/>
      <c r="AQ19" s="175"/>
      <c r="AR19" s="175"/>
      <c r="AS19" s="175"/>
      <c r="AT19" s="175"/>
      <c r="AU19" s="175"/>
      <c r="AV19" s="175"/>
      <c r="AW19" s="175"/>
      <c r="AX19" s="175"/>
      <c r="AY19" s="175"/>
      <c r="AZ19" s="175"/>
      <c r="BA19" s="175"/>
      <c r="BB19" s="175"/>
      <c r="BC19" s="175"/>
      <c r="BD19" s="175"/>
      <c r="BE19" s="175"/>
      <c r="BF19" s="175"/>
      <c r="BG19" s="175"/>
    </row>
    <row r="20" spans="1:64" outlineLevel="1" x14ac:dyDescent="0.2">
      <c r="A20" s="175" t="s">
        <v>74</v>
      </c>
      <c r="B20" s="185" t="s">
        <v>32</v>
      </c>
      <c r="C20" s="101"/>
      <c r="E20" s="103"/>
      <c r="F20" s="103"/>
      <c r="G20" s="103"/>
      <c r="H20" s="175"/>
      <c r="J20" s="175"/>
      <c r="K20" s="101"/>
      <c r="L20" s="103"/>
      <c r="M20" s="175"/>
      <c r="N20" s="175"/>
      <c r="O20" s="175"/>
      <c r="P20" s="175"/>
      <c r="Q20" s="175"/>
      <c r="R20" s="175"/>
      <c r="S20" s="175"/>
      <c r="T20" s="302"/>
      <c r="U20" s="175"/>
      <c r="V20" s="175"/>
      <c r="W20" s="175"/>
      <c r="X20" s="175"/>
      <c r="Y20" s="175"/>
      <c r="Z20" s="103">
        <f>VLOOKUP($B20,'Cost prices'!$B$6:$H$538,7, FALSE)</f>
        <v>473.67</v>
      </c>
      <c r="AA20" s="175"/>
      <c r="AB20" s="338"/>
      <c r="AC20" s="103"/>
      <c r="AD20" s="103">
        <f>VLOOKUP($B20,'Cost prices'!$B$6:$H$538,7, FALSE)</f>
        <v>473.67</v>
      </c>
      <c r="AE20" s="103">
        <f>VLOOKUP($B20,'Cost prices'!$B$6:$H$538,7, FALSE)*
IF('External Prices'!S$28&lt;&gt;"No",2,1)</f>
        <v>473.67</v>
      </c>
      <c r="AF20" s="103">
        <f>VLOOKUP($B20,'Cost prices'!$B$6:$H$538,7, FALSE)*
IF('External Prices'!T$28&lt;&gt;"No",2,1)</f>
        <v>473.67</v>
      </c>
      <c r="AG20" s="175"/>
      <c r="AH20" s="103">
        <f>VLOOKUP($B20,'Cost prices'!$B$6:$H$538,7, FALSE)</f>
        <v>473.67</v>
      </c>
      <c r="AI20" s="103">
        <f>VLOOKUP($B20,'Cost prices'!$B$6:$H$538,7, FALSE)</f>
        <v>473.67</v>
      </c>
      <c r="AJ20" s="175"/>
      <c r="AK20" s="103">
        <f>VLOOKUP($B20,'Cost prices'!$B$6:$H$538,7, FALSE)</f>
        <v>473.67</v>
      </c>
      <c r="AL20" s="103">
        <f>VLOOKUP($B20,'Cost prices'!$B$6:$H$538,7, FALSE)</f>
        <v>473.67</v>
      </c>
      <c r="AM20" s="103">
        <f>VLOOKUP($B20,'Cost prices'!$B$6:$H$538,7, FALSE)*
IF('External Prices'!Y$28&lt;&gt;"No",2,1)</f>
        <v>947.34</v>
      </c>
      <c r="AN20" s="175"/>
      <c r="AO20" s="103">
        <f>VLOOKUP($B20,'Cost prices'!$B$6:$H$538,7, FALSE)*
IF('External Prices'!Z$28&lt;&gt;"No",2,1)</f>
        <v>473.67</v>
      </c>
      <c r="AP20" s="103">
        <f>VLOOKUP($B20,'Cost prices'!$B$6:$H$538,7, FALSE)*
IF('External Prices'!AA$28&lt;&gt;"No",2,1)</f>
        <v>473.67</v>
      </c>
      <c r="AQ20" s="103">
        <f>VLOOKUP($B20,'Cost prices'!$B$6:$H$538,7, FALSE)*
IF('External Prices'!AB$28&lt;&gt;"No",2,1)</f>
        <v>947.34</v>
      </c>
      <c r="AR20" s="175"/>
      <c r="AS20" s="175"/>
      <c r="AT20" s="175"/>
      <c r="AU20" s="175"/>
      <c r="AV20" s="175"/>
      <c r="AW20" s="175"/>
      <c r="AX20" s="175"/>
      <c r="AY20" s="175"/>
      <c r="AZ20" s="175"/>
      <c r="BA20" s="175"/>
      <c r="BB20" s="175"/>
      <c r="BC20" s="175"/>
      <c r="BD20" s="175"/>
      <c r="BE20" s="175"/>
      <c r="BF20" s="175"/>
      <c r="BG20" s="175"/>
      <c r="BH20" s="103">
        <f>VLOOKUP($B20,'Cost prices'!$B$6:$H$538,7, FALSE)</f>
        <v>473.67</v>
      </c>
      <c r="BI20" s="137"/>
      <c r="BJ20" s="137"/>
    </row>
    <row r="21" spans="1:64" outlineLevel="1" x14ac:dyDescent="0.2">
      <c r="A21" s="175" t="s">
        <v>70</v>
      </c>
      <c r="B21" s="185" t="s">
        <v>34</v>
      </c>
      <c r="C21" s="101"/>
      <c r="E21" s="103"/>
      <c r="F21" s="103"/>
      <c r="G21" s="103"/>
      <c r="H21" s="175"/>
      <c r="J21" s="175"/>
      <c r="K21" s="101"/>
      <c r="L21" s="103"/>
      <c r="M21" s="175"/>
      <c r="N21" s="175"/>
      <c r="O21" s="175"/>
      <c r="P21" s="175"/>
      <c r="Q21" s="175"/>
      <c r="R21" s="175"/>
      <c r="S21" s="175"/>
      <c r="T21" s="302"/>
      <c r="U21" s="175"/>
      <c r="V21" s="175"/>
      <c r="W21" s="175"/>
      <c r="X21" s="175"/>
      <c r="Y21" s="175"/>
      <c r="Z21" s="103">
        <f>VLOOKUP($B21,'Cost prices'!$B$6:$H$538,7, FALSE)</f>
        <v>2083.3209000000002</v>
      </c>
      <c r="AA21" s="175"/>
      <c r="AB21" s="338"/>
      <c r="AC21" s="103"/>
      <c r="AD21" s="103">
        <f>VLOOKUP($B21,'Cost prices'!$B$6:$H$538,7, FALSE)</f>
        <v>2083.3209000000002</v>
      </c>
      <c r="AE21" s="103">
        <f>VLOOKUP($B21,'Cost prices'!$B$6:$H$538,7, FALSE)*
IF('External Prices'!S$28&lt;&gt;"No",2,1)</f>
        <v>2083.3209000000002</v>
      </c>
      <c r="AF21" s="103">
        <f>VLOOKUP($B21,'Cost prices'!$B$6:$H$538,7, FALSE)*
IF('External Prices'!T$28&lt;&gt;"No",2,1)</f>
        <v>2083.3209000000002</v>
      </c>
      <c r="AG21" s="175"/>
      <c r="AH21" s="103">
        <f>VLOOKUP($B21,'Cost prices'!$B$6:$H$538,7, FALSE)</f>
        <v>2083.3209000000002</v>
      </c>
      <c r="AI21" s="103">
        <f>VLOOKUP($B21,'Cost prices'!$B$6:$H$538,7, FALSE)</f>
        <v>2083.3209000000002</v>
      </c>
      <c r="AJ21" s="175"/>
      <c r="AK21" s="103">
        <f>VLOOKUP($B21,'Cost prices'!$B$6:$H$538,7, FALSE)</f>
        <v>2083.3209000000002</v>
      </c>
      <c r="AL21" s="103">
        <f>VLOOKUP($B21,'Cost prices'!$B$6:$H$538,7, FALSE)</f>
        <v>2083.3209000000002</v>
      </c>
      <c r="AM21" s="103">
        <f>VLOOKUP($B21,'Cost prices'!$B$6:$H$538,7, FALSE)*
IF('External Prices'!Y$28&lt;&gt;"No",2,1)</f>
        <v>4166.6418000000003</v>
      </c>
      <c r="AN21" s="175"/>
      <c r="AO21" s="103">
        <f>VLOOKUP($B21,'Cost prices'!$B$6:$H$538,7, FALSE)*
IF('External Prices'!Z$28&lt;&gt;"No",2,1)</f>
        <v>2083.3209000000002</v>
      </c>
      <c r="AP21" s="103">
        <f>VLOOKUP($B21,'Cost prices'!$B$6:$H$538,7, FALSE)*
IF('External Prices'!AA$28&lt;&gt;"No",2,1)</f>
        <v>2083.3209000000002</v>
      </c>
      <c r="AQ21" s="103">
        <f>VLOOKUP($B21,'Cost prices'!$B$6:$H$538,7, FALSE)*
IF('External Prices'!AB$28&lt;&gt;"No",2,1)</f>
        <v>4166.6418000000003</v>
      </c>
      <c r="AR21" s="175"/>
      <c r="AS21" s="175"/>
      <c r="AT21" s="175"/>
      <c r="AU21" s="175"/>
      <c r="AV21" s="175"/>
      <c r="AW21" s="175"/>
      <c r="AX21" s="175"/>
      <c r="AY21" s="175"/>
      <c r="AZ21" s="175"/>
      <c r="BA21" s="175"/>
      <c r="BB21" s="175"/>
      <c r="BC21" s="175"/>
      <c r="BD21" s="175"/>
      <c r="BE21" s="175"/>
      <c r="BF21" s="175"/>
      <c r="BG21" s="175"/>
      <c r="BH21" s="103">
        <f>VLOOKUP($B21,'Cost prices'!$B$6:$H$538,7, FALSE)</f>
        <v>2083.3209000000002</v>
      </c>
      <c r="BI21" s="137"/>
      <c r="BJ21" s="137"/>
    </row>
    <row r="22" spans="1:64" outlineLevel="1" x14ac:dyDescent="0.2">
      <c r="A22" s="175" t="s">
        <v>70</v>
      </c>
      <c r="B22" s="185" t="s">
        <v>33</v>
      </c>
      <c r="C22" s="101"/>
      <c r="E22" s="103"/>
      <c r="F22" s="103"/>
      <c r="G22" s="103"/>
      <c r="H22" s="175"/>
      <c r="J22" s="175"/>
      <c r="K22" s="101"/>
      <c r="L22" s="103"/>
      <c r="M22" s="175"/>
      <c r="N22" s="175"/>
      <c r="O22" s="175"/>
      <c r="P22" s="175"/>
      <c r="Q22" s="175"/>
      <c r="R22" s="175"/>
      <c r="S22" s="175"/>
      <c r="T22" s="302"/>
      <c r="U22" s="175"/>
      <c r="V22" s="175"/>
      <c r="W22" s="175"/>
      <c r="X22" s="175"/>
      <c r="Y22" s="175"/>
      <c r="Z22" s="103">
        <f>VLOOKUP($B22,'Cost prices'!$B$6:$H$538,7, FALSE)</f>
        <v>118.5213</v>
      </c>
      <c r="AA22" s="175"/>
      <c r="AB22" s="338"/>
      <c r="AC22" s="103"/>
      <c r="AD22" s="103">
        <f>VLOOKUP($B22,'Cost prices'!$B$6:$H$538,7, FALSE)</f>
        <v>118.5213</v>
      </c>
      <c r="AE22" s="103">
        <f>VLOOKUP($B22,'Cost prices'!$B$6:$H$538,7, FALSE)*
IF('External Prices'!S$28&lt;&gt;"No",2,1)</f>
        <v>118.5213</v>
      </c>
      <c r="AF22" s="103">
        <f>VLOOKUP($B22,'Cost prices'!$B$6:$H$538,7, FALSE)*
IF('External Prices'!T$28&lt;&gt;"No",2,1)</f>
        <v>118.5213</v>
      </c>
      <c r="AG22" s="175"/>
      <c r="AH22" s="103">
        <f>VLOOKUP($B22,'Cost prices'!$B$6:$H$538,7, FALSE)</f>
        <v>118.5213</v>
      </c>
      <c r="AI22" s="103">
        <f>VLOOKUP($B22,'Cost prices'!$B$6:$H$538,7, FALSE)</f>
        <v>118.5213</v>
      </c>
      <c r="AJ22" s="175"/>
      <c r="AK22" s="103">
        <f>VLOOKUP($B22,'Cost prices'!$B$6:$H$538,7, FALSE)</f>
        <v>118.5213</v>
      </c>
      <c r="AL22" s="103">
        <f>VLOOKUP($B22,'Cost prices'!$B$6:$H$538,7, FALSE)</f>
        <v>118.5213</v>
      </c>
      <c r="AM22" s="103">
        <f>VLOOKUP($B22,'Cost prices'!$B$6:$H$538,7, FALSE)*
IF('External Prices'!Y$28&lt;&gt;"No",2,1)</f>
        <v>237.04259999999999</v>
      </c>
      <c r="AN22" s="175"/>
      <c r="AO22" s="103">
        <f>VLOOKUP($B22,'Cost prices'!$B$6:$H$538,7, FALSE)*
IF('External Prices'!Z$28&lt;&gt;"No",2,1)</f>
        <v>118.5213</v>
      </c>
      <c r="AP22" s="103">
        <f>VLOOKUP($B22,'Cost prices'!$B$6:$H$538,7, FALSE)*
IF('External Prices'!AA$28&lt;&gt;"No",2,1)</f>
        <v>118.5213</v>
      </c>
      <c r="AQ22" s="103">
        <f>VLOOKUP($B22,'Cost prices'!$B$6:$H$538,7, FALSE)*
IF('External Prices'!AB$28&lt;&gt;"No",2,1)</f>
        <v>237.04259999999999</v>
      </c>
      <c r="AR22" s="175"/>
      <c r="AS22" s="175"/>
      <c r="AT22" s="175"/>
      <c r="AU22" s="175"/>
      <c r="AV22" s="175"/>
      <c r="AW22" s="175"/>
      <c r="AX22" s="175"/>
      <c r="AY22" s="175"/>
      <c r="AZ22" s="175"/>
      <c r="BA22" s="175"/>
      <c r="BB22" s="175"/>
      <c r="BC22" s="175"/>
      <c r="BD22" s="175"/>
      <c r="BE22" s="175"/>
      <c r="BF22" s="175"/>
      <c r="BG22" s="175"/>
      <c r="BH22" s="103">
        <f>VLOOKUP($B22,'Cost prices'!$B$6:$H$538,7, FALSE)</f>
        <v>118.5213</v>
      </c>
      <c r="BI22" s="137"/>
      <c r="BJ22" s="137"/>
    </row>
    <row r="23" spans="1:64" outlineLevel="1" x14ac:dyDescent="0.2">
      <c r="A23" s="175" t="s">
        <v>71</v>
      </c>
      <c r="B23" s="185" t="s">
        <v>72</v>
      </c>
      <c r="C23" s="101"/>
      <c r="E23" s="103"/>
      <c r="F23" s="103"/>
      <c r="G23" s="103"/>
      <c r="H23" s="175"/>
      <c r="J23" s="175"/>
      <c r="K23" s="101"/>
      <c r="L23" s="103"/>
      <c r="M23" s="175"/>
      <c r="N23" s="175"/>
      <c r="O23" s="175"/>
      <c r="P23" s="175"/>
      <c r="Q23" s="175"/>
      <c r="R23" s="175"/>
      <c r="S23" s="175"/>
      <c r="T23" s="302"/>
      <c r="U23" s="175"/>
      <c r="V23" s="175"/>
      <c r="W23" s="175"/>
      <c r="X23" s="175"/>
      <c r="Y23" s="175"/>
      <c r="Z23" s="103">
        <f>VLOOKUP($B23,'Cost prices'!$B$6:$H$538,7, FALSE)</f>
        <v>593</v>
      </c>
      <c r="AA23" s="175"/>
      <c r="AB23" s="338"/>
      <c r="AC23" s="103"/>
      <c r="AD23" s="103">
        <f>VLOOKUP($B23,'Cost prices'!$B$6:$H$538,7, FALSE)</f>
        <v>593</v>
      </c>
      <c r="AE23" s="103">
        <f>VLOOKUP($B23,'Cost prices'!$B$6:$H$538,7, FALSE)*
IF('External Prices'!S$28&lt;&gt;"No",2,1)</f>
        <v>593</v>
      </c>
      <c r="AF23" s="103">
        <f>VLOOKUP($B23,'Cost prices'!$B$6:$H$538,7, FALSE)*
IF('External Prices'!T$28&lt;&gt;"No",2,1)</f>
        <v>593</v>
      </c>
      <c r="AG23" s="175"/>
      <c r="AH23" s="103">
        <f>VLOOKUP($B23,'Cost prices'!$B$6:$H$538,7, FALSE)</f>
        <v>593</v>
      </c>
      <c r="AI23" s="103">
        <f>VLOOKUP($B23,'Cost prices'!$B$6:$H$538,7, FALSE)</f>
        <v>593</v>
      </c>
      <c r="AJ23" s="175"/>
      <c r="AK23" s="103">
        <f>VLOOKUP($B23,'Cost prices'!$B$6:$H$538,7, FALSE)</f>
        <v>593</v>
      </c>
      <c r="AL23" s="103">
        <f>VLOOKUP($B23,'Cost prices'!$B$6:$H$538,7, FALSE)</f>
        <v>593</v>
      </c>
      <c r="AM23" s="103">
        <f>VLOOKUP($B23,'Cost prices'!$B$6:$H$538,7, FALSE)*
IF('External Prices'!Y$28&lt;&gt;"No",2,1)</f>
        <v>1186</v>
      </c>
      <c r="AN23" s="175"/>
      <c r="AO23" s="103">
        <f>VLOOKUP($B23,'Cost prices'!$B$6:$H$538,7, FALSE)*
IF('External Prices'!Z$28&lt;&gt;"No",2,1)</f>
        <v>593</v>
      </c>
      <c r="AP23" s="103">
        <f>VLOOKUP($B23,'Cost prices'!$B$6:$H$538,7, FALSE)*
IF('External Prices'!AA$28&lt;&gt;"No",2,1)</f>
        <v>593</v>
      </c>
      <c r="AQ23" s="103">
        <f>VLOOKUP($B23,'Cost prices'!$B$6:$H$538,7, FALSE)*
IF('External Prices'!AB$28&lt;&gt;"No",2,1)</f>
        <v>1186</v>
      </c>
      <c r="AR23" s="175"/>
      <c r="AS23" s="175"/>
      <c r="AT23" s="175"/>
      <c r="AU23" s="175"/>
      <c r="AV23" s="175"/>
      <c r="AW23" s="175"/>
      <c r="AX23" s="175"/>
      <c r="AY23" s="175"/>
      <c r="AZ23" s="175"/>
      <c r="BA23" s="175"/>
      <c r="BB23" s="175"/>
      <c r="BC23" s="175"/>
      <c r="BD23" s="175"/>
      <c r="BE23" s="175"/>
      <c r="BF23" s="175"/>
      <c r="BG23" s="175"/>
      <c r="BH23" s="103">
        <f>VLOOKUP($B23,'Cost prices'!$B$6:$H$538,7, FALSE)</f>
        <v>593</v>
      </c>
      <c r="BI23" s="137"/>
      <c r="BJ23" s="137"/>
    </row>
    <row r="24" spans="1:64" outlineLevel="1" x14ac:dyDescent="0.2">
      <c r="A24" s="175" t="s">
        <v>71</v>
      </c>
      <c r="B24" s="185" t="s">
        <v>114</v>
      </c>
      <c r="C24" s="101"/>
      <c r="E24" s="103"/>
      <c r="F24" s="103"/>
      <c r="G24" s="103"/>
      <c r="H24" s="103" t="s">
        <v>261</v>
      </c>
      <c r="J24" s="175"/>
      <c r="K24" s="101"/>
      <c r="L24" s="103"/>
      <c r="M24" s="175"/>
      <c r="N24" s="175"/>
      <c r="O24" s="175"/>
      <c r="P24" s="175"/>
      <c r="Q24" s="175"/>
      <c r="R24" s="103"/>
      <c r="S24" s="103"/>
      <c r="T24" s="302"/>
      <c r="U24" s="175"/>
      <c r="V24" s="175"/>
      <c r="W24" s="175"/>
      <c r="X24" s="175"/>
      <c r="Y24" s="175"/>
      <c r="Z24" s="175"/>
      <c r="AA24" s="175"/>
      <c r="AB24" s="103"/>
      <c r="AC24" s="103"/>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row>
    <row r="25" spans="1:64" outlineLevel="1" x14ac:dyDescent="0.2">
      <c r="A25" s="175" t="s">
        <v>1535</v>
      </c>
      <c r="B25" s="185" t="s">
        <v>1535</v>
      </c>
      <c r="C25" s="101"/>
      <c r="E25" s="103" t="s">
        <v>261</v>
      </c>
      <c r="F25" s="103" t="s">
        <v>261</v>
      </c>
      <c r="G25" s="103"/>
      <c r="H25" s="103" t="s">
        <v>1426</v>
      </c>
      <c r="J25" s="103" t="s">
        <v>261</v>
      </c>
      <c r="L25" s="103" t="str">
        <f>IFERROR(
  VLOOKUP(
    IF('External Prices'!I18="MARTIN","M16x2 ø60",IF('External Prices'!I18="NGI","XH65-M16 x 150/85-M16 x 50","")),
    'Cost prices'!$B$6:$H$376,
    7,
    FALSE
  )*7,
"")</f>
        <v/>
      </c>
      <c r="M25" s="103"/>
      <c r="N25" s="201" t="str">
        <f>IFERROR(
  VLOOKUP(
    IF('External Prices'!J18="MARTIN","M16x2 ø60",IF('External Prices'!J18="NGI","XH65-M16 x 150/85-M16 x 50","")),
    'Cost prices'!$B$6:$H$376,
    7,
    FALSE
  )*4,
"")</f>
        <v/>
      </c>
      <c r="O25" s="103"/>
      <c r="P25" s="103" t="str">
        <f>IFERROR(
  VLOOKUP(
    IF('External Prices'!K18="MARTIN","M16x2 ø60",IF('External Prices'!K18="NGI","XH65-M16 x 150/85-M16 x 50","")),
    'Cost prices'!$B$6:$H$376,
    7,
    FALSE
  )*4,
"")</f>
        <v/>
      </c>
      <c r="Q25" s="103"/>
      <c r="R25" s="103">
        <f>IFERROR(
  VLOOKUP(
    IF('External Prices'!L18="MARTIN","M16x2 ø60",IF('External Prices'!L18="NGI","XH65-M16 x 150/85-M16 x 50","")),
    'Cost prices'!$B$6:$H$376,
    7,
    FALSE
  )*7,
"")</f>
        <v>2056.67</v>
      </c>
      <c r="S25" s="103"/>
      <c r="T25" s="263" t="e">
        <f>VLOOKUP($B25,'Cost prices'!$B$6:$H$376,7, FALSE)*S25</f>
        <v>#N/A</v>
      </c>
      <c r="U25" s="103"/>
      <c r="V25" s="103">
        <f>IFERROR(
  VLOOKUP(
    IF('External Prices'!N18="MARTIN","M16x2 ø60",IF('External Prices'!N18="NGI","XH65-M16 x 150/85-M16 x 50","")),
    'Cost prices'!$B$6:$H$376,
    7,
    FALSE
  )*7,
"")</f>
        <v>2056.67</v>
      </c>
      <c r="W25" s="103"/>
      <c r="X25" s="103"/>
      <c r="Y25" s="103"/>
      <c r="Z25" s="175"/>
      <c r="AA25" s="175"/>
      <c r="AB25" s="103"/>
      <c r="AC25" s="103"/>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03">
        <f>'Cost prices'!$H$244*4</f>
        <v>842.77839999999992</v>
      </c>
      <c r="BF25" s="103"/>
      <c r="BG25" s="175"/>
      <c r="BL25" s="103">
        <f>'Cost prices'!$H$244*4</f>
        <v>842.77839999999992</v>
      </c>
    </row>
    <row r="26" spans="1:64" outlineLevel="1" x14ac:dyDescent="0.2">
      <c r="B26" s="185" t="s">
        <v>14</v>
      </c>
      <c r="E26" s="103">
        <f>VLOOKUP('External Prices'!E14,'Cost prices'!$B$6:$H$538,7, FALSE)</f>
        <v>11970.57</v>
      </c>
      <c r="F26" s="103">
        <f>VLOOKUP('External Prices'!F14,'Cost prices'!$B$6:$H$538,7, FALSE)</f>
        <v>11970.57</v>
      </c>
      <c r="G26" s="103"/>
      <c r="H26" s="103">
        <f>VLOOKUP('External Prices'!G14,'Cost prices'!$B$6:$H$538,7, FALSE)</f>
        <v>11970.57</v>
      </c>
      <c r="J26" s="103">
        <f>VLOOKUP('External Prices'!H14,'Cost prices'!$B$6:$H$538,7, FALSE)</f>
        <v>11970.57</v>
      </c>
      <c r="L26" s="103">
        <f>VLOOKUP('External Prices'!I14,'Cost prices'!$B$6:$H$538,7, FALSE)</f>
        <v>9301.92</v>
      </c>
      <c r="M26" s="103"/>
      <c r="N26" s="103">
        <f>VLOOKUP('External Prices'!J14,'Cost prices'!$B$6:$H$538,7, FALSE)</f>
        <v>9301.92</v>
      </c>
      <c r="O26" s="103"/>
      <c r="P26" s="103">
        <f>VLOOKUP('External Prices'!K14,'Cost prices'!$B$6:$H$538,7, FALSE)</f>
        <v>11970.57</v>
      </c>
      <c r="Q26" s="103"/>
      <c r="R26" s="103">
        <f>VLOOKUP('External Prices'!L14,'Cost prices'!$B$6:$H$538,7, FALSE)</f>
        <v>11970.57</v>
      </c>
      <c r="S26" s="103"/>
      <c r="T26" s="263">
        <f>VLOOKUP('External Prices'!L14,'Cost prices'!$B$6:$H$538,7, FALSE)</f>
        <v>11970.57</v>
      </c>
      <c r="U26" s="103"/>
      <c r="V26" s="103">
        <f>VLOOKUP('External Prices'!N14,'Cost prices'!$B$6:$H$538,7, FALSE)</f>
        <v>11970.57</v>
      </c>
      <c r="W26" s="103"/>
      <c r="X26" s="103">
        <f>VLOOKUP('External Prices'!O14,'Cost prices'!$B$6:$H$538,7, FALSE)</f>
        <v>11970.57</v>
      </c>
      <c r="Y26" s="103"/>
      <c r="Z26" s="103">
        <f>VLOOKUP('External Prices'!P14,'Cost prices'!$B$6:$H$538,7, FALSE)</f>
        <v>11970.57</v>
      </c>
      <c r="AA26" s="175"/>
      <c r="AB26" s="101">
        <f>9473+1500</f>
        <v>10973</v>
      </c>
      <c r="AD26" s="103">
        <f>VLOOKUP('External Prices'!R14,'Cost prices'!$B$6:$H$538,7, FALSE)</f>
        <v>11970.57</v>
      </c>
      <c r="AE26" s="103">
        <f>VLOOKUP('External Prices'!S14,'Cost prices'!$B$6:$H$538,7, FALSE)*
IF('External Prices'!S$28&lt;&gt;"No",2,1)</f>
        <v>11970.57</v>
      </c>
      <c r="AF26" s="103">
        <f>VLOOKUP('External Prices'!T14,'Cost prices'!$B$6:$H$538,7, FALSE)*
IF('External Prices'!T$28&lt;&gt;"No",2,1)</f>
        <v>11970.57</v>
      </c>
      <c r="AG26" s="175"/>
      <c r="AH26" s="103">
        <f>VLOOKUP('External Prices'!U14,'Cost prices'!$B$6:$H$538,7, FALSE)</f>
        <v>11970.57</v>
      </c>
      <c r="AI26" s="103">
        <f>VLOOKUP('External Prices'!V14,'Cost prices'!$B$6:$H$538,7, FALSE)</f>
        <v>11970.57</v>
      </c>
      <c r="AJ26" s="175"/>
      <c r="AK26" s="103">
        <f>VLOOKUP('External Prices'!W14,'Cost prices'!$B$6:$H$538,7, FALSE)</f>
        <v>11970.57</v>
      </c>
      <c r="AL26" s="103">
        <f>VLOOKUP('External Prices'!X14,'Cost prices'!$B$6:$H$538,7, FALSE)</f>
        <v>17983.920000000002</v>
      </c>
      <c r="AM26" s="103">
        <f>VLOOKUP('External Prices'!Y14,'Cost prices'!$B$6:$H$538,7, FALSE)*
IF('External Prices'!Y$28&lt;&gt;"No",2,1)</f>
        <v>32995.840000000004</v>
      </c>
      <c r="AN26" s="175"/>
      <c r="AO26" s="103">
        <f>VLOOKUP('External Prices'!Z14,'Cost prices'!$B$6:$H$538,7, FALSE)*
IF('External Prices'!Z$28&lt;&gt;"No",2,1)</f>
        <v>11970.57</v>
      </c>
      <c r="AP26" s="103">
        <f>VLOOKUP('External Prices'!AA14,'Cost prices'!$B$6:$H$538,7, FALSE)*
IF('External Prices'!AA$28&lt;&gt;"No",2,1)</f>
        <v>11970.57</v>
      </c>
      <c r="AQ26" s="103">
        <f>VLOOKUP('External Prices'!AB14,'Cost prices'!$B$6:$H$538,7, FALSE)*
IF('External Prices'!AB$28&lt;&gt;"No",2,1)</f>
        <v>32995.840000000004</v>
      </c>
      <c r="AR26" s="175"/>
      <c r="AS26" s="103">
        <f>VLOOKUP(AS$1,'Cost prices'!$B$6:$H$538,7, FALSE)</f>
        <v>13054</v>
      </c>
      <c r="AT26" s="103">
        <f>VLOOKUP(AT$1,'Cost prices'!$B$6:$H$538,7, FALSE)</f>
        <v>14016</v>
      </c>
      <c r="AU26" s="103">
        <f>VLOOKUP(AU$1,'Cost prices'!$B$6:$H$538,7, FALSE)</f>
        <v>14978</v>
      </c>
      <c r="AV26" s="103">
        <f>VLOOKUP(AV$1,'Cost prices'!$B$6:$H$538,7, FALSE)</f>
        <v>17663</v>
      </c>
      <c r="AW26" s="103">
        <f>VLOOKUP(AW$1,'Cost prices'!$B$6:$H$538,7, FALSE)</f>
        <v>11990</v>
      </c>
      <c r="AX26" s="103"/>
      <c r="AY26" s="103"/>
      <c r="AZ26" s="103"/>
      <c r="BA26" s="103"/>
      <c r="BB26" s="103"/>
      <c r="BC26" s="103"/>
      <c r="BD26" s="103"/>
      <c r="BE26" s="175"/>
      <c r="BF26" s="175"/>
      <c r="BG26" s="175"/>
    </row>
    <row r="27" spans="1:64" outlineLevel="1" x14ac:dyDescent="0.2">
      <c r="A27" s="175" t="s">
        <v>116</v>
      </c>
      <c r="B27" s="185" t="s">
        <v>1498</v>
      </c>
      <c r="E27" s="103"/>
      <c r="F27" s="103"/>
      <c r="G27" s="103"/>
      <c r="H27" s="175"/>
      <c r="J27" s="175"/>
      <c r="L27" s="103"/>
      <c r="M27" s="175"/>
      <c r="N27" s="175"/>
      <c r="O27" s="175"/>
      <c r="P27" s="175"/>
      <c r="Q27" s="175"/>
      <c r="R27" s="175"/>
      <c r="S27" s="175"/>
      <c r="T27" s="302"/>
      <c r="U27" s="175"/>
      <c r="V27" s="175"/>
      <c r="W27" s="175"/>
      <c r="X27" s="175"/>
      <c r="Y27" s="175"/>
      <c r="Z27" s="175"/>
      <c r="AA27" s="175"/>
      <c r="AD27" s="175"/>
      <c r="AE27" s="175"/>
      <c r="AF27" s="175"/>
      <c r="AG27" s="175"/>
      <c r="AH27" s="175"/>
      <c r="AI27" s="175"/>
      <c r="AJ27" s="175"/>
      <c r="AK27" s="175"/>
      <c r="AL27" s="175"/>
      <c r="AM27" s="175"/>
      <c r="AN27" s="175"/>
      <c r="AO27" s="175"/>
      <c r="AP27" s="175"/>
      <c r="AQ27" s="175"/>
      <c r="AR27" s="175"/>
      <c r="AS27" s="103">
        <f>VLOOKUP($B27,'Cost prices'!$B$6:$H$538,7, FALSE)</f>
        <v>12612.03</v>
      </c>
      <c r="AT27" s="103">
        <f>VLOOKUP($B27,'Cost prices'!$B$6:$H$538,7, FALSE)</f>
        <v>12612.03</v>
      </c>
      <c r="AU27" s="103">
        <f>VLOOKUP($B27,'Cost prices'!$B$6:$H$538,7, FALSE)</f>
        <v>12612.03</v>
      </c>
      <c r="AV27" s="103">
        <f>VLOOKUP($B27,'Cost prices'!$B$6:$H$538,7, FALSE)</f>
        <v>12612.03</v>
      </c>
      <c r="AW27" s="103">
        <f>VLOOKUP($B27,'Cost prices'!$B$6:$H$538,7, FALSE)</f>
        <v>12612.03</v>
      </c>
      <c r="AX27" s="133" t="s">
        <v>209</v>
      </c>
      <c r="AY27" s="133" t="s">
        <v>209</v>
      </c>
      <c r="AZ27" s="133" t="s">
        <v>209</v>
      </c>
      <c r="BA27" s="133" t="s">
        <v>209</v>
      </c>
      <c r="BB27" s="133"/>
      <c r="BC27" s="133"/>
      <c r="BD27" s="133"/>
      <c r="BE27" s="175"/>
      <c r="BF27" s="175"/>
      <c r="BG27" s="175"/>
    </row>
    <row r="28" spans="1:64" ht="16" outlineLevel="1" thickBot="1" x14ac:dyDescent="0.25">
      <c r="A28" s="175" t="s">
        <v>109</v>
      </c>
      <c r="B28" s="187" t="s">
        <v>115</v>
      </c>
      <c r="C28" s="107"/>
      <c r="E28" s="103"/>
      <c r="F28" s="103"/>
      <c r="G28" s="176"/>
      <c r="H28" s="103"/>
      <c r="I28" s="176"/>
      <c r="J28" s="103"/>
      <c r="L28" s="103"/>
      <c r="M28" s="103"/>
      <c r="N28" s="103"/>
      <c r="O28" s="103"/>
      <c r="P28" s="103"/>
      <c r="Q28" s="103"/>
      <c r="R28" s="103"/>
      <c r="S28" s="103"/>
      <c r="T28" s="263"/>
      <c r="U28" s="103"/>
      <c r="V28" s="103"/>
      <c r="W28" s="103"/>
      <c r="X28" s="103"/>
      <c r="Y28" s="103"/>
      <c r="Z28" s="188"/>
      <c r="AA28" s="188"/>
      <c r="AB28" s="176"/>
      <c r="AC28" s="176"/>
      <c r="AD28" s="188"/>
      <c r="AE28" s="188"/>
      <c r="AF28" s="188"/>
      <c r="AG28" s="188"/>
      <c r="AH28" s="188"/>
      <c r="AI28" s="175"/>
      <c r="AJ28" s="188"/>
      <c r="AK28" s="188"/>
      <c r="AL28" s="188"/>
      <c r="AM28" s="188"/>
      <c r="AN28" s="188"/>
      <c r="AO28" s="188"/>
      <c r="AP28" s="188"/>
      <c r="AQ28" s="188"/>
      <c r="AR28" s="188"/>
      <c r="AS28" s="188"/>
      <c r="AT28" s="176"/>
      <c r="AU28" s="176"/>
      <c r="AV28" s="176">
        <f>$C$28</f>
        <v>0</v>
      </c>
      <c r="AW28" s="176"/>
      <c r="AX28" s="176"/>
      <c r="AY28" s="176"/>
      <c r="AZ28" s="176"/>
      <c r="BA28" s="176"/>
      <c r="BB28" s="176"/>
      <c r="BC28" s="176"/>
      <c r="BD28" s="176"/>
      <c r="BE28" s="188"/>
      <c r="BF28" s="188"/>
      <c r="BG28" s="188"/>
      <c r="BH28" s="176"/>
      <c r="BI28" s="176"/>
      <c r="BJ28" s="176"/>
      <c r="BK28" s="182"/>
    </row>
    <row r="29" spans="1:64" s="111" customFormat="1" ht="14" outlineLevel="1" thickBot="1" x14ac:dyDescent="0.2">
      <c r="B29" s="94" t="s">
        <v>182</v>
      </c>
      <c r="C29" s="189"/>
      <c r="E29" s="186"/>
      <c r="F29" s="186"/>
      <c r="G29" s="182"/>
      <c r="H29" s="186"/>
      <c r="I29" s="182"/>
      <c r="J29" s="186"/>
      <c r="K29" s="186"/>
      <c r="L29" s="186"/>
      <c r="M29" s="186"/>
      <c r="N29" s="186"/>
      <c r="O29" s="186"/>
      <c r="P29" s="186"/>
      <c r="Q29" s="186"/>
      <c r="R29" s="186"/>
      <c r="S29" s="186"/>
      <c r="T29" s="303"/>
      <c r="U29" s="186"/>
      <c r="V29" s="186"/>
      <c r="W29" s="186"/>
      <c r="X29" s="186"/>
      <c r="Y29" s="186"/>
      <c r="Z29" s="182"/>
      <c r="AA29" s="182"/>
      <c r="AB29" s="182"/>
      <c r="AC29" s="182"/>
      <c r="AD29" s="182"/>
      <c r="AE29" s="182"/>
      <c r="AF29" s="182"/>
      <c r="AG29" s="182"/>
      <c r="AH29" s="182"/>
      <c r="AJ29" s="182"/>
      <c r="AK29" s="182"/>
      <c r="AL29" s="182"/>
      <c r="AM29" s="182"/>
      <c r="AN29" s="182"/>
      <c r="AO29" s="182"/>
      <c r="AP29" s="182"/>
      <c r="AQ29" s="182"/>
      <c r="AR29" s="182"/>
      <c r="AS29" s="182"/>
      <c r="AT29" s="182"/>
      <c r="AU29" s="182"/>
      <c r="AV29" s="182"/>
      <c r="AW29" s="182"/>
      <c r="AX29" s="182"/>
      <c r="AY29" s="182"/>
      <c r="AZ29" s="182"/>
      <c r="BA29" s="182"/>
      <c r="BB29" s="182"/>
      <c r="BC29" s="182"/>
      <c r="BD29" s="182"/>
      <c r="BE29" s="182"/>
      <c r="BF29" s="182"/>
      <c r="BG29" s="182"/>
      <c r="BH29" s="182"/>
      <c r="BI29" s="190">
        <v>500</v>
      </c>
      <c r="BJ29" s="191"/>
      <c r="BK29" s="182"/>
    </row>
    <row r="30" spans="1:64" outlineLevel="1" x14ac:dyDescent="0.2">
      <c r="B30" s="185" t="s">
        <v>200</v>
      </c>
      <c r="C30" s="189"/>
      <c r="E30" s="189" t="s">
        <v>39</v>
      </c>
      <c r="F30" s="189" t="s">
        <v>39</v>
      </c>
      <c r="G30" s="176"/>
      <c r="H30" s="189" t="s">
        <v>39</v>
      </c>
      <c r="I30" s="176"/>
      <c r="J30" s="189" t="s">
        <v>39</v>
      </c>
      <c r="L30" s="189" t="s">
        <v>39</v>
      </c>
      <c r="M30" s="189"/>
      <c r="N30" s="189" t="s">
        <v>39</v>
      </c>
      <c r="O30" s="189"/>
      <c r="P30" s="189" t="s">
        <v>39</v>
      </c>
      <c r="Q30" s="189"/>
      <c r="R30" s="189" t="s">
        <v>39</v>
      </c>
      <c r="S30" s="189"/>
      <c r="T30" s="304" t="s">
        <v>39</v>
      </c>
      <c r="U30" s="189"/>
      <c r="V30" s="189" t="s">
        <v>39</v>
      </c>
      <c r="W30" s="189"/>
      <c r="X30" s="189" t="s">
        <v>39</v>
      </c>
      <c r="Y30" s="189"/>
      <c r="Z30" s="189" t="s">
        <v>39</v>
      </c>
      <c r="AA30" s="188"/>
      <c r="AB30" s="189" t="s">
        <v>39</v>
      </c>
      <c r="AC30" s="176"/>
      <c r="AD30" s="189" t="s">
        <v>39</v>
      </c>
      <c r="AE30" s="189" t="s">
        <v>39</v>
      </c>
      <c r="AF30" s="189" t="s">
        <v>39</v>
      </c>
      <c r="AG30" s="188"/>
      <c r="AH30" s="189" t="s">
        <v>39</v>
      </c>
      <c r="AI30" s="189" t="s">
        <v>39</v>
      </c>
      <c r="AJ30" s="188"/>
      <c r="AK30" s="189" t="s">
        <v>39</v>
      </c>
      <c r="AL30" s="189" t="s">
        <v>39</v>
      </c>
      <c r="AM30" s="189" t="s">
        <v>39</v>
      </c>
      <c r="AN30" s="188"/>
      <c r="AO30" s="189" t="s">
        <v>39</v>
      </c>
      <c r="AP30" s="189" t="s">
        <v>39</v>
      </c>
      <c r="AQ30" s="189" t="s">
        <v>39</v>
      </c>
      <c r="AR30" s="188"/>
      <c r="AS30" s="176" t="s">
        <v>87</v>
      </c>
      <c r="AT30" s="176" t="s">
        <v>87</v>
      </c>
      <c r="AU30" s="176" t="s">
        <v>87</v>
      </c>
      <c r="AV30" s="176" t="s">
        <v>87</v>
      </c>
      <c r="AW30" s="176" t="s">
        <v>87</v>
      </c>
      <c r="AX30" s="103">
        <f>VLOOKUP(AX$1,'Cost prices'!$B$6:$H$538,7, FALSE)</f>
        <v>9683.25</v>
      </c>
      <c r="AY30" s="103">
        <f>VLOOKUP(AY$1,'Cost prices'!$B$6:$H$538,7, FALSE)</f>
        <v>11919.75</v>
      </c>
      <c r="AZ30" s="103">
        <f>VLOOKUP(AZ$1,'Cost prices'!$B$6:$H$538,7, FALSE)</f>
        <v>13715.25</v>
      </c>
      <c r="BA30" s="103">
        <f>VLOOKUP(BA$1,'Cost prices'!$B$6:$H$538,7, FALSE)</f>
        <v>15510.75</v>
      </c>
      <c r="BB30" s="103"/>
      <c r="BC30" s="103"/>
      <c r="BD30" s="103"/>
      <c r="BE30" s="188"/>
      <c r="BF30" s="188"/>
      <c r="BG30" s="188"/>
      <c r="BH30" s="176"/>
      <c r="BI30" s="176"/>
      <c r="BJ30" s="176"/>
      <c r="BK30" s="182"/>
    </row>
    <row r="31" spans="1:64" outlineLevel="1" x14ac:dyDescent="0.2">
      <c r="A31" s="175" t="s">
        <v>823</v>
      </c>
      <c r="B31" s="185" t="s">
        <v>200</v>
      </c>
      <c r="C31" s="189"/>
      <c r="E31" s="189"/>
      <c r="F31" s="189"/>
      <c r="G31" s="176"/>
      <c r="H31" s="189"/>
      <c r="I31" s="176"/>
      <c r="J31" s="189"/>
      <c r="L31" s="189"/>
      <c r="M31" s="189"/>
      <c r="N31" s="189"/>
      <c r="O31" s="189"/>
      <c r="P31" s="189"/>
      <c r="Q31" s="189"/>
      <c r="R31" s="189"/>
      <c r="S31" s="189"/>
      <c r="T31" s="304"/>
      <c r="U31" s="189"/>
      <c r="V31" s="189"/>
      <c r="W31" s="189"/>
      <c r="X31" s="189"/>
      <c r="Y31" s="189"/>
      <c r="Z31" s="189"/>
      <c r="AA31" s="188"/>
      <c r="AB31" s="189"/>
      <c r="AC31" s="176"/>
      <c r="AD31" s="189"/>
      <c r="AE31" s="189"/>
      <c r="AF31" s="189"/>
      <c r="AG31" s="188"/>
      <c r="AH31" s="189"/>
      <c r="AI31" s="189"/>
      <c r="AJ31" s="188"/>
      <c r="AK31" s="189"/>
      <c r="AL31" s="189"/>
      <c r="AM31" s="189"/>
      <c r="AN31" s="188"/>
      <c r="AO31" s="189"/>
      <c r="AP31" s="189"/>
      <c r="AQ31" s="189"/>
      <c r="AR31" s="188"/>
      <c r="AS31" s="176"/>
      <c r="AT31" s="176"/>
      <c r="AU31" s="176"/>
      <c r="AV31" s="176"/>
      <c r="AW31" s="176"/>
      <c r="AX31" s="103"/>
      <c r="AY31" s="103"/>
      <c r="AZ31" s="103"/>
      <c r="BA31" s="103"/>
      <c r="BB31" s="103">
        <f>'Cost prices'!H388</f>
        <v>138517.23000000001</v>
      </c>
      <c r="BC31" s="103">
        <f>'Cost prices'!H389</f>
        <v>126658.56</v>
      </c>
      <c r="BD31" s="103">
        <f>'Cost prices'!H408</f>
        <v>180863.25</v>
      </c>
      <c r="BE31" s="188"/>
      <c r="BF31" s="188"/>
      <c r="BG31" s="188"/>
      <c r="BH31" s="176"/>
      <c r="BI31" s="176"/>
      <c r="BJ31" s="176"/>
      <c r="BK31" s="182"/>
    </row>
    <row r="32" spans="1:64" outlineLevel="1" x14ac:dyDescent="0.2">
      <c r="C32" s="189"/>
      <c r="E32" s="176"/>
      <c r="F32" s="176"/>
      <c r="G32" s="176"/>
      <c r="H32" s="188"/>
      <c r="I32" s="176"/>
      <c r="J32" s="188"/>
      <c r="L32" s="176"/>
      <c r="M32" s="188"/>
      <c r="N32" s="188"/>
      <c r="O32" s="188"/>
      <c r="P32" s="188"/>
      <c r="Q32" s="188"/>
      <c r="R32" s="188"/>
      <c r="S32" s="188"/>
      <c r="T32" s="305"/>
      <c r="U32" s="188"/>
      <c r="V32" s="188"/>
      <c r="W32" s="188"/>
      <c r="X32" s="188"/>
      <c r="Y32" s="188"/>
      <c r="Z32" s="188"/>
      <c r="AA32" s="188"/>
      <c r="AB32" s="176"/>
      <c r="AC32" s="176"/>
      <c r="AD32" s="188"/>
      <c r="AE32" s="188"/>
      <c r="AF32" s="188"/>
      <c r="AG32" s="188"/>
      <c r="AH32" s="188"/>
      <c r="AI32" s="188"/>
      <c r="AJ32" s="188"/>
      <c r="AK32" s="188"/>
      <c r="AL32" s="188"/>
      <c r="AM32" s="188"/>
      <c r="AN32" s="188"/>
      <c r="AO32" s="188"/>
      <c r="AP32" s="188"/>
      <c r="AQ32" s="188"/>
      <c r="AR32" s="188"/>
      <c r="AS32" s="188"/>
      <c r="AT32" s="176"/>
      <c r="AU32" s="176"/>
      <c r="AV32" s="176"/>
      <c r="AW32" s="176"/>
      <c r="AX32" s="176"/>
      <c r="AY32" s="176"/>
      <c r="AZ32" s="176"/>
      <c r="BA32" s="176"/>
      <c r="BB32" s="176"/>
      <c r="BC32" s="176"/>
      <c r="BD32" s="176"/>
      <c r="BE32" s="188"/>
      <c r="BF32" s="188"/>
      <c r="BG32" s="188"/>
      <c r="BH32" s="176"/>
      <c r="BI32" s="176"/>
      <c r="BJ32" s="176"/>
      <c r="BK32" s="182"/>
    </row>
    <row r="33" spans="1:63" outlineLevel="1" x14ac:dyDescent="0.2">
      <c r="A33" s="192" t="s">
        <v>106</v>
      </c>
      <c r="B33" s="185" t="s">
        <v>472</v>
      </c>
      <c r="C33" s="101"/>
      <c r="E33" s="103">
        <f>VLOOKUP(E$1,'Cost prices'!$B$6:$H$538,7, FALSE)</f>
        <v>14905.000000000002</v>
      </c>
      <c r="F33" s="103">
        <f>VLOOKUP(F$1,'Cost prices'!$B$6:$H$538,7, FALSE)</f>
        <v>26290.000000000004</v>
      </c>
      <c r="G33" s="137"/>
      <c r="H33" s="103">
        <f>VLOOKUP(H$1,'Cost prices'!$B$6:$H$538,7, FALSE)</f>
        <v>51590.000000000007</v>
      </c>
      <c r="J33" s="103">
        <f>VLOOKUP(J$1,'Cost prices'!$B$6:$H$538,7, FALSE)</f>
        <v>90310.000000000015</v>
      </c>
      <c r="L33" s="103"/>
      <c r="M33" s="103"/>
      <c r="N33" s="103"/>
      <c r="O33" s="103"/>
      <c r="P33" s="103"/>
      <c r="Q33" s="103"/>
      <c r="R33" s="103"/>
      <c r="S33" s="103"/>
      <c r="T33" s="263"/>
      <c r="U33" s="103"/>
      <c r="V33" s="137"/>
      <c r="W33" s="137"/>
      <c r="X33" s="137"/>
      <c r="Y33" s="137"/>
    </row>
    <row r="34" spans="1:63" outlineLevel="1" x14ac:dyDescent="0.2">
      <c r="A34" s="101"/>
      <c r="B34" s="94" t="s">
        <v>27</v>
      </c>
      <c r="C34" s="107"/>
      <c r="E34" s="193"/>
      <c r="F34" s="193"/>
      <c r="G34" s="193"/>
      <c r="H34" s="193"/>
      <c r="I34" s="176"/>
      <c r="J34" s="176"/>
      <c r="L34" s="193"/>
      <c r="M34" s="176"/>
      <c r="N34" s="176"/>
      <c r="O34" s="176"/>
      <c r="P34" s="176"/>
      <c r="Q34" s="176"/>
      <c r="R34" s="176"/>
      <c r="S34" s="176"/>
      <c r="T34" s="300"/>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176"/>
      <c r="BA34" s="176"/>
      <c r="BB34" s="176"/>
      <c r="BC34" s="176"/>
      <c r="BD34" s="176"/>
      <c r="BE34" s="176"/>
      <c r="BF34" s="176"/>
      <c r="BG34" s="103">
        <f>VLOOKUP(BG$1,'Cost prices'!$B$6:$H$538,7, FALSE)</f>
        <v>4796</v>
      </c>
      <c r="BH34" s="176"/>
      <c r="BI34" s="176"/>
      <c r="BJ34" s="176"/>
      <c r="BK34" s="182">
        <v>1500</v>
      </c>
    </row>
    <row r="35" spans="1:63" outlineLevel="1" x14ac:dyDescent="0.2">
      <c r="A35" s="101"/>
      <c r="B35" s="94" t="s">
        <v>10</v>
      </c>
      <c r="C35" s="107"/>
      <c r="E35" s="193"/>
      <c r="F35" s="193"/>
      <c r="G35" s="193"/>
      <c r="H35" s="193"/>
      <c r="I35" s="176"/>
      <c r="J35" s="176"/>
      <c r="L35" s="193"/>
      <c r="M35" s="176"/>
      <c r="N35" s="176"/>
      <c r="O35" s="176"/>
      <c r="P35" s="176"/>
      <c r="Q35" s="176"/>
      <c r="R35" s="176"/>
      <c r="S35" s="176"/>
      <c r="T35" s="300"/>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176"/>
      <c r="BA35" s="176"/>
      <c r="BB35" s="176"/>
      <c r="BC35" s="176"/>
      <c r="BD35" s="176"/>
      <c r="BE35" s="103">
        <f>VLOOKUP($B35,'Cost prices'!$B$6:$H$538,7, FALSE)</f>
        <v>13134.000000000002</v>
      </c>
      <c r="BF35" s="103"/>
      <c r="BG35" s="176"/>
      <c r="BH35" s="176"/>
      <c r="BI35" s="176"/>
      <c r="BJ35" s="176"/>
      <c r="BK35" s="182">
        <f>8*600</f>
        <v>4800</v>
      </c>
    </row>
    <row r="36" spans="1:63" outlineLevel="1" x14ac:dyDescent="0.2">
      <c r="A36" s="101"/>
      <c r="B36" s="94" t="s">
        <v>113</v>
      </c>
      <c r="C36" s="107"/>
      <c r="E36" s="193"/>
      <c r="F36" s="193"/>
      <c r="G36" s="193"/>
      <c r="H36" s="193"/>
      <c r="I36" s="176"/>
      <c r="J36" s="176"/>
      <c r="L36" s="193"/>
      <c r="M36" s="176"/>
      <c r="N36" s="176"/>
      <c r="O36" s="176"/>
      <c r="P36" s="176"/>
      <c r="Q36" s="176"/>
      <c r="R36" s="176"/>
      <c r="S36" s="176"/>
      <c r="T36" s="300"/>
      <c r="U36" s="176"/>
      <c r="V36" s="176"/>
      <c r="W36" s="176"/>
      <c r="X36" s="176"/>
      <c r="Y36" s="176"/>
      <c r="Z36" s="176"/>
      <c r="AA36" s="176"/>
      <c r="AB36" s="176"/>
      <c r="AC36" s="176"/>
      <c r="AD36" s="176"/>
      <c r="AE36" s="176"/>
      <c r="AF36" s="176"/>
      <c r="AG36" s="176"/>
      <c r="AH36" s="176"/>
      <c r="AI36" s="176"/>
      <c r="AJ36" s="176"/>
      <c r="AK36" s="176"/>
      <c r="AL36" s="176"/>
      <c r="AM36" s="176"/>
      <c r="AN36" s="176"/>
      <c r="AO36" s="176"/>
      <c r="AP36" s="176"/>
      <c r="AQ36" s="176"/>
      <c r="AR36" s="176"/>
      <c r="AS36" s="103">
        <f>VLOOKUP($B36,'Cost prices'!$B$6:$H$538,7, FALSE)</f>
        <v>5720.0000000000009</v>
      </c>
      <c r="AT36" s="103">
        <f>VLOOKUP($B36,'Cost prices'!$B$6:$H$538,7, FALSE)</f>
        <v>5720.0000000000009</v>
      </c>
      <c r="AU36" s="103">
        <f>VLOOKUP($B36,'Cost prices'!$B$6:$H$538,7, FALSE)</f>
        <v>5720.0000000000009</v>
      </c>
      <c r="AV36" s="103">
        <f>VLOOKUP($B36,'Cost prices'!$B$6:$H$538,7, FALSE)</f>
        <v>5720.0000000000009</v>
      </c>
      <c r="AW36" s="103">
        <f>VLOOKUP($B36,'Cost prices'!$B$6:$H$538,7, FALSE)</f>
        <v>5720.0000000000009</v>
      </c>
      <c r="AX36" s="103">
        <f>VLOOKUP($B36,'Cost prices'!$B$6:$H$538,7, FALSE)</f>
        <v>5720.0000000000009</v>
      </c>
      <c r="AY36" s="103">
        <f>VLOOKUP($B36,'Cost prices'!$B$6:$H$538,7, FALSE)</f>
        <v>5720.0000000000009</v>
      </c>
      <c r="AZ36" s="103">
        <f>VLOOKUP($B36,'Cost prices'!$B$6:$H$538,7, FALSE)</f>
        <v>5720.0000000000009</v>
      </c>
      <c r="BA36" s="103">
        <f>VLOOKUP($B36,'Cost prices'!$B$6:$H$538,7, FALSE)</f>
        <v>5720.0000000000009</v>
      </c>
      <c r="BB36" s="103"/>
      <c r="BC36" s="103"/>
      <c r="BD36" s="103"/>
      <c r="BE36" s="176"/>
      <c r="BF36" s="176"/>
      <c r="BG36" s="176"/>
      <c r="BH36" s="176"/>
      <c r="BI36" s="176"/>
      <c r="BJ36" s="176"/>
      <c r="BK36" s="182"/>
    </row>
    <row r="37" spans="1:63" ht="16" outlineLevel="1" thickBot="1" x14ac:dyDescent="0.25">
      <c r="A37" s="101"/>
      <c r="B37" s="94" t="s">
        <v>112</v>
      </c>
      <c r="C37" s="107"/>
      <c r="E37" s="193"/>
      <c r="F37" s="193"/>
      <c r="G37" s="193"/>
      <c r="H37" s="133"/>
      <c r="I37" s="176"/>
      <c r="J37" s="193"/>
      <c r="L37" s="193"/>
      <c r="M37" s="193"/>
      <c r="N37" s="193"/>
      <c r="O37" s="193"/>
      <c r="P37" s="193"/>
      <c r="Q37" s="193"/>
      <c r="R37" s="193"/>
      <c r="S37" s="193"/>
      <c r="T37" s="306"/>
      <c r="U37" s="193"/>
      <c r="V37" s="193"/>
      <c r="W37" s="193"/>
      <c r="X37" s="193"/>
      <c r="Y37" s="193"/>
      <c r="Z37" s="176"/>
      <c r="AA37" s="176"/>
      <c r="AB37" s="176"/>
      <c r="AC37" s="176"/>
      <c r="AD37" s="176"/>
      <c r="AE37" s="176"/>
      <c r="AF37" s="176"/>
      <c r="AG37" s="176"/>
      <c r="AH37" s="176"/>
      <c r="AI37" s="176"/>
      <c r="AJ37" s="176"/>
      <c r="AK37" s="176"/>
      <c r="AL37" s="176"/>
      <c r="AM37" s="176"/>
      <c r="AN37" s="176"/>
      <c r="AO37" s="176"/>
      <c r="AP37" s="176"/>
      <c r="AQ37" s="176"/>
      <c r="AR37" s="176"/>
      <c r="AS37" s="176"/>
      <c r="AT37" s="176"/>
      <c r="AU37" s="176"/>
      <c r="AV37" s="176"/>
      <c r="AW37" s="176"/>
      <c r="AX37" s="176"/>
      <c r="AY37" s="176"/>
      <c r="AZ37" s="176"/>
      <c r="BA37" s="176"/>
      <c r="BB37" s="176"/>
      <c r="BC37" s="176"/>
      <c r="BD37" s="176"/>
      <c r="BE37" s="176"/>
      <c r="BF37" s="176"/>
      <c r="BG37" s="176"/>
      <c r="BH37" s="176"/>
      <c r="BI37" s="176"/>
      <c r="BJ37" s="176"/>
      <c r="BK37" s="182"/>
    </row>
    <row r="38" spans="1:63" ht="16" outlineLevel="1" thickBot="1" x14ac:dyDescent="0.25">
      <c r="B38" s="185" t="s">
        <v>184</v>
      </c>
      <c r="C38" s="189"/>
      <c r="E38" s="133"/>
      <c r="F38" s="133"/>
      <c r="G38" s="193"/>
      <c r="H38" s="133"/>
      <c r="I38" s="176"/>
      <c r="J38" s="133"/>
      <c r="L38" s="133"/>
      <c r="M38" s="133"/>
      <c r="N38" s="133"/>
      <c r="O38" s="133"/>
      <c r="P38" s="133"/>
      <c r="Q38" s="133"/>
      <c r="R38" s="133"/>
      <c r="S38" s="133"/>
      <c r="T38" s="307"/>
      <c r="U38" s="133"/>
      <c r="V38" s="133"/>
      <c r="W38" s="133"/>
      <c r="X38" s="133"/>
      <c r="Y38" s="133"/>
      <c r="Z38" s="188"/>
      <c r="AA38" s="188"/>
      <c r="AB38" s="176"/>
      <c r="AC38" s="176"/>
      <c r="AD38" s="188"/>
      <c r="AE38" s="188"/>
      <c r="AF38" s="188"/>
      <c r="AG38" s="188"/>
      <c r="AH38" s="188"/>
      <c r="AI38" s="188"/>
      <c r="AJ38" s="188"/>
      <c r="AK38" s="188"/>
      <c r="AL38" s="188"/>
      <c r="AM38" s="188"/>
      <c r="AN38" s="188"/>
      <c r="AO38" s="188"/>
      <c r="AP38" s="188"/>
      <c r="AQ38" s="188"/>
      <c r="AR38" s="188"/>
      <c r="AS38" s="188"/>
      <c r="AT38" s="176"/>
      <c r="AU38" s="176"/>
      <c r="AV38" s="176"/>
      <c r="AW38" s="176"/>
      <c r="AX38" s="176"/>
      <c r="AY38" s="176"/>
      <c r="AZ38" s="176"/>
      <c r="BA38" s="176"/>
      <c r="BB38" s="176"/>
      <c r="BC38" s="176"/>
      <c r="BD38" s="176"/>
      <c r="BE38" s="188"/>
      <c r="BF38" s="188"/>
      <c r="BG38" s="188"/>
      <c r="BH38" s="176"/>
      <c r="BI38" s="194">
        <v>500</v>
      </c>
      <c r="BJ38" s="191"/>
      <c r="BK38" s="182"/>
    </row>
    <row r="39" spans="1:63" outlineLevel="1" x14ac:dyDescent="0.2">
      <c r="B39" s="185" t="s">
        <v>260</v>
      </c>
      <c r="BH39" s="103">
        <f>VLOOKUP($B39,'Cost prices'!$B$6:$H$538,7, FALSE)</f>
        <v>720.50000000000011</v>
      </c>
    </row>
    <row r="40" spans="1:63" outlineLevel="1" x14ac:dyDescent="0.2">
      <c r="B40" s="158"/>
      <c r="E40" s="133"/>
      <c r="F40" s="133"/>
      <c r="G40" s="133"/>
      <c r="K40" s="101"/>
      <c r="L40" s="133"/>
    </row>
    <row r="41" spans="1:63" outlineLevel="1" x14ac:dyDescent="0.2">
      <c r="B41" s="195" t="s">
        <v>28</v>
      </c>
      <c r="C41" s="101"/>
      <c r="E41" s="133"/>
      <c r="F41" s="133"/>
      <c r="G41" s="133"/>
      <c r="K41" s="101"/>
      <c r="L41" s="133"/>
      <c r="W41" s="196" t="s">
        <v>79</v>
      </c>
      <c r="Y41" s="196" t="s">
        <v>8</v>
      </c>
      <c r="AC41" s="196" t="s">
        <v>79</v>
      </c>
      <c r="AG41" s="196" t="s">
        <v>79</v>
      </c>
      <c r="AJ41" s="196" t="s">
        <v>79</v>
      </c>
      <c r="AN41" s="196" t="s">
        <v>79</v>
      </c>
    </row>
    <row r="42" spans="1:63" outlineLevel="1" x14ac:dyDescent="0.2">
      <c r="A42" s="175" t="s">
        <v>548</v>
      </c>
      <c r="B42" s="94" t="s">
        <v>1348</v>
      </c>
      <c r="C42" s="101"/>
      <c r="E42" s="133"/>
      <c r="F42" s="133"/>
      <c r="G42" s="133"/>
      <c r="K42" s="101"/>
      <c r="L42" s="133"/>
      <c r="Z42" s="103"/>
      <c r="AC42" s="196">
        <v>0</v>
      </c>
      <c r="AD42" s="287">
        <f>IF($AC42="x","incl",VLOOKUP($B42,'Cost prices'!$B$6:$H$538,7,FALSE)*$AC42)</f>
        <v>0</v>
      </c>
      <c r="AE42" s="287">
        <f>IF($AC42="x","incl",VLOOKUP($B42,'Cost prices'!$B$6:$H$538,7,FALSE)*$AC42)</f>
        <v>0</v>
      </c>
      <c r="AF42" s="287">
        <f>IF($AC42="x","incl",VLOOKUP($B42,'Cost prices'!$B$6:$H$538,7,FALSE)*$AC42)</f>
        <v>0</v>
      </c>
      <c r="AG42" s="196">
        <v>40</v>
      </c>
      <c r="AH42" s="103">
        <f>IF($AG42="x","incl",VLOOKUP($B42,'Cost prices'!$B$6:$H$538,7,FALSE)*$AG42)</f>
        <v>1090.1600000000001</v>
      </c>
      <c r="AI42" s="103">
        <f>IF($AG42="x","incl",VLOOKUP($B42,'Cost prices'!$B$6:$H$538,7,FALSE)*$AG42)</f>
        <v>1090.1600000000001</v>
      </c>
      <c r="AJ42" s="196">
        <v>40</v>
      </c>
      <c r="AK42" s="103">
        <f>IF($AJ42="x","incl",VLOOKUP($B42,'Cost prices'!$B$6:$H$538,7,FALSE)*$AJ42)</f>
        <v>1090.1600000000001</v>
      </c>
      <c r="AL42" s="103">
        <f>IF($AJ42="x","incl",VLOOKUP($B42,'Cost prices'!$B$6:$H$538,7,FALSE)*$AJ42)</f>
        <v>1090.1600000000001</v>
      </c>
      <c r="AM42" s="103">
        <f>IF($AJ42="x","incl",VLOOKUP($B42,'Cost prices'!$B$6:$H$538,7,FALSE)*$AJ42)</f>
        <v>1090.1600000000001</v>
      </c>
      <c r="AN42" s="196">
        <v>40</v>
      </c>
      <c r="AO42" s="103">
        <f>IF($AN42="x","incl",VLOOKUP($B42,'Cost prices'!$B$6:$H$538,7,FALSE)*$AN42)</f>
        <v>1090.1600000000001</v>
      </c>
      <c r="AP42" s="103">
        <f>IF($AN42="x","incl",VLOOKUP($B42,'Cost prices'!$B$6:$H$538,7,FALSE)*$AN42)</f>
        <v>1090.1600000000001</v>
      </c>
      <c r="AQ42" s="103">
        <f>IF($AN42="x","incl",VLOOKUP($B42,'Cost prices'!$B$6:$H$538,7,FALSE)*$AN42)</f>
        <v>1090.1600000000001</v>
      </c>
    </row>
    <row r="43" spans="1:63" outlineLevel="1" x14ac:dyDescent="0.2">
      <c r="A43" s="175" t="s">
        <v>56</v>
      </c>
      <c r="B43" s="185" t="s">
        <v>705</v>
      </c>
      <c r="C43" s="197"/>
      <c r="E43" s="133"/>
      <c r="F43" s="133"/>
      <c r="G43" s="133"/>
      <c r="K43" s="101"/>
      <c r="L43" s="133"/>
      <c r="Y43" s="196"/>
      <c r="Z43" s="103" cm="1">
        <f t="array" ref="Z43">IFERROR(
  VLOOKUP(
    _xlfn.SWITCH('External Prices'!P19,
      "EBORA EU","SITE GLASS WITH WIPER",
      "NO NAME CN","SITE GLASS CN",
      ""
    ),
    'Cost prices'!$B$6:$H$376,7,FALSE
  )*1,
"")</f>
        <v>6528.5443999999998</v>
      </c>
      <c r="AC43" s="196"/>
      <c r="AD43" s="103" t="str" cm="1">
        <f t="array" ref="AD43">IFERROR(
  VLOOKUP(
    _xlfn.SWITCH('External Prices'!R19,
      "EBORA EU","SITE GLASS WITH WIPER",
      "NO NAME CN","SITE GLASS CN",
      ""
    ),
    'Cost prices'!$B$6:$H$376,7,FALSE
  )*1,
"")</f>
        <v/>
      </c>
      <c r="AE43" s="103" t="str" cm="1">
        <f t="array" ref="AE43">IFERROR(
  VLOOKUP(
    _xlfn.SWITCH('External Prices'!S19,
      "EBORA EU","SITE GLASS WITH WIPER",
      "NO NAME CN","SITE GLASS CN",
      ""
    ),
    'Cost prices'!$B$6:$H$376,7,FALSE
  )*1,
"")</f>
        <v/>
      </c>
      <c r="AF43" s="103" t="str" cm="1">
        <f t="array" ref="AF43">IFERROR(
  VLOOKUP(
    _xlfn.SWITCH('External Prices'!T19,
      "EBORA EU","SITE GLASS WITH WIPER",
      "NO NAME CN","SITE GLASS CN",
      ""
    ),
    'Cost prices'!$B$6:$H$376,7,FALSE
  )*1,
"")</f>
        <v/>
      </c>
      <c r="AG43" s="196"/>
      <c r="AH43" s="103" cm="1">
        <f t="array" ref="AH43">IFERROR(
  VLOOKUP(
    _xlfn.SWITCH('External Prices'!U19,
      "EBORA EU","SITE GLASS WITH WIPER",
      "NO NAME CN","SITE GLASS CN",
      ""
    ),
    'Cost prices'!$B$6:$H$376,7,FALSE
  )*1,
"")</f>
        <v>6528.5443999999998</v>
      </c>
      <c r="AI43" s="103" cm="1">
        <f t="array" ref="AI43">IFERROR(
  VLOOKUP(
    _xlfn.SWITCH('External Prices'!V19,
      "EBORA EU","SITE GLASS WITH WIPER",
      "NO NAME CN","SITE GLASS CN",
      ""
    ),
    'Cost prices'!$B$6:$H$376,7,FALSE
  )*1,
"")</f>
        <v>6528.5443999999998</v>
      </c>
      <c r="AJ43" s="196"/>
      <c r="AK43" s="103" cm="1">
        <f t="array" ref="AK43">IFERROR(
  VLOOKUP(
    _xlfn.SWITCH('External Prices'!W19,
      "EBORA EU","SITE GLASS WITH WIPER",
      "NO NAME CN","SITE GLASS CN",
      ""
    ),
    'Cost prices'!$B$6:$H$376,7,FALSE
  )*1,
"")</f>
        <v>6528.5443999999998</v>
      </c>
      <c r="AL43" s="103" cm="1">
        <f t="array" ref="AL43">IFERROR(
  VLOOKUP(
    _xlfn.SWITCH('External Prices'!X19,
      "EBORA EU","SITE GLASS WITH WIPER",
      "NO NAME CN","SITE GLASS CN",
      ""
    ),
    'Cost prices'!$B$6:$H$376,7,FALSE
  )*1,
"")</f>
        <v>6528.5443999999998</v>
      </c>
      <c r="AM43" s="103" cm="1">
        <f t="array" ref="AM43">IFERROR(
  VLOOKUP(
    _xlfn.SWITCH('External Prices'!Y19,
      "EBORA EU","SITE GLASS WITH WIPER",
      "NO NAME CN","SITE GLASS CN",
      ""
    ),
    'Cost prices'!$B$6:$H$376,7,FALSE
  )*1,
"")</f>
        <v>6528.5443999999998</v>
      </c>
      <c r="AN43" s="196"/>
      <c r="AO43" s="103" cm="1">
        <f t="array" ref="AO43">IFERROR(
  VLOOKUP(
    _xlfn.SWITCH('External Prices'!Z19,
      "EBORA EU","SITE GLASS WITH WIPER",
      "NO NAME CN","SITE GLASS CN",
      ""
    ),
    'Cost prices'!$B$6:$H$376,7,FALSE
  )*1,
"")</f>
        <v>6528.5443999999998</v>
      </c>
      <c r="AP43" s="103" cm="1">
        <f t="array" ref="AP43">IFERROR(
  VLOOKUP(
    _xlfn.SWITCH('External Prices'!AA19,
      "EBORA EU","SITE GLASS WITH WIPER",
      "NO NAME CN","SITE GLASS CN",
      ""
    ),
    'Cost prices'!$B$6:$H$376,7,FALSE
  )*1,
"")</f>
        <v>6528.5443999999998</v>
      </c>
      <c r="AQ43" s="103" cm="1">
        <f t="array" ref="AQ43">IFERROR(
  VLOOKUP(
    _xlfn.SWITCH('External Prices'!AB19,
      "EBORA EU","SITE GLASS WITH WIPER",
      "NO NAME CN","SITE GLASS CN",
      ""
    ),
    'Cost prices'!$B$6:$H$376,7,FALSE
  )*1,
"")</f>
        <v>6528.5443999999998</v>
      </c>
      <c r="AR43" s="107"/>
      <c r="AS43" s="107"/>
      <c r="AT43" s="107"/>
      <c r="AU43" s="107"/>
      <c r="AV43" s="107"/>
      <c r="AW43" s="107"/>
      <c r="AX43" s="107"/>
      <c r="AY43" s="107"/>
      <c r="AZ43" s="107"/>
      <c r="BA43" s="107"/>
      <c r="BB43" s="107"/>
      <c r="BC43" s="107"/>
      <c r="BD43" s="107"/>
      <c r="BE43" s="107"/>
      <c r="BF43" s="107"/>
      <c r="BG43" s="107"/>
      <c r="BH43" s="107"/>
      <c r="BI43" s="107"/>
      <c r="BJ43" s="107"/>
      <c r="BK43" s="189"/>
    </row>
    <row r="44" spans="1:63" outlineLevel="1" x14ac:dyDescent="0.2">
      <c r="A44" s="175" t="s">
        <v>56</v>
      </c>
      <c r="B44" s="185" t="s">
        <v>47</v>
      </c>
      <c r="C44" s="197"/>
      <c r="E44" s="133"/>
      <c r="F44" s="133"/>
      <c r="G44" s="133"/>
      <c r="K44" s="101"/>
      <c r="L44" s="133"/>
      <c r="Y44" s="196"/>
      <c r="Z44" s="103" cm="1">
        <f t="array" ref="Z44">IFERROR(
  VLOOKUP(
    _xlfn.SWITCH('External Prices'!P19,
      "EBORA EU","SITE GLASS WITH LIGHT",
      "NO NAME CN","SITE GLASS CN",
      ""
    ),
    'Cost prices'!$B$6:$H$376,7,FALSE
  )*1,
"")</f>
        <v>9228.7660000000014</v>
      </c>
      <c r="AC44" s="196"/>
      <c r="AD44" s="103" t="str" cm="1">
        <f t="array" ref="AD44">IFERROR(
  VLOOKUP(
    _xlfn.SWITCH('External Prices'!R19,
      "EBORA EU","SITE GLASS WITH LIGHT",
      "NO NAME CN","SITE GLASS CN",
      ""
    ),
    'Cost prices'!$B$6:$H$376,7,FALSE
  )*1,
"")</f>
        <v/>
      </c>
      <c r="AE44" s="103" t="str" cm="1">
        <f t="array" ref="AE44">IFERROR(
  VLOOKUP(
    _xlfn.SWITCH('External Prices'!S19,
      "EBORA EU","SITE GLASS WITH LIGHT",
      "NO NAME CN","SITE GLASS CN",
      ""
    ),
    'Cost prices'!$B$6:$H$376,7,FALSE
  )*1,
"")</f>
        <v/>
      </c>
      <c r="AF44" s="103" t="str" cm="1">
        <f t="array" ref="AF44">IFERROR(
  VLOOKUP(
    _xlfn.SWITCH('External Prices'!T19,
      "EBORA EU","SITE GLASS WITH LIGHT",
      "NO NAME CN","SITE GLASS CN",
      ""
    ),
    'Cost prices'!$B$6:$H$376,7,FALSE
  )*1,
"")</f>
        <v/>
      </c>
      <c r="AG44" s="196"/>
      <c r="AH44" s="103" cm="1">
        <f t="array" ref="AH44">IFERROR(
  VLOOKUP(
    _xlfn.SWITCH('External Prices'!U19,
      "EBORA EU","SITE GLASS WITH LIGHT",
      "NO NAME CN","SITE GLASS CN",
      ""
    ),
    'Cost prices'!$B$6:$H$376,7,FALSE
  )*1,
"")</f>
        <v>9228.7660000000014</v>
      </c>
      <c r="AI44" s="103" cm="1">
        <f t="array" ref="AI44">IFERROR(
  VLOOKUP(
    _xlfn.SWITCH('External Prices'!V19,
      "EBORA EU","SITE GLASS WITH LIGHT",
      "NO NAME CN","SITE GLASS CN",
      ""
    ),
    'Cost prices'!$B$6:$H$376,7,FALSE
  )*1,
"")</f>
        <v>9228.7660000000014</v>
      </c>
      <c r="AJ44" s="196"/>
      <c r="AK44" s="103" cm="1">
        <f t="array" ref="AK44">IFERROR(
  VLOOKUP(
    _xlfn.SWITCH('External Prices'!W19,
      "EBORA EU","SITE GLASS WITH LIGHT",
      "NO NAME CN","SITE GLASS CN",
      ""
    ),
    'Cost prices'!$B$6:$H$376,7,FALSE
  )*1,
"")</f>
        <v>9228.7660000000014</v>
      </c>
      <c r="AL44" s="103" cm="1">
        <f t="array" ref="AL44">IFERROR(
  VLOOKUP(
    _xlfn.SWITCH('External Prices'!X19,
      "EBORA EU","SITE GLASS WITH LIGHT",
      "NO NAME CN","SITE GLASS CN",
      ""
    ),
    'Cost prices'!$B$6:$H$376,7,FALSE
  )*1,
"")</f>
        <v>9228.7660000000014</v>
      </c>
      <c r="AM44" s="103" cm="1">
        <f t="array" ref="AM44">IFERROR(
  VLOOKUP(
    _xlfn.SWITCH('External Prices'!Y19,
      "EBORA EU","SITE GLASS WITH LIGHT",
      "NO NAME CN","SITE GLASS CN",
      ""
    ),
    'Cost prices'!$B$6:$H$376,7,FALSE
  )*1,
"")</f>
        <v>9228.7660000000014</v>
      </c>
      <c r="AN44" s="196"/>
      <c r="AO44" s="103" cm="1">
        <f t="array" ref="AO44">IFERROR(
  VLOOKUP(
    _xlfn.SWITCH('External Prices'!Z19,
      "EBORA EU","SITE GLASS WITH LIGHT",
      "NO NAME CN","SITE GLASS CN",
      ""
    ),
    'Cost prices'!$B$6:$H$376,7,FALSE
  )*1,
"")</f>
        <v>9228.7660000000014</v>
      </c>
      <c r="AP44" s="103" cm="1">
        <f t="array" ref="AP44">IFERROR(
  VLOOKUP(
    _xlfn.SWITCH('External Prices'!AA19,
      "EBORA EU","SITE GLASS WITH LIGHT",
      "NO NAME CN","SITE GLASS CN",
      ""
    ),
    'Cost prices'!$B$6:$H$376,7,FALSE
  )*1,
"")</f>
        <v>9228.7660000000014</v>
      </c>
      <c r="AQ44" s="103" cm="1">
        <f t="array" ref="AQ44">IFERROR(
  VLOOKUP(
    _xlfn.SWITCH('External Prices'!AB19,
      "EBORA EU","SITE GLASS WITH LIGHT",
      "NO NAME CN","SITE GLASS CN",
      ""
    ),
    'Cost prices'!$B$6:$H$376,7,FALSE
  )*1,
"")</f>
        <v>9228.7660000000014</v>
      </c>
      <c r="AR44" s="107"/>
      <c r="AS44" s="107"/>
      <c r="AT44" s="107"/>
      <c r="AU44" s="107"/>
      <c r="AV44" s="107"/>
      <c r="AW44" s="107"/>
      <c r="AX44" s="107"/>
      <c r="AY44" s="107"/>
      <c r="AZ44" s="107"/>
      <c r="BA44" s="107"/>
      <c r="BB44" s="107"/>
      <c r="BC44" s="107"/>
      <c r="BD44" s="107"/>
      <c r="BE44" s="107"/>
      <c r="BF44" s="107"/>
      <c r="BG44" s="107"/>
      <c r="BH44" s="107"/>
      <c r="BI44" s="107"/>
      <c r="BJ44" s="107"/>
      <c r="BK44" s="189"/>
    </row>
    <row r="45" spans="1:63" outlineLevel="1" x14ac:dyDescent="0.2">
      <c r="A45" s="175" t="s">
        <v>55</v>
      </c>
      <c r="B45" s="185" t="s">
        <v>679</v>
      </c>
      <c r="C45" s="197"/>
      <c r="E45" s="133"/>
      <c r="F45" s="133"/>
      <c r="G45" s="133"/>
      <c r="K45" s="101"/>
      <c r="L45" s="133"/>
      <c r="Z45" s="103"/>
      <c r="AC45" s="196">
        <v>0</v>
      </c>
      <c r="AD45" s="287">
        <f>IF($AC45="x","incl",VLOOKUP($B45,'Cost prices'!$B$6:$H$538,7,FALSE)*$AC45)</f>
        <v>0</v>
      </c>
      <c r="AE45" s="287">
        <f>IF($AC45="x","incl",VLOOKUP($B45,'Cost prices'!$B$6:$H$538,7,FALSE)*$AC45)</f>
        <v>0</v>
      </c>
      <c r="AF45" s="287">
        <f>IF($AC45="x","incl",VLOOKUP($B45,'Cost prices'!$B$6:$H$538,7,FALSE)*$AC45)</f>
        <v>0</v>
      </c>
      <c r="AG45" s="196">
        <v>1</v>
      </c>
      <c r="AH45" s="103">
        <f>IF($AG45="x","incl",VLOOKUP($B45,'Cost prices'!$B$6:$H$538,7,FALSE)*$AG45)</f>
        <v>541.88</v>
      </c>
      <c r="AI45" s="103">
        <f>IF($AG45="x","incl",VLOOKUP($B45,'Cost prices'!$B$6:$H$538,7,FALSE)*$AG45)</f>
        <v>541.88</v>
      </c>
      <c r="AJ45" s="196">
        <v>1</v>
      </c>
      <c r="AK45" s="103">
        <f>IF($AJ45="x","incl",VLOOKUP($B45,'Cost prices'!$B$6:$H$538,7,FALSE)*$AJ45)</f>
        <v>541.88</v>
      </c>
      <c r="AL45" s="103">
        <f>IF($AJ45="x","incl",VLOOKUP($B45,'Cost prices'!$B$6:$H$538,7,FALSE)*$AJ45)</f>
        <v>541.88</v>
      </c>
      <c r="AM45" s="103">
        <f>IF($AJ45="x","incl",VLOOKUP($B45,'Cost prices'!$B$6:$H$538,7,FALSE)*$AJ45)</f>
        <v>541.88</v>
      </c>
      <c r="AN45" s="196">
        <v>1</v>
      </c>
      <c r="AO45" s="103">
        <f>IF($AN45="x","incl",VLOOKUP($B45,'Cost prices'!$B$6:$H$538,7,FALSE)*$AN45)</f>
        <v>541.88</v>
      </c>
      <c r="AP45" s="103">
        <f>IF($AN45="x","incl",VLOOKUP($B45,'Cost prices'!$B$6:$H$538,7,FALSE)*$AN45)</f>
        <v>541.88</v>
      </c>
      <c r="AQ45" s="103">
        <f>IF($AN45="x","incl",VLOOKUP($B45,'Cost prices'!$B$6:$H$538,7,FALSE)*$AN45)</f>
        <v>541.88</v>
      </c>
      <c r="AR45" s="107"/>
      <c r="AS45" s="107"/>
      <c r="AT45" s="107"/>
      <c r="AU45" s="107"/>
      <c r="AV45" s="107"/>
      <c r="AW45" s="107"/>
      <c r="AX45" s="107"/>
      <c r="AY45" s="107"/>
      <c r="AZ45" s="107"/>
      <c r="BA45" s="107"/>
      <c r="BB45" s="107"/>
      <c r="BC45" s="107"/>
      <c r="BD45" s="107"/>
      <c r="BE45" s="107"/>
      <c r="BF45" s="107"/>
      <c r="BG45" s="107"/>
      <c r="BH45" s="107"/>
      <c r="BI45" s="107"/>
      <c r="BJ45" s="107"/>
      <c r="BK45" s="189"/>
    </row>
    <row r="46" spans="1:63" outlineLevel="1" x14ac:dyDescent="0.2">
      <c r="A46" s="175" t="s">
        <v>56</v>
      </c>
      <c r="B46" s="198" t="s">
        <v>250</v>
      </c>
      <c r="C46" s="197"/>
      <c r="E46" s="133"/>
      <c r="F46" s="133"/>
      <c r="G46" s="133"/>
      <c r="I46" s="196">
        <v>1</v>
      </c>
      <c r="J46" s="103" t="s">
        <v>261</v>
      </c>
      <c r="K46" s="101"/>
      <c r="L46" s="133"/>
      <c r="M46" s="103"/>
      <c r="N46" s="103"/>
      <c r="O46" s="103"/>
      <c r="P46" s="103"/>
      <c r="Q46" s="103"/>
      <c r="R46" s="103"/>
      <c r="S46" s="103"/>
      <c r="T46" s="263"/>
      <c r="U46" s="103"/>
      <c r="V46" s="103"/>
      <c r="W46" s="103"/>
      <c r="X46" s="103"/>
      <c r="Y46" s="199">
        <v>1</v>
      </c>
      <c r="Z46" s="103">
        <f>IF($Y46="x","incl",VLOOKUP($B46,'Cost prices'!$B$6:$H$538,7,FALSE)*$Y46)</f>
        <v>3512.1769999999997</v>
      </c>
      <c r="AA46" s="103"/>
      <c r="AC46" s="196">
        <v>1</v>
      </c>
      <c r="AD46" s="103">
        <f>IF($AC46="x","incl",VLOOKUP($B46,'Cost prices'!$B$6:$H$538,7,FALSE)*$AC46)</f>
        <v>3512.1769999999997</v>
      </c>
      <c r="AE46" s="103">
        <f>IF($AC46="x","incl",VLOOKUP($B46,'Cost prices'!$B$6:$H$538,7,FALSE)*$AC46)</f>
        <v>3512.1769999999997</v>
      </c>
      <c r="AF46" s="103">
        <f>IF($AC46="x","incl",VLOOKUP($B46,'Cost prices'!$B$6:$H$538,7,FALSE))</f>
        <v>3512.1769999999997</v>
      </c>
      <c r="AG46" s="196">
        <v>1</v>
      </c>
      <c r="AH46" s="103">
        <f>IF($AG46="x","incl",VLOOKUP($B46,'Cost prices'!$B$6:$H$538,7,FALSE)*$AG46)</f>
        <v>3512.1769999999997</v>
      </c>
      <c r="AI46" s="103">
        <f>IF($AG46="x","incl",VLOOKUP($B46,'Cost prices'!$B$6:$H$538,7,FALSE)*$AG46)</f>
        <v>3512.1769999999997</v>
      </c>
      <c r="AJ46" s="196">
        <v>1</v>
      </c>
      <c r="AK46" s="103">
        <f>IF($AJ46="x","incl",VLOOKUP($B46,'Cost prices'!$B$6:$H$538,7,FALSE)*$AJ46)</f>
        <v>3512.1769999999997</v>
      </c>
      <c r="AL46" s="103">
        <f>IF($AJ46="x","incl",VLOOKUP($B46,'Cost prices'!$B$6:$H$538,7,FALSE)*$AJ46)</f>
        <v>3512.1769999999997</v>
      </c>
      <c r="AM46" s="103">
        <f>IF($AJ46="x","incl",VLOOKUP($B46,'Cost prices'!$B$6:$H$538,7,FALSE)*$AJ46)</f>
        <v>3512.1769999999997</v>
      </c>
      <c r="AN46" s="196">
        <v>1</v>
      </c>
      <c r="AO46" s="103">
        <f>IF($AN46="x","incl",VLOOKUP($B46,'Cost prices'!$B$6:$H$538,7,FALSE)*$AN46)</f>
        <v>3512.1769999999997</v>
      </c>
      <c r="AP46" s="103">
        <f>IF($AN46="x","incl",VLOOKUP($B46,'Cost prices'!$B$6:$H$538,7,FALSE)*$AN46)</f>
        <v>3512.1769999999997</v>
      </c>
      <c r="AQ46" s="103">
        <f>IF($AN46="x","incl",VLOOKUP($B46,'Cost prices'!$B$6:$H$538,7,FALSE)*$AN46)</f>
        <v>3512.1769999999997</v>
      </c>
      <c r="AR46" s="107"/>
      <c r="AS46" s="107"/>
      <c r="AT46" s="107"/>
      <c r="AU46" s="107"/>
      <c r="AV46" s="107"/>
      <c r="AW46" s="107"/>
      <c r="AX46" s="107"/>
      <c r="AY46" s="107"/>
      <c r="AZ46" s="107"/>
      <c r="BA46" s="107"/>
      <c r="BB46" s="107"/>
      <c r="BC46" s="107"/>
      <c r="BD46" s="107"/>
      <c r="BE46" s="107"/>
      <c r="BF46" s="107"/>
      <c r="BG46" s="107"/>
      <c r="BH46" s="107"/>
      <c r="BI46" s="107"/>
      <c r="BJ46" s="107"/>
      <c r="BK46" s="189"/>
    </row>
    <row r="47" spans="1:63" outlineLevel="1" x14ac:dyDescent="0.2">
      <c r="A47" s="175" t="s">
        <v>56</v>
      </c>
      <c r="B47" s="185" t="s">
        <v>54</v>
      </c>
      <c r="C47" s="197"/>
      <c r="E47" s="133"/>
      <c r="F47" s="133"/>
      <c r="G47" s="133"/>
      <c r="J47" s="103"/>
      <c r="K47" s="101"/>
      <c r="L47" s="133"/>
      <c r="M47" s="103"/>
      <c r="N47" s="103"/>
      <c r="O47" s="103"/>
      <c r="P47" s="103"/>
      <c r="Q47" s="103"/>
      <c r="R47" s="103"/>
      <c r="S47" s="103"/>
      <c r="T47" s="263"/>
      <c r="U47" s="103"/>
      <c r="V47" s="103"/>
      <c r="W47" s="196">
        <v>2</v>
      </c>
      <c r="X47" s="103">
        <f>IF($W47="x","incl",VLOOKUP($B47,'Cost prices'!$B$6:$H$538,7,FALSE)*$W47)</f>
        <v>4929.2875999999997</v>
      </c>
      <c r="Y47" s="103"/>
      <c r="Z47" s="103">
        <f>IF('External Prices'!P$20&lt;&gt;"No",VLOOKUP($B47,'Cost prices'!$B$6:$H$538,7,FALSE)*2,0)</f>
        <v>4929.2875999999997</v>
      </c>
      <c r="AD47" s="107">
        <f>IF('External Prices'!R$20&lt;&gt;"No",VLOOKUP($B47,'Cost prices'!$B$6:$H$538,7,FALSE)*2,0)</f>
        <v>0</v>
      </c>
      <c r="AE47" s="107">
        <f>IF('External Prices'!S$20&lt;&gt;"No",VLOOKUP($B47,'Cost prices'!$B$6:$H$538,7,FALSE)*2,0)</f>
        <v>0</v>
      </c>
      <c r="AF47" s="107">
        <f>IF('External Prices'!T$20&lt;&gt;"No",VLOOKUP($B47,'Cost prices'!$B$6:$H$538,7,FALSE)*2,0)</f>
        <v>0</v>
      </c>
      <c r="AH47" s="107">
        <f>IF('External Prices'!U$20&lt;&gt;"No",VLOOKUP($B47,'Cost prices'!$B$6:$H$538,7,FALSE)*2,0)</f>
        <v>4929.2875999999997</v>
      </c>
      <c r="AI47" s="107">
        <f>IF('External Prices'!V$20&lt;&gt;"No",VLOOKUP($B47,'Cost prices'!$B$6:$H$538,7,FALSE)*2,0)</f>
        <v>4929.2875999999997</v>
      </c>
      <c r="AK47" s="107">
        <f>IF('External Prices'!W$20&lt;&gt;"No",VLOOKUP($B47,'Cost prices'!$B$6:$H$538,7,FALSE)*2,0)</f>
        <v>4929.2875999999997</v>
      </c>
      <c r="AL47" s="107">
        <f>IF('External Prices'!X$20&lt;&gt;"No",VLOOKUP($B47,'Cost prices'!$B$6:$H$538,7,FALSE)*2,0)</f>
        <v>4929.2875999999997</v>
      </c>
      <c r="AM47" s="107">
        <f>IF('External Prices'!Y$20&lt;&gt;"No",VLOOKUP($B47,'Cost prices'!$B$6:$H$538,7,FALSE)*2,0)</f>
        <v>4929.2875999999997</v>
      </c>
      <c r="AO47" s="107">
        <f>IF('External Prices'!Z$20&lt;&gt;"No",VLOOKUP($B47,'Cost prices'!$B$6:$H$538,7,FALSE)*2,0)</f>
        <v>4929.2875999999997</v>
      </c>
      <c r="AP47" s="107">
        <f>IF('External Prices'!AA$20&lt;&gt;"No",VLOOKUP($B47,'Cost prices'!$B$6:$H$538,7,FALSE)*2,0)</f>
        <v>4929.2875999999997</v>
      </c>
      <c r="AQ47" s="107">
        <f>IF('External Prices'!AB$20&lt;&gt;"No",VLOOKUP($B47,'Cost prices'!$B$6:$H$538,7,FALSE)*2,0)</f>
        <v>4929.2875999999997</v>
      </c>
      <c r="AR47" s="107"/>
      <c r="AS47" s="107"/>
      <c r="AT47" s="107"/>
      <c r="AU47" s="107"/>
      <c r="AV47" s="107"/>
      <c r="AW47" s="107"/>
      <c r="AX47" s="107"/>
      <c r="AY47" s="107"/>
      <c r="AZ47" s="107"/>
      <c r="BA47" s="107"/>
      <c r="BB47" s="107"/>
      <c r="BC47" s="107"/>
      <c r="BD47" s="107"/>
      <c r="BE47" s="107"/>
      <c r="BF47" s="107"/>
      <c r="BG47" s="107"/>
      <c r="BH47" s="107"/>
      <c r="BI47" s="107"/>
      <c r="BJ47" s="107"/>
      <c r="BK47" s="189"/>
    </row>
    <row r="48" spans="1:63" outlineLevel="1" x14ac:dyDescent="0.2">
      <c r="A48" s="175" t="s">
        <v>55</v>
      </c>
      <c r="B48" s="185" t="s">
        <v>1535</v>
      </c>
      <c r="C48" s="197"/>
      <c r="E48" s="133"/>
      <c r="F48" s="133"/>
      <c r="G48" s="133"/>
      <c r="K48" s="101"/>
      <c r="L48" s="133">
        <f>IFERROR(
  VLOOKUP(
    IF(OR('External Prices'!I18="MARTIN",'External Prices'!I18="MARTIN 3A"),
      "ST. STEEL BASE Ø 60 WITH BLUE EPDM VULCANISED RUBBER TILTING 10° ST. STEEL SCREW M16X150 WITH ST. STEEL BUSH 24X85 – USDA ACCEPTED",
      IF('External Prices'!I18="NGI",
        "Machine foot XH80-M20 x 150/85-M20 x 50",
        ""
      )
    ),
    'Cost prices'!$B$6:$H$376,
    7,
    FALSE
  )*4,
"")</f>
        <v>842.77839999999992</v>
      </c>
      <c r="N48" s="101">
        <f>IFERROR(
  VLOOKUP(
    IF(OR('External Prices'!J18="MARTIN",'External Prices'!J18="MARTIN 3A"),
      "ST. STEEL BASE Ø 60 WITH BLUE EPDM VULCANISED RUBBER TILTING 10° ST. STEEL SCREW M16X150 WITH ST. STEEL BUSH 24X85 – USDA ACCEPTED",
      IF('External Prices'!J18="NGI",
        "Machine foot XH80-M20 x 150/85-M20 x 50",
        ""
      )
    ),
    'Cost prices'!$B$6:$H$376,
    7,
    FALSE
  )*4,
"")</f>
        <v>842.77839999999992</v>
      </c>
      <c r="P48" s="101">
        <f>IFERROR(
  VLOOKUP(
    IF(OR('External Prices'!K18="MARTIN",'External Prices'!K18="MARTIN 3A"),
      "ST. STEEL BASE Ø 60 WITH BLUE EPDM VULCANISED RUBBER TILTING 10° ST. STEEL SCREW M16X150 WITH ST. STEEL BUSH 24X85 – USDA ACCEPTED",
      IF('External Prices'!K18="NGI",
        "Machine foot XH80-M20 x 150/85-M20 x 50",
        ""
      )
    ),
    'Cost prices'!$B$6:$H$376,
    7,
    FALSE
  )*4,
"")</f>
        <v>842.77839999999992</v>
      </c>
      <c r="R48" s="101">
        <f>IFERROR(
  VLOOKUP(
    IF(OR('External Prices'!L18="MARTIN",'External Prices'!L18="MARTIN 3A"),
      "ST. STEEL BASE Ø 60 WITH BLUE EPDM VULCANISED RUBBER TILTING 10° ST. STEEL SCREW M16X150 WITH ST. STEEL BUSH 24X85 – USDA ACCEPTED",
      IF('External Prices'!L18="NGI",
        "Machine foot XH80-M20 x 150/85-M20 x 50",
        ""
      )
    ),
    'Cost prices'!$B$6:$H$376,
    7,
    FALSE
  )*7,
"")</f>
        <v>2381.3125</v>
      </c>
      <c r="V48" s="101">
        <f>IFERROR(
  VLOOKUP(
    IF(OR('External Prices'!N18="MARTIN",'External Prices'!N18="MARTIN 3A"),
      "ST. STEEL BASE Ø 60 WITH BLUE EPDM VULCANISED RUBBER TILTING 10° ST. STEEL SCREW M16X150 WITH ST. STEEL BUSH 24X85 – USDA ACCEPTED",
      IF('External Prices'!N18="NGI",
        "Machine foot XH80-M20 x 150/85-M20 x 50",
        ""
      )
    ),
    'Cost prices'!$B$6:$H$376,
    7,
    FALSE
  )*7,
"")</f>
        <v>2381.3125</v>
      </c>
      <c r="X48" s="103">
        <f>IFERROR(
  VLOOKUP(
    IF(OR('External Prices'!O18="MARTIN",'External Prices'!O18="MARTIN 3A"),
      "ST. STEEL BASE Ø 120 WITH BLUE EPDM VULCANISED RUBBER TILTING 10° ST. STEEL SCREW M16X200 WITH ST. STEEL BUSH 30X85 – USDA ACCEPTED",
      IF('External Prices'!O18="NGI",
        "XH125-XH20150-RHOX2050",
        ""
      )
    ),
    'Cost prices'!$B$6:$H$376,
    7,
    FALSE
  )*4,
"")</f>
        <v>1203.2456</v>
      </c>
      <c r="Y48" s="103"/>
      <c r="Z48" s="103">
        <f>IFERROR(
  VLOOKUP(
    IF(OR('External Prices'!P18="MARTIN",'External Prices'!P18="MARTIN 3A"),
      "ST. STEEL BASE Ø 120 WITH BLUE EPDM VULCANISED RUBBER TILTING 10° ST. STEEL SCREW M16X200 WITH ST. STEEL BUSH 30X85 – USDA ACCEPTED",
      IF('External Prices'!P18="NGI",
        "XH125-XH20150-RHOX2050",
        ""
      )
    ),
    'Cost prices'!$B$6:$H$376,
    7,
    FALSE
  )*2,
"")</f>
        <v>1054.04</v>
      </c>
      <c r="AD48" s="103">
        <f>IFERROR(
  VLOOKUP(
    IF(OR('External Prices'!R18="MARTIN",'External Prices'!R18="MARTIN 3A"),
      "ST. STEEL BASE Ø 120 WITH BLUE EPDM VULCANISED RUBBER TILTING 10° ST. STEEL SCREW M16X200 WITH ST. STEEL BUSH 30X85 – USDA ACCEPTED",
      IF('External Prices'!R18="NGI",
        "XH125-XH20150-RHOX2050",
        ""
      )
    ),
    'Cost prices'!$B$6:$H$376,
    7,
    FALSE
  )*4,
"")</f>
        <v>1203.2456</v>
      </c>
      <c r="AE48" s="103">
        <f>IFERROR(
  VLOOKUP(
    IF(OR('External Prices'!S18="MARTIN",'External Prices'!S18="MARTIN 3A"),
      "ST. STEEL BASE Ø 120 WITH BLUE EPDM VULCANISED RUBBER TILTING 10° ST. STEEL SCREW M16X200 WITH ST. STEEL BUSH 30X85 – USDA ACCEPTED",
      IF('External Prices'!S18="NGI",
        "XH125-XH20150-RHOX2050",
        ""
      )
    ),
    'Cost prices'!$B$6:$H$376,
    7,
    FALSE
  )*4,
"")</f>
        <v>1203.2456</v>
      </c>
      <c r="AF48" s="103">
        <f>IFERROR(
  VLOOKUP(
    IF(OR('External Prices'!T18="MARTIN",'External Prices'!T18="MARTIN 3A"),
      "ST. STEEL BASE Ø 120 WITH BLUE EPDM VULCANISED RUBBER TILTING 10° ST. STEEL SCREW M16X200 WITH ST. STEEL BUSH 30X85 – USDA ACCEPTED",
      IF('External Prices'!T18="NGI",
        "XH125-XH20150-RHOX2050",
        ""
      )
    ),
    'Cost prices'!$B$6:$H$376,
    7,
    FALSE
  )*4,
"")</f>
        <v>1203.2456</v>
      </c>
      <c r="AH48" s="103">
        <f>IFERROR(
  VLOOKUP(
    IF(OR('External Prices'!U18="MARTIN",'External Prices'!U18="MARTIN 3A"),
      "ST. STEEL BASE Ø 120 WITH BLUE EPDM VULCANISED RUBBER TILTING 10° ST. STEEL SCREW M16X200 WITH ST. STEEL BUSH 30X85 – USDA ACCEPTED",
      IF('External Prices'!U18="NGI",
        "XH125-XH20150-RHOX2050",
        ""
      )
    ),
    'Cost prices'!$B$6:$H$376,
    7,
    FALSE
  )*4,
"")</f>
        <v>2108.08</v>
      </c>
      <c r="AI48" s="103">
        <f>IFERROR(
  VLOOKUP(
    IF(OR('External Prices'!V18="MARTIN",'External Prices'!V18="MARTIN 3A"),
      "ST. STEEL BASE Ø 120 WITH BLUE EPDM VULCANISED RUBBER TILTING 10° ST. STEEL SCREW M16X200 WITH ST. STEEL BUSH 30X85 – USDA ACCEPTED",
      IF('External Prices'!V18="NGI",
        "XH125-XH20150-RHOX2050",
        ""
      )
    ),
    'Cost prices'!$B$6:$H$376,
    7,
    FALSE
  )*4,
"")</f>
        <v>2108.08</v>
      </c>
      <c r="AK48" s="103">
        <f>IFERROR(
  VLOOKUP(
    IF(OR('External Prices'!W18="MARTIN",'External Prices'!W18="MARTIN 3A"),
      "ST. STEEL BASE Ø 120 WITH BLUE EPDM VULCANISED RUBBER TILTING 10° ST. STEEL SCREW M16X200 WITH ST. STEEL BUSH 30X85 – USDA ACCEPTED",
      IF('External Prices'!W18="NGI",
        "XH125-XH20150-RHOX2050",
        ""
      )
    ),
    'Cost prices'!$B$6:$H$376,
    7,
    FALSE
  )*2,
"")</f>
        <v>1054.04</v>
      </c>
      <c r="AL48" s="103">
        <f>IFERROR(
  VLOOKUP(
    IF(OR('External Prices'!X18="MARTIN",'External Prices'!X18="MARTIN 3A"),
      "ST. STEEL BASE Ø 120 WITH BLUE EPDM VULCANISED RUBBER TILTING 10° ST. STEEL SCREW M16X200 WITH ST. STEEL BUSH 30X85 – USDA ACCEPTED",
      IF('External Prices'!X18="NGI",
        "XH125-XH20150-RHOX2050",
        ""
      )
    ),
    'Cost prices'!$B$6:$H$376,
    7,
    FALSE
  )*2,
"")</f>
        <v>1054.04</v>
      </c>
      <c r="AM48" s="103">
        <f>IFERROR(
  VLOOKUP(
    IF(OR('External Prices'!Y18="MARTIN",'External Prices'!Y18="MARTIN 3A"),
      "ST. STEEL BASE Ø 120 WITH BLUE EPDM VULCANISED RUBBER TILTING 10° ST. STEEL SCREW M16X200 WITH ST. STEEL BUSH 30X85 – USDA ACCEPTED",
      IF('External Prices'!Y18="NGI",
        "XH125-XH20150-RHOX2050",
        ""
      )
    ),
    'Cost prices'!$B$6:$H$376,
    7,
    FALSE
  )*2,
"")</f>
        <v>1054.04</v>
      </c>
      <c r="AO48" s="103">
        <f>IFERROR(
  VLOOKUP(
    IF(OR('External Prices'!Z18="MARTIN",'External Prices'!Z18="MARTIN 3A"),
      "ST. STEEL BASE Ø 120 WITH BLUE EPDM VULCANISED RUBBER TILTING 10° ST. STEEL SCREW M16X200 WITH ST. STEEL BUSH 30X85 – USDA ACCEPTED",
      IF('External Prices'!Z18="NGI",
        "XH125-XH20150-RHOX2050",
        ""
      )
    ),
    'Cost prices'!$B$6:$H$376,
    7,
    FALSE
  )*2,
"")</f>
        <v>601.62279999999998</v>
      </c>
      <c r="AP48" s="103">
        <f>IFERROR(
  VLOOKUP(
    IF(OR('External Prices'!AA18="MARTIN",'External Prices'!AA18="MARTIN 3A"),
      "ST. STEEL BASE Ø 120 WITH BLUE EPDM VULCANISED RUBBER TILTING 10° ST. STEEL SCREW M16X200 WITH ST. STEEL BUSH 30X85 – USDA ACCEPTED",
      IF('External Prices'!AA18="NGI",
        "XH125-XH20150-RHOX2050",
        ""
      )
    ),
    'Cost prices'!$B$6:$H$376,
    7,
    FALSE
  )*2,
"")</f>
        <v>1054.04</v>
      </c>
      <c r="AQ48" s="103">
        <f>IFERROR(
  VLOOKUP(
    IF(OR('External Prices'!AB18="MARTIN",'External Prices'!AB18="MARTIN 3A"),
      "ST. STEEL BASE Ø 120 WITH BLUE EPDM VULCANISED RUBBER TILTING 10° ST. STEEL SCREW M16X200 WITH ST. STEEL BUSH 30X85 – USDA ACCEPTED",
      IF('External Prices'!AB18="NGI",
        "XH125-XH20150-RHOX2050",
        ""
      )
    ),
    'Cost prices'!$B$6:$H$376,
    7,
    FALSE
  )*2,
"")</f>
        <v>1054.04</v>
      </c>
      <c r="AR48" s="107"/>
      <c r="AS48" s="107"/>
      <c r="AT48" s="107"/>
      <c r="AU48" s="107"/>
      <c r="AV48" s="107"/>
      <c r="AW48" s="107"/>
      <c r="AX48" s="107"/>
      <c r="AY48" s="107"/>
      <c r="AZ48" s="107"/>
      <c r="BA48" s="107"/>
      <c r="BB48" s="107"/>
      <c r="BC48" s="107"/>
      <c r="BD48" s="107"/>
      <c r="BE48" s="107"/>
      <c r="BF48" s="107"/>
      <c r="BG48" s="107"/>
      <c r="BH48" s="107"/>
      <c r="BI48" s="107"/>
      <c r="BJ48" s="107"/>
      <c r="BK48" s="189"/>
    </row>
    <row r="49" spans="1:63" outlineLevel="1" x14ac:dyDescent="0.2">
      <c r="A49" s="175" t="s">
        <v>55</v>
      </c>
      <c r="B49" s="185" t="s">
        <v>1538</v>
      </c>
      <c r="C49" s="197"/>
      <c r="E49" s="133"/>
      <c r="F49" s="133"/>
      <c r="G49" s="133"/>
      <c r="K49" s="101"/>
      <c r="L49" s="133"/>
      <c r="Z49" s="103">
        <f>IFERROR(
  VLOOKUP(
    IF('External Prices'!P18="MARTIN",
      "HYGIENIC LOAD CELL Ø31/78/45, H143, M12, LOAD 10.000 N, IP67",
      IF('External Prices'!P18="MARTIN 3A",
        "HYGIENIC LOAD CELL Ø40/78/24, H178, M12, LOAD 10.000 N, 3A + IP69K",
        IF('External Prices'!P18="NGI",
          "Load cell, hygenic",
          ""
        )
      )
    ),
    'Cost prices'!$B$6:$H$376,
    7,
    FALSE
  )*2,
"")</f>
        <v>17323.702000000001</v>
      </c>
      <c r="AC49" s="196"/>
      <c r="AD49" s="103"/>
      <c r="AE49" s="103"/>
      <c r="AF49" s="103"/>
      <c r="AG49" s="196"/>
      <c r="AH49" s="103"/>
      <c r="AI49" s="103"/>
      <c r="AK49" s="103">
        <f>IFERROR(
  VLOOKUP(
    IF('External Prices'!W18="MARTIN",
      "HYGIENIC LOAD CELL Ø31/78/45, H143, M12, LOAD 10.000 N, IP67",
      IF('External Prices'!W18="MARTIN 3A",
        "HYGIENIC LOAD CELL Ø40/78/24, H178, M12, LOAD 10.000 N, 3A + IP69K",
        IF('External Prices'!W18="NGI",
          "Load cell, hygenic",
          ""
        )
      )
    ),
    'Cost prices'!$B$6:$H$376,
    7,
    FALSE
  )*2,
"")</f>
        <v>17323.702000000001</v>
      </c>
      <c r="AL49" s="103">
        <f>IFERROR(
  VLOOKUP(
    IF('External Prices'!X18="MARTIN",
      "HYGIENIC LOAD CELL Ø31/78/45, H143, M12, LOAD 10.000 N, IP67",
      IF('External Prices'!X18="MARTIN 3A",
        "HYGIENIC LOAD CELL Ø40/78/24, H178, M12, LOAD 10.000 N, 3A + IP69K",
        IF('External Prices'!X18="NGI",
          "Load cell, hygenic",
          ""
        )
      )
    ),
    'Cost prices'!$B$6:$H$376,
    7,
    FALSE
  )*2,
"")</f>
        <v>17323.702000000001</v>
      </c>
      <c r="AM49" s="103">
        <f>IFERROR(
  VLOOKUP(
    IF('External Prices'!Y18="MARTIN",
      "HYGIENIC LOAD CELL Ø31/78/45, H143, M12, LOAD 10.000 N, IP67",
      IF('External Prices'!Y18="MARTIN 3A",
        "HYGIENIC LOAD CELL Ø40/78/24, H178, M12, LOAD 10.000 N, 3A + IP69K",
        IF('External Prices'!Y18="NGI",
          "Load cell, hygenic",
          ""
        )
      )
    ),
    'Cost prices'!$B$6:$H$376,
    7,
    FALSE
  )*2,
"")</f>
        <v>17323.702000000001</v>
      </c>
      <c r="AO49" s="103">
        <f>IFERROR(
  VLOOKUP(
    IF('External Prices'!Z18="MARTIN",
      "HYGIENIC LOAD CELL Ø31/78/45, H143, M12, LOAD 10.000 N, IP67",
      IF('External Prices'!Z18="MARTIN 3A",
        "HYGIENIC LOAD CELL Ø40/78/24, H178, M12, LOAD 10.000 N, 3A + IP69K",
        IF('External Prices'!Z18="NGI",
          "Load cell, hygenic",
          ""
        )
      )
    ),
    'Cost prices'!$B$6:$H$376,
    7,
    FALSE
  )*2,
"")</f>
        <v>4065.45</v>
      </c>
      <c r="AP49" s="103">
        <f>IFERROR(
  VLOOKUP(
    IF('External Prices'!AA18="MARTIN",
      "HYGIENIC LOAD CELL Ø31/78/45, H143, M12, LOAD 10.000 N, IP67",
      IF('External Prices'!AA18="MARTIN 3A",
        "HYGIENIC LOAD CELL Ø40/78/24, H178, M12, LOAD 10.000 N, 3A + IP69K",
        IF('External Prices'!AA18="NGI",
          "Load cell, hygenic",
          ""
        )
      )
    ),
    'Cost prices'!$B$6:$H$376,
    7,
    FALSE
  )*2,
"")</f>
        <v>17323.702000000001</v>
      </c>
      <c r="AQ49" s="103">
        <f>IFERROR(
  VLOOKUP(
    IF('External Prices'!AB18="MARTIN",
      "HYGIENIC LOAD CELL Ø31/78/45, H143, M12, LOAD 10.000 N, IP67",
      IF('External Prices'!AB18="MARTIN 3A",
        "HYGIENIC LOAD CELL Ø40/78/24, H178, M12, LOAD 10.000 N, 3A + IP69K",
        IF('External Prices'!AB18="NGI",
          "Load cell, hygenic",
          ""
        )
      )
    ),
    'Cost prices'!$B$6:$H$376,
    7,
    FALSE
  )*2,
"")</f>
        <v>17323.702000000001</v>
      </c>
      <c r="AR49" s="107"/>
      <c r="AS49" s="107"/>
      <c r="AT49" s="107"/>
      <c r="AU49" s="107"/>
      <c r="AV49" s="107"/>
      <c r="AW49" s="107"/>
      <c r="AX49" s="107"/>
      <c r="AY49" s="107"/>
      <c r="AZ49" s="107"/>
      <c r="BA49" s="107"/>
      <c r="BB49" s="107"/>
      <c r="BC49" s="107"/>
      <c r="BD49" s="107"/>
      <c r="BE49" s="107"/>
      <c r="BF49" s="107"/>
      <c r="BG49" s="107"/>
      <c r="BH49" s="107"/>
      <c r="BI49" s="107"/>
      <c r="BJ49" s="107"/>
      <c r="BK49" s="189"/>
    </row>
    <row r="50" spans="1:63" outlineLevel="1" x14ac:dyDescent="0.2">
      <c r="A50" s="175" t="s">
        <v>1492</v>
      </c>
      <c r="B50" s="185" t="s">
        <v>1495</v>
      </c>
      <c r="C50" s="197"/>
      <c r="E50" s="133"/>
      <c r="F50" s="133"/>
      <c r="G50" s="133"/>
      <c r="L50" s="133"/>
      <c r="Z50" s="103">
        <f>IF('External Prices'!P$34&lt;&gt;"No",VLOOKUP($B50,'Cost prices'!$B$6:$H$538,7,FALSE),0)</f>
        <v>0</v>
      </c>
      <c r="AC50" s="196"/>
      <c r="AD50" s="103">
        <f>IF('External Prices'!R34&lt;&gt;"No",VLOOKUP($B50,'Cost prices'!$B$6:$H$538,7,FALSE),0)</f>
        <v>0</v>
      </c>
      <c r="AE50" s="103">
        <f>IF('External Prices'!S34&lt;&gt;"No",VLOOKUP($B50,'Cost prices'!$B$6:$H$538,7,FALSE),0)</f>
        <v>0</v>
      </c>
      <c r="AF50" s="103">
        <f>IF('External Prices'!T34&lt;&gt;"No",VLOOKUP($B50,'Cost prices'!$B$6:$H$538,7,FALSE),0)</f>
        <v>0</v>
      </c>
      <c r="AG50" s="196"/>
      <c r="AH50" s="103">
        <f>IF('External Prices'!U34&lt;&gt;"No",VLOOKUP($B50,'Cost prices'!$B$6:$H$538,7,FALSE),0)</f>
        <v>0</v>
      </c>
      <c r="AI50" s="103">
        <f>IF('External Prices'!V34&lt;&gt;"No",VLOOKUP($B50,'Cost prices'!$B$6:$H$538,7,FALSE),0)</f>
        <v>0</v>
      </c>
      <c r="AK50" s="103">
        <f>IF('External Prices'!W$34&lt;&gt;"No",VLOOKUP($B50,'Cost prices'!$B$6:$H$538,7,FALSE),0)</f>
        <v>0</v>
      </c>
      <c r="AL50" s="103">
        <f>IF('External Prices'!X$34&lt;&gt;"No",VLOOKUP($B50,'Cost prices'!$B$6:$H$538,7,FALSE),0)</f>
        <v>0</v>
      </c>
      <c r="AM50" s="103">
        <f>IF('External Prices'!Y$34&lt;&gt;"No",VLOOKUP($B50,'Cost prices'!$B$6:$H$538,7,FALSE),0)</f>
        <v>0</v>
      </c>
      <c r="AO50" s="103">
        <f>IF('External Prices'!Z$34&lt;&gt;"No",VLOOKUP($B50,'Cost prices'!$B$6:$H$538,7,FALSE),0)</f>
        <v>0</v>
      </c>
      <c r="AP50" s="103">
        <f>IF('External Prices'!AA$34&lt;&gt;"No",VLOOKUP($B50,'Cost prices'!$B$6:$H$538,7,FALSE),0)</f>
        <v>0</v>
      </c>
      <c r="AQ50" s="103">
        <f>IF('External Prices'!AB$34&lt;&gt;"No",VLOOKUP($B50,'Cost prices'!$B$6:$H$538,7,FALSE),0)</f>
        <v>0</v>
      </c>
      <c r="AR50" s="107"/>
      <c r="AS50" s="107"/>
      <c r="AT50" s="107"/>
      <c r="AU50" s="107"/>
      <c r="AV50" s="107"/>
      <c r="AW50" s="107"/>
      <c r="AX50" s="107"/>
      <c r="AY50" s="107"/>
      <c r="AZ50" s="107"/>
      <c r="BA50" s="107"/>
      <c r="BB50" s="107"/>
      <c r="BC50" s="107"/>
      <c r="BD50" s="107"/>
      <c r="BE50" s="107"/>
      <c r="BF50" s="107"/>
      <c r="BG50" s="107"/>
      <c r="BH50" s="107"/>
      <c r="BI50" s="107"/>
      <c r="BJ50" s="107"/>
      <c r="BK50" s="189">
        <v>8000</v>
      </c>
    </row>
    <row r="51" spans="1:63" outlineLevel="1" x14ac:dyDescent="0.2">
      <c r="A51" s="175" t="s">
        <v>1493</v>
      </c>
      <c r="B51" s="185" t="s">
        <v>1488</v>
      </c>
      <c r="C51" s="197"/>
      <c r="E51" s="133"/>
      <c r="F51" s="133"/>
      <c r="G51" s="133"/>
      <c r="L51" s="133"/>
      <c r="Z51" s="103">
        <f>IF('External Prices'!P$17&lt;&gt;"No",VLOOKUP($B51,'Cost prices'!$B$6:$H$538,7,FALSE),0)</f>
        <v>3803.1825999999996</v>
      </c>
      <c r="AC51" s="196"/>
      <c r="AD51" s="103"/>
      <c r="AE51" s="103"/>
      <c r="AF51" s="103"/>
      <c r="AG51" s="196"/>
      <c r="AH51" s="103"/>
      <c r="AI51" s="103"/>
      <c r="AK51" s="103">
        <f>IF('External Prices'!W$17&lt;&gt;"No",VLOOKUP($B51,'Cost prices'!$B$6:$H$538,7,FALSE),0)</f>
        <v>3803.1825999999996</v>
      </c>
      <c r="AL51" s="103">
        <f>IF('External Prices'!X$17&lt;&gt;"No",VLOOKUP($B51,'Cost prices'!$B$6:$H$538,7,FALSE),0)</f>
        <v>3803.1825999999996</v>
      </c>
      <c r="AM51" s="103">
        <f>IF('External Prices'!Y$17&lt;&gt;"No",VLOOKUP($B51,'Cost prices'!$B$6:$H$538,7,FALSE),0)</f>
        <v>3803.1825999999996</v>
      </c>
      <c r="AO51" s="103">
        <f>IF('External Prices'!Z$17&lt;&gt;"No",VLOOKUP($B51,'Cost prices'!$B$6:$H$538,7,FALSE),0)</f>
        <v>3803.1825999999996</v>
      </c>
      <c r="AP51" s="103">
        <f>IF('External Prices'!AA$17&lt;&gt;"No",VLOOKUP($B51,'Cost prices'!$B$6:$H$538,7,FALSE),0)</f>
        <v>3803.1825999999996</v>
      </c>
      <c r="AQ51" s="103">
        <f>IF('External Prices'!AB$17&lt;&gt;"No",VLOOKUP($B51,'Cost prices'!$B$6:$H$538,7,FALSE),0)</f>
        <v>3803.1825999999996</v>
      </c>
      <c r="AR51" s="107"/>
      <c r="AS51" s="107"/>
      <c r="AT51" s="107"/>
      <c r="AU51" s="107"/>
      <c r="AV51" s="107"/>
      <c r="AW51" s="107"/>
      <c r="AX51" s="107"/>
      <c r="AY51" s="107"/>
      <c r="AZ51" s="107"/>
      <c r="BA51" s="107"/>
      <c r="BB51" s="107"/>
      <c r="BC51" s="107"/>
      <c r="BD51" s="107"/>
      <c r="BE51" s="107"/>
      <c r="BF51" s="107"/>
      <c r="BG51" s="107"/>
      <c r="BH51" s="107"/>
      <c r="BI51" s="107"/>
      <c r="BJ51" s="107"/>
      <c r="BK51" s="189"/>
    </row>
    <row r="52" spans="1:63" outlineLevel="1" x14ac:dyDescent="0.2">
      <c r="A52" s="175" t="s">
        <v>1494</v>
      </c>
      <c r="B52" s="185" t="s">
        <v>1488</v>
      </c>
      <c r="C52" s="197"/>
      <c r="E52" s="133"/>
      <c r="F52" s="133"/>
      <c r="G52" s="133"/>
      <c r="L52" s="133"/>
      <c r="Z52" s="103">
        <f>IF('External Prices'!P$17&lt;&gt;"No",VLOOKUP($B52,'Cost prices'!$B$6:$H$538,7,FALSE),0)</f>
        <v>3803.1825999999996</v>
      </c>
      <c r="AC52" s="196"/>
      <c r="AD52" s="103"/>
      <c r="AE52" s="103"/>
      <c r="AF52" s="103"/>
      <c r="AG52" s="196"/>
      <c r="AH52" s="103"/>
      <c r="AI52" s="103"/>
      <c r="AK52" s="103">
        <f>IF('External Prices'!W$17&lt;&gt;"No",VLOOKUP($B52,'Cost prices'!$B$6:$H$538,7,FALSE),0)</f>
        <v>3803.1825999999996</v>
      </c>
      <c r="AL52" s="103">
        <f>IF('External Prices'!X$17&lt;&gt;"No",VLOOKUP($B52,'Cost prices'!$B$6:$H$538,7,FALSE),0)</f>
        <v>3803.1825999999996</v>
      </c>
      <c r="AM52" s="103">
        <f>IF('External Prices'!Y$17&lt;&gt;"No",VLOOKUP($B52,'Cost prices'!$B$6:$H$538,7,FALSE),0)</f>
        <v>3803.1825999999996</v>
      </c>
      <c r="AO52" s="103">
        <f>IF('External Prices'!Z$17&lt;&gt;"No",VLOOKUP($B52,'Cost prices'!$B$6:$H$538,7,FALSE),0)</f>
        <v>3803.1825999999996</v>
      </c>
      <c r="AP52" s="103">
        <f>IF('External Prices'!AA$17&lt;&gt;"No",VLOOKUP($B52,'Cost prices'!$B$6:$H$538,7,FALSE),0)</f>
        <v>3803.1825999999996</v>
      </c>
      <c r="AQ52" s="103">
        <f>IF('External Prices'!AB$17&lt;&gt;"No",VLOOKUP($B52,'Cost prices'!$B$6:$H$538,7,FALSE),0)</f>
        <v>3803.1825999999996</v>
      </c>
      <c r="AR52" s="107"/>
      <c r="AS52" s="107"/>
      <c r="AT52" s="107"/>
      <c r="AU52" s="107"/>
      <c r="AV52" s="107"/>
      <c r="AW52" s="107"/>
      <c r="AX52" s="107"/>
      <c r="AY52" s="107"/>
      <c r="AZ52" s="107"/>
      <c r="BA52" s="107"/>
      <c r="BB52" s="107"/>
      <c r="BC52" s="107"/>
      <c r="BD52" s="107"/>
      <c r="BE52" s="107"/>
      <c r="BF52" s="107"/>
      <c r="BG52" s="107"/>
      <c r="BH52" s="107"/>
      <c r="BI52" s="107"/>
      <c r="BJ52" s="107"/>
      <c r="BK52" s="189"/>
    </row>
    <row r="53" spans="1:63" outlineLevel="1" x14ac:dyDescent="0.2">
      <c r="A53" s="175" t="s">
        <v>1491</v>
      </c>
      <c r="B53" s="185" t="s">
        <v>1489</v>
      </c>
      <c r="C53" s="197"/>
      <c r="E53" s="133"/>
      <c r="F53" s="133"/>
      <c r="G53" s="133"/>
      <c r="L53" s="133"/>
      <c r="Z53" s="103">
        <f>IF('External Prices'!P35&lt;&gt;"No",VLOOKUP($B53,'Cost prices'!$B$6:$H$538,7,FALSE),0)</f>
        <v>0</v>
      </c>
      <c r="AC53" s="196"/>
      <c r="AD53" s="103">
        <f>IF('External Prices'!R35&lt;&gt;"No",VLOOKUP($B53,'Cost prices'!$B$6:$H$538,7,FALSE),0)</f>
        <v>0</v>
      </c>
      <c r="AE53" s="103">
        <f>IF('External Prices'!S35&lt;&gt;"No",VLOOKUP($B53,'Cost prices'!$B$6:$H$538,7,FALSE),0)</f>
        <v>0</v>
      </c>
      <c r="AF53" s="103">
        <f>IF('External Prices'!T35&lt;&gt;"No",VLOOKUP($B53,'Cost prices'!$B$6:$H$538,7,FALSE),0)</f>
        <v>0</v>
      </c>
      <c r="AG53" s="196"/>
      <c r="AH53" s="103">
        <f>IF('External Prices'!U35&lt;&gt;"No",VLOOKUP($B53,'Cost prices'!$B$6:$H$538,7,FALSE),0)</f>
        <v>0</v>
      </c>
      <c r="AI53" s="103">
        <f>IF('External Prices'!V35&lt;&gt;"No",VLOOKUP($B53,'Cost prices'!$B$6:$H$538,7,FALSE),0)</f>
        <v>0</v>
      </c>
      <c r="AK53" s="103">
        <f>IF('External Prices'!W35&lt;&gt;"No",VLOOKUP($B53,'Cost prices'!$B$6:$H$538,7,FALSE),0)</f>
        <v>0</v>
      </c>
      <c r="AL53" s="103">
        <f>IF('External Prices'!X35&lt;&gt;"No",VLOOKUP($B53,'Cost prices'!$B$6:$H$538,7,FALSE),0)</f>
        <v>0</v>
      </c>
      <c r="AM53" s="103">
        <f>IF('External Prices'!Y35&lt;&gt;"No",VLOOKUP($B53,'Cost prices'!$B$6:$H$538,7,FALSE),0)</f>
        <v>0</v>
      </c>
      <c r="AO53" s="103">
        <f>IF('External Prices'!Z34&lt;&gt;"No",VLOOKUP($B53,'Cost prices'!$B$6:$H$538,7,FALSE),0)</f>
        <v>0</v>
      </c>
      <c r="AP53" s="103">
        <f>IF('External Prices'!AA34&lt;&gt;"No",VLOOKUP($B53,'Cost prices'!$B$6:$H$538,7,FALSE),0)</f>
        <v>0</v>
      </c>
      <c r="AQ53" s="103">
        <f>IF('External Prices'!AB34&lt;&gt;"No",VLOOKUP($B53,'Cost prices'!$B$6:$H$538,7,FALSE),0)</f>
        <v>0</v>
      </c>
      <c r="AR53" s="107"/>
      <c r="AS53" s="107"/>
      <c r="AT53" s="107"/>
      <c r="AU53" s="107"/>
      <c r="AV53" s="107"/>
      <c r="AW53" s="107"/>
      <c r="AX53" s="107"/>
      <c r="AY53" s="107"/>
      <c r="AZ53" s="107"/>
      <c r="BA53" s="107"/>
      <c r="BB53" s="107"/>
      <c r="BC53" s="107"/>
      <c r="BD53" s="107"/>
      <c r="BE53" s="107"/>
      <c r="BF53" s="107"/>
      <c r="BG53" s="107"/>
      <c r="BH53" s="107"/>
      <c r="BI53" s="107"/>
      <c r="BJ53" s="107"/>
      <c r="BK53" s="189"/>
    </row>
    <row r="54" spans="1:63" outlineLevel="1" x14ac:dyDescent="0.2">
      <c r="A54" s="175" t="s">
        <v>1496</v>
      </c>
      <c r="B54" s="185" t="s">
        <v>1487</v>
      </c>
      <c r="C54" s="197"/>
      <c r="E54" s="133"/>
      <c r="F54" s="133"/>
      <c r="G54" s="133"/>
      <c r="L54" s="133"/>
      <c r="Z54" s="103">
        <f>IF('External Prices'!P36&lt;&gt;"No", VLOOKUP($B54,'Cost prices'!$B$6:$H$538,7,FALSE) * ('External Prices'!K15+1), 0)</f>
        <v>0</v>
      </c>
      <c r="AC54" s="196"/>
      <c r="AD54" s="103"/>
      <c r="AE54" s="103"/>
      <c r="AF54" s="103"/>
      <c r="AG54" s="196"/>
      <c r="AH54" s="103"/>
      <c r="AI54" s="103"/>
      <c r="AK54" s="103">
        <f>IF('External Prices'!W36&lt;&gt;"No", VLOOKUP($B54,'Cost prices'!$B$6:$H$538,7,FALSE) * ('External Prices'!W15+1), 0)</f>
        <v>0</v>
      </c>
      <c r="AL54" s="103">
        <f>IF('External Prices'!X36&lt;&gt;"No", VLOOKUP($B54,'Cost prices'!$B$6:$H$538,7,FALSE) * ('External Prices'!X15+1), 0)</f>
        <v>22967.922599999998</v>
      </c>
      <c r="AM54" s="103">
        <f>IF('External Prices'!Y36&lt;&gt;"No", VLOOKUP($B54,'Cost prices'!$B$6:$H$538,7,FALSE) * ('External Prices'!Y15+1), 0)</f>
        <v>0</v>
      </c>
      <c r="AO54" s="103">
        <f>IF('External Prices'!Z36&lt;&gt;"No", VLOOKUP($B54,'Cost prices'!$B$6:$H$538,7,FALSE) * ('External Prices'!Z15+1), 0)</f>
        <v>0</v>
      </c>
      <c r="AP54" s="103">
        <f>IF('External Prices'!AA36&lt;&gt;"No", VLOOKUP($B54,'Cost prices'!$B$6:$H$538,7,FALSE) * ('External Prices'!AA15+1), 0)</f>
        <v>22967.922599999998</v>
      </c>
      <c r="AQ54" s="103">
        <f>IF('External Prices'!AB36&lt;&gt;"No", VLOOKUP($B54,'Cost prices'!$B$6:$H$538,7,FALSE) * ('External Prices'!AB15+1), 0)</f>
        <v>0</v>
      </c>
      <c r="AR54" s="107"/>
      <c r="AS54" s="107"/>
      <c r="AT54" s="107"/>
      <c r="AU54" s="107"/>
      <c r="AV54" s="107"/>
      <c r="AW54" s="107"/>
      <c r="AX54" s="107"/>
      <c r="AY54" s="107"/>
      <c r="AZ54" s="107"/>
      <c r="BA54" s="107"/>
      <c r="BB54" s="107"/>
      <c r="BC54" s="107"/>
      <c r="BD54" s="107"/>
      <c r="BE54" s="107"/>
      <c r="BF54" s="107"/>
      <c r="BG54" s="107"/>
      <c r="BH54" s="107"/>
      <c r="BI54" s="107"/>
      <c r="BJ54" s="107"/>
      <c r="BK54" s="189"/>
    </row>
    <row r="55" spans="1:63" outlineLevel="1" x14ac:dyDescent="0.2">
      <c r="B55" s="185"/>
      <c r="C55" s="197"/>
      <c r="E55" s="133"/>
      <c r="F55" s="133"/>
      <c r="G55" s="133"/>
      <c r="L55" s="133"/>
      <c r="Z55" s="103"/>
      <c r="AC55" s="196"/>
      <c r="AD55" s="103"/>
      <c r="AE55" s="103"/>
      <c r="AF55" s="103"/>
      <c r="AG55" s="196"/>
      <c r="AH55" s="103"/>
      <c r="AI55" s="103"/>
      <c r="AK55" s="103"/>
      <c r="AL55" s="103"/>
      <c r="AM55" s="103"/>
      <c r="AO55" s="103"/>
      <c r="AP55" s="103"/>
      <c r="AQ55" s="103"/>
      <c r="AR55" s="107"/>
      <c r="AS55" s="107"/>
      <c r="AT55" s="107"/>
      <c r="AU55" s="107"/>
      <c r="AV55" s="107"/>
      <c r="AW55" s="107"/>
      <c r="AX55" s="107"/>
      <c r="AY55" s="107"/>
      <c r="AZ55" s="107"/>
      <c r="BA55" s="107"/>
      <c r="BB55" s="107"/>
      <c r="BC55" s="107"/>
      <c r="BD55" s="107"/>
      <c r="BE55" s="107"/>
      <c r="BF55" s="107"/>
      <c r="BG55" s="107"/>
      <c r="BH55" s="107"/>
      <c r="BI55" s="107"/>
      <c r="BJ55" s="107"/>
      <c r="BK55" s="189"/>
    </row>
    <row r="56" spans="1:63" outlineLevel="1" x14ac:dyDescent="0.2">
      <c r="B56" s="185" t="s">
        <v>635</v>
      </c>
      <c r="C56" s="197"/>
      <c r="E56" s="133"/>
      <c r="F56" s="133"/>
      <c r="G56" s="133"/>
      <c r="L56" s="133"/>
      <c r="W56" s="196">
        <v>1</v>
      </c>
      <c r="X56" s="103">
        <f>IF($W56="x","incl",VLOOKUP($B56,'Cost prices'!$B$6:$H$538,7,FALSE)*$W56)</f>
        <v>14124</v>
      </c>
      <c r="Y56" s="103"/>
      <c r="Z56" s="103"/>
      <c r="AC56" s="196"/>
      <c r="AD56" s="103"/>
      <c r="AE56" s="103"/>
      <c r="AF56" s="103"/>
      <c r="AG56" s="196"/>
      <c r="AH56" s="103"/>
      <c r="AI56" s="103"/>
      <c r="AK56" s="103"/>
      <c r="AL56" s="103"/>
      <c r="AM56" s="103"/>
      <c r="AO56" s="103"/>
      <c r="AP56" s="103"/>
      <c r="AQ56" s="103"/>
      <c r="AR56" s="107"/>
      <c r="AS56" s="107"/>
      <c r="AT56" s="107"/>
      <c r="AU56" s="107"/>
      <c r="AV56" s="107"/>
      <c r="AW56" s="107"/>
      <c r="AX56" s="107"/>
      <c r="AY56" s="107"/>
      <c r="AZ56" s="107"/>
      <c r="BA56" s="107"/>
      <c r="BB56" s="107"/>
      <c r="BC56" s="107"/>
      <c r="BD56" s="107"/>
      <c r="BE56" s="107"/>
      <c r="BF56" s="107"/>
      <c r="BG56" s="107"/>
      <c r="BH56" s="107"/>
      <c r="BI56" s="107"/>
      <c r="BJ56" s="107"/>
      <c r="BK56" s="189"/>
    </row>
    <row r="57" spans="1:63" outlineLevel="1" x14ac:dyDescent="0.2">
      <c r="C57" s="200"/>
      <c r="E57" s="133"/>
      <c r="F57" s="133"/>
      <c r="G57" s="133"/>
      <c r="K57" s="101"/>
      <c r="L57" s="133"/>
      <c r="Z57" s="103"/>
      <c r="AD57" s="103"/>
      <c r="AE57" s="103"/>
      <c r="AF57" s="103"/>
      <c r="AH57" s="103"/>
      <c r="AI57" s="103"/>
      <c r="AK57" s="103"/>
      <c r="AL57" s="103"/>
      <c r="AM57" s="103"/>
      <c r="AO57" s="103"/>
      <c r="AP57" s="103"/>
      <c r="AQ57" s="103"/>
      <c r="AR57" s="107"/>
      <c r="AS57" s="107"/>
      <c r="AT57" s="107"/>
      <c r="AU57" s="107"/>
      <c r="AV57" s="107"/>
      <c r="AW57" s="107"/>
      <c r="AX57" s="107"/>
      <c r="AY57" s="107"/>
      <c r="AZ57" s="107"/>
      <c r="BA57" s="107"/>
      <c r="BB57" s="107"/>
      <c r="BC57" s="107"/>
      <c r="BD57" s="107"/>
      <c r="BE57" s="107"/>
      <c r="BF57" s="107"/>
      <c r="BG57" s="107"/>
      <c r="BH57" s="107"/>
      <c r="BI57" s="107"/>
      <c r="BJ57" s="107"/>
      <c r="BK57" s="189"/>
    </row>
    <row r="58" spans="1:63" outlineLevel="1" x14ac:dyDescent="0.2">
      <c r="B58" s="195" t="s">
        <v>52</v>
      </c>
      <c r="C58" s="200"/>
      <c r="E58" s="133"/>
      <c r="F58" s="133"/>
      <c r="G58" s="133"/>
      <c r="L58" s="133"/>
      <c r="Z58" s="103"/>
      <c r="AD58" s="103"/>
      <c r="AE58" s="103"/>
      <c r="AF58" s="103"/>
      <c r="AH58" s="103"/>
      <c r="AI58" s="103"/>
      <c r="AK58" s="103"/>
      <c r="AL58" s="103"/>
      <c r="AM58" s="103"/>
      <c r="AO58" s="103"/>
      <c r="AP58" s="103"/>
      <c r="AQ58" s="103"/>
      <c r="AR58" s="107"/>
      <c r="AS58" s="107"/>
      <c r="AT58" s="107"/>
      <c r="AU58" s="107"/>
      <c r="AV58" s="107"/>
      <c r="AW58" s="107"/>
      <c r="AX58" s="107"/>
      <c r="AY58" s="107"/>
      <c r="AZ58" s="107"/>
      <c r="BA58" s="107"/>
      <c r="BB58" s="107"/>
      <c r="BC58" s="107"/>
      <c r="BD58" s="107"/>
      <c r="BE58" s="107"/>
      <c r="BF58" s="107"/>
      <c r="BG58" s="107"/>
      <c r="BH58" s="107"/>
      <c r="BI58" s="107"/>
      <c r="BJ58" s="107"/>
      <c r="BK58" s="189"/>
    </row>
    <row r="59" spans="1:63" outlineLevel="1" x14ac:dyDescent="0.2">
      <c r="A59" s="101" t="s">
        <v>1572</v>
      </c>
      <c r="B59" s="94" t="s">
        <v>1569</v>
      </c>
      <c r="C59" s="200"/>
      <c r="E59" s="133"/>
      <c r="F59" s="133"/>
      <c r="G59" s="133"/>
      <c r="L59" s="133"/>
      <c r="R59" s="101">
        <f>VLOOKUP($B59,'Cost prices'!$B$6:$H$376,7, FALSE)</f>
        <v>4398.4996000000001</v>
      </c>
      <c r="Z59" s="103"/>
      <c r="AD59" s="103"/>
      <c r="AE59" s="103"/>
      <c r="AF59" s="103"/>
      <c r="AH59" s="103"/>
      <c r="AI59" s="103"/>
      <c r="AK59" s="103"/>
      <c r="AL59" s="103"/>
      <c r="AM59" s="103"/>
      <c r="AO59" s="103"/>
      <c r="AP59" s="103"/>
      <c r="AQ59" s="103"/>
      <c r="AR59" s="107"/>
      <c r="AS59" s="107"/>
      <c r="AT59" s="107"/>
      <c r="AU59" s="107"/>
      <c r="AV59" s="107"/>
      <c r="AW59" s="107"/>
      <c r="AX59" s="107"/>
      <c r="AY59" s="107"/>
      <c r="AZ59" s="107"/>
      <c r="BA59" s="107"/>
      <c r="BB59" s="107"/>
      <c r="BC59" s="107"/>
      <c r="BD59" s="107"/>
      <c r="BE59" s="107"/>
      <c r="BF59" s="107"/>
      <c r="BG59" s="107"/>
      <c r="BH59" s="107"/>
      <c r="BI59" s="107"/>
      <c r="BJ59" s="107"/>
      <c r="BK59" s="189"/>
    </row>
    <row r="60" spans="1:63" outlineLevel="1" x14ac:dyDescent="0.2">
      <c r="A60" s="101" t="s">
        <v>537</v>
      </c>
      <c r="B60" s="185" t="s">
        <v>539</v>
      </c>
      <c r="C60" s="200"/>
      <c r="E60" s="133"/>
      <c r="F60" s="133"/>
      <c r="G60" s="133"/>
      <c r="L60" s="133"/>
      <c r="Y60" s="196"/>
      <c r="Z60" s="290"/>
      <c r="AD60" s="290"/>
      <c r="AE60" s="290"/>
      <c r="AF60" s="290"/>
      <c r="AH60" s="290"/>
      <c r="AI60" s="290"/>
      <c r="AK60" s="290"/>
      <c r="AL60" s="290"/>
      <c r="AM60" s="290"/>
      <c r="AO60" s="290"/>
      <c r="AP60" s="290"/>
      <c r="AQ60" s="290"/>
      <c r="AR60" s="107"/>
      <c r="AS60" s="107"/>
      <c r="AT60" s="107"/>
      <c r="AU60" s="107"/>
      <c r="AV60" s="107"/>
      <c r="AW60" s="107"/>
      <c r="AX60" s="107"/>
      <c r="AY60" s="107"/>
      <c r="AZ60" s="107"/>
      <c r="BA60" s="107"/>
      <c r="BB60" s="107"/>
      <c r="BC60" s="107"/>
      <c r="BD60" s="107"/>
      <c r="BE60" s="107"/>
      <c r="BF60" s="107"/>
      <c r="BG60" s="107"/>
      <c r="BH60" s="107"/>
      <c r="BI60" s="107"/>
      <c r="BJ60" s="107"/>
      <c r="BK60" s="189"/>
    </row>
    <row r="61" spans="1:63" outlineLevel="1" x14ac:dyDescent="0.2">
      <c r="A61" s="101" t="s">
        <v>1465</v>
      </c>
      <c r="B61" s="185" t="s">
        <v>1469</v>
      </c>
      <c r="C61" s="200"/>
      <c r="E61" s="133"/>
      <c r="F61" s="133"/>
      <c r="G61" s="133"/>
      <c r="L61" s="133"/>
      <c r="Y61" s="196"/>
      <c r="Z61" s="103">
        <f>IF('External Prices'!P$17&lt;&gt;"No",VLOOKUP($B61,'Cost prices'!$B$6:$H$538,7,FALSE),0)</f>
        <v>6028.5096000000003</v>
      </c>
      <c r="AD61" s="290"/>
      <c r="AE61" s="290"/>
      <c r="AF61" s="290"/>
      <c r="AH61" s="290"/>
      <c r="AI61" s="290"/>
      <c r="AK61" s="103">
        <f>IF('External Prices'!W$17&lt;&gt;"No",VLOOKUP($B61,'Cost prices'!$B$6:$H$538,7,FALSE),0)</f>
        <v>6028.5096000000003</v>
      </c>
      <c r="AL61" s="103">
        <f>IF('External Prices'!X$17&lt;&gt;"No",VLOOKUP($B61,'Cost prices'!$B$6:$H$538,7,FALSE),0)</f>
        <v>6028.5096000000003</v>
      </c>
      <c r="AM61" s="103">
        <f>IF('External Prices'!Y$17&lt;&gt;"No",VLOOKUP($B61,'Cost prices'!$B$6:$H$538,7,FALSE),0)</f>
        <v>6028.5096000000003</v>
      </c>
      <c r="AO61" s="103">
        <f>IF('External Prices'!Z$17&lt;&gt;"No",VLOOKUP($B61,'Cost prices'!$B$6:$H$538,7,FALSE),0)</f>
        <v>6028.5096000000003</v>
      </c>
      <c r="AP61" s="103">
        <f>IF('External Prices'!AA$17&lt;&gt;"No",VLOOKUP($B61,'Cost prices'!$B$6:$H$538,7,FALSE),0)</f>
        <v>6028.5096000000003</v>
      </c>
      <c r="AQ61" s="103">
        <f>IF('External Prices'!AB$17&lt;&gt;"No",VLOOKUP($B61,'Cost prices'!$B$6:$H$538,7,FALSE),0)</f>
        <v>6028.5096000000003</v>
      </c>
      <c r="AR61" s="107"/>
      <c r="AS61" s="107"/>
      <c r="AT61" s="107"/>
      <c r="AU61" s="107"/>
      <c r="AV61" s="107"/>
      <c r="AW61" s="107"/>
      <c r="AX61" s="107"/>
      <c r="AY61" s="107"/>
      <c r="AZ61" s="107"/>
      <c r="BA61" s="107"/>
      <c r="BB61" s="107"/>
      <c r="BC61" s="107"/>
      <c r="BD61" s="107"/>
      <c r="BE61" s="107"/>
      <c r="BF61" s="107"/>
      <c r="BG61" s="107"/>
      <c r="BH61" s="107"/>
      <c r="BI61" s="107"/>
      <c r="BJ61" s="107"/>
      <c r="BK61" s="189"/>
    </row>
    <row r="62" spans="1:63" outlineLevel="1" x14ac:dyDescent="0.2">
      <c r="A62" s="101" t="s">
        <v>1465</v>
      </c>
      <c r="B62" s="185" t="s">
        <v>1466</v>
      </c>
      <c r="C62" s="200"/>
      <c r="E62" s="133"/>
      <c r="F62" s="133"/>
      <c r="G62" s="133"/>
      <c r="L62" s="133"/>
      <c r="Y62" s="196"/>
      <c r="Z62" s="103">
        <f>IF('External Prices'!P$17&lt;&gt;"No",VLOOKUP($B62,'Cost prices'!$B$6:$H$538,7,FALSE),0)</f>
        <v>6035.9696000000004</v>
      </c>
      <c r="AD62" s="290"/>
      <c r="AE62" s="290"/>
      <c r="AF62" s="290"/>
      <c r="AH62" s="290"/>
      <c r="AI62" s="290"/>
      <c r="AK62" s="103">
        <f>IF('External Prices'!W$17&lt;&gt;"No",VLOOKUP($B62,'Cost prices'!$B$6:$H$538,7,FALSE),0)</f>
        <v>6035.9696000000004</v>
      </c>
      <c r="AL62" s="103">
        <f>IF('External Prices'!X$17&lt;&gt;"No",VLOOKUP($B62,'Cost prices'!$B$6:$H$538,7,FALSE),0)</f>
        <v>6035.9696000000004</v>
      </c>
      <c r="AM62" s="103">
        <f>IF('External Prices'!Y$17&lt;&gt;"No",VLOOKUP($B62,'Cost prices'!$B$6:$H$538,7,FALSE),0)</f>
        <v>6035.9696000000004</v>
      </c>
      <c r="AO62" s="103">
        <f>IF('External Prices'!Z$17&lt;&gt;"No",VLOOKUP($B62,'Cost prices'!$B$6:$H$538,7,FALSE),0)</f>
        <v>6035.9696000000004</v>
      </c>
      <c r="AP62" s="103">
        <f>IF('External Prices'!AA$17&lt;&gt;"No",VLOOKUP($B62,'Cost prices'!$B$6:$H$538,7,FALSE),0)</f>
        <v>6035.9696000000004</v>
      </c>
      <c r="AQ62" s="103">
        <f>IF('External Prices'!AB$17&lt;&gt;"No",VLOOKUP($B62,'Cost prices'!$B$6:$H$538,7,FALSE),0)</f>
        <v>6035.9696000000004</v>
      </c>
      <c r="AR62" s="107"/>
      <c r="AS62" s="107"/>
      <c r="AT62" s="107"/>
      <c r="AU62" s="107"/>
      <c r="AV62" s="107"/>
      <c r="AW62" s="107"/>
      <c r="AX62" s="107"/>
      <c r="AY62" s="107"/>
      <c r="AZ62" s="107"/>
      <c r="BA62" s="107"/>
      <c r="BB62" s="107"/>
      <c r="BC62" s="107"/>
      <c r="BD62" s="107"/>
      <c r="BE62" s="107"/>
      <c r="BF62" s="107"/>
      <c r="BG62" s="107"/>
      <c r="BH62" s="107"/>
      <c r="BI62" s="107"/>
      <c r="BJ62" s="107"/>
      <c r="BK62" s="189"/>
    </row>
    <row r="63" spans="1:63" outlineLevel="1" x14ac:dyDescent="0.2">
      <c r="A63" s="101" t="s">
        <v>1465</v>
      </c>
      <c r="B63" s="185" t="s">
        <v>1467</v>
      </c>
      <c r="C63" s="200"/>
      <c r="E63" s="133"/>
      <c r="F63" s="133"/>
      <c r="G63" s="133"/>
      <c r="L63" s="133"/>
      <c r="Y63" s="196"/>
      <c r="Z63" s="103">
        <f>IF('External Prices'!P$17&lt;&gt;"No",VLOOKUP($B63,'Cost prices'!$B$6:$H$538,7,FALSE),0)</f>
        <v>2588.6289999999999</v>
      </c>
      <c r="AD63" s="290"/>
      <c r="AE63" s="290"/>
      <c r="AF63" s="290"/>
      <c r="AH63" s="290"/>
      <c r="AI63" s="290"/>
      <c r="AK63" s="103">
        <f>IF('External Prices'!W$17&lt;&gt;"No",VLOOKUP($B63,'Cost prices'!$B$6:$H$538,7,FALSE),0)</f>
        <v>2588.6289999999999</v>
      </c>
      <c r="AL63" s="103">
        <f>IF('External Prices'!X$17&lt;&gt;"No",VLOOKUP($B63,'Cost prices'!$B$6:$H$538,7,FALSE),0)</f>
        <v>2588.6289999999999</v>
      </c>
      <c r="AM63" s="103">
        <f>IF('External Prices'!Y$17&lt;&gt;"No",VLOOKUP($B63,'Cost prices'!$B$6:$H$538,7,FALSE),0)</f>
        <v>2588.6289999999999</v>
      </c>
      <c r="AO63" s="103">
        <f>IF('External Prices'!Z$17&lt;&gt;"No",VLOOKUP($B63,'Cost prices'!$B$6:$H$538,7,FALSE),0)</f>
        <v>2588.6289999999999</v>
      </c>
      <c r="AP63" s="103">
        <f>IF('External Prices'!AA$17&lt;&gt;"No",VLOOKUP($B63,'Cost prices'!$B$6:$H$538,7,FALSE),0)</f>
        <v>2588.6289999999999</v>
      </c>
      <c r="AQ63" s="103">
        <f>IF('External Prices'!AB$17&lt;&gt;"No",VLOOKUP($B63,'Cost prices'!$B$6:$H$538,7,FALSE),0)</f>
        <v>2588.6289999999999</v>
      </c>
      <c r="AR63" s="107"/>
      <c r="AS63" s="107"/>
      <c r="AT63" s="107"/>
      <c r="AU63" s="107"/>
      <c r="AV63" s="107"/>
      <c r="AW63" s="107"/>
      <c r="AX63" s="107"/>
      <c r="AY63" s="107"/>
      <c r="AZ63" s="107"/>
      <c r="BA63" s="107"/>
      <c r="BB63" s="107"/>
      <c r="BC63" s="107"/>
      <c r="BD63" s="107"/>
      <c r="BE63" s="107"/>
      <c r="BF63" s="107"/>
      <c r="BG63" s="107"/>
      <c r="BH63" s="107"/>
      <c r="BI63" s="107"/>
      <c r="BJ63" s="107"/>
      <c r="BK63" s="189"/>
    </row>
    <row r="64" spans="1:63" outlineLevel="1" x14ac:dyDescent="0.2">
      <c r="A64" s="101" t="s">
        <v>1465</v>
      </c>
      <c r="B64" s="185" t="s">
        <v>1468</v>
      </c>
      <c r="C64" s="200"/>
      <c r="E64" s="133"/>
      <c r="F64" s="133"/>
      <c r="G64" s="133"/>
      <c r="L64" s="133"/>
      <c r="Y64" s="196"/>
      <c r="Z64" s="103">
        <f>IF('External Prices'!P$17&lt;&gt;"No",VLOOKUP($B64,'Cost prices'!$B$6:$H$538,7,FALSE),0)</f>
        <v>2588.6289999999999</v>
      </c>
      <c r="AD64" s="290"/>
      <c r="AE64" s="290"/>
      <c r="AF64" s="290"/>
      <c r="AH64" s="290"/>
      <c r="AI64" s="290"/>
      <c r="AK64" s="103">
        <f>IF('External Prices'!W$17&lt;&gt;"No",VLOOKUP($B64,'Cost prices'!$B$6:$H$538,7,FALSE),0)</f>
        <v>2588.6289999999999</v>
      </c>
      <c r="AL64" s="103">
        <f>IF('External Prices'!X$17&lt;&gt;"No",VLOOKUP($B64,'Cost prices'!$B$6:$H$538,7,FALSE),0)</f>
        <v>2588.6289999999999</v>
      </c>
      <c r="AM64" s="103">
        <f>IF('External Prices'!Y$17&lt;&gt;"No",VLOOKUP($B64,'Cost prices'!$B$6:$H$538,7,FALSE),0)</f>
        <v>2588.6289999999999</v>
      </c>
      <c r="AO64" s="103">
        <f>IF('External Prices'!Z$17&lt;&gt;"No",VLOOKUP($B64,'Cost prices'!$B$6:$H$538,7,FALSE),0)</f>
        <v>2588.6289999999999</v>
      </c>
      <c r="AP64" s="103">
        <f>IF('External Prices'!AA$17&lt;&gt;"No",VLOOKUP($B64,'Cost prices'!$B$6:$H$538,7,FALSE),0)</f>
        <v>2588.6289999999999</v>
      </c>
      <c r="AQ64" s="103">
        <f>IF('External Prices'!AB$17&lt;&gt;"No",VLOOKUP($B64,'Cost prices'!$B$6:$H$538,7,FALSE),0)</f>
        <v>2588.6289999999999</v>
      </c>
      <c r="AR64" s="107"/>
      <c r="AS64" s="107"/>
      <c r="AT64" s="107"/>
      <c r="AU64" s="107"/>
      <c r="AV64" s="107"/>
      <c r="AW64" s="107"/>
      <c r="AX64" s="107"/>
      <c r="AY64" s="107"/>
      <c r="AZ64" s="107"/>
      <c r="BA64" s="107"/>
      <c r="BB64" s="107"/>
      <c r="BC64" s="107"/>
      <c r="BD64" s="107"/>
      <c r="BE64" s="107"/>
      <c r="BF64" s="107"/>
      <c r="BG64" s="107"/>
      <c r="BH64" s="107"/>
      <c r="BI64" s="107"/>
      <c r="BJ64" s="107"/>
      <c r="BK64" s="189"/>
    </row>
    <row r="65" spans="1:63" outlineLevel="1" x14ac:dyDescent="0.2">
      <c r="A65" s="101" t="s">
        <v>216</v>
      </c>
      <c r="B65" s="185" t="s">
        <v>538</v>
      </c>
      <c r="C65" s="200"/>
      <c r="E65" s="133"/>
      <c r="F65" s="133"/>
      <c r="G65" s="133"/>
      <c r="L65" s="133"/>
      <c r="Y65" s="196"/>
      <c r="Z65" s="290" t="s">
        <v>1472</v>
      </c>
      <c r="AD65" s="290"/>
      <c r="AE65" s="290"/>
      <c r="AF65" s="290"/>
      <c r="AH65" s="290"/>
      <c r="AI65" s="290"/>
      <c r="AK65" s="290" t="s">
        <v>1472</v>
      </c>
      <c r="AL65" s="290" t="s">
        <v>1472</v>
      </c>
      <c r="AM65" s="290" t="s">
        <v>1472</v>
      </c>
      <c r="AO65" s="290" t="s">
        <v>1472</v>
      </c>
      <c r="AP65" s="290" t="s">
        <v>1472</v>
      </c>
      <c r="AQ65" s="290" t="s">
        <v>1472</v>
      </c>
      <c r="AR65" s="107"/>
      <c r="AS65" s="107"/>
      <c r="AT65" s="107"/>
      <c r="AU65" s="107"/>
      <c r="AV65" s="107"/>
      <c r="AW65" s="107"/>
      <c r="AX65" s="107"/>
      <c r="AY65" s="107"/>
      <c r="AZ65" s="107"/>
      <c r="BA65" s="107"/>
      <c r="BB65" s="107"/>
      <c r="BC65" s="107"/>
      <c r="BD65" s="107"/>
      <c r="BE65" s="107"/>
      <c r="BF65" s="107"/>
      <c r="BG65" s="107"/>
      <c r="BH65" s="107"/>
      <c r="BI65" s="107"/>
      <c r="BJ65" s="107"/>
      <c r="BK65" s="189"/>
    </row>
    <row r="66" spans="1:63" outlineLevel="1" x14ac:dyDescent="0.2">
      <c r="A66" s="101" t="s">
        <v>43</v>
      </c>
      <c r="B66" s="185" t="s">
        <v>946</v>
      </c>
      <c r="C66" s="200"/>
      <c r="E66" s="133"/>
      <c r="F66" s="133"/>
      <c r="G66" s="133"/>
      <c r="L66" s="133"/>
      <c r="Y66" s="196"/>
      <c r="Z66" s="103">
        <f>IF('External Prices'!P$21&lt;&gt;"No",VLOOKUP($B66,'Cost prices'!$B$6:$H$538,7,FALSE),0)</f>
        <v>4498.9945999999991</v>
      </c>
      <c r="AC66" s="196"/>
      <c r="AD66" s="103">
        <f>IF('External Prices'!R$21&lt;&gt;"No",VLOOKUP($B66,'Cost prices'!$B$6:$H$538,7,FALSE),0)</f>
        <v>0</v>
      </c>
      <c r="AE66" s="103">
        <f>IF('External Prices'!S$21&lt;&gt;"No",VLOOKUP($B66,'Cost prices'!$B$6:$H$538,7,FALSE),0)</f>
        <v>0</v>
      </c>
      <c r="AF66" s="103">
        <f>IF('External Prices'!T$21&lt;&gt;"No",VLOOKUP($B66,'Cost prices'!$B$6:$H$538,7,FALSE),0)</f>
        <v>0</v>
      </c>
      <c r="AG66" s="196"/>
      <c r="AH66" s="103">
        <f>IF('External Prices'!U$21&lt;&gt;"No",VLOOKUP($B66,'Cost prices'!$B$6:$H$538,7,FALSE),0)</f>
        <v>4498.9945999999991</v>
      </c>
      <c r="AI66" s="103">
        <f>IF('External Prices'!V$21&lt;&gt;"No",VLOOKUP($B66,'Cost prices'!$B$6:$H$538,7,FALSE),0)</f>
        <v>4498.9945999999991</v>
      </c>
      <c r="AK66" s="103">
        <f>IF('External Prices'!W$21&lt;&gt;"No",VLOOKUP($B66,'Cost prices'!$B$6:$H$538,7,FALSE),0)</f>
        <v>4498.9945999999991</v>
      </c>
      <c r="AL66" s="103">
        <f>IF('External Prices'!X$21&lt;&gt;"No",VLOOKUP($B66,'Cost prices'!$B$6:$H$538,7,FALSE),0)</f>
        <v>4498.9945999999991</v>
      </c>
      <c r="AM66" s="103">
        <f>IF('External Prices'!Y$21&lt;&gt;"No",VLOOKUP($B66,'Cost prices'!$B$6:$H$538,7,FALSE),0)</f>
        <v>4498.9945999999991</v>
      </c>
      <c r="AO66" s="103">
        <f>IF('External Prices'!Z$21&lt;&gt;"No",VLOOKUP($B66,'Cost prices'!$B$6:$H$538,7,FALSE),0)</f>
        <v>4498.9945999999991</v>
      </c>
      <c r="AP66" s="103">
        <f>IF('External Prices'!AA$21&lt;&gt;"No",VLOOKUP($B66,'Cost prices'!$B$6:$H$538,7,FALSE),0)</f>
        <v>4498.9945999999991</v>
      </c>
      <c r="AQ66" s="103">
        <f>IF('External Prices'!AB$21&lt;&gt;"No",VLOOKUP($B66,'Cost prices'!$B$6:$H$538,7,FALSE),0)</f>
        <v>4498.9945999999991</v>
      </c>
      <c r="AR66" s="107"/>
      <c r="AS66" s="107"/>
      <c r="AT66" s="107"/>
      <c r="AU66" s="107"/>
      <c r="AV66" s="107"/>
      <c r="AW66" s="107"/>
      <c r="AX66" s="107"/>
      <c r="AY66" s="107"/>
      <c r="AZ66" s="107"/>
      <c r="BA66" s="107"/>
      <c r="BB66" s="107"/>
      <c r="BC66" s="107"/>
      <c r="BD66" s="107"/>
      <c r="BE66" s="107"/>
      <c r="BF66" s="107"/>
      <c r="BG66" s="107"/>
      <c r="BH66" s="107"/>
      <c r="BI66" s="107"/>
      <c r="BJ66" s="107"/>
      <c r="BK66" s="189"/>
    </row>
    <row r="67" spans="1:63" outlineLevel="1" x14ac:dyDescent="0.2">
      <c r="A67" s="101" t="s">
        <v>546</v>
      </c>
      <c r="B67" s="185" t="s">
        <v>737</v>
      </c>
      <c r="C67" s="200"/>
      <c r="E67" s="133"/>
      <c r="F67" s="133"/>
      <c r="G67" s="133"/>
      <c r="L67" s="133"/>
      <c r="Y67" s="196"/>
      <c r="Z67" s="103">
        <f>IF($AJ67="x","incl",VLOOKUP($B67,'Cost prices'!$B$6:$H$538,7,FALSE)*$AJ67)</f>
        <v>0</v>
      </c>
      <c r="AC67" s="196">
        <v>1</v>
      </c>
      <c r="AD67" s="103">
        <f>IF($AC67="x","incl",VLOOKUP($B67,'Cost prices'!$B$6:$H$538,7,FALSE)*$AC67)</f>
        <v>4879.3864000000003</v>
      </c>
      <c r="AE67" s="103">
        <f>IF($AC67="x","incl",VLOOKUP($B67,'Cost prices'!$B$6:$H$538,7,FALSE)*$AC67)</f>
        <v>4879.3864000000003</v>
      </c>
      <c r="AF67" s="103">
        <f>IF($AC67="x","incl",VLOOKUP($B67,'Cost prices'!$B$6:$H$538,7,FALSE)*$AC67)</f>
        <v>4879.3864000000003</v>
      </c>
      <c r="AG67" s="196">
        <v>1</v>
      </c>
      <c r="AH67" s="103">
        <f>IF($AG67="x","incl",VLOOKUP($B67,'Cost prices'!$B$6:$H$538,7,FALSE)*$AG67)</f>
        <v>4879.3864000000003</v>
      </c>
      <c r="AI67" s="103">
        <f>IF($AG67="x","incl",VLOOKUP($B67,'Cost prices'!$B$6:$H$538,7,FALSE)*$AG67)</f>
        <v>4879.3864000000003</v>
      </c>
      <c r="AJ67" s="196"/>
      <c r="AK67" s="103">
        <f>IF($AJ67="x","incl",VLOOKUP($B67,'Cost prices'!$B$6:$H$538,7,FALSE)*$AJ67)</f>
        <v>0</v>
      </c>
      <c r="AL67" s="103">
        <f>IF($AJ67="x","incl",VLOOKUP($B67,'Cost prices'!$B$6:$H$538,7,FALSE)*$AJ67)</f>
        <v>0</v>
      </c>
      <c r="AM67" s="103">
        <f>IF($AJ67="x","incl",VLOOKUP($B67,'Cost prices'!$B$6:$H$538,7,FALSE)*$AJ67)</f>
        <v>0</v>
      </c>
      <c r="AN67" s="196">
        <v>0</v>
      </c>
      <c r="AO67" s="103">
        <f>IF($AN67="x","incl",VLOOKUP($B67,'Cost prices'!$B$6:$H$538,7,FALSE)*$AN67)</f>
        <v>0</v>
      </c>
      <c r="AP67" s="103">
        <f>IF($AN67="x","incl",VLOOKUP($B67,'Cost prices'!$B$6:$H$538,7,FALSE)*$AN67)</f>
        <v>0</v>
      </c>
      <c r="AQ67" s="103">
        <f>IF($AN67="x","incl",VLOOKUP($B67,'Cost prices'!$B$6:$H$538,7,FALSE)*$AN67)</f>
        <v>0</v>
      </c>
      <c r="AR67" s="107"/>
      <c r="AS67" s="107"/>
      <c r="AT67" s="107"/>
      <c r="AU67" s="107"/>
      <c r="AV67" s="107"/>
      <c r="AW67" s="107"/>
      <c r="AX67" s="107"/>
      <c r="AY67" s="107"/>
      <c r="AZ67" s="107"/>
      <c r="BA67" s="107"/>
      <c r="BB67" s="107"/>
      <c r="BC67" s="107"/>
      <c r="BD67" s="107"/>
      <c r="BE67" s="107"/>
      <c r="BF67" s="107"/>
      <c r="BG67" s="107"/>
      <c r="BH67" s="107"/>
      <c r="BI67" s="107"/>
      <c r="BJ67" s="107"/>
      <c r="BK67" s="189"/>
    </row>
    <row r="68" spans="1:63" outlineLevel="1" x14ac:dyDescent="0.2">
      <c r="A68" s="101" t="s">
        <v>540</v>
      </c>
      <c r="B68" s="185" t="s">
        <v>541</v>
      </c>
      <c r="C68" s="200"/>
      <c r="E68" s="133"/>
      <c r="F68" s="133"/>
      <c r="G68" s="133"/>
      <c r="L68" s="133"/>
      <c r="Z68" s="103">
        <f>IF('External Prices'!P$17&lt;&gt;"No",VLOOKUP($B68,'Cost prices'!$B$6:$H$538,7,FALSE),0)*('External Prices'!K$15+1)</f>
        <v>4497.9945999999991</v>
      </c>
      <c r="AC68" s="196"/>
      <c r="AD68" s="289" t="s">
        <v>1472</v>
      </c>
      <c r="AE68" s="289" t="s">
        <v>1472</v>
      </c>
      <c r="AF68" s="289" t="s">
        <v>1472</v>
      </c>
      <c r="AH68" s="290" t="s">
        <v>1472</v>
      </c>
      <c r="AI68" s="290" t="s">
        <v>1472</v>
      </c>
      <c r="AK68" s="103">
        <f>IF('External Prices'!W$17&lt;&gt;"No",VLOOKUP($B68,'Cost prices'!$B$6:$H$538,7,FALSE),0)*('External Prices'!W$15+1)</f>
        <v>4497.9945999999991</v>
      </c>
      <c r="AL68" s="103">
        <f>IF('External Prices'!X$17&lt;&gt;"No",VLOOKUP($B68,'Cost prices'!$B$6:$H$538,7,FALSE),0)*('External Prices'!X$15+1)</f>
        <v>13493.983799999998</v>
      </c>
      <c r="AM68" s="103">
        <f>IF('External Prices'!Y$17&lt;&gt;"No",VLOOKUP($B68,'Cost prices'!$B$6:$H$538,7,FALSE),0)*('External Prices'!Y$15+1)</f>
        <v>4497.9945999999991</v>
      </c>
      <c r="AO68" s="201">
        <f>IF('External Prices'!Z$17&lt;&gt;"No",VLOOKUP($B68,'Cost prices'!$B$6:$H$538,7,FALSE),0)*('External Prices'!Z$15+1)</f>
        <v>13493.983799999998</v>
      </c>
      <c r="AP68" s="201">
        <f>IF('External Prices'!AA$17&lt;&gt;"No",VLOOKUP($B68,'Cost prices'!$B$6:$H$538,7,FALSE),0)*('External Prices'!AA$15+1)</f>
        <v>13493.983799999998</v>
      </c>
      <c r="AQ68" s="201">
        <f>IF('External Prices'!AB$17&lt;&gt;"No",VLOOKUP($B68,'Cost prices'!$B$6:$H$538,7,FALSE),0)*('External Prices'!AB$15+1)</f>
        <v>4497.9945999999991</v>
      </c>
      <c r="AR68" s="107"/>
      <c r="AS68" s="107"/>
      <c r="AT68" s="107"/>
      <c r="AU68" s="107"/>
      <c r="AV68" s="107"/>
      <c r="AW68" s="107"/>
      <c r="AX68" s="107"/>
      <c r="AY68" s="107"/>
      <c r="AZ68" s="107"/>
      <c r="BA68" s="107"/>
      <c r="BB68" s="107"/>
      <c r="BC68" s="107"/>
      <c r="BD68" s="107"/>
      <c r="BE68" s="107"/>
      <c r="BF68" s="107"/>
      <c r="BG68" s="107"/>
      <c r="BH68" s="107"/>
      <c r="BI68" s="107"/>
      <c r="BJ68" s="107"/>
      <c r="BK68" s="189"/>
    </row>
    <row r="69" spans="1:63" outlineLevel="1" x14ac:dyDescent="0.2">
      <c r="A69" s="101" t="s">
        <v>265</v>
      </c>
      <c r="B69" s="185" t="s">
        <v>542</v>
      </c>
      <c r="C69" s="200"/>
      <c r="E69" s="133"/>
      <c r="F69" s="133"/>
      <c r="G69" s="133"/>
      <c r="L69" s="133"/>
      <c r="W69" s="202">
        <v>3</v>
      </c>
      <c r="X69" s="203">
        <f>IF($W69="x","incl",VLOOKUP($B69,'Cost prices'!$B$6:$H$538,7,FALSE)*$W69)</f>
        <v>8655.4920000000002</v>
      </c>
      <c r="Y69" s="202"/>
      <c r="Z69" s="290" t="s">
        <v>1472</v>
      </c>
      <c r="AC69" s="196"/>
      <c r="AD69" s="107">
        <f>IF('External Prices'!R$22&lt;&gt;"No",VLOOKUP($B69,'Cost prices'!$B$6:$H$538,7,FALSE),0)</f>
        <v>0</v>
      </c>
      <c r="AE69" s="107">
        <f>IF('External Prices'!S$22&lt;&gt;"No",VLOOKUP($B69,'Cost prices'!$B$6:$H$538,7,FALSE),0)</f>
        <v>0</v>
      </c>
      <c r="AF69" s="107">
        <f>IF('External Prices'!T$22&lt;&gt;"No",VLOOKUP($B69,'Cost prices'!$B$6:$H$538,7,FALSE),0)</f>
        <v>0</v>
      </c>
      <c r="AH69" s="107">
        <f>IF('External Prices'!U$22&lt;&gt;"No",VLOOKUP($B69,'Cost prices'!$B$6:$H$538,7,FALSE),0)</f>
        <v>0</v>
      </c>
      <c r="AI69" s="107">
        <f>IF('External Prices'!V$22&lt;&gt;"No",VLOOKUP($B69,'Cost prices'!$B$6:$H$538,7,FALSE),0)</f>
        <v>0</v>
      </c>
      <c r="AK69" s="290" t="s">
        <v>1472</v>
      </c>
      <c r="AL69" s="290" t="s">
        <v>1472</v>
      </c>
      <c r="AM69" s="290" t="s">
        <v>1472</v>
      </c>
      <c r="AO69" s="290" t="s">
        <v>1472</v>
      </c>
      <c r="AP69" s="290" t="s">
        <v>1472</v>
      </c>
      <c r="AQ69" s="290" t="s">
        <v>1472</v>
      </c>
      <c r="AR69" s="107"/>
      <c r="AS69" s="107"/>
      <c r="AT69" s="107"/>
      <c r="AU69" s="107"/>
      <c r="AV69" s="107"/>
      <c r="AW69" s="107"/>
      <c r="AX69" s="107"/>
      <c r="AY69" s="107"/>
      <c r="AZ69" s="107"/>
      <c r="BA69" s="107"/>
      <c r="BB69" s="107"/>
      <c r="BC69" s="107"/>
      <c r="BD69" s="107"/>
      <c r="BE69" s="107"/>
      <c r="BF69" s="107"/>
      <c r="BG69" s="107"/>
      <c r="BH69" s="107"/>
      <c r="BI69" s="107"/>
      <c r="BJ69" s="107"/>
      <c r="BK69" s="189"/>
    </row>
    <row r="70" spans="1:63" outlineLevel="1" x14ac:dyDescent="0.2">
      <c r="A70" s="101" t="s">
        <v>57</v>
      </c>
      <c r="B70" s="185" t="s">
        <v>51</v>
      </c>
      <c r="C70" s="200"/>
      <c r="E70" s="133"/>
      <c r="F70" s="133"/>
      <c r="G70" s="133"/>
      <c r="L70" s="133"/>
      <c r="Z70" s="107">
        <f>IF('External Prices'!P$23&lt;&gt;"No",VLOOKUP($B70,'Cost prices'!$B$6:$H$538,7,FALSE),0)</f>
        <v>754.1404</v>
      </c>
      <c r="AD70" s="290" t="s">
        <v>1472</v>
      </c>
      <c r="AE70" s="290" t="s">
        <v>1472</v>
      </c>
      <c r="AF70" s="290" t="s">
        <v>1472</v>
      </c>
      <c r="AH70" s="290" t="s">
        <v>1472</v>
      </c>
      <c r="AI70" s="290" t="s">
        <v>1472</v>
      </c>
      <c r="AK70" s="107">
        <f>IF('External Prices'!W$23&lt;&gt;"No",VLOOKUP($B70,'Cost prices'!$B$6:$H$538,7,FALSE),0)</f>
        <v>754.1404</v>
      </c>
      <c r="AL70" s="107">
        <f>IF('External Prices'!X$23&lt;&gt;"No",VLOOKUP($B70,'Cost prices'!$B$6:$H$538,7,FALSE),0)</f>
        <v>754.1404</v>
      </c>
      <c r="AM70" s="107">
        <f>IF('External Prices'!Y$23&lt;&gt;"No",VLOOKUP($B70,'Cost prices'!$B$6:$H$538,7,FALSE),0)</f>
        <v>754.1404</v>
      </c>
      <c r="AO70" s="107">
        <f>IF('External Prices'!Z$23&lt;&gt;"No",VLOOKUP($B70,'Cost prices'!$B$6:$H$538,7,FALSE),0)</f>
        <v>754.1404</v>
      </c>
      <c r="AP70" s="107">
        <f>IF('External Prices'!AA$23&lt;&gt;"No",VLOOKUP($B70,'Cost prices'!$B$6:$H$538,7,FALSE),0)</f>
        <v>754.1404</v>
      </c>
      <c r="AQ70" s="107">
        <f>IF('External Prices'!AB$23&lt;&gt;"No",VLOOKUP($B70,'Cost prices'!$B$6:$H$538,7,FALSE),0)</f>
        <v>754.1404</v>
      </c>
      <c r="AR70" s="107"/>
      <c r="AS70" s="107"/>
      <c r="AT70" s="107"/>
      <c r="AU70" s="107"/>
      <c r="AV70" s="107"/>
      <c r="AW70" s="107"/>
      <c r="AX70" s="107"/>
      <c r="AY70" s="107"/>
      <c r="AZ70" s="107"/>
      <c r="BA70" s="107"/>
      <c r="BB70" s="107"/>
      <c r="BC70" s="107"/>
      <c r="BD70" s="107"/>
      <c r="BE70" s="107"/>
      <c r="BF70" s="107"/>
      <c r="BG70" s="107"/>
      <c r="BH70" s="107"/>
      <c r="BI70" s="107"/>
      <c r="BJ70" s="107"/>
      <c r="BK70" s="189"/>
    </row>
    <row r="71" spans="1:63" outlineLevel="1" x14ac:dyDescent="0.2">
      <c r="A71" s="175" t="s">
        <v>55</v>
      </c>
      <c r="B71" s="185" t="s">
        <v>544</v>
      </c>
      <c r="C71" s="200"/>
      <c r="E71" s="133"/>
      <c r="F71" s="133"/>
      <c r="G71" s="133"/>
      <c r="K71" s="101"/>
      <c r="L71" s="133"/>
      <c r="Y71" s="101">
        <v>1</v>
      </c>
      <c r="Z71" s="103">
        <f>IF($AJ71="x","incl",VLOOKUP($B71,'Cost prices'!$B$6:$H$538,7,FALSE)*$Y71)</f>
        <v>5718.4552000000003</v>
      </c>
      <c r="AC71" s="196">
        <v>1</v>
      </c>
      <c r="AD71" s="103">
        <f>IF($AC71="x","incl",VLOOKUP($B71,'Cost prices'!$B$6:$H$538,7,FALSE)*$AC71)</f>
        <v>5718.4552000000003</v>
      </c>
      <c r="AE71" s="103">
        <f>IF($AC71="x","incl",VLOOKUP($B71,'Cost prices'!$B$6:$H$538,7,FALSE)*$AC71)</f>
        <v>5718.4552000000003</v>
      </c>
      <c r="AF71" s="103">
        <f>IF($AC71="x","incl",VLOOKUP($B71,'Cost prices'!$B$6:$H$538,7,FALSE)*$AC71)</f>
        <v>5718.4552000000003</v>
      </c>
      <c r="AG71" s="196">
        <v>1</v>
      </c>
      <c r="AH71" s="103">
        <f>IF($AG71="x","incl",VLOOKUP($B71,'Cost prices'!$B$6:$H$538,7,FALSE)*$AG71)</f>
        <v>5718.4552000000003</v>
      </c>
      <c r="AI71" s="103">
        <f>IF($AG71="x","incl",VLOOKUP($B71,'Cost prices'!$B$6:$H$538,7,FALSE)*$AG71)</f>
        <v>5718.4552000000003</v>
      </c>
      <c r="AJ71" s="196">
        <v>1</v>
      </c>
      <c r="AK71" s="103">
        <f>IF($AJ71="x","incl",VLOOKUP($B71,'Cost prices'!$B$6:$H$538,7,FALSE)*$AJ71)</f>
        <v>5718.4552000000003</v>
      </c>
      <c r="AL71" s="103">
        <f>IF($AJ71="x","incl",VLOOKUP($B71,'Cost prices'!$B$6:$H$538,7,FALSE)*$AJ71)</f>
        <v>5718.4552000000003</v>
      </c>
      <c r="AM71" s="103">
        <f>IF($AJ71="x","incl",VLOOKUP($B71,'Cost prices'!$B$6:$H$538,7,FALSE)*$AJ71)</f>
        <v>5718.4552000000003</v>
      </c>
      <c r="AN71" s="196">
        <v>1</v>
      </c>
      <c r="AO71" s="103">
        <f>IF($AN71="x","incl",VLOOKUP($B71,'Cost prices'!$B$6:$H$538,7,FALSE)*$AN71)</f>
        <v>5718.4552000000003</v>
      </c>
      <c r="AP71" s="103">
        <f>IF($AN71="x","incl",VLOOKUP($B71,'Cost prices'!$B$6:$H$538,7,FALSE)*$AN71)</f>
        <v>5718.4552000000003</v>
      </c>
      <c r="AQ71" s="103">
        <f>IF($AN71="x","incl",VLOOKUP($B71,'Cost prices'!$B$6:$H$538,7,FALSE)*$AN71)</f>
        <v>5718.4552000000003</v>
      </c>
      <c r="AR71" s="107"/>
      <c r="AS71" s="107"/>
      <c r="AT71" s="107"/>
      <c r="AU71" s="107"/>
      <c r="AV71" s="107"/>
      <c r="AW71" s="107"/>
      <c r="AX71" s="107"/>
      <c r="AY71" s="107"/>
      <c r="AZ71" s="107"/>
      <c r="BA71" s="107"/>
      <c r="BB71" s="107"/>
      <c r="BC71" s="107"/>
      <c r="BD71" s="107"/>
      <c r="BE71" s="107"/>
      <c r="BF71" s="107"/>
      <c r="BG71" s="107"/>
      <c r="BH71" s="107"/>
      <c r="BI71" s="107"/>
      <c r="BJ71" s="107"/>
      <c r="BK71" s="189"/>
    </row>
    <row r="72" spans="1:63" outlineLevel="1" x14ac:dyDescent="0.2">
      <c r="A72" s="175" t="s">
        <v>624</v>
      </c>
      <c r="B72" s="185" t="s">
        <v>508</v>
      </c>
      <c r="C72" s="197"/>
      <c r="E72" s="133"/>
      <c r="F72" s="133"/>
      <c r="G72" s="133"/>
      <c r="J72" s="103">
        <f>IF('External Prices'!H$16="Yes",VLOOKUP($B72,'Cost prices'!$B$6:$H$538,7,FALSE)*$I$75,0)</f>
        <v>0</v>
      </c>
      <c r="K72" s="101"/>
      <c r="L72" s="133"/>
      <c r="M72" s="103"/>
      <c r="N72" s="103"/>
      <c r="O72" s="103"/>
      <c r="P72" s="103"/>
      <c r="Q72" s="103"/>
      <c r="R72" s="103"/>
      <c r="S72" s="103"/>
      <c r="T72" s="263"/>
      <c r="V72" s="103">
        <f>IF('External Prices'!N$16="Yes",VLOOKUP($B72,'Cost prices'!$B$6:$H$538,7,FALSE)*$I$75,0)</f>
        <v>5914.3060000000005</v>
      </c>
      <c r="W72" s="103"/>
      <c r="X72" s="103">
        <f>IF('External Prices'!O$16="Yes",VLOOKUP($B72,'Cost prices'!$B$6:$H$538,7,FALSE)*$W$69,0)</f>
        <v>0</v>
      </c>
      <c r="Y72" s="103"/>
      <c r="Z72" s="103">
        <f>IF('External Prices'!P$16="Yes", VLOOKUP($B72, 'Cost prices'!$B$6:$H$538, 7, FALSE) * (COUNTIFS(Z$61:Z$71, "&lt;&gt;0", Z$61:Z$71, "&lt;&gt;-") -1 + 'External Prices'!K$15), 0)</f>
        <v>0</v>
      </c>
      <c r="AC72" s="196"/>
      <c r="AD72" s="103">
        <f>IF('External Prices'!R$16="Yes", VLOOKUP($B72, 'Cost prices'!$B$6:$H$538, 7, FALSE) * (COUNTIFS(AD$66:AD$71, "&lt;&gt;0", AD$66:AD$71, "&lt;&gt;-") + 'External Prices'!R$15), 0)</f>
        <v>0</v>
      </c>
      <c r="AE72" s="103">
        <f>IF('External Prices'!S$16="Yes", VLOOKUP($B72, 'Cost prices'!$B$6:$H$538, 7, FALSE) * (COUNTIFS(AE$66:AE$71, "&lt;&gt;0", AE$66:AE$71, "&lt;&gt;-") + 'External Prices'!S$15), 0)</f>
        <v>0</v>
      </c>
      <c r="AF72" s="103">
        <f>IF('External Prices'!T$16="Yes", VLOOKUP($B72, 'Cost prices'!$B$6:$H$538, 7, FALSE) * (COUNTIFS(AF$66:AF$71, "&lt;&gt;0", AF$66:AF$71, "&lt;&gt;-") + 'External Prices'!T$15), 0)</f>
        <v>0</v>
      </c>
      <c r="AG72" s="196"/>
      <c r="AH72" s="103">
        <f>IF('External Prices'!U$16="Yes", VLOOKUP($B72, 'Cost prices'!$B$6:$H$538, 7, FALSE) * (COUNTIFS(AH$66:AH$71, "&lt;&gt;0", AH$66:AH$71, "&lt;&gt;-") + 'External Prices'!V$15), 0)</f>
        <v>0</v>
      </c>
      <c r="AI72" s="103">
        <f>IF('External Prices'!V$16="Yes", VLOOKUP($B72, 'Cost prices'!$B$6:$H$538, 7, FALSE) * (COUNTIFS(AI$66:AI$71, "&lt;&gt;0", AI$66:AI$71, "&lt;&gt;-") + 'External Prices'!W$15), 0)</f>
        <v>0</v>
      </c>
      <c r="AK72" s="103">
        <f>IF('External Prices'!W$16="Yes", VLOOKUP($B72, 'Cost prices'!$B$6:$H$538, 7, FALSE) * (COUNTIFS(AK$61:AK$71, "&lt;&gt;0", AK$61:AK$71, "&lt;&gt;-") -1 + 'External Prices'!W$15), 0)</f>
        <v>0</v>
      </c>
      <c r="AL72" s="103">
        <f>IF('External Prices'!X$16="Yes", VLOOKUP($B72, 'Cost prices'!$B$6:$H$538, 7, FALSE) * (COUNTIFS(AL$61:AL$71, "&lt;&gt;0", AL$61:AL$71, "&lt;&gt;-") -1 + 'External Prices'!X$15), 0)</f>
        <v>26614.377</v>
      </c>
      <c r="AM72" s="103">
        <f>IF('External Prices'!Y$16="Yes", VLOOKUP($B72, 'Cost prices'!$B$6:$H$538, 7, FALSE) * (COUNTIFS(AM$61:AM$71, "&lt;&gt;0", AM$61:AM$71, "&lt;&gt;-") -1 + 'External Prices'!Y$15), 0)</f>
        <v>0</v>
      </c>
      <c r="AN72" s="196"/>
      <c r="AO72" s="103">
        <f>IF('External Prices'!Z$16="Yes", VLOOKUP($B72, 'Cost prices'!$B$6:$H$538, 7, FALSE) * (COUNTIFS(AO$61:AO$71, "&lt;&gt;0", AO$61:AO$71, "&lt;&gt;-") -1 + 'External Prices'!Z$15), 0)</f>
        <v>0</v>
      </c>
      <c r="AP72" s="103">
        <f>IF('External Prices'!AA$16="Yes", VLOOKUP($B72, 'Cost prices'!$B$6:$H$538, 7, FALSE) * (COUNTIFS(AP$61:AP$71, "&lt;&gt;0", AP$61:AP$71, "&lt;&gt;-") -1 + 'External Prices'!AA$15), 0)</f>
        <v>26614.377</v>
      </c>
      <c r="AQ72" s="103">
        <f>IF('External Prices'!AB$16="Yes", VLOOKUP($B72, 'Cost prices'!$B$6:$H$538, 7, FALSE) * (COUNTIFS(AQ$61:AQ$71, "&lt;&gt;0", AQ$61:AQ$71, "&lt;&gt;-") -1 + 'External Prices'!AB$15), 0)</f>
        <v>0</v>
      </c>
      <c r="AR72" s="107"/>
      <c r="AS72" s="107"/>
      <c r="AT72" s="107"/>
      <c r="AU72" s="107"/>
      <c r="AV72" s="107"/>
      <c r="AW72" s="107"/>
      <c r="AX72" s="107"/>
      <c r="AY72" s="107"/>
      <c r="AZ72" s="107"/>
      <c r="BA72" s="107"/>
      <c r="BB72" s="107"/>
      <c r="BC72" s="107"/>
      <c r="BD72" s="107"/>
      <c r="BE72" s="107"/>
      <c r="BF72" s="107"/>
      <c r="BG72" s="107"/>
      <c r="BH72" s="107"/>
      <c r="BI72" s="107"/>
      <c r="BJ72" s="107"/>
      <c r="BK72" s="189"/>
    </row>
    <row r="73" spans="1:63" outlineLevel="1" x14ac:dyDescent="0.2">
      <c r="A73" s="175" t="s">
        <v>192</v>
      </c>
      <c r="B73" s="185" t="s">
        <v>1578</v>
      </c>
      <c r="C73" s="197"/>
      <c r="E73" s="133"/>
      <c r="F73" s="103" t="s">
        <v>261</v>
      </c>
      <c r="G73" s="133"/>
      <c r="H73" s="103" t="s">
        <v>261</v>
      </c>
      <c r="I73" s="204">
        <v>1</v>
      </c>
      <c r="J73" s="103" t="s">
        <v>261</v>
      </c>
      <c r="K73" s="101"/>
      <c r="L73" s="103">
        <f>IF($I73="x","incl",VLOOKUP($B73,'Cost prices'!$B$6:$H$538,7,FALSE)*$I73)</f>
        <v>566.8198000000001</v>
      </c>
      <c r="M73" s="103"/>
      <c r="N73" s="103"/>
      <c r="O73" s="103"/>
      <c r="P73" s="103">
        <f>IF($I73="x","incl",VLOOKUP($B73,'Cost prices'!$B$6:$H$538,7,FALSE)*$I73)</f>
        <v>566.8198000000001</v>
      </c>
      <c r="Q73" s="103"/>
      <c r="R73" s="103">
        <f>IF($I73="x","incl",VLOOKUP($B73,'Cost prices'!$B$6:$H$538,7,FALSE)*$I73)</f>
        <v>566.8198000000001</v>
      </c>
      <c r="S73" s="103"/>
      <c r="T73" s="263"/>
      <c r="U73" s="103"/>
      <c r="V73" s="103">
        <f>IF($I73="x","incl",VLOOKUP($B73,'Cost prices'!$B$6:$H$538,7,FALSE)*$I73)</f>
        <v>566.8198000000001</v>
      </c>
      <c r="W73" s="199">
        <v>1</v>
      </c>
      <c r="X73" s="103">
        <f>IF($W73="x","incl",VLOOKUP($B73,'Cost prices'!$B$6:$H$538,7,FALSE)*$W73)</f>
        <v>566.8198000000001</v>
      </c>
      <c r="Y73" s="199">
        <v>1</v>
      </c>
      <c r="Z73" s="103">
        <f>IF($Y73="x","incl",VLOOKUP($B73,'Cost prices'!$B$6:$H$538,7,FALSE)*$Y73)</f>
        <v>566.8198000000001</v>
      </c>
      <c r="AC73" s="196"/>
      <c r="AD73" s="107"/>
      <c r="AE73" s="107"/>
      <c r="AF73" s="107"/>
      <c r="AG73" s="196"/>
      <c r="AH73" s="107"/>
      <c r="AI73" s="107"/>
      <c r="AJ73" s="196"/>
      <c r="AK73" s="107"/>
      <c r="AL73" s="107"/>
      <c r="AM73" s="107"/>
      <c r="AN73" s="196"/>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89"/>
    </row>
    <row r="74" spans="1:63" outlineLevel="1" x14ac:dyDescent="0.2">
      <c r="A74" s="175" t="s">
        <v>192</v>
      </c>
      <c r="B74" s="185" t="s">
        <v>1580</v>
      </c>
      <c r="C74" s="197"/>
      <c r="E74" s="133"/>
      <c r="F74" s="103"/>
      <c r="G74" s="133"/>
      <c r="H74" s="103"/>
      <c r="I74" s="204">
        <v>1</v>
      </c>
      <c r="J74" s="103"/>
      <c r="K74" s="101"/>
      <c r="L74" s="103">
        <f>IF($I74="x","incl",VLOOKUP($B74,'Cost prices'!$B$6:$H$538,7,FALSE)*$I74)</f>
        <v>480.20920000000001</v>
      </c>
      <c r="M74" s="103"/>
      <c r="N74" s="103"/>
      <c r="O74" s="103"/>
      <c r="P74" s="103">
        <f>IF($I74="x","incl",VLOOKUP($B74,'Cost prices'!$B$6:$H$538,7,FALSE)*$I74)</f>
        <v>480.20920000000001</v>
      </c>
      <c r="Q74" s="103"/>
      <c r="R74" s="103">
        <f>IF($I74="x","incl",VLOOKUP($B74,'Cost prices'!$B$6:$H$538,7,FALSE)*$I74)</f>
        <v>480.20920000000001</v>
      </c>
      <c r="S74" s="103"/>
      <c r="T74" s="263"/>
      <c r="U74" s="103"/>
      <c r="V74" s="103">
        <f>IF($I74="x","incl",VLOOKUP($B74,'Cost prices'!$B$6:$H$538,7,FALSE)*$I74)</f>
        <v>480.20920000000001</v>
      </c>
      <c r="W74" s="199">
        <v>1</v>
      </c>
      <c r="X74" s="103">
        <f>IF($W74="x","incl",VLOOKUP($B74,'Cost prices'!$B$6:$H$538,7,FALSE)*$W74)</f>
        <v>480.20920000000001</v>
      </c>
      <c r="Y74" s="199">
        <v>1</v>
      </c>
      <c r="Z74" s="103">
        <f>IF($Y74="x","incl",VLOOKUP($B74,'Cost prices'!$B$6:$H$538,7,FALSE)*$Y74)</f>
        <v>480.20920000000001</v>
      </c>
      <c r="AC74" s="196"/>
      <c r="AD74" s="107"/>
      <c r="AE74" s="107"/>
      <c r="AF74" s="107"/>
      <c r="AG74" s="196"/>
      <c r="AH74" s="107"/>
      <c r="AI74" s="107"/>
      <c r="AJ74" s="196"/>
      <c r="AK74" s="107"/>
      <c r="AL74" s="107"/>
      <c r="AM74" s="107"/>
      <c r="AN74" s="196"/>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7"/>
      <c r="BK74" s="189"/>
    </row>
    <row r="75" spans="1:63" outlineLevel="1" x14ac:dyDescent="0.2">
      <c r="A75" s="175" t="s">
        <v>213</v>
      </c>
      <c r="B75" s="198" t="s">
        <v>1582</v>
      </c>
      <c r="C75" s="197"/>
      <c r="E75" s="133"/>
      <c r="F75" s="103"/>
      <c r="G75" s="133"/>
      <c r="H75" s="103"/>
      <c r="I75" s="204">
        <v>2</v>
      </c>
      <c r="J75" s="103" t="s">
        <v>261</v>
      </c>
      <c r="K75" s="101"/>
      <c r="L75" s="133"/>
      <c r="M75" s="103"/>
      <c r="N75" s="103"/>
      <c r="O75" s="103"/>
      <c r="P75" s="103"/>
      <c r="Q75" s="103"/>
      <c r="R75" s="103"/>
      <c r="S75" s="103"/>
      <c r="T75" s="263"/>
      <c r="U75" s="103"/>
      <c r="V75" s="103">
        <f>IF($I75="x","incl",VLOOKUP($B75,'Cost prices'!$B$6:$H$538,7,FALSE)*$I75)</f>
        <v>1572.7352000000001</v>
      </c>
      <c r="W75" s="203"/>
      <c r="X75" s="103">
        <f>IF($I75="x","incl",VLOOKUP($B75,'Cost prices'!$B$6:$H$538,7,FALSE)*$I75)</f>
        <v>1572.7352000000001</v>
      </c>
      <c r="Y75" s="203"/>
      <c r="Z75" s="205"/>
      <c r="AC75" s="196"/>
      <c r="AD75" s="107"/>
      <c r="AE75" s="107"/>
      <c r="AF75" s="107"/>
      <c r="AG75" s="196"/>
      <c r="AH75" s="107"/>
      <c r="AI75" s="107"/>
      <c r="AJ75" s="196"/>
      <c r="AK75" s="107"/>
      <c r="AL75" s="107"/>
      <c r="AM75" s="107"/>
      <c r="AN75" s="196"/>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89"/>
    </row>
    <row r="76" spans="1:63" outlineLevel="1" x14ac:dyDescent="0.2">
      <c r="A76" s="175" t="s">
        <v>213</v>
      </c>
      <c r="B76" s="198" t="s">
        <v>1580</v>
      </c>
      <c r="C76" s="197"/>
      <c r="E76" s="133"/>
      <c r="F76" s="103"/>
      <c r="G76" s="133"/>
      <c r="H76" s="103"/>
      <c r="I76" s="204">
        <v>2</v>
      </c>
      <c r="J76" s="103"/>
      <c r="K76" s="101"/>
      <c r="L76" s="133"/>
      <c r="M76" s="103"/>
      <c r="N76" s="103"/>
      <c r="O76" s="103"/>
      <c r="P76" s="103"/>
      <c r="Q76" s="103"/>
      <c r="R76" s="103"/>
      <c r="S76" s="103"/>
      <c r="T76" s="263"/>
      <c r="U76" s="103"/>
      <c r="V76" s="103">
        <f>IF($I76="x","incl",VLOOKUP($B76,'Cost prices'!$B$6:$H$538,7,FALSE)*$I76)</f>
        <v>960.41840000000002</v>
      </c>
      <c r="W76" s="203"/>
      <c r="X76" s="103">
        <f>IF($I76="x","incl",VLOOKUP($B76,'Cost prices'!$B$6:$H$538,7,FALSE)*$I76)</f>
        <v>960.41840000000002</v>
      </c>
      <c r="Y76" s="203"/>
      <c r="Z76" s="205"/>
      <c r="AC76" s="196"/>
      <c r="AD76" s="107"/>
      <c r="AE76" s="107"/>
      <c r="AF76" s="107"/>
      <c r="AG76" s="196"/>
      <c r="AH76" s="107"/>
      <c r="AI76" s="107"/>
      <c r="AJ76" s="196"/>
      <c r="AK76" s="107"/>
      <c r="AL76" s="107"/>
      <c r="AM76" s="107"/>
      <c r="AN76" s="196"/>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89"/>
    </row>
    <row r="77" spans="1:63" ht="42" outlineLevel="1" x14ac:dyDescent="0.2">
      <c r="A77" s="206" t="s">
        <v>223</v>
      </c>
      <c r="B77" s="207" t="s">
        <v>222</v>
      </c>
      <c r="C77" s="197"/>
      <c r="E77" s="133"/>
      <c r="F77" s="103"/>
      <c r="G77" s="133"/>
      <c r="H77" s="103"/>
      <c r="I77" s="204">
        <v>0</v>
      </c>
      <c r="J77" s="103" t="s">
        <v>261</v>
      </c>
      <c r="K77" s="101"/>
      <c r="L77" s="133"/>
      <c r="M77" s="103"/>
      <c r="N77" s="103"/>
      <c r="O77" s="103"/>
      <c r="P77" s="103"/>
      <c r="Q77" s="103"/>
      <c r="R77" s="103"/>
      <c r="S77" s="103"/>
      <c r="T77" s="263"/>
      <c r="U77" s="103"/>
      <c r="V77" s="103">
        <f>IF($I77="x","incl",VLOOKUP($B77,'Cost prices'!$B$6:$H$538,7,FALSE)*$I77)</f>
        <v>0</v>
      </c>
      <c r="W77" s="103"/>
      <c r="X77" s="103">
        <f>IF($I77="x","incl",VLOOKUP($B77,'Cost prices'!$B$6:$H$538,7,FALSE)*$I77)</f>
        <v>0</v>
      </c>
      <c r="Y77" s="199"/>
      <c r="Z77" s="107"/>
      <c r="AC77" s="196"/>
      <c r="AD77" s="107"/>
      <c r="AE77" s="107"/>
      <c r="AF77" s="107"/>
      <c r="AG77" s="196"/>
      <c r="AH77" s="107"/>
      <c r="AI77" s="107"/>
      <c r="AJ77" s="196"/>
      <c r="AK77" s="107"/>
      <c r="AL77" s="107"/>
      <c r="AM77" s="107"/>
      <c r="AN77" s="196"/>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89"/>
    </row>
    <row r="78" spans="1:63" outlineLevel="1" x14ac:dyDescent="0.2">
      <c r="A78" s="175" t="s">
        <v>213</v>
      </c>
      <c r="B78" s="94" t="s">
        <v>1584</v>
      </c>
      <c r="C78" s="197"/>
      <c r="E78" s="133"/>
      <c r="F78" s="103"/>
      <c r="G78" s="133"/>
      <c r="H78" s="103"/>
      <c r="I78" s="204">
        <v>1</v>
      </c>
      <c r="J78" s="103"/>
      <c r="K78" s="101"/>
      <c r="L78" s="133"/>
      <c r="M78" s="103"/>
      <c r="N78" s="103"/>
      <c r="O78" s="103"/>
      <c r="P78" s="103"/>
      <c r="Q78" s="103"/>
      <c r="R78" s="103"/>
      <c r="S78" s="103"/>
      <c r="T78" s="263"/>
      <c r="U78" s="103"/>
      <c r="V78" s="103">
        <f>IF($I78="x","incl",VLOOKUP($B78,'Cost prices'!$B$6:$H$538,7,FALSE)*$I78)</f>
        <v>524.52160000000003</v>
      </c>
      <c r="W78" s="103"/>
      <c r="X78" s="103">
        <f>IF($I78="x","incl",VLOOKUP($B78,'Cost prices'!$B$6:$H$538,7,FALSE)*$I78)</f>
        <v>524.52160000000003</v>
      </c>
      <c r="Y78" s="199"/>
      <c r="Z78" s="107"/>
      <c r="AC78" s="196"/>
      <c r="AD78" s="107"/>
      <c r="AE78" s="107"/>
      <c r="AF78" s="107"/>
      <c r="AG78" s="196"/>
      <c r="AH78" s="107"/>
      <c r="AI78" s="107"/>
      <c r="AJ78" s="196"/>
      <c r="AK78" s="107"/>
      <c r="AL78" s="107"/>
      <c r="AM78" s="107"/>
      <c r="AN78" s="196"/>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89"/>
    </row>
    <row r="79" spans="1:63" outlineLevel="1" x14ac:dyDescent="0.2">
      <c r="A79" s="206" t="s">
        <v>223</v>
      </c>
      <c r="B79" s="94" t="s">
        <v>1586</v>
      </c>
      <c r="C79" s="197"/>
      <c r="E79" s="133"/>
      <c r="F79" s="103"/>
      <c r="G79" s="133"/>
      <c r="H79" s="103"/>
      <c r="I79" s="204">
        <v>1</v>
      </c>
      <c r="J79" s="103"/>
      <c r="K79" s="101"/>
      <c r="L79" s="133"/>
      <c r="M79" s="103"/>
      <c r="N79" s="103"/>
      <c r="O79" s="103"/>
      <c r="P79" s="103"/>
      <c r="Q79" s="103"/>
      <c r="R79" s="103"/>
      <c r="S79" s="103"/>
      <c r="T79" s="263"/>
      <c r="U79" s="103"/>
      <c r="V79" s="103">
        <f>IF($I79="x","incl",VLOOKUP($B79,'Cost prices'!$B$6:$H$538,7,FALSE)*$I79)</f>
        <v>1001.8870000000002</v>
      </c>
      <c r="W79" s="103"/>
      <c r="X79" s="103">
        <f>IF($I79="x","incl",VLOOKUP($B79,'Cost prices'!$B$6:$H$538,7,FALSE)*$I79)</f>
        <v>1001.8870000000002</v>
      </c>
      <c r="Y79" s="199"/>
      <c r="Z79" s="107"/>
      <c r="AC79" s="196"/>
      <c r="AD79" s="107"/>
      <c r="AE79" s="107"/>
      <c r="AF79" s="107"/>
      <c r="AG79" s="196"/>
      <c r="AH79" s="107"/>
      <c r="AI79" s="107"/>
      <c r="AJ79" s="196"/>
      <c r="AK79" s="107"/>
      <c r="AL79" s="107"/>
      <c r="AM79" s="107"/>
      <c r="AN79" s="196"/>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89"/>
    </row>
    <row r="80" spans="1:63" outlineLevel="1" x14ac:dyDescent="0.2">
      <c r="A80" s="206" t="s">
        <v>216</v>
      </c>
      <c r="B80" s="94" t="s">
        <v>892</v>
      </c>
      <c r="C80" s="197"/>
      <c r="E80" s="133"/>
      <c r="F80" s="103"/>
      <c r="G80" s="133"/>
      <c r="H80" s="103"/>
      <c r="I80" s="204">
        <v>1</v>
      </c>
      <c r="J80" s="103"/>
      <c r="K80" s="101"/>
      <c r="L80" s="133"/>
      <c r="M80" s="103"/>
      <c r="N80" s="103"/>
      <c r="O80" s="103"/>
      <c r="P80" s="103"/>
      <c r="Q80" s="103"/>
      <c r="R80" s="103"/>
      <c r="S80" s="103"/>
      <c r="T80" s="263"/>
      <c r="U80" s="103"/>
      <c r="V80" s="103">
        <f>IF($I80="x","incl",VLOOKUP($B80,'Cost prices'!$B$6:$H$538,7,FALSE)*$I80)</f>
        <v>733.99840000000006</v>
      </c>
      <c r="W80" s="103"/>
      <c r="X80" s="103"/>
      <c r="Y80" s="199"/>
      <c r="Z80" s="107"/>
      <c r="AC80" s="196"/>
      <c r="AD80" s="107"/>
      <c r="AE80" s="107"/>
      <c r="AF80" s="107"/>
      <c r="AG80" s="196"/>
      <c r="AH80" s="107"/>
      <c r="AI80" s="107"/>
      <c r="AJ80" s="196"/>
      <c r="AK80" s="107"/>
      <c r="AL80" s="107"/>
      <c r="AM80" s="107"/>
      <c r="AN80" s="196"/>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89"/>
    </row>
    <row r="81" spans="1:63" outlineLevel="1" x14ac:dyDescent="0.2">
      <c r="A81" s="175" t="s">
        <v>216</v>
      </c>
      <c r="B81" s="185" t="s">
        <v>215</v>
      </c>
      <c r="C81" s="197"/>
      <c r="E81" s="133"/>
      <c r="F81" s="103"/>
      <c r="G81" s="133"/>
      <c r="H81" s="103"/>
      <c r="I81" s="204">
        <v>1</v>
      </c>
      <c r="J81" s="103" t="s">
        <v>261</v>
      </c>
      <c r="K81" s="101"/>
      <c r="L81" s="133"/>
      <c r="M81" s="103"/>
      <c r="N81" s="103"/>
      <c r="O81" s="103"/>
      <c r="P81" s="103"/>
      <c r="Q81" s="103"/>
      <c r="R81" s="103"/>
      <c r="S81" s="103"/>
      <c r="T81" s="263"/>
      <c r="U81" s="103"/>
      <c r="V81" s="103"/>
      <c r="W81" s="103"/>
      <c r="X81" s="103">
        <f>IF($I81="x","incl",VLOOKUP($B81,'Cost prices'!$B$6:$H$538,7,FALSE)*$I81)</f>
        <v>2420.3313999999996</v>
      </c>
      <c r="Y81" s="103"/>
      <c r="Z81" s="107"/>
      <c r="AD81" s="107"/>
      <c r="AE81" s="107"/>
      <c r="AF81" s="107"/>
      <c r="AH81" s="107"/>
      <c r="AI81" s="107"/>
      <c r="AK81" s="107"/>
      <c r="AL81" s="107"/>
      <c r="AM81" s="107"/>
      <c r="AN81" s="196"/>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89"/>
    </row>
    <row r="82" spans="1:63" outlineLevel="1" x14ac:dyDescent="0.2">
      <c r="A82" s="175" t="s">
        <v>219</v>
      </c>
      <c r="B82" s="185" t="s">
        <v>1578</v>
      </c>
      <c r="C82" s="197"/>
      <c r="E82" s="133"/>
      <c r="F82" s="103"/>
      <c r="G82" s="133"/>
      <c r="H82" s="103"/>
      <c r="I82" s="204">
        <v>1</v>
      </c>
      <c r="J82" s="103"/>
      <c r="K82" s="101"/>
      <c r="L82" s="133"/>
      <c r="M82" s="103"/>
      <c r="N82" s="103"/>
      <c r="O82" s="103"/>
      <c r="P82" s="103"/>
      <c r="Q82" s="103"/>
      <c r="R82" s="103"/>
      <c r="S82" s="103"/>
      <c r="T82" s="263"/>
      <c r="U82" s="103"/>
      <c r="V82" s="103">
        <f>IF($I82="x","incl",VLOOKUP($B82,'Cost prices'!$B$6:$H$538,7,FALSE)*$I82)</f>
        <v>566.8198000000001</v>
      </c>
      <c r="W82" s="103"/>
      <c r="X82" s="103"/>
      <c r="Y82" s="103"/>
      <c r="Z82" s="107"/>
      <c r="AD82" s="107"/>
      <c r="AE82" s="107"/>
      <c r="AF82" s="107"/>
      <c r="AH82" s="107"/>
      <c r="AI82" s="107"/>
      <c r="AK82" s="107"/>
      <c r="AL82" s="107"/>
      <c r="AM82" s="107"/>
      <c r="AN82" s="196"/>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89"/>
    </row>
    <row r="83" spans="1:63" outlineLevel="1" x14ac:dyDescent="0.2">
      <c r="A83" s="175" t="s">
        <v>219</v>
      </c>
      <c r="B83" s="185" t="s">
        <v>1580</v>
      </c>
      <c r="C83" s="197"/>
      <c r="E83" s="133"/>
      <c r="F83" s="103"/>
      <c r="G83" s="133"/>
      <c r="H83" s="103"/>
      <c r="I83" s="204">
        <v>1</v>
      </c>
      <c r="J83" s="103"/>
      <c r="K83" s="101"/>
      <c r="L83" s="133"/>
      <c r="M83" s="103"/>
      <c r="N83" s="103"/>
      <c r="O83" s="103"/>
      <c r="P83" s="103"/>
      <c r="Q83" s="103"/>
      <c r="R83" s="103"/>
      <c r="S83" s="103"/>
      <c r="T83" s="263"/>
      <c r="U83" s="103"/>
      <c r="V83" s="103">
        <f>IF($I83="x","incl",VLOOKUP($B83,'Cost prices'!$B$6:$H$538,7,FALSE)*$I83)</f>
        <v>480.20920000000001</v>
      </c>
      <c r="W83" s="103"/>
      <c r="X83" s="103"/>
      <c r="Y83" s="103"/>
      <c r="Z83" s="107"/>
      <c r="AD83" s="107"/>
      <c r="AE83" s="107"/>
      <c r="AF83" s="107"/>
      <c r="AH83" s="107"/>
      <c r="AI83" s="107"/>
      <c r="AK83" s="107"/>
      <c r="AL83" s="107"/>
      <c r="AM83" s="107"/>
      <c r="AN83" s="196"/>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89"/>
    </row>
    <row r="84" spans="1:63" ht="42" outlineLevel="1" x14ac:dyDescent="0.2">
      <c r="A84" s="175" t="s">
        <v>219</v>
      </c>
      <c r="B84" s="198" t="s">
        <v>218</v>
      </c>
      <c r="C84" s="197"/>
      <c r="E84" s="133"/>
      <c r="F84" s="103"/>
      <c r="G84" s="133"/>
      <c r="H84" s="103"/>
      <c r="I84" s="204">
        <v>1</v>
      </c>
      <c r="J84" s="103" t="s">
        <v>261</v>
      </c>
      <c r="K84" s="101"/>
      <c r="L84" s="133"/>
      <c r="M84" s="103"/>
      <c r="N84" s="103"/>
      <c r="O84" s="103"/>
      <c r="P84" s="103"/>
      <c r="Q84" s="103"/>
      <c r="R84" s="103"/>
      <c r="S84" s="103"/>
      <c r="T84" s="263"/>
      <c r="U84" s="103"/>
      <c r="V84" s="103"/>
      <c r="W84" s="199">
        <v>1</v>
      </c>
      <c r="X84" s="103">
        <f>IF($W84="x","incl",VLOOKUP($B84,'Cost prices'!$B$6:$H$538,7,FALSE)*$W84)</f>
        <v>1418.8263999999999</v>
      </c>
      <c r="Y84" s="199">
        <v>1</v>
      </c>
      <c r="Z84" s="103"/>
      <c r="AC84" s="196"/>
      <c r="AD84" s="107"/>
      <c r="AE84" s="107"/>
      <c r="AF84" s="107"/>
      <c r="AG84" s="196"/>
      <c r="AH84" s="107"/>
      <c r="AI84" s="107"/>
      <c r="AJ84" s="196"/>
      <c r="AK84" s="107"/>
      <c r="AL84" s="107"/>
      <c r="AM84" s="107"/>
      <c r="AN84" s="196"/>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89"/>
    </row>
    <row r="85" spans="1:63" ht="42" outlineLevel="1" x14ac:dyDescent="0.2">
      <c r="A85" s="206" t="s">
        <v>221</v>
      </c>
      <c r="B85" s="207" t="s">
        <v>220</v>
      </c>
      <c r="C85" s="197"/>
      <c r="E85" s="133"/>
      <c r="F85" s="103"/>
      <c r="G85" s="133"/>
      <c r="H85" s="103"/>
      <c r="I85" s="204">
        <v>1</v>
      </c>
      <c r="J85" s="103" t="s">
        <v>261</v>
      </c>
      <c r="K85" s="101"/>
      <c r="L85" s="133"/>
      <c r="M85" s="103"/>
      <c r="N85" s="103"/>
      <c r="O85" s="103"/>
      <c r="P85" s="103"/>
      <c r="Q85" s="103"/>
      <c r="R85" s="103"/>
      <c r="S85" s="103"/>
      <c r="T85" s="263"/>
      <c r="U85" s="103"/>
      <c r="V85" s="103">
        <f>IF($I85="x","incl",VLOOKUP($B85,'Cost prices'!$B$6:$H$538,7,FALSE)*$I85)</f>
        <v>2031.1432000000002</v>
      </c>
      <c r="W85" s="199">
        <v>1</v>
      </c>
      <c r="X85" s="103">
        <f>IF($W85="x","incl",VLOOKUP($B85,'Cost prices'!$B$6:$H$538,7,FALSE)*$W85)</f>
        <v>2031.1432000000002</v>
      </c>
      <c r="Y85" s="199">
        <v>1</v>
      </c>
      <c r="Z85" s="103"/>
      <c r="AC85" s="196"/>
      <c r="AD85" s="107"/>
      <c r="AE85" s="107"/>
      <c r="AF85" s="107"/>
      <c r="AG85" s="196"/>
      <c r="AH85" s="107"/>
      <c r="AI85" s="107"/>
      <c r="AJ85" s="196"/>
      <c r="AK85" s="107"/>
      <c r="AL85" s="107"/>
      <c r="AM85" s="107"/>
      <c r="AN85" s="196"/>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89"/>
    </row>
    <row r="86" spans="1:63" outlineLevel="1" x14ac:dyDescent="0.2">
      <c r="A86" s="206" t="s">
        <v>1588</v>
      </c>
      <c r="B86" s="207" t="s">
        <v>1582</v>
      </c>
      <c r="C86" s="197"/>
      <c r="E86" s="133"/>
      <c r="F86" s="103"/>
      <c r="G86" s="133"/>
      <c r="H86" s="103"/>
      <c r="I86" s="204">
        <v>1</v>
      </c>
      <c r="J86" s="103"/>
      <c r="K86" s="101"/>
      <c r="L86" s="133"/>
      <c r="M86" s="103"/>
      <c r="N86" s="103"/>
      <c r="O86" s="103"/>
      <c r="P86" s="103">
        <f>IF($I86="x","incl",VLOOKUP($B86,'Cost prices'!$B$6:$H$538,7,FALSE)*$I86)</f>
        <v>786.36760000000004</v>
      </c>
      <c r="Q86" s="103"/>
      <c r="R86" s="103">
        <f>IF($I86="x","incl",VLOOKUP($B86,'Cost prices'!$B$6:$H$538,7,FALSE)*$I86)</f>
        <v>786.36760000000004</v>
      </c>
      <c r="S86" s="103"/>
      <c r="T86" s="263"/>
      <c r="U86" s="103"/>
      <c r="V86" s="103"/>
      <c r="W86" s="199"/>
      <c r="X86" s="103"/>
      <c r="Y86" s="199"/>
      <c r="Z86" s="103"/>
      <c r="AC86" s="196"/>
      <c r="AD86" s="107"/>
      <c r="AE86" s="107"/>
      <c r="AF86" s="107"/>
      <c r="AG86" s="196"/>
      <c r="AH86" s="107"/>
      <c r="AI86" s="107"/>
      <c r="AJ86" s="196"/>
      <c r="AK86" s="107"/>
      <c r="AL86" s="107"/>
      <c r="AM86" s="107"/>
      <c r="AN86" s="196"/>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89"/>
    </row>
    <row r="87" spans="1:63" outlineLevel="1" x14ac:dyDescent="0.2">
      <c r="A87" s="206" t="s">
        <v>1588</v>
      </c>
      <c r="B87" s="207" t="s">
        <v>1580</v>
      </c>
      <c r="C87" s="197"/>
      <c r="E87" s="133"/>
      <c r="F87" s="103"/>
      <c r="G87" s="133"/>
      <c r="H87" s="103"/>
      <c r="I87" s="204">
        <v>1</v>
      </c>
      <c r="J87" s="103"/>
      <c r="K87" s="101"/>
      <c r="L87" s="133"/>
      <c r="M87" s="103"/>
      <c r="N87" s="103"/>
      <c r="O87" s="103"/>
      <c r="P87" s="103">
        <f>IF($I87="x","incl",VLOOKUP($B87,'Cost prices'!$B$6:$H$538,7,FALSE)*$I87)</f>
        <v>480.20920000000001</v>
      </c>
      <c r="Q87" s="103"/>
      <c r="R87" s="103">
        <f>IF($I87="x","incl",VLOOKUP($B87,'Cost prices'!$B$6:$H$538,7,FALSE)*$I87)</f>
        <v>480.20920000000001</v>
      </c>
      <c r="S87" s="103"/>
      <c r="T87" s="263"/>
      <c r="U87" s="103"/>
      <c r="V87" s="103"/>
      <c r="W87" s="199"/>
      <c r="X87" s="103"/>
      <c r="Y87" s="199"/>
      <c r="Z87" s="103"/>
      <c r="AC87" s="196"/>
      <c r="AD87" s="107"/>
      <c r="AE87" s="107"/>
      <c r="AF87" s="107"/>
      <c r="AG87" s="196"/>
      <c r="AH87" s="107"/>
      <c r="AI87" s="107"/>
      <c r="AJ87" s="196"/>
      <c r="AK87" s="107"/>
      <c r="AL87" s="107"/>
      <c r="AM87" s="107"/>
      <c r="AN87" s="196"/>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89"/>
    </row>
    <row r="88" spans="1:63" outlineLevel="1" x14ac:dyDescent="0.2">
      <c r="A88" s="175" t="s">
        <v>217</v>
      </c>
      <c r="B88" s="198" t="s">
        <v>735</v>
      </c>
      <c r="C88" s="197"/>
      <c r="E88" s="133"/>
      <c r="F88" s="103"/>
      <c r="G88" s="133"/>
      <c r="H88" s="103"/>
      <c r="I88" s="204">
        <v>1</v>
      </c>
      <c r="J88" s="103" t="s">
        <v>261</v>
      </c>
      <c r="K88" s="101"/>
      <c r="L88" s="133"/>
      <c r="M88" s="103"/>
      <c r="N88" s="103"/>
      <c r="O88" s="103"/>
      <c r="P88" s="103"/>
      <c r="Q88" s="103"/>
      <c r="R88" s="103"/>
      <c r="S88" s="103"/>
      <c r="T88" s="263"/>
      <c r="U88" s="103"/>
      <c r="V88" s="103"/>
      <c r="W88" s="199">
        <v>1</v>
      </c>
      <c r="X88" s="103">
        <f>IF($W88="x","incl",VLOOKUP($B88,'Cost prices'!$B$6:$H$538,7,FALSE)*$W88)</f>
        <v>857.90899999999999</v>
      </c>
      <c r="Y88" s="199"/>
      <c r="Z88" s="103"/>
      <c r="AC88" s="196"/>
      <c r="AD88" s="103"/>
      <c r="AE88" s="103"/>
      <c r="AF88" s="103"/>
      <c r="AG88" s="196"/>
      <c r="AH88" s="103"/>
      <c r="AI88" s="103"/>
      <c r="AJ88" s="196"/>
      <c r="AK88" s="103"/>
      <c r="AL88" s="103"/>
      <c r="AM88" s="103"/>
      <c r="AN88" s="196"/>
      <c r="AO88" s="103"/>
      <c r="AP88" s="103"/>
      <c r="AQ88" s="103"/>
      <c r="AR88" s="107"/>
      <c r="AS88" s="107"/>
      <c r="AT88" s="107"/>
      <c r="AU88" s="107"/>
      <c r="AV88" s="107"/>
      <c r="AW88" s="107"/>
      <c r="AX88" s="107"/>
      <c r="AY88" s="107"/>
      <c r="AZ88" s="107"/>
      <c r="BA88" s="107"/>
      <c r="BB88" s="107"/>
      <c r="BC88" s="107"/>
      <c r="BD88" s="107"/>
      <c r="BE88" s="107"/>
      <c r="BF88" s="107"/>
      <c r="BG88" s="107"/>
      <c r="BH88" s="107"/>
      <c r="BI88" s="107"/>
      <c r="BJ88" s="107"/>
      <c r="BK88" s="189"/>
    </row>
    <row r="89" spans="1:63" outlineLevel="1" x14ac:dyDescent="0.2">
      <c r="A89" s="175" t="s">
        <v>76</v>
      </c>
      <c r="B89" s="185" t="s">
        <v>682</v>
      </c>
      <c r="C89" s="197"/>
      <c r="E89" s="133"/>
      <c r="F89" s="103"/>
      <c r="G89" s="133"/>
      <c r="H89" s="103"/>
      <c r="I89" s="204">
        <v>1</v>
      </c>
      <c r="J89" s="103" t="s">
        <v>261</v>
      </c>
      <c r="K89" s="101"/>
      <c r="L89" s="133"/>
      <c r="M89" s="103"/>
      <c r="N89" s="103"/>
      <c r="O89" s="103"/>
      <c r="P89" s="103"/>
      <c r="Q89" s="103"/>
      <c r="R89" s="103"/>
      <c r="S89" s="103"/>
      <c r="T89" s="263"/>
      <c r="U89" s="103"/>
      <c r="V89" s="103"/>
      <c r="W89" s="103"/>
      <c r="X89" s="103"/>
      <c r="Y89" s="103"/>
      <c r="Z89" s="107"/>
      <c r="AC89" s="196"/>
      <c r="AD89" s="107"/>
      <c r="AE89" s="107"/>
      <c r="AF89" s="107"/>
      <c r="AG89" s="196"/>
      <c r="AH89" s="107"/>
      <c r="AI89" s="107"/>
      <c r="AJ89" s="196"/>
      <c r="AK89" s="107"/>
      <c r="AL89" s="107"/>
      <c r="AM89" s="107"/>
      <c r="AN89" s="196"/>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89"/>
    </row>
    <row r="90" spans="1:63" outlineLevel="1" x14ac:dyDescent="0.2">
      <c r="A90" s="175" t="s">
        <v>76</v>
      </c>
      <c r="B90" s="198" t="s">
        <v>680</v>
      </c>
      <c r="C90" s="197"/>
      <c r="E90" s="133"/>
      <c r="F90" s="103"/>
      <c r="G90" s="133"/>
      <c r="H90" s="103"/>
      <c r="I90" s="204">
        <v>1</v>
      </c>
      <c r="J90" s="103" t="s">
        <v>261</v>
      </c>
      <c r="K90" s="101"/>
      <c r="L90" s="133"/>
      <c r="M90" s="103"/>
      <c r="N90" s="103"/>
      <c r="O90" s="103"/>
      <c r="P90" s="103"/>
      <c r="Q90" s="103"/>
      <c r="R90" s="103"/>
      <c r="S90" s="103"/>
      <c r="T90" s="263"/>
      <c r="U90" s="103"/>
      <c r="V90" s="103"/>
      <c r="W90" s="103"/>
      <c r="X90" s="103"/>
      <c r="Y90" s="103"/>
      <c r="Z90" s="107"/>
      <c r="AC90" s="196"/>
      <c r="AD90" s="107"/>
      <c r="AE90" s="107"/>
      <c r="AF90" s="107"/>
      <c r="AG90" s="196"/>
      <c r="AH90" s="107"/>
      <c r="AI90" s="107"/>
      <c r="AJ90" s="196"/>
      <c r="AK90" s="107"/>
      <c r="AL90" s="107"/>
      <c r="AM90" s="107"/>
      <c r="AN90" s="196"/>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89"/>
    </row>
    <row r="91" spans="1:63" outlineLevel="1" x14ac:dyDescent="0.2">
      <c r="A91" s="175" t="s">
        <v>76</v>
      </c>
      <c r="B91" s="198" t="s">
        <v>1351</v>
      </c>
      <c r="C91" s="197"/>
      <c r="E91" s="133"/>
      <c r="F91" s="103"/>
      <c r="G91" s="133"/>
      <c r="H91" s="103"/>
      <c r="I91" s="204">
        <v>0</v>
      </c>
      <c r="J91" s="103">
        <f>IF($I91="x","incl",VLOOKUP($B91,'Cost prices'!$B$6:$H$538,7,FALSE)*$I91)</f>
        <v>0</v>
      </c>
      <c r="K91" s="101"/>
      <c r="L91" s="133"/>
      <c r="M91" s="103"/>
      <c r="N91" s="103"/>
      <c r="O91" s="103"/>
      <c r="P91" s="103"/>
      <c r="Q91" s="103"/>
      <c r="R91" s="103"/>
      <c r="S91" s="103"/>
      <c r="T91" s="263"/>
      <c r="U91" s="103"/>
      <c r="V91" s="103"/>
      <c r="W91" s="103"/>
      <c r="X91" s="103"/>
      <c r="Y91" s="103"/>
      <c r="Z91" s="107"/>
      <c r="AC91" s="196"/>
      <c r="AD91" s="107"/>
      <c r="AE91" s="107"/>
      <c r="AF91" s="107"/>
      <c r="AG91" s="196"/>
      <c r="AH91" s="107"/>
      <c r="AI91" s="107"/>
      <c r="AJ91" s="196"/>
      <c r="AK91" s="107"/>
      <c r="AL91" s="107"/>
      <c r="AM91" s="107"/>
      <c r="AN91" s="196"/>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89"/>
    </row>
    <row r="92" spans="1:63" outlineLevel="1" x14ac:dyDescent="0.2">
      <c r="K92" s="101"/>
      <c r="Z92" s="107"/>
      <c r="AD92" s="107"/>
      <c r="AE92" s="107"/>
      <c r="AF92" s="107"/>
      <c r="AH92" s="107"/>
      <c r="AI92" s="107"/>
      <c r="AK92" s="107"/>
      <c r="AL92" s="107"/>
      <c r="AM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89"/>
    </row>
    <row r="93" spans="1:63" outlineLevel="1" x14ac:dyDescent="0.2">
      <c r="B93" s="195" t="s">
        <v>58</v>
      </c>
      <c r="K93" s="101"/>
      <c r="Z93" s="107"/>
      <c r="AD93" s="107"/>
      <c r="AE93" s="107"/>
      <c r="AF93" s="107"/>
      <c r="AH93" s="107"/>
      <c r="AI93" s="107"/>
      <c r="AK93" s="107"/>
      <c r="AL93" s="107"/>
      <c r="AM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89"/>
    </row>
    <row r="94" spans="1:63" outlineLevel="1" x14ac:dyDescent="0.2">
      <c r="B94" s="99" t="s">
        <v>187</v>
      </c>
      <c r="K94" s="101"/>
      <c r="Z94" s="107"/>
      <c r="AD94" s="107"/>
      <c r="AE94" s="107"/>
      <c r="AF94" s="107"/>
      <c r="AH94" s="107"/>
      <c r="AI94" s="107"/>
      <c r="AK94" s="107"/>
      <c r="AL94" s="107"/>
      <c r="AM94" s="107"/>
      <c r="AN94" s="196">
        <v>1</v>
      </c>
      <c r="AO94" s="103">
        <f>IF('External Prices'!Z$27&lt;&gt;"No",0,
IF($AN94="x","incl",VLOOKUP($B94,'Cost prices'!$B$6:$H$538,7,FALSE)*$AN94))</f>
        <v>15364.14</v>
      </c>
      <c r="AP94" s="103">
        <f>IF('External Prices'!AA$27&lt;&gt;"No",0,
IF($AN94="x","incl",VLOOKUP($B94,'Cost prices'!$B$6:$H$538,7,FALSE)*$AN94))</f>
        <v>15364.14</v>
      </c>
      <c r="AQ94" s="103">
        <f>IF('External Prices'!AB$27&lt;&gt;"No",0,
IF($AN94="x","incl",VLOOKUP($B94,'Cost prices'!$B$6:$H$538,7,FALSE)*$AN94)*1.5)</f>
        <v>23046.21</v>
      </c>
      <c r="AR94" s="107"/>
      <c r="AS94" s="107"/>
      <c r="AT94" s="107"/>
      <c r="AU94" s="107"/>
      <c r="AV94" s="107"/>
      <c r="AW94" s="107"/>
      <c r="AX94" s="107"/>
      <c r="AY94" s="107"/>
      <c r="AZ94" s="107"/>
      <c r="BA94" s="107"/>
      <c r="BB94" s="107"/>
      <c r="BC94" s="107"/>
      <c r="BD94" s="107"/>
      <c r="BE94" s="107"/>
      <c r="BF94" s="107"/>
      <c r="BG94" s="107"/>
      <c r="BH94" s="107"/>
      <c r="BI94" s="107"/>
      <c r="BJ94" s="107"/>
      <c r="BK94" s="189"/>
    </row>
    <row r="95" spans="1:63" outlineLevel="1" x14ac:dyDescent="0.2">
      <c r="B95" s="99" t="s">
        <v>59</v>
      </c>
      <c r="K95" s="101"/>
      <c r="Z95" s="107"/>
      <c r="AD95" s="107"/>
      <c r="AE95" s="107"/>
      <c r="AF95" s="107"/>
      <c r="AH95" s="107"/>
      <c r="AI95" s="107"/>
      <c r="AK95" s="107"/>
      <c r="AL95" s="107"/>
      <c r="AM95" s="107"/>
      <c r="AN95" s="196">
        <v>1</v>
      </c>
      <c r="AO95" s="103">
        <f>IF($AN95="x","incl",VLOOKUP($B95,'Cost prices'!$B$6:$H$538,7,FALSE)*$AN95)</f>
        <v>1000</v>
      </c>
      <c r="AP95" s="103">
        <f>IF($AN95="x","incl",VLOOKUP($B95,'Cost prices'!$B$6:$H$538,7,FALSE)*$AN95)</f>
        <v>1000</v>
      </c>
      <c r="AQ95" s="103">
        <f>IF($AN95="x","incl",VLOOKUP($B95,'Cost prices'!$B$6:$H$538,7,FALSE)*$AN95)</f>
        <v>1000</v>
      </c>
      <c r="AR95" s="107"/>
      <c r="AS95" s="107"/>
      <c r="AT95" s="107"/>
      <c r="AU95" s="107"/>
      <c r="AV95" s="107"/>
      <c r="AW95" s="107"/>
      <c r="AX95" s="107"/>
      <c r="AY95" s="107"/>
      <c r="AZ95" s="107"/>
      <c r="BA95" s="107"/>
      <c r="BB95" s="107"/>
      <c r="BC95" s="107"/>
      <c r="BD95" s="107"/>
      <c r="BE95" s="107"/>
      <c r="BF95" s="107"/>
      <c r="BG95" s="107"/>
      <c r="BH95" s="107"/>
      <c r="BI95" s="107"/>
      <c r="BJ95" s="107"/>
      <c r="BK95" s="189"/>
    </row>
    <row r="96" spans="1:63" outlineLevel="1" x14ac:dyDescent="0.2">
      <c r="B96" s="99" t="s">
        <v>60</v>
      </c>
      <c r="K96" s="101"/>
      <c r="Z96" s="107"/>
      <c r="AD96" s="107"/>
      <c r="AE96" s="107"/>
      <c r="AF96" s="107"/>
      <c r="AH96" s="107"/>
      <c r="AI96" s="107"/>
      <c r="AK96" s="107"/>
      <c r="AL96" s="107"/>
      <c r="AM96" s="107"/>
      <c r="AN96" s="196">
        <v>12</v>
      </c>
      <c r="AO96" s="103">
        <f>IF($AN96="x","incl",VLOOKUP($B96,'Cost prices'!$B$6:$H$538,7,FALSE)*$AN96)</f>
        <v>15600</v>
      </c>
      <c r="AP96" s="103">
        <f>IF($AN96="x","incl",VLOOKUP($B96,'Cost prices'!$B$6:$H$538,7,FALSE)*$AN96)</f>
        <v>15600</v>
      </c>
      <c r="AQ96" s="103">
        <f>IF($AN96="x","incl",VLOOKUP($B96,'Cost prices'!$B$6:$H$538,7,FALSE)*$AN96)*1.5</f>
        <v>23400</v>
      </c>
      <c r="AR96" s="107"/>
      <c r="AS96" s="107"/>
      <c r="AT96" s="107"/>
      <c r="AU96" s="107"/>
      <c r="AV96" s="107"/>
      <c r="AW96" s="107"/>
      <c r="AX96" s="107"/>
      <c r="AY96" s="107"/>
      <c r="AZ96" s="107"/>
      <c r="BA96" s="107"/>
      <c r="BB96" s="107"/>
      <c r="BC96" s="107"/>
      <c r="BD96" s="107"/>
      <c r="BE96" s="107"/>
      <c r="BF96" s="107"/>
      <c r="BG96" s="107"/>
      <c r="BH96" s="107"/>
      <c r="BI96" s="107"/>
      <c r="BJ96" s="107"/>
      <c r="BK96" s="189"/>
    </row>
    <row r="97" spans="1:63" outlineLevel="1" x14ac:dyDescent="0.2">
      <c r="B97" s="99" t="s">
        <v>61</v>
      </c>
      <c r="K97" s="101"/>
      <c r="Z97" s="107"/>
      <c r="AD97" s="107"/>
      <c r="AE97" s="107"/>
      <c r="AF97" s="107"/>
      <c r="AH97" s="107"/>
      <c r="AI97" s="107"/>
      <c r="AK97" s="107"/>
      <c r="AL97" s="107"/>
      <c r="AM97" s="107"/>
      <c r="AN97" s="196">
        <v>1</v>
      </c>
      <c r="AO97" s="103">
        <f>IF($AN97="x","incl",VLOOKUP($B97,'Cost prices'!$B$6:$H$538,7,FALSE)*$AN97)</f>
        <v>3500</v>
      </c>
      <c r="AP97" s="103">
        <f>IF($AN97="x","incl",VLOOKUP($B97,'Cost prices'!$B$6:$H$538,7,FALSE)*$AN97)</f>
        <v>3500</v>
      </c>
      <c r="AQ97" s="103">
        <f>IF($AN97="x","incl",VLOOKUP($B97,'Cost prices'!$B$6:$H$538,7,FALSE)*$AN97)*1.5</f>
        <v>5250</v>
      </c>
      <c r="AR97" s="107"/>
      <c r="AS97" s="107"/>
      <c r="AT97" s="107"/>
      <c r="AU97" s="107"/>
      <c r="AV97" s="107"/>
      <c r="AW97" s="107"/>
      <c r="AX97" s="107"/>
      <c r="AY97" s="107"/>
      <c r="AZ97" s="107"/>
      <c r="BA97" s="107"/>
      <c r="BB97" s="107"/>
      <c r="BC97" s="107"/>
      <c r="BD97" s="107"/>
      <c r="BE97" s="107"/>
      <c r="BF97" s="107"/>
      <c r="BG97" s="107"/>
      <c r="BH97" s="107"/>
      <c r="BI97" s="107"/>
      <c r="BJ97" s="107"/>
      <c r="BK97" s="189"/>
    </row>
    <row r="98" spans="1:63" outlineLevel="1" x14ac:dyDescent="0.2">
      <c r="K98" s="101"/>
      <c r="Z98" s="107"/>
      <c r="AD98" s="107"/>
      <c r="AE98" s="107"/>
      <c r="AF98" s="107"/>
      <c r="AH98" s="107"/>
      <c r="AI98" s="107"/>
      <c r="AK98" s="107"/>
      <c r="AL98" s="107"/>
      <c r="AM98" s="107"/>
      <c r="AN98" s="196"/>
      <c r="AO98" s="103"/>
      <c r="AP98" s="103"/>
      <c r="AQ98" s="103"/>
      <c r="AR98" s="107"/>
      <c r="AS98" s="107"/>
      <c r="AT98" s="107"/>
      <c r="AU98" s="107"/>
      <c r="AV98" s="107"/>
      <c r="AW98" s="107"/>
      <c r="AX98" s="107"/>
      <c r="AY98" s="107"/>
      <c r="AZ98" s="107"/>
      <c r="BA98" s="107"/>
      <c r="BB98" s="107"/>
      <c r="BC98" s="107"/>
      <c r="BD98" s="107"/>
      <c r="BE98" s="107"/>
      <c r="BF98" s="107"/>
      <c r="BG98" s="107"/>
      <c r="BH98" s="107"/>
      <c r="BI98" s="107"/>
      <c r="BJ98" s="107"/>
      <c r="BK98" s="189"/>
    </row>
    <row r="99" spans="1:63" outlineLevel="1" x14ac:dyDescent="0.2">
      <c r="B99" s="195" t="s">
        <v>1396</v>
      </c>
      <c r="K99" s="101"/>
      <c r="Z99" s="107"/>
      <c r="AD99" s="107"/>
      <c r="AE99" s="107"/>
      <c r="AF99" s="107"/>
      <c r="AH99" s="107"/>
      <c r="AI99" s="107"/>
      <c r="AK99" s="107"/>
      <c r="AL99" s="107"/>
      <c r="AM99" s="107"/>
      <c r="AN99" s="196"/>
      <c r="AO99" s="103">
        <f>IF('External Prices'!Z$27&lt;&gt;"No",VLOOKUP('External Prices'!B27,'Cost prices'!$B$6:$H$538,7,FALSE),0)</f>
        <v>0</v>
      </c>
      <c r="AP99" s="103">
        <f>IF('External Prices'!AA$27&lt;&gt;"No",VLOOKUP('External Prices'!B27,'Cost prices'!$B$6:$H$538,7,FALSE),0)</f>
        <v>0</v>
      </c>
      <c r="AQ99" s="103">
        <f>IF('External Prices'!AB$27&lt;&gt;"No",VLOOKUP('External Prices'!B27,'Cost prices'!$B$6:$H$538,7,FALSE),0)</f>
        <v>0</v>
      </c>
      <c r="AR99" s="107"/>
      <c r="AS99" s="107"/>
      <c r="AT99" s="107"/>
      <c r="AU99" s="107"/>
      <c r="AV99" s="107"/>
      <c r="AW99" s="107"/>
      <c r="AX99" s="107"/>
      <c r="AY99" s="107"/>
      <c r="AZ99" s="107"/>
      <c r="BA99" s="107"/>
      <c r="BB99" s="107"/>
      <c r="BC99" s="107"/>
      <c r="BD99" s="107"/>
      <c r="BE99" s="107"/>
      <c r="BF99" s="107"/>
      <c r="BG99" s="107"/>
      <c r="BH99" s="107"/>
      <c r="BI99" s="107"/>
      <c r="BJ99" s="107"/>
      <c r="BK99" s="189"/>
    </row>
    <row r="100" spans="1:63" outlineLevel="1" x14ac:dyDescent="0.2">
      <c r="B100" s="195" t="s">
        <v>1393</v>
      </c>
      <c r="K100" s="101"/>
      <c r="Z100" s="107"/>
      <c r="AD100" s="107"/>
      <c r="AE100" s="107"/>
      <c r="AF100" s="107"/>
      <c r="AH100" s="107"/>
      <c r="AI100" s="107"/>
      <c r="AK100" s="107"/>
      <c r="AL100" s="107"/>
      <c r="AM100" s="107"/>
      <c r="AN100" s="196"/>
      <c r="AO100" s="103">
        <f>IF('External Prices'!Z$29&lt;&gt;"No",VLOOKUP('External Prices'!B29,'Cost prices'!$B$6:$H$538,7,FALSE),0)</f>
        <v>0</v>
      </c>
      <c r="AP100" s="103">
        <f>IF('External Prices'!AA$29&lt;&gt;"No",VLOOKUP('External Prices'!B29,'Cost prices'!$B$6:$H$538,7,FALSE),0)</f>
        <v>0</v>
      </c>
      <c r="AQ100" s="103">
        <f>IF('External Prices'!AB$29&lt;&gt;"No",VLOOKUP('External Prices'!B29,'Cost prices'!$B$6:$H$538,7,FALSE),0)</f>
        <v>0</v>
      </c>
      <c r="AR100" s="107"/>
      <c r="AS100" s="107"/>
      <c r="AT100" s="107"/>
      <c r="AU100" s="107"/>
      <c r="AV100" s="107"/>
      <c r="AW100" s="107"/>
      <c r="AX100" s="107"/>
      <c r="AY100" s="107"/>
      <c r="AZ100" s="107"/>
      <c r="BA100" s="107"/>
      <c r="BB100" s="107"/>
      <c r="BC100" s="107"/>
      <c r="BD100" s="107"/>
      <c r="BE100" s="107"/>
      <c r="BF100" s="107"/>
      <c r="BG100" s="107"/>
      <c r="BH100" s="107"/>
      <c r="BI100" s="107"/>
      <c r="BJ100" s="107"/>
      <c r="BK100" s="189"/>
    </row>
    <row r="101" spans="1:63" outlineLevel="1" x14ac:dyDescent="0.2">
      <c r="B101" s="195" t="s">
        <v>1395</v>
      </c>
      <c r="K101" s="101"/>
      <c r="Z101" s="107"/>
      <c r="AD101" s="107"/>
      <c r="AE101" s="107"/>
      <c r="AF101" s="107"/>
      <c r="AH101" s="107"/>
      <c r="AI101" s="107"/>
      <c r="AK101" s="107"/>
      <c r="AL101" s="107"/>
      <c r="AM101" s="107"/>
      <c r="AN101" s="196"/>
      <c r="AO101" s="103">
        <f>IF('External Prices'!Z$30&lt;&gt;"No",VLOOKUP('External Prices'!B30,'Cost prices'!$B$6:$H$538,7,FALSE),0)</f>
        <v>0</v>
      </c>
      <c r="AP101" s="103">
        <f>IF('External Prices'!AA$30&lt;&gt;"No",VLOOKUP('External Prices'!B30,'Cost prices'!$B$6:$H$538,7,FALSE),0)</f>
        <v>0</v>
      </c>
      <c r="AQ101" s="103">
        <f>IF('External Prices'!AB$30&lt;&gt;"No",VLOOKUP('External Prices'!B30,'Cost prices'!$B$6:$H$538,7,FALSE),0)</f>
        <v>0</v>
      </c>
      <c r="AR101" s="107"/>
      <c r="AS101" s="107"/>
      <c r="AT101" s="107"/>
      <c r="AU101" s="107"/>
      <c r="AV101" s="107"/>
      <c r="AW101" s="107"/>
      <c r="AX101" s="107"/>
      <c r="AY101" s="107"/>
      <c r="AZ101" s="107"/>
      <c r="BA101" s="107"/>
      <c r="BB101" s="107"/>
      <c r="BC101" s="107"/>
      <c r="BD101" s="107"/>
      <c r="BE101" s="107"/>
      <c r="BF101" s="107"/>
      <c r="BG101" s="107"/>
      <c r="BH101" s="107"/>
      <c r="BI101" s="107"/>
      <c r="BJ101" s="107"/>
      <c r="BK101" s="189"/>
    </row>
    <row r="102" spans="1:63" outlineLevel="1" x14ac:dyDescent="0.2">
      <c r="K102" s="101"/>
      <c r="Z102" s="107"/>
      <c r="AD102" s="107"/>
      <c r="AE102" s="107"/>
      <c r="AF102" s="107"/>
      <c r="AH102" s="107"/>
      <c r="AI102" s="107"/>
      <c r="AK102" s="107"/>
      <c r="AL102" s="107"/>
      <c r="AM102" s="107"/>
      <c r="AN102" s="196"/>
      <c r="AO102" s="103"/>
      <c r="AP102" s="103"/>
      <c r="AQ102" s="103"/>
      <c r="AR102" s="107"/>
      <c r="AS102" s="107"/>
      <c r="AT102" s="107"/>
      <c r="AU102" s="107"/>
      <c r="AV102" s="107"/>
      <c r="AW102" s="107"/>
      <c r="AX102" s="107"/>
      <c r="AY102" s="107"/>
      <c r="AZ102" s="107"/>
      <c r="BA102" s="107"/>
      <c r="BB102" s="107"/>
      <c r="BC102" s="107"/>
      <c r="BD102" s="107"/>
      <c r="BE102" s="107"/>
      <c r="BF102" s="107"/>
      <c r="BG102" s="107"/>
      <c r="BH102" s="107"/>
      <c r="BI102" s="107"/>
      <c r="BJ102" s="107"/>
      <c r="BK102" s="189"/>
    </row>
    <row r="103" spans="1:63" outlineLevel="1" x14ac:dyDescent="0.2">
      <c r="B103" s="195" t="s">
        <v>49</v>
      </c>
      <c r="C103" s="200"/>
      <c r="E103" s="133"/>
      <c r="F103" s="133"/>
      <c r="G103" s="133"/>
      <c r="L103" s="133"/>
      <c r="Z103" s="107"/>
      <c r="AD103" s="107"/>
      <c r="AE103" s="107"/>
      <c r="AF103" s="107"/>
      <c r="AH103" s="107"/>
      <c r="AI103" s="107"/>
      <c r="AK103" s="107"/>
      <c r="AL103" s="107"/>
      <c r="AM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89"/>
    </row>
    <row r="104" spans="1:63" outlineLevel="1" x14ac:dyDescent="0.2">
      <c r="A104" s="175" t="s">
        <v>729</v>
      </c>
      <c r="B104" s="185" t="s">
        <v>582</v>
      </c>
      <c r="C104" s="197"/>
      <c r="E104" s="133"/>
      <c r="F104" s="133"/>
      <c r="G104" s="133"/>
      <c r="L104" s="133"/>
      <c r="Z104" s="103">
        <f>IF('External Prices'!P$17&lt;&gt;"No",VLOOKUP('External Prices'!P17,'Cost prices'!$B$6:$H$538,7,FALSE),0)</f>
        <v>38815.050000000003</v>
      </c>
      <c r="AD104" s="107"/>
      <c r="AE104" s="107"/>
      <c r="AF104" s="107"/>
      <c r="AH104" s="107"/>
      <c r="AI104" s="107"/>
      <c r="AK104" s="103">
        <f>IF('External Prices'!W$17&lt;&gt;"No",VLOOKUP('External Prices'!W17,'Cost prices'!$B$6:$H$538,7,FALSE),0)</f>
        <v>60595.85</v>
      </c>
      <c r="AL104" s="103">
        <f>IF('External Prices'!X$17&lt;&gt;"No",VLOOKUP('External Prices'!X17,'Cost prices'!$B$6:$H$538,7,FALSE),0)</f>
        <v>60595.85</v>
      </c>
      <c r="AM104" s="103">
        <f>IF('External Prices'!Y$17&lt;&gt;"No",VLOOKUP('External Prices'!Y17,'Cost prices'!$B$6:$H$538,7,FALSE),0)</f>
        <v>60595.85</v>
      </c>
      <c r="AO104" s="103">
        <f>IF('External Prices'!Z$17&lt;&gt;"No",VLOOKUP('External Prices'!Z17,'Cost prices'!$B$6:$H$538,7,FALSE),0)</f>
        <v>51957.45</v>
      </c>
      <c r="AP104" s="103">
        <f>IF('External Prices'!AA$17&lt;&gt;"No",VLOOKUP('External Prices'!AA17,'Cost prices'!$B$6:$H$538,7,FALSE),0)</f>
        <v>60595.85</v>
      </c>
      <c r="AQ104" s="103">
        <f>IF('External Prices'!AB$17&lt;&gt;"No",VLOOKUP('External Prices'!AB17,'Cost prices'!$B$6:$H$538,7,FALSE),0)</f>
        <v>60595.85</v>
      </c>
      <c r="AR104" s="107"/>
      <c r="AS104" s="107"/>
      <c r="AT104" s="107"/>
      <c r="AU104" s="107"/>
      <c r="AV104" s="107"/>
      <c r="AW104" s="107"/>
      <c r="AX104" s="107"/>
      <c r="AY104" s="107"/>
      <c r="AZ104" s="107"/>
      <c r="BA104" s="107"/>
      <c r="BB104" s="107"/>
      <c r="BC104" s="107"/>
      <c r="BD104" s="107"/>
      <c r="BE104" s="107"/>
      <c r="BF104" s="107"/>
      <c r="BG104" s="107"/>
      <c r="BH104" s="107"/>
      <c r="BI104" s="107"/>
      <c r="BJ104" s="107"/>
      <c r="BK104" s="189"/>
    </row>
    <row r="105" spans="1:63" outlineLevel="1" x14ac:dyDescent="0.2">
      <c r="B105" s="185"/>
      <c r="E105" s="133"/>
      <c r="F105" s="133"/>
      <c r="G105" s="137"/>
      <c r="H105" s="133"/>
      <c r="I105" s="137"/>
      <c r="J105" s="133"/>
      <c r="L105" s="133"/>
      <c r="M105" s="133"/>
      <c r="N105" s="133"/>
      <c r="O105" s="133"/>
      <c r="P105" s="133"/>
      <c r="Q105" s="133"/>
      <c r="R105" s="133"/>
      <c r="S105" s="133"/>
      <c r="T105" s="307"/>
      <c r="U105" s="133"/>
      <c r="V105" s="133"/>
      <c r="W105" s="133"/>
      <c r="X105" s="133"/>
      <c r="Y105" s="133"/>
      <c r="Z105" s="107"/>
      <c r="AA105" s="133"/>
      <c r="AB105" s="133"/>
      <c r="AC105" s="137"/>
      <c r="AD105" s="107"/>
      <c r="AE105" s="107"/>
      <c r="AF105" s="107"/>
      <c r="AG105" s="137"/>
      <c r="AH105" s="107"/>
      <c r="AI105" s="107"/>
      <c r="AJ105" s="137"/>
      <c r="AK105" s="107"/>
      <c r="AL105" s="107"/>
      <c r="AM105" s="107"/>
      <c r="AN105" s="137"/>
      <c r="AO105" s="107"/>
      <c r="AP105" s="107"/>
      <c r="AQ105" s="107"/>
      <c r="AR105" s="107"/>
      <c r="AS105" s="107"/>
    </row>
    <row r="106" spans="1:63" ht="13" outlineLevel="1" x14ac:dyDescent="0.15">
      <c r="B106" s="185" t="s">
        <v>210</v>
      </c>
      <c r="D106" s="196">
        <v>1</v>
      </c>
      <c r="E106" s="103">
        <f>IF(D106="x","incl",VLOOKUP($B106,'Cost prices'!$B$6:$H$538,7,FALSE)*D106)</f>
        <v>950</v>
      </c>
      <c r="F106" s="103">
        <f>IF(D106="x","incl",VLOOKUP($B106,'Cost prices'!$B$6:$H$538,7,FALSE)*D106)</f>
        <v>950</v>
      </c>
      <c r="G106" s="196">
        <v>1</v>
      </c>
      <c r="H106" s="103">
        <f>IF($G106="x","incl",VLOOKUP($B106,'Cost prices'!$B$6:$H$538,7,FALSE)*$G106)</f>
        <v>950</v>
      </c>
      <c r="I106" s="196">
        <v>1</v>
      </c>
      <c r="J106" s="103">
        <f>IF($I106="x","incl",VLOOKUP($B106,'Cost prices'!$B$6:$H$538,7,FALSE)*$I106)</f>
        <v>950</v>
      </c>
      <c r="K106" s="196">
        <v>1</v>
      </c>
      <c r="L106" s="103">
        <f>IF(K106="x","incl",VLOOKUP($B106,'Cost prices'!$B$6:$H$538,7,FALSE)*K106)</f>
        <v>950</v>
      </c>
      <c r="M106" s="196"/>
      <c r="N106" s="103">
        <f>IF($M106="x","incl",VLOOKUP($B106,'Cost prices'!$B$6:$H$538,7,FALSE)*$M106)</f>
        <v>0</v>
      </c>
      <c r="O106" s="196"/>
      <c r="P106" s="103">
        <f>IF($M106="x","incl",VLOOKUP($B106,'Cost prices'!$B$6:$H$538,7,FALSE)*$M106)</f>
        <v>0</v>
      </c>
      <c r="Q106" s="196"/>
      <c r="R106" s="103">
        <f>IF($Q106="x","incl",VLOOKUP($B106,'Cost prices'!$B$6:$H$538,7,FALSE)*$Q106)</f>
        <v>0</v>
      </c>
      <c r="S106" s="103"/>
      <c r="T106" s="263"/>
      <c r="U106" s="196">
        <v>0</v>
      </c>
      <c r="V106" s="103">
        <f>IF($U106="x","incl",VLOOKUP($B106,'Cost prices'!$B$6:$H$538,7,FALSE)*$U106)</f>
        <v>0</v>
      </c>
      <c r="W106" s="196">
        <v>0</v>
      </c>
      <c r="X106" s="103">
        <f>IF($W106="x","incl",VLOOKUP($B106,'Cost prices'!$B$6:$H$538,7,FALSE)*$W106)</f>
        <v>0</v>
      </c>
      <c r="Y106" s="196">
        <v>0</v>
      </c>
      <c r="Z106" s="103">
        <f>IF($Y106="x","incl",VLOOKUP($B106,'Cost prices'!$B$6:$H$538,7,FALSE)*$Y106)</f>
        <v>0</v>
      </c>
      <c r="AA106" s="196">
        <v>0</v>
      </c>
      <c r="AB106" s="103">
        <f>IF($AA106="x","incl",VLOOKUP($B106,'Cost prices'!$B$6:$H$538,7,FALSE)*$AA106)</f>
        <v>0</v>
      </c>
      <c r="AC106" s="196">
        <v>0</v>
      </c>
      <c r="AD106" s="103">
        <f>IF($AC106="x","incl",VLOOKUP($B106,'Cost prices'!$B$6:$H$538,7,FALSE)*$AC106)</f>
        <v>0</v>
      </c>
      <c r="AE106" s="103">
        <f>IF($AC106="x","incl",VLOOKUP($B106,'Cost prices'!$B$6:$H$538,7,FALSE)*$AC106)</f>
        <v>0</v>
      </c>
      <c r="AF106" s="103">
        <f>IF($AC106="x","incl",VLOOKUP($B106,'Cost prices'!$B$6:$H$538,7,FALSE)*$AC106)</f>
        <v>0</v>
      </c>
      <c r="AG106" s="196">
        <v>0</v>
      </c>
      <c r="AH106" s="103">
        <f>IF($AG106="x","incl",VLOOKUP($B106,'Cost prices'!$B$6:$H$538,7,FALSE)*$AG106)</f>
        <v>0</v>
      </c>
      <c r="AI106" s="103">
        <f>IF($AG106="x","incl",VLOOKUP($B106,'Cost prices'!$B$6:$H$538,7,FALSE)*$AG106)</f>
        <v>0</v>
      </c>
      <c r="AJ106" s="196">
        <v>0</v>
      </c>
      <c r="AK106" s="103">
        <f>IF($AJ106="x","incl",VLOOKUP($B106,'Cost prices'!$B$6:$H$538,7,FALSE)*$AJ106)</f>
        <v>0</v>
      </c>
      <c r="AL106" s="103">
        <f>IF($AJ106="x","incl",VLOOKUP($B106,'Cost prices'!$B$6:$H$538,7,FALSE)*$AJ106)</f>
        <v>0</v>
      </c>
      <c r="AM106" s="103">
        <f>IF($AJ106="x","incl",VLOOKUP($B106,'Cost prices'!$B$6:$H$538,7,FALSE)*$AJ106)</f>
        <v>0</v>
      </c>
      <c r="AN106" s="196">
        <v>0</v>
      </c>
      <c r="AO106" s="103">
        <f>IF($AN106="x","incl",VLOOKUP($B106,'Cost prices'!$B$6:$H$538,7,FALSE)*$AN106)</f>
        <v>0</v>
      </c>
      <c r="AP106" s="103">
        <f>IF($AN106="x","incl",VLOOKUP($B106,'Cost prices'!$B$6:$H$538,7,FALSE)*$AN106)</f>
        <v>0</v>
      </c>
      <c r="AQ106" s="103">
        <f>IF($AN106="x","incl",VLOOKUP($B106,'Cost prices'!$B$6:$H$538,7,FALSE)*$AN106)</f>
        <v>0</v>
      </c>
      <c r="AR106" s="208">
        <v>0.5</v>
      </c>
      <c r="AS106" s="103">
        <f>IF($AR106="x","incl",VLOOKUP($B106,'Cost prices'!$B$6:$H$538,7,FALSE)*$AR106)</f>
        <v>475</v>
      </c>
      <c r="AT106" s="103">
        <f>IF($AR106="x","incl",VLOOKUP($B106,'Cost prices'!$B$6:$H$538,7,FALSE)*$AR106)</f>
        <v>475</v>
      </c>
      <c r="AU106" s="103">
        <f>IF($AR106="x","incl",VLOOKUP($B106,'Cost prices'!$B$6:$H$538,7,FALSE)*$AR106)</f>
        <v>475</v>
      </c>
      <c r="AV106" s="103">
        <f>IF($AR106="x","incl",VLOOKUP($B106,'Cost prices'!$B$6:$H$538,7,FALSE)*$AR106)</f>
        <v>475</v>
      </c>
      <c r="AW106" s="103">
        <f>IF($AR106="x","incl",VLOOKUP($B106,'Cost prices'!$B$6:$H$538,7,FALSE)*$AR106)</f>
        <v>475</v>
      </c>
      <c r="AX106" s="103">
        <f>IF($AR106="x","incl",VLOOKUP($B106,'Cost prices'!$B$6:$H$538,7,FALSE)*$AR106)</f>
        <v>475</v>
      </c>
      <c r="AY106" s="103">
        <f>IF($AR106="x","incl",VLOOKUP($B106,'Cost prices'!$B$6:$H$538,7,FALSE)*$AR106)</f>
        <v>475</v>
      </c>
      <c r="AZ106" s="103">
        <f>IF($AR106="x","incl",VLOOKUP($B106,'Cost prices'!$B$6:$H$538,7,FALSE)*$AR106)</f>
        <v>475</v>
      </c>
      <c r="BA106" s="103">
        <f>IF($AR106="x","incl",VLOOKUP($B106,'Cost prices'!$B$6:$H$538,7,FALSE)*$AR106)</f>
        <v>475</v>
      </c>
      <c r="BB106" s="103"/>
      <c r="BC106" s="103"/>
      <c r="BD106" s="103"/>
    </row>
    <row r="107" spans="1:63" ht="13" outlineLevel="1" x14ac:dyDescent="0.15">
      <c r="B107" s="185" t="s">
        <v>211</v>
      </c>
      <c r="D107" s="196">
        <v>1</v>
      </c>
      <c r="E107" s="103">
        <f>IF(D107="x","incl",VLOOKUP($B107,'Cost prices'!$B$6:$H$538,7,FALSE)*D107)</f>
        <v>1025</v>
      </c>
      <c r="F107" s="103">
        <f>IF(D107="x","incl",VLOOKUP($B107,'Cost prices'!$B$6:$H$538,7,FALSE)*D107)</f>
        <v>1025</v>
      </c>
      <c r="G107" s="196">
        <v>1</v>
      </c>
      <c r="H107" s="103">
        <f>IF($G107="x","incl",VLOOKUP($B107,'Cost prices'!$B$6:$H$538,7,FALSE)*$G107)</f>
        <v>1025</v>
      </c>
      <c r="I107" s="196">
        <v>1</v>
      </c>
      <c r="J107" s="103">
        <f>IF($I107="x","incl",VLOOKUP($B107,'Cost prices'!$B$6:$H$538,7,FALSE)*$I107)</f>
        <v>1025</v>
      </c>
      <c r="K107" s="196">
        <v>1</v>
      </c>
      <c r="L107" s="103">
        <f>IF(K107="x","incl",VLOOKUP($B107,'Cost prices'!$B$6:$H$538,7,FALSE)*K107)</f>
        <v>1025</v>
      </c>
      <c r="M107" s="196"/>
      <c r="N107" s="103">
        <f>IF($M107="x","incl",VLOOKUP($B107,'Cost prices'!$B$6:$H$538,7,FALSE)*$M107)</f>
        <v>0</v>
      </c>
      <c r="O107" s="196"/>
      <c r="P107" s="103">
        <f>IF($M107="x","incl",VLOOKUP($B107,'Cost prices'!$B$6:$H$538,7,FALSE)*$M107)</f>
        <v>0</v>
      </c>
      <c r="Q107" s="196"/>
      <c r="R107" s="103">
        <f>IF($Q107="x","incl",VLOOKUP($B107,'Cost prices'!$B$6:$H$538,7,FALSE)*$Q107)</f>
        <v>0</v>
      </c>
      <c r="S107" s="103"/>
      <c r="T107" s="263"/>
      <c r="U107" s="196">
        <v>0</v>
      </c>
      <c r="V107" s="103">
        <f>IF($U107="x","incl",VLOOKUP($B107,'Cost prices'!$B$6:$H$538,7,FALSE)*$U107)</f>
        <v>0</v>
      </c>
      <c r="W107" s="196">
        <v>0</v>
      </c>
      <c r="X107" s="103">
        <f>IF($W107="x","incl",VLOOKUP($B107,'Cost prices'!$B$6:$H$538,7,FALSE)*$W107)</f>
        <v>0</v>
      </c>
      <c r="Y107" s="196">
        <v>0</v>
      </c>
      <c r="Z107" s="103">
        <f>IF($Y107="x","incl",VLOOKUP($B107,'Cost prices'!$B$6:$H$538,7,FALSE)*$Y107)</f>
        <v>0</v>
      </c>
      <c r="AA107" s="196">
        <v>0</v>
      </c>
      <c r="AB107" s="103">
        <f>IF($AA107="x","incl",VLOOKUP($B107,'Cost prices'!$B$6:$H$538,7,FALSE)*$AA107)</f>
        <v>0</v>
      </c>
      <c r="AC107" s="196">
        <v>0</v>
      </c>
      <c r="AD107" s="103">
        <f>IF($AC107="x","incl",VLOOKUP($B107,'Cost prices'!$B$6:$H$538,7,FALSE)*$AC107)</f>
        <v>0</v>
      </c>
      <c r="AE107" s="103">
        <f>IF($AC107="x","incl",VLOOKUP($B107,'Cost prices'!$B$6:$H$538,7,FALSE)*$AC107)</f>
        <v>0</v>
      </c>
      <c r="AF107" s="103">
        <f>IF($AC107="x","incl",VLOOKUP($B107,'Cost prices'!$B$6:$H$538,7,FALSE)*$AC107)</f>
        <v>0</v>
      </c>
      <c r="AG107" s="196">
        <v>0</v>
      </c>
      <c r="AH107" s="103">
        <f>IF($AG107="x","incl",VLOOKUP($B107,'Cost prices'!$B$6:$H$538,7,FALSE)*$AG107)</f>
        <v>0</v>
      </c>
      <c r="AI107" s="103">
        <f>IF($AG107="x","incl",VLOOKUP($B107,'Cost prices'!$B$6:$H$538,7,FALSE)*$AG107)</f>
        <v>0</v>
      </c>
      <c r="AJ107" s="196">
        <v>0</v>
      </c>
      <c r="AK107" s="103">
        <f>IF($AJ107="x","incl",VLOOKUP($B107,'Cost prices'!$B$6:$H$538,7,FALSE)*$AJ107)</f>
        <v>0</v>
      </c>
      <c r="AL107" s="103">
        <f>IF($AJ107="x","incl",VLOOKUP($B107,'Cost prices'!$B$6:$H$538,7,FALSE)*$AJ107)</f>
        <v>0</v>
      </c>
      <c r="AM107" s="103">
        <f>IF($AJ107="x","incl",VLOOKUP($B107,'Cost prices'!$B$6:$H$538,7,FALSE)*$AJ107)</f>
        <v>0</v>
      </c>
      <c r="AN107" s="196">
        <v>0</v>
      </c>
      <c r="AO107" s="103">
        <f>IF($AN107="x","incl",VLOOKUP($B107,'Cost prices'!$B$6:$H$538,7,FALSE)*$AN107)</f>
        <v>0</v>
      </c>
      <c r="AP107" s="103">
        <f>IF($AN107="x","incl",VLOOKUP($B107,'Cost prices'!$B$6:$H$538,7,FALSE)*$AN107)</f>
        <v>0</v>
      </c>
      <c r="AQ107" s="103">
        <f>IF($AN107="x","incl",VLOOKUP($B107,'Cost prices'!$B$6:$H$538,7,FALSE)*$AN107)</f>
        <v>0</v>
      </c>
      <c r="AS107" s="137"/>
      <c r="AT107" s="137"/>
      <c r="AU107" s="137"/>
      <c r="AV107" s="137"/>
      <c r="AW107" s="137"/>
      <c r="AX107" s="137"/>
      <c r="AY107" s="137"/>
      <c r="AZ107" s="137"/>
      <c r="BA107" s="137"/>
      <c r="BB107" s="137"/>
      <c r="BC107" s="137"/>
      <c r="BD107" s="137"/>
    </row>
    <row r="108" spans="1:63" ht="13" outlineLevel="1" x14ac:dyDescent="0.15">
      <c r="B108" s="185" t="s">
        <v>255</v>
      </c>
      <c r="D108" s="196">
        <v>0</v>
      </c>
      <c r="E108" s="103">
        <f>IF(D108="x","incl",VLOOKUP($B108,'Cost prices'!$B$6:$H$538,7,FALSE)*D108)</f>
        <v>0</v>
      </c>
      <c r="F108" s="103">
        <f>IF(D108="x","incl",VLOOKUP($B108,'Cost prices'!$B$6:$H$538,7,FALSE)*D108)</f>
        <v>0</v>
      </c>
      <c r="G108" s="196">
        <v>0</v>
      </c>
      <c r="H108" s="103">
        <f>IF($G108="x","incl",VLOOKUP($B108,'Cost prices'!$B$6:$H$538,7,FALSE)*$G108)</f>
        <v>0</v>
      </c>
      <c r="I108" s="196">
        <v>0</v>
      </c>
      <c r="J108" s="103">
        <f>IF($I108="x","incl",VLOOKUP($B108,'Cost prices'!$B$6:$H$538,7,FALSE)*$I108)</f>
        <v>0</v>
      </c>
      <c r="K108" s="196">
        <v>0</v>
      </c>
      <c r="L108" s="103">
        <f>IF(K108="x","incl",VLOOKUP($B108,'Cost prices'!$B$6:$H$538,7,FALSE)*K108)</f>
        <v>0</v>
      </c>
      <c r="M108" s="196">
        <v>1</v>
      </c>
      <c r="N108" s="103">
        <f>IF($M108="x","incl",VLOOKUP($B108,'Cost prices'!$B$6:$H$538,7,FALSE)*$M108)</f>
        <v>913</v>
      </c>
      <c r="O108" s="196">
        <v>1</v>
      </c>
      <c r="P108" s="103">
        <f>IF($M108="x","incl",VLOOKUP($B108,'Cost prices'!$B$6:$H$538,7,FALSE)*$M108)</f>
        <v>913</v>
      </c>
      <c r="Q108" s="196">
        <v>1</v>
      </c>
      <c r="R108" s="103">
        <f>IF($Q108="x","incl",VLOOKUP($B108,'Cost prices'!$B$6:$H$538,7,FALSE)*$Q108)</f>
        <v>913</v>
      </c>
      <c r="S108" s="103"/>
      <c r="T108" s="263"/>
      <c r="U108" s="196">
        <v>1</v>
      </c>
      <c r="V108" s="103">
        <f>IF($U108="x","incl",VLOOKUP($B108,'Cost prices'!$B$6:$H$538,7,FALSE)*$U108)</f>
        <v>913</v>
      </c>
      <c r="W108" s="196">
        <v>1</v>
      </c>
      <c r="X108" s="103">
        <f>IF($W108="x","incl",VLOOKUP($B108,'Cost prices'!$B$6:$H$538,7,FALSE)*$W108)</f>
        <v>913</v>
      </c>
      <c r="Y108" s="196">
        <v>1</v>
      </c>
      <c r="Z108" s="103">
        <f>IF($Y108="x","incl",VLOOKUP($B108,'Cost prices'!$B$6:$H$538,7,FALSE)*$Y108)</f>
        <v>913</v>
      </c>
      <c r="AA108" s="196">
        <v>1</v>
      </c>
      <c r="AB108" s="103">
        <f>IF($AA108="x","incl",VLOOKUP($B108,'Cost prices'!$B$6:$H$538,7,FALSE)*$AA108)</f>
        <v>913</v>
      </c>
      <c r="AC108" s="196">
        <v>1</v>
      </c>
      <c r="AD108" s="103">
        <f>IF($AC108="x","incl",VLOOKUP($B108,'Cost prices'!$B$6:$H$538,7,FALSE)*$AC108)</f>
        <v>913</v>
      </c>
      <c r="AE108" s="103">
        <f>IF($AC108="x","incl",VLOOKUP($B108,'Cost prices'!$B$6:$H$538,7,FALSE)*$AC108)</f>
        <v>913</v>
      </c>
      <c r="AF108" s="103">
        <f>IF($AC108="x","incl",VLOOKUP($B108,'Cost prices'!$B$6:$H$538,7,FALSE)*$AC108)</f>
        <v>913</v>
      </c>
      <c r="AG108" s="196">
        <v>1</v>
      </c>
      <c r="AH108" s="103">
        <f>IF($AG108="x","incl",VLOOKUP($B108,'Cost prices'!$B$6:$H$538,7,FALSE)*$AG108)</f>
        <v>913</v>
      </c>
      <c r="AI108" s="103">
        <f>IF($AG108="x","incl",VLOOKUP($B108,'Cost prices'!$B$6:$H$538,7,FALSE)*$AG108)</f>
        <v>913</v>
      </c>
      <c r="AJ108" s="196">
        <v>1</v>
      </c>
      <c r="AK108" s="103">
        <f>IF($AJ108="x","incl",VLOOKUP($B108,'Cost prices'!$B$6:$H$538,7,FALSE)*$AJ108)</f>
        <v>913</v>
      </c>
      <c r="AL108" s="103">
        <f>IF($AJ108="x","incl",VLOOKUP($B108,'Cost prices'!$B$6:$H$538,7,FALSE)*$AJ108)</f>
        <v>913</v>
      </c>
      <c r="AM108" s="103">
        <f>IF($AJ108="x","incl",VLOOKUP($B108,'Cost prices'!$B$6:$H$538,7,FALSE)*$AJ108)</f>
        <v>913</v>
      </c>
      <c r="AN108" s="196">
        <v>1</v>
      </c>
      <c r="AO108" s="103">
        <f>IF($AN108="x","incl",VLOOKUP($B108,'Cost prices'!$B$6:$H$538,7,FALSE)*$AN108)</f>
        <v>913</v>
      </c>
      <c r="AP108" s="103">
        <f>IF($AN108="x","incl",VLOOKUP($B108,'Cost prices'!$B$6:$H$538,7,FALSE)*$AN108)</f>
        <v>913</v>
      </c>
      <c r="AQ108" s="103">
        <f>IF($AN108="x","incl",VLOOKUP($B108,'Cost prices'!$B$6:$H$538,7,FALSE)*$AN108)</f>
        <v>913</v>
      </c>
      <c r="AS108" s="137"/>
      <c r="AT108" s="137"/>
      <c r="AU108" s="137"/>
      <c r="AV108" s="137"/>
      <c r="AW108" s="137"/>
      <c r="AX108" s="137"/>
      <c r="AY108" s="137"/>
      <c r="AZ108" s="137"/>
      <c r="BA108" s="137"/>
      <c r="BB108" s="137"/>
      <c r="BC108" s="137"/>
      <c r="BD108" s="137"/>
    </row>
    <row r="109" spans="1:63" ht="13" outlineLevel="1" x14ac:dyDescent="0.15">
      <c r="B109" s="185" t="s">
        <v>212</v>
      </c>
      <c r="D109" s="196">
        <v>1</v>
      </c>
      <c r="E109" s="103">
        <f>IF(D109="x","incl",VLOOKUP($B109,'Cost prices'!$B$6:$H$538,7,FALSE)*D109)</f>
        <v>950</v>
      </c>
      <c r="F109" s="103">
        <f>IF(D109="x","incl",VLOOKUP($B109,'Cost prices'!$B$6:$H$538,7,FALSE)*D109)</f>
        <v>950</v>
      </c>
      <c r="G109" s="196">
        <v>1</v>
      </c>
      <c r="H109" s="103">
        <f>IF($G109="x","incl",VLOOKUP($B109,'Cost prices'!$B$6:$H$538,7,FALSE)*$G109)</f>
        <v>950</v>
      </c>
      <c r="I109" s="196">
        <v>1</v>
      </c>
      <c r="J109" s="103">
        <f>IF($I109="x","incl",VLOOKUP($B109,'Cost prices'!$B$6:$H$538,7,FALSE)*$I109)</f>
        <v>950</v>
      </c>
      <c r="K109" s="196">
        <v>1</v>
      </c>
      <c r="L109" s="103">
        <f>IF(K109="x","incl",VLOOKUP($B109,'Cost prices'!$B$6:$H$538,7,FALSE)*K109)</f>
        <v>950</v>
      </c>
      <c r="M109" s="196">
        <v>1</v>
      </c>
      <c r="N109" s="103">
        <f>IF($M109="x","incl",VLOOKUP($B109,'Cost prices'!$B$6:$H$538,7,FALSE)*$M109)</f>
        <v>950</v>
      </c>
      <c r="O109" s="196">
        <v>1</v>
      </c>
      <c r="P109" s="103">
        <f>IF($M109="x","incl",VLOOKUP($B109,'Cost prices'!$B$6:$H$538,7,FALSE)*$M109)</f>
        <v>950</v>
      </c>
      <c r="Q109" s="196">
        <v>1</v>
      </c>
      <c r="R109" s="103">
        <f>IF($Q109="x","incl",VLOOKUP($B109,'Cost prices'!$B$6:$H$538,7,FALSE)*$Q109)</f>
        <v>950</v>
      </c>
      <c r="S109" s="103"/>
      <c r="T109" s="263"/>
      <c r="U109" s="196">
        <v>1</v>
      </c>
      <c r="V109" s="103">
        <f>IF($U109="x","incl",VLOOKUP($B109,'Cost prices'!$B$6:$H$538,7,FALSE)*$U109)</f>
        <v>950</v>
      </c>
      <c r="W109" s="196">
        <v>1</v>
      </c>
      <c r="X109" s="103">
        <f>IF($W109="x","incl",VLOOKUP($B109,'Cost prices'!$B$6:$H$538,7,FALSE)*$W109)</f>
        <v>950</v>
      </c>
      <c r="Y109" s="196">
        <v>1</v>
      </c>
      <c r="Z109" s="103">
        <f>IF($Y109="x","incl",VLOOKUP($B109,'Cost prices'!$B$6:$H$538,7,FALSE)*$Y109)</f>
        <v>950</v>
      </c>
      <c r="AA109" s="196">
        <v>1</v>
      </c>
      <c r="AB109" s="103">
        <f>IF($AA109="x","incl",VLOOKUP($B109,'Cost prices'!$B$6:$H$538,7,FALSE)*$AA109)</f>
        <v>950</v>
      </c>
      <c r="AC109" s="196">
        <v>1</v>
      </c>
      <c r="AD109" s="103">
        <f>IF($AC109="x","incl",VLOOKUP($B109,'Cost prices'!$B$6:$H$538,7,FALSE)*$AC109)</f>
        <v>950</v>
      </c>
      <c r="AE109" s="103">
        <f>IF($AC109="x","incl",VLOOKUP($B109,'Cost prices'!$B$6:$H$538,7,FALSE)*$AC109)</f>
        <v>950</v>
      </c>
      <c r="AF109" s="103">
        <f>IF($AC109="x","incl",VLOOKUP($B109,'Cost prices'!$B$6:$H$538,7,FALSE)*$AC109)</f>
        <v>950</v>
      </c>
      <c r="AG109" s="196">
        <v>1</v>
      </c>
      <c r="AH109" s="103">
        <f>IF($AG109="x","incl",VLOOKUP($B109,'Cost prices'!$B$6:$H$538,7,FALSE)*$AG109)</f>
        <v>950</v>
      </c>
      <c r="AI109" s="103">
        <f>IF($AG109="x","incl",VLOOKUP($B109,'Cost prices'!$B$6:$H$538,7,FALSE)*$AG109)</f>
        <v>950</v>
      </c>
      <c r="AJ109" s="196">
        <v>1</v>
      </c>
      <c r="AK109" s="103">
        <f>IF($AJ109="x","incl",VLOOKUP($B109,'Cost prices'!$B$6:$H$538,7,FALSE)*$AJ109)</f>
        <v>950</v>
      </c>
      <c r="AL109" s="103">
        <f>IF($AJ109="x","incl",VLOOKUP($B109,'Cost prices'!$B$6:$H$538,7,FALSE)*$AJ109)</f>
        <v>950</v>
      </c>
      <c r="AM109" s="103">
        <f>IF($AJ109="x","incl",VLOOKUP($B109,'Cost prices'!$B$6:$H$538,7,FALSE)*$AJ109)</f>
        <v>950</v>
      </c>
      <c r="AN109" s="196">
        <v>1</v>
      </c>
      <c r="AO109" s="103">
        <f>IF($AN109="x","incl",VLOOKUP($B109,'Cost prices'!$B$6:$H$538,7,FALSE)*$AN109)</f>
        <v>950</v>
      </c>
      <c r="AP109" s="103">
        <f>IF($AN109="x","incl",VLOOKUP($B109,'Cost prices'!$B$6:$H$538,7,FALSE)*$AN109)</f>
        <v>950</v>
      </c>
      <c r="AQ109" s="103">
        <f>IF($AN109="x","incl",VLOOKUP($B109,'Cost prices'!$B$6:$H$538,7,FALSE)*$AN109)</f>
        <v>950</v>
      </c>
      <c r="AS109" s="137"/>
      <c r="AT109" s="137"/>
      <c r="AU109" s="137"/>
      <c r="AV109" s="137"/>
      <c r="AW109" s="137"/>
      <c r="AX109" s="137"/>
      <c r="AY109" s="137"/>
      <c r="AZ109" s="137"/>
      <c r="BA109" s="137"/>
      <c r="BB109" s="137"/>
      <c r="BC109" s="137"/>
      <c r="BD109" s="137"/>
    </row>
    <row r="110" spans="1:63" ht="13" outlineLevel="1" x14ac:dyDescent="0.15">
      <c r="B110" s="185" t="s">
        <v>1183</v>
      </c>
      <c r="D110" s="196"/>
      <c r="E110" s="103">
        <f>IF(D110="x","incl",VLOOKUP($B110,'Cost prices'!$B$6:$H$538,7,FALSE)*D110)</f>
        <v>0</v>
      </c>
      <c r="F110" s="103">
        <f>IF(D110="x","incl",VLOOKUP($B110,'Cost prices'!$B$6:$H$538,7,FALSE)*D110)</f>
        <v>0</v>
      </c>
      <c r="G110" s="196"/>
      <c r="H110" s="103"/>
      <c r="I110" s="196"/>
      <c r="J110" s="103"/>
      <c r="K110" s="196"/>
      <c r="L110" s="103">
        <f>IF(K110="x","incl",VLOOKUP($B110,'Cost prices'!$B$6:$H$538,7,FALSE)*K110)</f>
        <v>0</v>
      </c>
      <c r="M110" s="196">
        <v>1</v>
      </c>
      <c r="N110" s="103">
        <f>IF($M110="x","incl",VLOOKUP($B110,'Cost prices'!$B$6:$H$538,7,FALSE)*$M110)</f>
        <v>2635</v>
      </c>
      <c r="O110" s="196">
        <v>1</v>
      </c>
      <c r="P110" s="103">
        <f>IF($M110="x","incl",VLOOKUP($B110,'Cost prices'!$B$6:$H$538,7,FALSE)*$M110)</f>
        <v>2635</v>
      </c>
      <c r="Q110" s="196">
        <v>1</v>
      </c>
      <c r="R110" s="103">
        <f>IF($Q110="x","incl",VLOOKUP($B110,'Cost prices'!$B$6:$H$538,7,FALSE)*$Q110)</f>
        <v>2635</v>
      </c>
      <c r="S110" s="103"/>
      <c r="T110" s="263"/>
      <c r="U110" s="196">
        <v>1</v>
      </c>
      <c r="V110" s="103">
        <f>IF($U110="x","incl",VLOOKUP($B110,'Cost prices'!$B$6:$H$538,7,FALSE)*$U110)</f>
        <v>2635</v>
      </c>
      <c r="W110" s="196">
        <v>1</v>
      </c>
      <c r="X110" s="103">
        <f>IF($W110="x","incl",VLOOKUP($B110,'Cost prices'!$B$6:$H$538,7,FALSE)*$W110)</f>
        <v>2635</v>
      </c>
      <c r="Y110" s="196">
        <v>1</v>
      </c>
      <c r="Z110" s="103">
        <f>IF($Y110="x","incl",VLOOKUP($B110,'Cost prices'!$B$6:$H$538,7,FALSE)*$Y110)</f>
        <v>2635</v>
      </c>
      <c r="AA110" s="196"/>
      <c r="AB110" s="103"/>
      <c r="AC110" s="196">
        <v>1</v>
      </c>
      <c r="AD110" s="103">
        <f>IF($AC110="x","incl",VLOOKUP($B110,'Cost prices'!$B$6:$H$538,7,FALSE)*$AC110)</f>
        <v>2635</v>
      </c>
      <c r="AE110" s="103">
        <f>IF($AC110="x","incl",VLOOKUP($B110,'Cost prices'!$B$6:$H$538,7,FALSE)*$AC110)</f>
        <v>2635</v>
      </c>
      <c r="AF110" s="103">
        <f>IF($AC110="x","incl",VLOOKUP($B110,'Cost prices'!$B$6:$H$538,7,FALSE)*$AC110)</f>
        <v>2635</v>
      </c>
      <c r="AG110" s="196">
        <v>1</v>
      </c>
      <c r="AH110" s="103">
        <f>IF($AG110="x","incl",VLOOKUP($B110,'Cost prices'!$B$6:$H$538,7,FALSE)*$AG110)</f>
        <v>2635</v>
      </c>
      <c r="AI110" s="103">
        <f>IF($AG110="x","incl",VLOOKUP($B110,'Cost prices'!$B$6:$H$538,7,FALSE)*$AG110)</f>
        <v>2635</v>
      </c>
      <c r="AJ110" s="196">
        <v>1</v>
      </c>
      <c r="AK110" s="103">
        <f>IF($AJ110="x","incl",VLOOKUP($B110,'Cost prices'!$B$6:$H$538,7,FALSE)*$AJ110)</f>
        <v>2635</v>
      </c>
      <c r="AL110" s="103">
        <f>IF($AJ110="x","incl",VLOOKUP($B110,'Cost prices'!$B$6:$H$538,7,FALSE)*$AJ110)</f>
        <v>2635</v>
      </c>
      <c r="AM110" s="103">
        <f>IF($AJ110="x","incl",VLOOKUP($B110,'Cost prices'!$B$6:$H$538,7,FALSE)*$AJ110)</f>
        <v>2635</v>
      </c>
      <c r="AN110" s="196">
        <v>1</v>
      </c>
      <c r="AO110" s="103">
        <f>IF($AN110="x","incl",VLOOKUP($B110,'Cost prices'!$B$6:$H$538,7,FALSE)*$AN110)</f>
        <v>2635</v>
      </c>
      <c r="AP110" s="103">
        <f>IF($AN110="x","incl",VLOOKUP($B110,'Cost prices'!$B$6:$H$538,7,FALSE)*$AN110)</f>
        <v>2635</v>
      </c>
      <c r="AQ110" s="103">
        <f>IF($AN110="x","incl",VLOOKUP($B110,'Cost prices'!$B$6:$H$538,7,FALSE)*$AN110)</f>
        <v>2635</v>
      </c>
      <c r="AS110" s="137"/>
      <c r="AT110" s="137"/>
      <c r="AU110" s="137"/>
      <c r="AV110" s="137"/>
      <c r="AW110" s="137"/>
      <c r="AX110" s="137"/>
      <c r="AY110" s="137"/>
      <c r="AZ110" s="137"/>
      <c r="BA110" s="137"/>
      <c r="BB110" s="137"/>
      <c r="BC110" s="137"/>
      <c r="BD110" s="137"/>
    </row>
    <row r="111" spans="1:63" ht="13" outlineLevel="1" x14ac:dyDescent="0.15">
      <c r="B111" s="185" t="s">
        <v>258</v>
      </c>
      <c r="D111" s="196">
        <v>0</v>
      </c>
      <c r="E111" s="103">
        <f>IF(D111="x","incl",VLOOKUP($B111,'Cost prices'!$B$6:$H$538,7,FALSE)*D111)</f>
        <v>0</v>
      </c>
      <c r="F111" s="103">
        <f>IF(D111="x","incl",VLOOKUP($B111,'Cost prices'!$B$6:$H$538,7,FALSE)*D111)</f>
        <v>0</v>
      </c>
      <c r="G111" s="196">
        <v>0</v>
      </c>
      <c r="H111" s="103">
        <f>IF($G111="x","incl",VLOOKUP($B111,'Cost prices'!$B$6:$H$538,7,FALSE)*$G111)</f>
        <v>0</v>
      </c>
      <c r="I111" s="196">
        <v>0</v>
      </c>
      <c r="J111" s="103">
        <f>IF($I111="x","incl",VLOOKUP($B111,'Cost prices'!$B$6:$H$538,7,FALSE)*$I111)</f>
        <v>0</v>
      </c>
      <c r="K111" s="196">
        <v>0</v>
      </c>
      <c r="L111" s="103">
        <f>IF(K111="x","incl",VLOOKUP($B111,'Cost prices'!$B$6:$H$538,7,FALSE)*K111)</f>
        <v>0</v>
      </c>
      <c r="M111" s="196">
        <v>1</v>
      </c>
      <c r="N111" s="103">
        <f>IF($M111="x","incl",VLOOKUP($B111,'Cost prices'!$B$6:$H$538,7,FALSE)*$M111)</f>
        <v>1500</v>
      </c>
      <c r="O111" s="196">
        <v>1</v>
      </c>
      <c r="P111" s="103">
        <f>IF($M111="x","incl",VLOOKUP($B111,'Cost prices'!$B$6:$H$538,7,FALSE)*$M111)</f>
        <v>1500</v>
      </c>
      <c r="Q111" s="196">
        <v>1</v>
      </c>
      <c r="R111" s="103">
        <f>IF($Q111="x","incl",VLOOKUP($B111,'Cost prices'!$B$6:$H$538,7,FALSE)*$Q111)</f>
        <v>1500</v>
      </c>
      <c r="S111" s="103"/>
      <c r="T111" s="263"/>
      <c r="U111" s="196">
        <v>1</v>
      </c>
      <c r="V111" s="103">
        <f>IF($U111="x","incl",VLOOKUP($B111,'Cost prices'!$B$6:$H$538,7,FALSE)*$U111)</f>
        <v>1500</v>
      </c>
      <c r="W111" s="196">
        <v>2</v>
      </c>
      <c r="X111" s="103">
        <f>IF($W111="x","incl",VLOOKUP($B111,'Cost prices'!$B$6:$H$538,7,FALSE)*$W111)</f>
        <v>3000</v>
      </c>
      <c r="Y111" s="196">
        <v>0</v>
      </c>
      <c r="Z111" s="103">
        <f>IF($Y111="x","incl",VLOOKUP($B111,'Cost prices'!$B$6:$H$538,7,FALSE)*$Y111)</f>
        <v>0</v>
      </c>
      <c r="AA111" s="196">
        <v>0</v>
      </c>
      <c r="AB111" s="103">
        <f>IF($AA111="x","incl",VLOOKUP($B111,'Cost prices'!$B$6:$H$538,7,FALSE)*$AA111)</f>
        <v>0</v>
      </c>
      <c r="AC111" s="196">
        <v>0</v>
      </c>
      <c r="AD111" s="103">
        <f>IF($AC111="x","incl",VLOOKUP($B111,'Cost prices'!$B$6:$H$538,7,FALSE)*$AC111)</f>
        <v>0</v>
      </c>
      <c r="AE111" s="103">
        <f>IF($AC111="x","incl",VLOOKUP($B111,'Cost prices'!$B$6:$H$538,7,FALSE)*$AC111)</f>
        <v>0</v>
      </c>
      <c r="AF111" s="103">
        <f>IF($AC111="x","incl",VLOOKUP($B111,'Cost prices'!$B$6:$H$538,7,FALSE)*$AC111)</f>
        <v>0</v>
      </c>
      <c r="AG111" s="196">
        <v>0</v>
      </c>
      <c r="AH111" s="103">
        <f>IF($AG111="x","incl",VLOOKUP($B111,'Cost prices'!$B$6:$H$538,7,FALSE)*$AG111)</f>
        <v>0</v>
      </c>
      <c r="AI111" s="103">
        <f>IF($AG111="x","incl",VLOOKUP($B111,'Cost prices'!$B$6:$H$538,7,FALSE)*$AG111)</f>
        <v>0</v>
      </c>
      <c r="AJ111" s="196">
        <v>0</v>
      </c>
      <c r="AK111" s="103">
        <f>IF($AJ111="x","incl",VLOOKUP($B111,'Cost prices'!$B$6:$H$538,7,FALSE)*$AJ111)</f>
        <v>0</v>
      </c>
      <c r="AL111" s="103">
        <f>IF($AJ111="x","incl",VLOOKUP($B111,'Cost prices'!$B$6:$H$538,7,FALSE)*$AJ111)</f>
        <v>0</v>
      </c>
      <c r="AM111" s="103">
        <f>IF($AJ111="x","incl",VLOOKUP($B111,'Cost prices'!$B$6:$H$538,7,FALSE)*$AJ111)</f>
        <v>0</v>
      </c>
      <c r="AN111" s="196">
        <v>0</v>
      </c>
      <c r="AO111" s="103">
        <f>IF($AN111="x","incl",VLOOKUP($B111,'Cost prices'!$B$6:$H$538,7,FALSE)*$AN111)</f>
        <v>0</v>
      </c>
      <c r="AP111" s="103">
        <f>IF($AN111="x","incl",VLOOKUP($B111,'Cost prices'!$B$6:$H$538,7,FALSE)*$AN111)</f>
        <v>0</v>
      </c>
      <c r="AQ111" s="103">
        <f>IF($AN111="x","incl",VLOOKUP($B111,'Cost prices'!$B$6:$H$538,7,FALSE)*$AN111)</f>
        <v>0</v>
      </c>
      <c r="AS111" s="137"/>
      <c r="AT111" s="137"/>
      <c r="AU111" s="137"/>
      <c r="AV111" s="137"/>
      <c r="AW111" s="137"/>
      <c r="AX111" s="137"/>
      <c r="AY111" s="137"/>
      <c r="AZ111" s="137"/>
      <c r="BA111" s="137"/>
      <c r="BB111" s="137"/>
      <c r="BC111" s="137"/>
      <c r="BD111" s="137"/>
    </row>
    <row r="112" spans="1:63" ht="13" outlineLevel="1" x14ac:dyDescent="0.15">
      <c r="B112" s="185" t="s">
        <v>259</v>
      </c>
      <c r="D112" s="196">
        <v>0</v>
      </c>
      <c r="E112" s="103">
        <f>IF(D112="x","incl",VLOOKUP($B112,'Cost prices'!$B$6:$H$538,7,FALSE)*D112)</f>
        <v>0</v>
      </c>
      <c r="F112" s="103">
        <f>IF(D112="x","incl",VLOOKUP($B112,'Cost prices'!$B$6:$H$538,7,FALSE)*D112)</f>
        <v>0</v>
      </c>
      <c r="G112" s="196">
        <v>0</v>
      </c>
      <c r="H112" s="103">
        <f>IF($G112="x","incl",VLOOKUP($B112,'Cost prices'!$B$6:$H$538,7,FALSE)*$G112)</f>
        <v>0</v>
      </c>
      <c r="I112" s="196">
        <v>0</v>
      </c>
      <c r="J112" s="103">
        <f>IF($I112="x","incl",VLOOKUP($B112,'Cost prices'!$B$6:$H$538,7,FALSE)*$I112)</f>
        <v>0</v>
      </c>
      <c r="K112" s="196">
        <v>0</v>
      </c>
      <c r="L112" s="103">
        <f>IF(K112="x","incl",VLOOKUP($B112,'Cost prices'!$B$6:$H$538,7,FALSE)*K112)</f>
        <v>0</v>
      </c>
      <c r="M112" s="196">
        <v>0</v>
      </c>
      <c r="N112" s="103">
        <f>IF($M112="x","incl",VLOOKUP($B112,'Cost prices'!$B$6:$H$538,7,FALSE)*$M112)</f>
        <v>0</v>
      </c>
      <c r="O112" s="196">
        <v>0</v>
      </c>
      <c r="P112" s="103">
        <f>IF($M112="x","incl",VLOOKUP($B112,'Cost prices'!$B$6:$H$538,7,FALSE)*$M112)</f>
        <v>0</v>
      </c>
      <c r="Q112" s="196">
        <v>0</v>
      </c>
      <c r="R112" s="103">
        <f>IF($Q112="x","incl",VLOOKUP($B112,'Cost prices'!$B$6:$H$538,7,FALSE)*$Q112)</f>
        <v>0</v>
      </c>
      <c r="S112" s="103"/>
      <c r="T112" s="263"/>
      <c r="U112" s="196">
        <v>0</v>
      </c>
      <c r="V112" s="103">
        <f>IF($U112="x","incl",VLOOKUP($B112,'Cost prices'!$B$6:$H$538,7,FALSE)*$U112)</f>
        <v>0</v>
      </c>
      <c r="W112" s="196">
        <v>0</v>
      </c>
      <c r="X112" s="103">
        <f>IF($W112="x","incl",VLOOKUP($B112,'Cost prices'!$B$6:$H$538,7,FALSE)*$W112)</f>
        <v>0</v>
      </c>
      <c r="Y112" s="196">
        <v>0</v>
      </c>
      <c r="Z112" s="103">
        <f>IF($Y112="x","incl",VLOOKUP($B112,'Cost prices'!$B$6:$H$538,7,FALSE)*$Y112)</f>
        <v>0</v>
      </c>
      <c r="AA112" s="196">
        <v>0</v>
      </c>
      <c r="AB112" s="103">
        <f>IF($AA112="x","incl",VLOOKUP($B112,'Cost prices'!$B$6:$H$538,7,FALSE)*$AA112)</f>
        <v>0</v>
      </c>
      <c r="AC112" s="196">
        <v>0</v>
      </c>
      <c r="AD112" s="103">
        <f>IF($AC112="x","incl",VLOOKUP($B112,'Cost prices'!$B$6:$H$538,7,FALSE)*$AC112)</f>
        <v>0</v>
      </c>
      <c r="AE112" s="103">
        <f>IF($AC112="x","incl",VLOOKUP($B112,'Cost prices'!$B$6:$H$538,7,FALSE)*$AC112)</f>
        <v>0</v>
      </c>
      <c r="AF112" s="103">
        <f>IF($AC112="x","incl",VLOOKUP($B112,'Cost prices'!$B$6:$H$538,7,FALSE)*$AC112)</f>
        <v>0</v>
      </c>
      <c r="AG112" s="196">
        <v>0</v>
      </c>
      <c r="AH112" s="103">
        <f>IF($AG112="x","incl",VLOOKUP($B112,'Cost prices'!$B$6:$H$538,7,FALSE)*$AG112)</f>
        <v>0</v>
      </c>
      <c r="AI112" s="103">
        <f>IF($AG112="x","incl",VLOOKUP($B112,'Cost prices'!$B$6:$H$538,7,FALSE)*$AG112)</f>
        <v>0</v>
      </c>
      <c r="AJ112" s="196">
        <v>0</v>
      </c>
      <c r="AK112" s="103">
        <f>IF($AJ112="x","incl",VLOOKUP($B112,'Cost prices'!$B$6:$H$538,7,FALSE)*$AJ112)</f>
        <v>0</v>
      </c>
      <c r="AL112" s="103">
        <f>IF($AJ112="x","incl",VLOOKUP($B112,'Cost prices'!$B$6:$H$538,7,FALSE)*$AJ112)</f>
        <v>0</v>
      </c>
      <c r="AM112" s="103">
        <f>IF($AJ112="x","incl",VLOOKUP($B112,'Cost prices'!$B$6:$H$538,7,FALSE)*$AJ112)</f>
        <v>0</v>
      </c>
      <c r="AN112" s="196">
        <v>0</v>
      </c>
      <c r="AO112" s="103">
        <f>IF($AN112="x","incl",VLOOKUP($B112,'Cost prices'!$B$6:$H$538,7,FALSE)*$AN112)</f>
        <v>0</v>
      </c>
      <c r="AP112" s="103">
        <f>IF($AN112="x","incl",VLOOKUP($B112,'Cost prices'!$B$6:$H$538,7,FALSE)*$AN112)</f>
        <v>0</v>
      </c>
      <c r="AQ112" s="103">
        <f>IF($AN112="x","incl",VLOOKUP($B112,'Cost prices'!$B$6:$H$538,7,FALSE)*$AN112)</f>
        <v>0</v>
      </c>
      <c r="AS112" s="137"/>
      <c r="AT112" s="137"/>
      <c r="AU112" s="137"/>
      <c r="AV112" s="137"/>
      <c r="AW112" s="137"/>
      <c r="AX112" s="137"/>
      <c r="AY112" s="137"/>
      <c r="AZ112" s="137"/>
      <c r="BA112" s="137"/>
      <c r="BB112" s="137"/>
      <c r="BC112" s="137"/>
      <c r="BD112" s="137"/>
    </row>
    <row r="113" spans="1:64" ht="13" outlineLevel="1" x14ac:dyDescent="0.15">
      <c r="B113" s="94" t="s">
        <v>794</v>
      </c>
      <c r="D113" s="196">
        <v>0</v>
      </c>
      <c r="E113" s="103">
        <f>IF(D113="x","incl",VLOOKUP($B113,'Cost prices'!$B$6:$H$538,7,FALSE)*D113)</f>
        <v>0</v>
      </c>
      <c r="F113" s="103">
        <f>IF(D113="x","incl",VLOOKUP($B113,'Cost prices'!$B$6:$H$538,7,FALSE)*D113)</f>
        <v>0</v>
      </c>
      <c r="G113" s="196">
        <v>0</v>
      </c>
      <c r="H113" s="103">
        <f>IF($G113="x","incl",VLOOKUP($B113,'Cost prices'!$B$6:$H$538,7,FALSE)*$G113)</f>
        <v>0</v>
      </c>
      <c r="I113" s="196">
        <v>0</v>
      </c>
      <c r="J113" s="103">
        <f>IF($I113="x","incl",VLOOKUP($B113,'Cost prices'!$B$6:$H$538,7,FALSE)*$I113)</f>
        <v>0</v>
      </c>
      <c r="K113" s="196">
        <v>0</v>
      </c>
      <c r="L113" s="103">
        <f>IF(K113="x","incl",VLOOKUP($B113,'Cost prices'!$B$6:$H$538,7,FALSE)*K113)</f>
        <v>0</v>
      </c>
      <c r="M113" s="196">
        <v>0</v>
      </c>
      <c r="N113" s="103">
        <f>IF($M113="x","incl",VLOOKUP($B113,'Cost prices'!$B$6:$H$538,7,FALSE)*$M113)</f>
        <v>0</v>
      </c>
      <c r="O113" s="196">
        <v>0</v>
      </c>
      <c r="P113" s="103">
        <f>IF($M113="x","incl",VLOOKUP($B113,'Cost prices'!$B$6:$H$538,7,FALSE)*$M113)</f>
        <v>0</v>
      </c>
      <c r="Q113" s="196">
        <v>0</v>
      </c>
      <c r="R113" s="103">
        <f>IF($Q113="x","incl",VLOOKUP($B113,'Cost prices'!$B$6:$H$538,7,FALSE)*$Q113)</f>
        <v>0</v>
      </c>
      <c r="S113" s="103"/>
      <c r="T113" s="263"/>
      <c r="U113" s="196">
        <v>0</v>
      </c>
      <c r="V113" s="103">
        <f>IF($U113="x","incl",VLOOKUP($B113,'Cost prices'!$B$6:$H$538,7,FALSE)*$U113)</f>
        <v>0</v>
      </c>
      <c r="W113" s="196"/>
      <c r="X113" s="103">
        <f>IF($W113="x","incl",VLOOKUP($B113,'Cost prices'!$B$6:$H$538,7,FALSE)*$W113)</f>
        <v>0</v>
      </c>
      <c r="Y113" s="196"/>
      <c r="Z113" s="103">
        <f>IF($Y113="x","incl",VLOOKUP($B113,'Cost prices'!$B$6:$H$538,7,FALSE)*$Y113)</f>
        <v>0</v>
      </c>
      <c r="AA113" s="196">
        <v>0</v>
      </c>
      <c r="AB113" s="103">
        <f>IF($AA113="x","incl",VLOOKUP($B113,'Cost prices'!$B$6:$H$538,7,FALSE)*$AA113)</f>
        <v>0</v>
      </c>
      <c r="AC113" s="196">
        <v>1</v>
      </c>
      <c r="AD113" s="103">
        <f>IF($AC113="x","incl",VLOOKUP($B113,'Cost prices'!$B$6:$H$538,7,FALSE)*$AC113)</f>
        <v>3620</v>
      </c>
      <c r="AE113" s="103">
        <f>IF($AC113="x","incl",VLOOKUP($B113,'Cost prices'!$B$6:$H$538,7,FALSE)*$AC113)</f>
        <v>3620</v>
      </c>
      <c r="AF113" s="103">
        <f>IF($AC113="x","incl",VLOOKUP($B113,'Cost prices'!$B$6:$H$538,7,FALSE)*$AC113)</f>
        <v>3620</v>
      </c>
      <c r="AG113" s="196">
        <v>1</v>
      </c>
      <c r="AH113" s="103">
        <f>IF($AG113="x","incl",VLOOKUP($B113,'Cost prices'!$B$6:$H$538,7,FALSE)*$AG113)</f>
        <v>3620</v>
      </c>
      <c r="AI113" s="103">
        <f>IF($AG113="x","incl",VLOOKUP($B113,'Cost prices'!$B$6:$H$538,7,FALSE)*$AG113)</f>
        <v>3620</v>
      </c>
      <c r="AJ113" s="196">
        <v>0</v>
      </c>
      <c r="AK113" s="103">
        <f>IF($AJ113="x","incl",VLOOKUP($B113,'Cost prices'!$B$6:$H$538,7,FALSE)*$AJ113)</f>
        <v>0</v>
      </c>
      <c r="AL113" s="103">
        <f>IF($AJ113="x","incl",VLOOKUP($B113,'Cost prices'!$B$6:$H$538,7,FALSE)*$AJ113)</f>
        <v>0</v>
      </c>
      <c r="AM113" s="103">
        <f>IF($AJ113="x","incl",VLOOKUP($B113,'Cost prices'!$B$6:$H$538,7,FALSE)*$AJ113)</f>
        <v>0</v>
      </c>
      <c r="AN113" s="196">
        <v>0</v>
      </c>
      <c r="AO113" s="103">
        <f>IF($AN113="x","incl",VLOOKUP($B113,'Cost prices'!$B$6:$H$538,7,FALSE)*$AN113)</f>
        <v>0</v>
      </c>
      <c r="AP113" s="103">
        <f>IF($AN113="x","incl",VLOOKUP($B113,'Cost prices'!$B$6:$H$538,7,FALSE)*$AN113)</f>
        <v>0</v>
      </c>
      <c r="AQ113" s="103">
        <f>IF($AN113="x","incl",VLOOKUP($B113,'Cost prices'!$B$6:$H$538,7,FALSE)*$AN113)</f>
        <v>0</v>
      </c>
      <c r="BJ113" s="103">
        <f>VLOOKUP($B113,'Cost prices'!$B$6:$H$538,7,FALSE)</f>
        <v>3620</v>
      </c>
      <c r="BK113" s="111">
        <v>500</v>
      </c>
    </row>
    <row r="114" spans="1:64" ht="13" outlineLevel="1" x14ac:dyDescent="0.15">
      <c r="B114" s="94" t="s">
        <v>795</v>
      </c>
      <c r="D114" s="196"/>
      <c r="E114" s="103">
        <f>IF(D114="x","incl",VLOOKUP($B114,'Cost prices'!$B$6:$H$538,7,FALSE)*D114)</f>
        <v>0</v>
      </c>
      <c r="F114" s="103">
        <f>IF(D114="x","incl",VLOOKUP($B114,'Cost prices'!$B$6:$H$538,7,FALSE)*D114)</f>
        <v>0</v>
      </c>
      <c r="G114" s="196"/>
      <c r="H114" s="103"/>
      <c r="I114" s="196"/>
      <c r="J114" s="103"/>
      <c r="K114" s="196"/>
      <c r="L114" s="103">
        <f>IF(K114="x","incl",VLOOKUP($B114,'Cost prices'!$B$6:$H$538,7,FALSE)*K114)</f>
        <v>0</v>
      </c>
      <c r="M114" s="196"/>
      <c r="N114" s="103">
        <f>IF($M114="x","incl",VLOOKUP($B114,'Cost prices'!$B$6:$H$538,7,FALSE)*$M114)</f>
        <v>0</v>
      </c>
      <c r="O114" s="196"/>
      <c r="P114" s="103">
        <f>IF($M114="x","incl",VLOOKUP($B114,'Cost prices'!$B$6:$H$538,7,FALSE)*$M114)</f>
        <v>0</v>
      </c>
      <c r="Q114" s="196"/>
      <c r="R114" s="103">
        <f>IF($Q114="x","incl",VLOOKUP($B114,'Cost prices'!$B$6:$H$538,7,FALSE)*$Q114)</f>
        <v>0</v>
      </c>
      <c r="S114" s="103"/>
      <c r="T114" s="263"/>
      <c r="U114" s="196"/>
      <c r="V114" s="103"/>
      <c r="W114" s="196"/>
      <c r="X114" s="103"/>
      <c r="Y114" s="196">
        <v>1</v>
      </c>
      <c r="Z114" s="103">
        <f>IF($Y114="x","incl",VLOOKUP($B114,'Cost prices'!$B$6:$H$538,7,FALSE)*$Y114)</f>
        <v>4000</v>
      </c>
      <c r="AA114" s="196">
        <v>0</v>
      </c>
      <c r="AB114" s="103">
        <f>IF($AA114="x","incl",VLOOKUP($B114,'Cost prices'!$B$6:$H$538,7,FALSE)*$AA114)</f>
        <v>0</v>
      </c>
      <c r="AC114" s="196"/>
      <c r="AD114" s="103">
        <f>IF($AC114="x","incl",VLOOKUP($B114,'Cost prices'!$B$6:$H$538,7,FALSE)*$AC114)</f>
        <v>0</v>
      </c>
      <c r="AE114" s="103">
        <f>IF($AC114="x","incl",VLOOKUP($B114,'Cost prices'!$B$6:$H$538,7,FALSE)*$AC114)</f>
        <v>0</v>
      </c>
      <c r="AF114" s="103">
        <f>IF($AC114="x","incl",VLOOKUP($B114,'Cost prices'!$B$6:$H$538,7,FALSE)*$AC114)</f>
        <v>0</v>
      </c>
      <c r="AG114" s="196">
        <v>0</v>
      </c>
      <c r="AH114" s="103">
        <f>IF($AG114="x","incl",VLOOKUP($B114,'Cost prices'!$B$6:$H$538,7,FALSE)*$AG114)</f>
        <v>0</v>
      </c>
      <c r="AI114" s="103">
        <f>IF($AG114="x","incl",VLOOKUP($B114,'Cost prices'!$B$6:$H$538,7,FALSE)*$AG114)</f>
        <v>0</v>
      </c>
      <c r="AJ114" s="196">
        <v>1</v>
      </c>
      <c r="AK114" s="103">
        <f>IF($AJ114="x","incl",VLOOKUP($B114,'Cost prices'!$B$6:$H$538,7,FALSE)*$AJ114)</f>
        <v>4000</v>
      </c>
      <c r="AL114" s="103">
        <f>IF($AJ114="x","incl",VLOOKUP($B114,'Cost prices'!$B$6:$H$538,7,FALSE)*$AJ114)</f>
        <v>4000</v>
      </c>
      <c r="AM114" s="103">
        <f>IF($AJ114="x","incl",VLOOKUP($B114,'Cost prices'!$B$6:$H$538,7,FALSE)*$AJ114)</f>
        <v>4000</v>
      </c>
      <c r="AN114" s="196">
        <v>1</v>
      </c>
      <c r="AO114" s="103">
        <f>IF($AN114="x","incl",VLOOKUP($B114,'Cost prices'!$B$6:$H$538,7,FALSE)*$AN114)</f>
        <v>4000</v>
      </c>
      <c r="AP114" s="103">
        <f>IF($AN114="x","incl",VLOOKUP($B114,'Cost prices'!$B$6:$H$538,7,FALSE)*$AN114)</f>
        <v>4000</v>
      </c>
      <c r="AQ114" s="103">
        <f>IF($AN114="x","incl",VLOOKUP($B114,'Cost prices'!$B$6:$H$538,7,FALSE)*$AN114)</f>
        <v>4000</v>
      </c>
      <c r="BJ114" s="103"/>
    </row>
    <row r="115" spans="1:64" ht="13" outlineLevel="1" x14ac:dyDescent="0.15">
      <c r="B115" s="185" t="s">
        <v>253</v>
      </c>
      <c r="D115" s="196">
        <v>0</v>
      </c>
      <c r="E115" s="103">
        <f>IF(D115="x","incl",VLOOKUP($B115,'Cost prices'!$B$6:$H$538,7,FALSE)*D115)</f>
        <v>0</v>
      </c>
      <c r="F115" s="103">
        <f>IF(D115="x","incl",VLOOKUP($B115,'Cost prices'!$B$6:$H$538,7,FALSE)*D115)</f>
        <v>0</v>
      </c>
      <c r="G115" s="196">
        <v>0</v>
      </c>
      <c r="H115" s="103">
        <f>IF($G115="x","incl",VLOOKUP($B115,'Cost prices'!$B$6:$H$538,7,FALSE)*$G115)</f>
        <v>0</v>
      </c>
      <c r="I115" s="196">
        <v>0</v>
      </c>
      <c r="J115" s="103">
        <f>IF($I115="x","incl",VLOOKUP($B115,'Cost prices'!$B$6:$H$538,7,FALSE)*$I115)</f>
        <v>0</v>
      </c>
      <c r="K115" s="196">
        <v>0</v>
      </c>
      <c r="L115" s="103">
        <f>IF(K115="x","incl",VLOOKUP($B115,'Cost prices'!$B$6:$H$538,7,FALSE)*K115)</f>
        <v>0</v>
      </c>
      <c r="M115" s="196">
        <v>0</v>
      </c>
      <c r="N115" s="103">
        <f>IF($M115="x","incl",VLOOKUP($B115,'Cost prices'!$B$6:$H$538,7,FALSE)*$M115)</f>
        <v>0</v>
      </c>
      <c r="O115" s="196">
        <v>0</v>
      </c>
      <c r="P115" s="103">
        <f>IF($M115="x","incl",VLOOKUP($B115,'Cost prices'!$B$6:$H$538,7,FALSE)*$M115)</f>
        <v>0</v>
      </c>
      <c r="Q115" s="196">
        <v>0</v>
      </c>
      <c r="R115" s="103">
        <f>IF($Q115="x","incl",VLOOKUP($B115,'Cost prices'!$B$6:$H$538,7,FALSE)*$Q115)</f>
        <v>0</v>
      </c>
      <c r="S115" s="103"/>
      <c r="T115" s="263"/>
      <c r="U115" s="196">
        <v>0</v>
      </c>
      <c r="V115" s="103">
        <f>IF($U115="x","incl",VLOOKUP($B115,'Cost prices'!$B$6:$H$538,7,FALSE)*$U115)</f>
        <v>0</v>
      </c>
      <c r="W115" s="196">
        <v>0</v>
      </c>
      <c r="X115" s="103">
        <f>IF($W115="x","incl",VLOOKUP($B115,'Cost prices'!$B$6:$H$538,7,FALSE)*$W115)</f>
        <v>0</v>
      </c>
      <c r="Y115" s="196">
        <v>0</v>
      </c>
      <c r="Z115" s="103">
        <f>IF($Y115="x","incl",VLOOKUP($B115,'Cost prices'!$B$6:$H$538,7,FALSE)*$Y115)</f>
        <v>0</v>
      </c>
      <c r="AA115" s="196">
        <v>0</v>
      </c>
      <c r="AB115" s="103">
        <f>IF($AA115="x","incl",VLOOKUP($B115,'Cost prices'!$B$6:$H$538,7,FALSE)*$AA115)</f>
        <v>0</v>
      </c>
      <c r="AC115" s="196">
        <v>0</v>
      </c>
      <c r="AD115" s="103">
        <f>IF($AC115="x","incl",VLOOKUP($B115,'Cost prices'!$B$6:$H$538,7,FALSE)*$AC115)</f>
        <v>0</v>
      </c>
      <c r="AE115" s="103">
        <f>IF($AC115="x","incl",VLOOKUP($B115,'Cost prices'!$B$6:$H$538,7,FALSE)*$AC115)</f>
        <v>0</v>
      </c>
      <c r="AF115" s="103">
        <f>IF($AC115="x","incl",VLOOKUP($B115,'Cost prices'!$B$6:$H$538,7,FALSE)*$AC115)</f>
        <v>0</v>
      </c>
      <c r="AG115" s="196">
        <v>0</v>
      </c>
      <c r="AH115" s="103">
        <f>IF($AG115="x","incl",VLOOKUP($B115,'Cost prices'!$B$6:$H$538,7,FALSE)*$AG115)</f>
        <v>0</v>
      </c>
      <c r="AI115" s="103">
        <f>IF($AG115="x","incl",VLOOKUP($B115,'Cost prices'!$B$6:$H$538,7,FALSE)*$AG115)</f>
        <v>0</v>
      </c>
      <c r="AJ115" s="196">
        <v>0</v>
      </c>
      <c r="AK115" s="103">
        <f>IF($AJ115="x","incl",VLOOKUP($B115,'Cost prices'!$B$6:$H$538,7,FALSE)*$AJ115)</f>
        <v>0</v>
      </c>
      <c r="AL115" s="103">
        <f>IF($AJ115="x","incl",VLOOKUP($B115,'Cost prices'!$B$6:$H$538,7,FALSE)*$AJ115)</f>
        <v>0</v>
      </c>
      <c r="AM115" s="103">
        <f>IF($AJ115="x","incl",VLOOKUP($B115,'Cost prices'!$B$6:$H$538,7,FALSE)*$AJ115)</f>
        <v>0</v>
      </c>
      <c r="AN115" s="196">
        <v>0</v>
      </c>
      <c r="AO115" s="103">
        <f>IF($AN115="x","incl",VLOOKUP($B115,'Cost prices'!$B$6:$H$538,7,FALSE)*$AN115)</f>
        <v>0</v>
      </c>
      <c r="AP115" s="103">
        <f>IF($AN115="x","incl",VLOOKUP($B115,'Cost prices'!$B$6:$H$538,7,FALSE)*$AN115)</f>
        <v>0</v>
      </c>
      <c r="AQ115" s="103">
        <f>IF($AN115="x","incl",VLOOKUP($B115,'Cost prices'!$B$6:$H$538,7,FALSE)*$AN115)</f>
        <v>0</v>
      </c>
      <c r="BJ115" s="209"/>
    </row>
    <row r="116" spans="1:64" ht="13" outlineLevel="1" x14ac:dyDescent="0.15">
      <c r="B116" s="185" t="s">
        <v>256</v>
      </c>
      <c r="D116" s="196">
        <v>0</v>
      </c>
      <c r="E116" s="103">
        <f>IF(D116="x","incl",VLOOKUP($B116,'Cost prices'!$B$6:$H$538,7,FALSE)*D116)</f>
        <v>0</v>
      </c>
      <c r="F116" s="103">
        <f>IF(D116="x","incl",VLOOKUP($B116,'Cost prices'!$B$6:$H$538,7,FALSE)*D116)</f>
        <v>0</v>
      </c>
      <c r="G116" s="196">
        <v>0</v>
      </c>
      <c r="H116" s="103">
        <f>IF($G116="x","incl",VLOOKUP($B116,'Cost prices'!$B$6:$H$538,7,FALSE)*$G116)</f>
        <v>0</v>
      </c>
      <c r="I116" s="196">
        <v>0</v>
      </c>
      <c r="J116" s="103">
        <f>IF($I116="x","incl",VLOOKUP($B116,'Cost prices'!$B$6:$H$538,7,FALSE)*$I116)</f>
        <v>0</v>
      </c>
      <c r="K116" s="196">
        <v>0</v>
      </c>
      <c r="L116" s="103">
        <f>IF(K116="x","incl",VLOOKUP($B116,'Cost prices'!$B$6:$H$538,7,FALSE)*K116)</f>
        <v>0</v>
      </c>
      <c r="M116" s="196">
        <v>1</v>
      </c>
      <c r="N116" s="103">
        <f>IF($M116="x","incl",VLOOKUP($B116,'Cost prices'!$B$6:$H$538,7,FALSE)*$M116)</f>
        <v>450</v>
      </c>
      <c r="O116" s="196">
        <v>1</v>
      </c>
      <c r="P116" s="103">
        <f>IF($M116="x","incl",VLOOKUP($B116,'Cost prices'!$B$6:$H$538,7,FALSE)*$M116)</f>
        <v>450</v>
      </c>
      <c r="Q116" s="196">
        <v>1</v>
      </c>
      <c r="R116" s="103">
        <f>IF($Q116="x","incl",VLOOKUP($B116,'Cost prices'!$B$6:$H$538,7,FALSE)*$Q116)</f>
        <v>450</v>
      </c>
      <c r="S116" s="103"/>
      <c r="T116" s="263"/>
      <c r="U116" s="196">
        <v>1</v>
      </c>
      <c r="V116" s="103">
        <f>IF($U116="x","incl",VLOOKUP($B116,'Cost prices'!$B$6:$H$538,7,FALSE)*$U116)</f>
        <v>450</v>
      </c>
      <c r="W116" s="196">
        <v>1</v>
      </c>
      <c r="X116" s="103">
        <f>IF($W116="x","incl",VLOOKUP($B116,'Cost prices'!$B$6:$H$538,7,FALSE)*$W116)</f>
        <v>450</v>
      </c>
      <c r="Y116" s="196">
        <v>0</v>
      </c>
      <c r="Z116" s="103">
        <f>IF($Y116="x","incl",VLOOKUP($B116,'Cost prices'!$B$6:$H$538,7,FALSE)*$Y116)</f>
        <v>0</v>
      </c>
      <c r="AA116" s="196">
        <v>0</v>
      </c>
      <c r="AB116" s="103">
        <f>IF($AA116="x","incl",VLOOKUP($B116,'Cost prices'!$B$6:$H$538,7,FALSE)*$AA116)</f>
        <v>0</v>
      </c>
      <c r="AC116" s="196">
        <v>0</v>
      </c>
      <c r="AD116" s="103">
        <f>IF($AC116="x","incl",VLOOKUP($B116,'Cost prices'!$B$6:$H$538,7,FALSE)*$AC116)</f>
        <v>0</v>
      </c>
      <c r="AE116" s="103">
        <f>IF($AC116="x","incl",VLOOKUP($B116,'Cost prices'!$B$6:$H$538,7,FALSE)*$AC116)</f>
        <v>0</v>
      </c>
      <c r="AF116" s="103">
        <f>IF($AC116="x","incl",VLOOKUP($B116,'Cost prices'!$B$6:$H$538,7,FALSE)*$AC116)</f>
        <v>0</v>
      </c>
      <c r="AG116" s="196">
        <v>0</v>
      </c>
      <c r="AH116" s="103">
        <f>IF($AG116="x","incl",VLOOKUP($B116,'Cost prices'!$B$6:$H$538,7,FALSE)*$AG116)</f>
        <v>0</v>
      </c>
      <c r="AI116" s="103">
        <f>IF($AG116="x","incl",VLOOKUP($B116,'Cost prices'!$B$6:$H$538,7,FALSE)*$AG116)</f>
        <v>0</v>
      </c>
      <c r="AJ116" s="196">
        <v>0</v>
      </c>
      <c r="AK116" s="103">
        <f>IF($AJ116="x","incl",VLOOKUP($B116,'Cost prices'!$B$6:$H$538,7,FALSE)*$AJ116)</f>
        <v>0</v>
      </c>
      <c r="AL116" s="103">
        <f>IF($AJ116="x","incl",VLOOKUP($B116,'Cost prices'!$B$6:$H$538,7,FALSE)*$AJ116)</f>
        <v>0</v>
      </c>
      <c r="AM116" s="103">
        <f>IF($AJ116="x","incl",VLOOKUP($B116,'Cost prices'!$B$6:$H$538,7,FALSE)*$AJ116)</f>
        <v>0</v>
      </c>
      <c r="AN116" s="196">
        <v>0</v>
      </c>
      <c r="AO116" s="103">
        <f>IF($AN116="x","incl",VLOOKUP($B116,'Cost prices'!$B$6:$H$538,7,FALSE)*$AN116)</f>
        <v>0</v>
      </c>
      <c r="AP116" s="103">
        <f>IF($AN116="x","incl",VLOOKUP($B116,'Cost prices'!$B$6:$H$538,7,FALSE)*$AN116)</f>
        <v>0</v>
      </c>
      <c r="AQ116" s="103">
        <f>IF($AN116="x","incl",VLOOKUP($B116,'Cost prices'!$B$6:$H$538,7,FALSE)*$AN116)</f>
        <v>0</v>
      </c>
      <c r="BJ116" s="209"/>
    </row>
    <row r="117" spans="1:64" ht="13" outlineLevel="1" x14ac:dyDescent="0.15">
      <c r="B117" s="185" t="s">
        <v>257</v>
      </c>
      <c r="D117" s="196">
        <v>0</v>
      </c>
      <c r="E117" s="103">
        <f>IF(D117="x","incl",VLOOKUP($B117,'Cost prices'!$B$6:$H$538,7,FALSE)*D117)</f>
        <v>0</v>
      </c>
      <c r="F117" s="103">
        <f>IF(D117="x","incl",VLOOKUP($B117,'Cost prices'!$B$6:$H$538,7,FALSE)*D117)</f>
        <v>0</v>
      </c>
      <c r="G117" s="196">
        <v>0</v>
      </c>
      <c r="H117" s="103">
        <f>IF($G117="x","incl",VLOOKUP($B117,'Cost prices'!$B$6:$H$538,7,FALSE)*$G117)</f>
        <v>0</v>
      </c>
      <c r="I117" s="196">
        <v>0</v>
      </c>
      <c r="J117" s="103">
        <f>IF($I117="x","incl",VLOOKUP($B117,'Cost prices'!$B$6:$H$538,7,FALSE)*$I117)</f>
        <v>0</v>
      </c>
      <c r="K117" s="196">
        <v>0</v>
      </c>
      <c r="L117" s="103">
        <f>IF(K117="x","incl",VLOOKUP($B117,'Cost prices'!$B$6:$H$538,7,FALSE)*K117)</f>
        <v>0</v>
      </c>
      <c r="M117" s="196">
        <v>0</v>
      </c>
      <c r="N117" s="103">
        <f>IF($M117="x","incl",VLOOKUP($B117,'Cost prices'!$B$6:$H$538,7,FALSE)*$M117)</f>
        <v>0</v>
      </c>
      <c r="O117" s="196">
        <v>0</v>
      </c>
      <c r="P117" s="103">
        <f>IF($M117="x","incl",VLOOKUP($B117,'Cost prices'!$B$6:$H$538,7,FALSE)*$M117)</f>
        <v>0</v>
      </c>
      <c r="Q117" s="196">
        <v>0</v>
      </c>
      <c r="R117" s="103">
        <f>IF($Q117="x","incl",VLOOKUP($B117,'Cost prices'!$B$6:$H$538,7,FALSE)*$Q117)</f>
        <v>0</v>
      </c>
      <c r="S117" s="103"/>
      <c r="T117" s="263"/>
      <c r="U117" s="196">
        <v>0</v>
      </c>
      <c r="V117" s="103">
        <f>IF($U117="x","incl",VLOOKUP($B117,'Cost prices'!$B$6:$H$538,7,FALSE)*$U117)</f>
        <v>0</v>
      </c>
      <c r="W117" s="196">
        <v>0</v>
      </c>
      <c r="X117" s="103">
        <f>IF($W117="x","incl",VLOOKUP($B117,'Cost prices'!$B$6:$H$538,7,FALSE)*$W117)</f>
        <v>0</v>
      </c>
      <c r="Y117" s="196">
        <v>0</v>
      </c>
      <c r="Z117" s="103">
        <f>IF($Y117="x","incl",VLOOKUP($B117,'Cost prices'!$B$6:$H$538,7,FALSE)*$Y117)</f>
        <v>0</v>
      </c>
      <c r="AA117" s="196">
        <v>0</v>
      </c>
      <c r="AB117" s="103">
        <f>IF($AA117="x","incl",VLOOKUP($B117,'Cost prices'!$B$6:$H$538,7,FALSE)*$AA117)</f>
        <v>0</v>
      </c>
      <c r="AC117" s="196">
        <v>0</v>
      </c>
      <c r="AD117" s="103">
        <f>IF($AC117="x","incl",VLOOKUP($B117,'Cost prices'!$B$6:$H$538,7,FALSE)*$AC117)</f>
        <v>0</v>
      </c>
      <c r="AE117" s="103">
        <f>IF($AC117="x","incl",VLOOKUP($B117,'Cost prices'!$B$6:$H$538,7,FALSE)*$AC117)</f>
        <v>0</v>
      </c>
      <c r="AF117" s="103">
        <f>IF($AC117="x","incl",VLOOKUP($B117,'Cost prices'!$B$6:$H$538,7,FALSE)*$AC117)</f>
        <v>0</v>
      </c>
      <c r="AG117" s="196">
        <v>0</v>
      </c>
      <c r="AH117" s="103">
        <f>IF($AG117="x","incl",VLOOKUP($B117,'Cost prices'!$B$6:$H$538,7,FALSE)*$AG117)</f>
        <v>0</v>
      </c>
      <c r="AI117" s="103">
        <f>IF($AG117="x","incl",VLOOKUP($B117,'Cost prices'!$B$6:$H$538,7,FALSE)*$AG117)</f>
        <v>0</v>
      </c>
      <c r="AJ117" s="196">
        <v>0</v>
      </c>
      <c r="AK117" s="103">
        <f>IF($AJ117="x","incl",VLOOKUP($B117,'Cost prices'!$B$6:$H$538,7,FALSE)*$AJ117)</f>
        <v>0</v>
      </c>
      <c r="AL117" s="103">
        <f>IF($AJ117="x","incl",VLOOKUP($B117,'Cost prices'!$B$6:$H$538,7,FALSE)*$AJ117)</f>
        <v>0</v>
      </c>
      <c r="AM117" s="103">
        <f>IF($AJ117="x","incl",VLOOKUP($B117,'Cost prices'!$B$6:$H$538,7,FALSE)*$AJ117)</f>
        <v>0</v>
      </c>
      <c r="AN117" s="196">
        <v>0</v>
      </c>
      <c r="AO117" s="103">
        <f>IF($AN117="x","incl",VLOOKUP($B117,'Cost prices'!$B$6:$H$538,7,FALSE)*$AN117)</f>
        <v>0</v>
      </c>
      <c r="AP117" s="103">
        <f>IF($AN117="x","incl",VLOOKUP($B117,'Cost prices'!$B$6:$H$538,7,FALSE)*$AN117)</f>
        <v>0</v>
      </c>
      <c r="AQ117" s="103">
        <f>IF($AN117="x","incl",VLOOKUP($B117,'Cost prices'!$B$6:$H$538,7,FALSE)*$AN117)</f>
        <v>0</v>
      </c>
      <c r="BJ117" s="209"/>
    </row>
    <row r="118" spans="1:64" ht="13" outlineLevel="1" x14ac:dyDescent="0.15">
      <c r="B118" s="185" t="s">
        <v>469</v>
      </c>
      <c r="D118" s="196">
        <v>0</v>
      </c>
      <c r="E118" s="103">
        <f>IF(D118="x","incl",VLOOKUP($B118,'Cost prices'!$B$6:$H$538,7,FALSE)*D118)</f>
        <v>0</v>
      </c>
      <c r="F118" s="103">
        <f>IF(D118="x","incl",VLOOKUP($B118,'Cost prices'!$B$6:$H$538,7,FALSE)*D118)</f>
        <v>0</v>
      </c>
      <c r="G118" s="196">
        <v>0</v>
      </c>
      <c r="H118" s="103">
        <f>IF($G118="x","incl",VLOOKUP($B118,'Cost prices'!$B$6:$H$538,7,FALSE)*$G118)</f>
        <v>0</v>
      </c>
      <c r="I118" s="196">
        <v>0</v>
      </c>
      <c r="J118" s="103">
        <f>IF($I118="x","incl",VLOOKUP($B118,'Cost prices'!$B$6:$H$538,7,FALSE)*$I118)</f>
        <v>0</v>
      </c>
      <c r="K118" s="196">
        <v>0</v>
      </c>
      <c r="L118" s="103">
        <f>IF(K118="x","incl",VLOOKUP($B118,'Cost prices'!$B$6:$H$538,7,FALSE)*K118)</f>
        <v>0</v>
      </c>
      <c r="M118" s="196">
        <v>1</v>
      </c>
      <c r="N118" s="103">
        <f>IF($M118="x","incl",VLOOKUP($B118,'Cost prices'!$B$6:$H$538,7,FALSE)*$M118)</f>
        <v>9000</v>
      </c>
      <c r="O118" s="196">
        <v>1</v>
      </c>
      <c r="P118" s="103">
        <f>IF($M118="x","incl",VLOOKUP($B118,'Cost prices'!$B$6:$H$538,7,FALSE)*$M118)</f>
        <v>9000</v>
      </c>
      <c r="Q118" s="196">
        <v>1</v>
      </c>
      <c r="R118" s="103">
        <f>IF($Q118="x","incl",VLOOKUP($B118,'Cost prices'!$B$6:$H$538,7,FALSE)*$Q118)</f>
        <v>9000</v>
      </c>
      <c r="S118" s="103"/>
      <c r="T118" s="263"/>
      <c r="U118" s="196">
        <v>1</v>
      </c>
      <c r="V118" s="103">
        <f>IF($U118="x","incl",VLOOKUP($B118,'Cost prices'!$B$6:$H$538,7,FALSE)*$U118)</f>
        <v>9000</v>
      </c>
      <c r="W118" s="196">
        <v>1</v>
      </c>
      <c r="X118" s="103">
        <f>IF($W118="x","incl",VLOOKUP($B118,'Cost prices'!$B$6:$H$538,7,FALSE)*$W118)</f>
        <v>9000</v>
      </c>
      <c r="Y118" s="196">
        <v>0</v>
      </c>
      <c r="Z118" s="103">
        <f>IF($Y118="x","incl",VLOOKUP($B118,'Cost prices'!$B$6:$H$538,7,FALSE)*$Y118)</f>
        <v>0</v>
      </c>
      <c r="AA118" s="196">
        <v>0</v>
      </c>
      <c r="AB118" s="103">
        <f>IF($AA118="x","incl",VLOOKUP($B118,'Cost prices'!$B$6:$H$538,7,FALSE)*$AA118)</f>
        <v>0</v>
      </c>
      <c r="AC118" s="196">
        <v>1</v>
      </c>
      <c r="AD118" s="103">
        <f>IF($AC118="x","incl",VLOOKUP($B118,'Cost prices'!$B$6:$H$538,7,FALSE)*$AC118)</f>
        <v>9000</v>
      </c>
      <c r="AE118" s="103">
        <f>IF($AC118="x","incl",VLOOKUP($B118,'Cost prices'!$B$6:$H$538,7,FALSE)*$AC118)</f>
        <v>9000</v>
      </c>
      <c r="AF118" s="103">
        <f>IF($AC118="x","incl",VLOOKUP($B118,'Cost prices'!$B$6:$H$538,7,FALSE)*$AC118)*1.5</f>
        <v>13500</v>
      </c>
      <c r="AG118" s="196">
        <v>0</v>
      </c>
      <c r="AH118" s="103">
        <f>IF($AG118="x","incl",VLOOKUP($B118,'Cost prices'!$B$6:$H$538,7,FALSE)*$AG118)</f>
        <v>0</v>
      </c>
      <c r="AI118" s="103">
        <f>IF($AG118="x","incl",VLOOKUP($B118,'Cost prices'!$B$6:$H$538,7,FALSE)*$AG118)</f>
        <v>0</v>
      </c>
      <c r="AJ118" s="196">
        <v>0</v>
      </c>
      <c r="AK118" s="103">
        <f>IF($AJ118="x","incl",VLOOKUP($B118,'Cost prices'!$B$6:$H$538,7,FALSE)*$AJ118)</f>
        <v>0</v>
      </c>
      <c r="AL118" s="103">
        <f>IF($AJ118="x","incl",VLOOKUP($B118,'Cost prices'!$B$6:$H$538,7,FALSE)*$AJ118)</f>
        <v>0</v>
      </c>
      <c r="AM118" s="103">
        <f>IF($AJ118="x","incl",VLOOKUP($B118,'Cost prices'!$B$6:$H$538,7,FALSE)*$AJ118)</f>
        <v>0</v>
      </c>
      <c r="AN118" s="196">
        <v>0</v>
      </c>
      <c r="AO118" s="103">
        <f>IF($AN118="x","incl",VLOOKUP($B118,'Cost prices'!$B$6:$H$538,7,FALSE)*$AN118)</f>
        <v>0</v>
      </c>
      <c r="AP118" s="103">
        <f>IF($AN118="x","incl",VLOOKUP($B118,'Cost prices'!$B$6:$H$538,7,FALSE)*$AN118)</f>
        <v>0</v>
      </c>
      <c r="AQ118" s="103">
        <f>IF($AN118="x","incl",VLOOKUP($B118,'Cost prices'!$B$6:$H$538,7,FALSE)*$AN118)</f>
        <v>0</v>
      </c>
    </row>
    <row r="119" spans="1:64" ht="13" outlineLevel="1" x14ac:dyDescent="0.15">
      <c r="B119" s="185" t="s">
        <v>470</v>
      </c>
      <c r="D119" s="196">
        <v>0</v>
      </c>
      <c r="E119" s="103">
        <f>IF(D119="x","incl",VLOOKUP($B119,'Cost prices'!$B$6:$H$538,7,FALSE)*D119)</f>
        <v>0</v>
      </c>
      <c r="F119" s="103">
        <f>IF(D119="x","incl",VLOOKUP($B119,'Cost prices'!$B$6:$H$538,7,FALSE)*D119)</f>
        <v>0</v>
      </c>
      <c r="G119" s="196">
        <v>0</v>
      </c>
      <c r="H119" s="103">
        <f>IF($G119="x","incl",VLOOKUP($B119,'Cost prices'!$B$6:$H$538,7,FALSE)*$G119)</f>
        <v>0</v>
      </c>
      <c r="I119" s="196">
        <v>0</v>
      </c>
      <c r="J119" s="103">
        <f>IF($I119="x","incl",VLOOKUP($B119,'Cost prices'!$B$6:$H$538,7,FALSE)*$I119)</f>
        <v>0</v>
      </c>
      <c r="K119" s="196">
        <v>0</v>
      </c>
      <c r="L119" s="103">
        <v>500</v>
      </c>
      <c r="M119" s="196">
        <v>0</v>
      </c>
      <c r="N119" s="103">
        <f>IF($M119="x","incl",VLOOKUP($B119,'Cost prices'!$B$6:$H$538,7,FALSE)*$M119)</f>
        <v>0</v>
      </c>
      <c r="O119" s="196">
        <v>0</v>
      </c>
      <c r="P119" s="103">
        <f>IF($M119="x","incl",VLOOKUP($B119,'Cost prices'!$B$6:$H$538,7,FALSE)*$M119)</f>
        <v>0</v>
      </c>
      <c r="Q119" s="196">
        <v>0</v>
      </c>
      <c r="R119" s="103">
        <f>IF($Q119="x","incl",VLOOKUP($B119,'Cost prices'!$B$6:$H$538,7,FALSE)*$Q119)</f>
        <v>0</v>
      </c>
      <c r="S119" s="103"/>
      <c r="T119" s="263"/>
      <c r="U119" s="196">
        <v>0</v>
      </c>
      <c r="V119" s="103">
        <f>IF($U119="x","incl",VLOOKUP($B119,'Cost prices'!$B$6:$H$538,7,FALSE)*$U119)</f>
        <v>0</v>
      </c>
      <c r="W119" s="196"/>
      <c r="X119" s="103">
        <f>IF($W119="x","incl",VLOOKUP($B119,'Cost prices'!$B$6:$H$538,7,FALSE)*$W119)</f>
        <v>0</v>
      </c>
      <c r="Y119" s="196">
        <v>1</v>
      </c>
      <c r="Z119" s="103">
        <f>IF($Y119="x","incl",VLOOKUP($B119,'Cost prices'!$B$6:$H$538,7,FALSE)*$Y119)</f>
        <v>11880</v>
      </c>
      <c r="AA119" s="196">
        <v>0</v>
      </c>
      <c r="AB119" s="103">
        <f>IF($AA119="x","incl",VLOOKUP($B119,'Cost prices'!$B$6:$H$538,7,FALSE)*$AA119)</f>
        <v>0</v>
      </c>
      <c r="AC119" s="196">
        <v>0</v>
      </c>
      <c r="AD119" s="103">
        <f>IF($AC119="x","incl",VLOOKUP($B119,'Cost prices'!$B$6:$H$538,7,FALSE)*$AC119)</f>
        <v>0</v>
      </c>
      <c r="AE119" s="103">
        <f>IF($AC119="x","incl",VLOOKUP($B119,'Cost prices'!$B$6:$H$538,7,FALSE)*$AC119)</f>
        <v>0</v>
      </c>
      <c r="AF119" s="103">
        <f>IF($AC119="x","incl",VLOOKUP($B119,'Cost prices'!$B$6:$H$538,7,FALSE)*$AC119)</f>
        <v>0</v>
      </c>
      <c r="AG119" s="196">
        <v>1</v>
      </c>
      <c r="AH119" s="103">
        <f>IF($AG119="x","incl",VLOOKUP($B119,'Cost prices'!$B$6:$H$538,7,FALSE)*$AG119)</f>
        <v>11880</v>
      </c>
      <c r="AI119" s="103">
        <f>IF($AG119="x","incl",VLOOKUP($B119,'Cost prices'!$B$6:$H$538,7,FALSE)*$AG119)</f>
        <v>11880</v>
      </c>
      <c r="AJ119" s="196">
        <v>1</v>
      </c>
      <c r="AK119" s="103">
        <f>IF($AJ119="x","incl",VLOOKUP($B119,'Cost prices'!$B$6:$H$538,7,FALSE)*$AJ119)</f>
        <v>11880</v>
      </c>
      <c r="AL119" s="103">
        <f>IF($AJ119="x","incl",VLOOKUP($B119,'Cost prices'!$B$6:$H$538,7,FALSE)*$AJ119)</f>
        <v>11880</v>
      </c>
      <c r="AM119" s="103">
        <f>IF($AJ119="x","incl",VLOOKUP($B119,'Cost prices'!$B$6:$H$538,7,FALSE)*$AJ119)</f>
        <v>11880</v>
      </c>
      <c r="AN119" s="208">
        <v>1.5</v>
      </c>
      <c r="AO119" s="103">
        <f>IF($AN119="x","incl",VLOOKUP($B119,'Cost prices'!$B$6:$H$538,7,FALSE)*$AN119)</f>
        <v>17820</v>
      </c>
      <c r="AP119" s="103">
        <f>IF($AN119="x","incl",VLOOKUP($B119,'Cost prices'!$B$6:$H$538,7,FALSE)*$AN119)</f>
        <v>17820</v>
      </c>
      <c r="AQ119" s="103">
        <f>IF($AN119="x","incl",VLOOKUP($B119,'Cost prices'!$B$6:$H$538,7,FALSE)*$AN119)</f>
        <v>17820</v>
      </c>
    </row>
    <row r="120" spans="1:64" ht="13" outlineLevel="1" x14ac:dyDescent="0.15">
      <c r="B120" s="185" t="s">
        <v>1181</v>
      </c>
      <c r="D120" s="196"/>
      <c r="E120" s="103"/>
      <c r="F120" s="103"/>
      <c r="G120" s="196"/>
      <c r="H120" s="103"/>
      <c r="I120" s="196"/>
      <c r="J120" s="103"/>
      <c r="K120" s="196"/>
      <c r="L120" s="103"/>
      <c r="M120" s="196"/>
      <c r="N120" s="103">
        <f>IF($M120="x","incl",VLOOKUP($B120,'Cost prices'!$B$6:$H$538,7,FALSE)*$M120)</f>
        <v>0</v>
      </c>
      <c r="O120" s="196"/>
      <c r="P120" s="103">
        <f>IF($M120="x","incl",VLOOKUP($B120,'Cost prices'!$B$6:$H$538,7,FALSE)*$M120)</f>
        <v>0</v>
      </c>
      <c r="Q120" s="196"/>
      <c r="R120" s="103">
        <f>IF($Q120="x","incl",VLOOKUP($B120,'Cost prices'!$B$6:$H$538,7,FALSE)*$Q120)</f>
        <v>0</v>
      </c>
      <c r="S120" s="103"/>
      <c r="T120" s="263"/>
      <c r="U120" s="196">
        <v>1</v>
      </c>
      <c r="V120" s="103">
        <f>IF($U120="x","incl",VLOOKUP($B120,'Cost prices'!$B$6:$H$538,7,FALSE)*$U120)</f>
        <v>5019</v>
      </c>
      <c r="W120" s="196">
        <v>1</v>
      </c>
      <c r="X120" s="103">
        <f>IF($W120="x","incl",VLOOKUP($B120,'Cost prices'!$B$6:$H$538,7,FALSE)*$W120)</f>
        <v>5019</v>
      </c>
      <c r="Y120" s="196">
        <v>1</v>
      </c>
      <c r="Z120" s="103">
        <f>IF($Y120="x","incl",VLOOKUP($B120,'Cost prices'!$B$6:$H$538,7,FALSE)*$Y120)</f>
        <v>5019</v>
      </c>
      <c r="AA120" s="196"/>
      <c r="AB120" s="103"/>
      <c r="AC120" s="196">
        <v>1</v>
      </c>
      <c r="AD120" s="103">
        <f>IF($AC120="x","incl",VLOOKUP($B120,'Cost prices'!$B$6:$H$538,7,FALSE)*$AC120)</f>
        <v>5019</v>
      </c>
      <c r="AE120" s="103">
        <f>IF($AC120="x","incl",VLOOKUP($B120,'Cost prices'!$B$6:$H$538,7,FALSE)*$AC120)</f>
        <v>5019</v>
      </c>
      <c r="AF120" s="103">
        <f>IF($AC120="x","incl",VLOOKUP($B120,'Cost prices'!$B$6:$H$538,7,FALSE)*$AC120)</f>
        <v>5019</v>
      </c>
      <c r="AG120" s="196">
        <v>1</v>
      </c>
      <c r="AH120" s="103">
        <f>IF($AG120="x","incl",VLOOKUP($B120,'Cost prices'!$B$6:$H$538,7,FALSE)*$AG120)</f>
        <v>5019</v>
      </c>
      <c r="AI120" s="103">
        <f>IF($AG120="x","incl",VLOOKUP($B120,'Cost prices'!$B$6:$H$538,7,FALSE)*$AG120)</f>
        <v>5019</v>
      </c>
      <c r="AJ120" s="196">
        <v>1</v>
      </c>
      <c r="AK120" s="103">
        <f>IF($AJ120="x","incl",VLOOKUP($B120,'Cost prices'!$B$6:$H$538,7,FALSE)*$AJ120)</f>
        <v>5019</v>
      </c>
      <c r="AL120" s="103">
        <f>IF($AJ120="x","incl",VLOOKUP($B120,'Cost prices'!$B$6:$H$538,7,FALSE)*$AJ120)</f>
        <v>5019</v>
      </c>
      <c r="AM120" s="103">
        <f>IF($AJ120="x","incl",VLOOKUP($B120,'Cost prices'!$B$6:$H$538,7,FALSE)*$AJ120)</f>
        <v>5019</v>
      </c>
      <c r="AN120" s="208">
        <v>1</v>
      </c>
      <c r="AO120" s="103">
        <f>IF($AN120="x","incl",VLOOKUP($B120,'Cost prices'!$B$6:$H$538,7,FALSE)*$AN120)</f>
        <v>5019</v>
      </c>
      <c r="AP120" s="103">
        <f>IF($AN120="x","incl",VLOOKUP($B120,'Cost prices'!$B$6:$H$538,7,FALSE)*$AN120)</f>
        <v>5019</v>
      </c>
      <c r="AQ120" s="103">
        <f>IF($AN120="x","incl",VLOOKUP($B120,'Cost prices'!$B$6:$H$538,7,FALSE)*$AN120)</f>
        <v>5019</v>
      </c>
    </row>
    <row r="121" spans="1:64" ht="13" outlineLevel="1" x14ac:dyDescent="0.15">
      <c r="B121" s="185" t="s">
        <v>791</v>
      </c>
      <c r="D121" s="196"/>
      <c r="E121" s="103"/>
      <c r="F121" s="103"/>
      <c r="G121" s="196"/>
      <c r="H121" s="103"/>
      <c r="I121" s="196"/>
      <c r="J121" s="103"/>
      <c r="K121" s="196"/>
      <c r="L121" s="103"/>
      <c r="M121" s="196">
        <v>1</v>
      </c>
      <c r="N121" s="103">
        <f>IF($M121="x","incl",VLOOKUP($B121,'Cost prices'!$B$6:$H$538,7,FALSE)*$M121)</f>
        <v>5312.97</v>
      </c>
      <c r="O121" s="196">
        <v>1</v>
      </c>
      <c r="P121" s="103">
        <f>IF($M121="x","incl",VLOOKUP($B121,'Cost prices'!$B$6:$H$538,7,FALSE)*$M121)</f>
        <v>5312.97</v>
      </c>
      <c r="Q121" s="196">
        <v>1</v>
      </c>
      <c r="R121" s="103">
        <f>IF($Q121="x","incl",VLOOKUP($B121,'Cost prices'!$B$6:$H$538,7,FALSE)*$Q121)</f>
        <v>5312.97</v>
      </c>
      <c r="S121" s="103"/>
      <c r="T121" s="263"/>
      <c r="U121" s="196">
        <v>1</v>
      </c>
      <c r="V121" s="103">
        <f>IF($U121="x","incl",VLOOKUP($B121,'Cost prices'!$B$6:$H$538,7,FALSE)*$U121)</f>
        <v>5312.97</v>
      </c>
      <c r="W121" s="196">
        <v>1</v>
      </c>
      <c r="X121" s="103">
        <f>IF($W121="x","incl",VLOOKUP($B121,'Cost prices'!$B$6:$H$538,7,FALSE)*$W121)</f>
        <v>5312.97</v>
      </c>
      <c r="Y121" s="196">
        <v>1</v>
      </c>
      <c r="Z121" s="103">
        <f>IF($Y121="x","incl",VLOOKUP($B121,'Cost prices'!$B$6:$H$538,7,FALSE)*$Y121)</f>
        <v>5312.97</v>
      </c>
      <c r="AA121" s="196">
        <v>0</v>
      </c>
      <c r="AB121" s="103"/>
      <c r="AC121" s="196">
        <v>1</v>
      </c>
      <c r="AD121" s="103">
        <f>IF($AC121="x","incl",VLOOKUP($B121,'Cost prices'!$B$6:$H$538,7,FALSE)*$AC121)</f>
        <v>5312.97</v>
      </c>
      <c r="AE121" s="103">
        <f>IF($AC121="x","incl",VLOOKUP($B121,'Cost prices'!$B$6:$H$538,7,FALSE)*$AC121)</f>
        <v>5312.97</v>
      </c>
      <c r="AF121" s="103">
        <f>IF($AC121="x","incl",VLOOKUP($B121,'Cost prices'!$B$6:$H$538,7,FALSE)*$AC121)</f>
        <v>5312.97</v>
      </c>
      <c r="AG121" s="196">
        <v>1</v>
      </c>
      <c r="AH121" s="103">
        <f>IF($AG121="x","incl",VLOOKUP($B121,'Cost prices'!$B$6:$H$538,7,FALSE)*$AG121)</f>
        <v>5312.97</v>
      </c>
      <c r="AI121" s="103">
        <f>IF($AG121="x","incl",VLOOKUP($B121,'Cost prices'!$B$6:$H$538,7,FALSE)*$AG121)</f>
        <v>5312.97</v>
      </c>
      <c r="AJ121" s="196">
        <v>1</v>
      </c>
      <c r="AK121" s="103">
        <f>IF($AJ121="x","incl",VLOOKUP($B121,'Cost prices'!$B$6:$H$538,7,FALSE)*$AJ121)</f>
        <v>5312.97</v>
      </c>
      <c r="AL121" s="103">
        <f>IF($AJ121="x","incl",VLOOKUP($B121,'Cost prices'!$B$6:$H$538,7,FALSE)*$AJ121)</f>
        <v>5312.97</v>
      </c>
      <c r="AM121" s="103">
        <f>IF($AJ121="x","incl",VLOOKUP($B121,'Cost prices'!$B$6:$H$538,7,FALSE)*$AJ121)</f>
        <v>5312.97</v>
      </c>
      <c r="AN121" s="208">
        <v>1</v>
      </c>
      <c r="AO121" s="103">
        <f>IF($AN121="x","incl",VLOOKUP($B121,'Cost prices'!$B$6:$H$538,7,FALSE)*$AN121)</f>
        <v>5312.97</v>
      </c>
      <c r="AP121" s="103">
        <f>IF($AN121="x","incl",VLOOKUP($B121,'Cost prices'!$B$6:$H$538,7,FALSE)*$AN121)</f>
        <v>5312.97</v>
      </c>
      <c r="AQ121" s="103">
        <f>IF($AN121="x","incl",VLOOKUP($B121,'Cost prices'!$B$6:$H$538,7,FALSE)*$AN121)</f>
        <v>5312.97</v>
      </c>
    </row>
    <row r="122" spans="1:64" ht="13" outlineLevel="1" x14ac:dyDescent="0.15">
      <c r="B122" s="185" t="s">
        <v>35</v>
      </c>
      <c r="D122" s="196">
        <v>0</v>
      </c>
      <c r="E122" s="103"/>
      <c r="F122" s="103"/>
      <c r="G122" s="196">
        <v>0</v>
      </c>
      <c r="H122" s="103">
        <f>IF($G122="x","incl",VLOOKUP($B122,'Cost prices'!$B$6:$H$538,7,FALSE)*$G122)</f>
        <v>0</v>
      </c>
      <c r="I122" s="196">
        <v>0</v>
      </c>
      <c r="J122" s="103">
        <f>IF($I122="x","incl",VLOOKUP($B122,'Cost prices'!$B$6:$H$538,7,FALSE)*$I122)</f>
        <v>0</v>
      </c>
      <c r="K122" s="196">
        <v>0</v>
      </c>
      <c r="L122" s="103"/>
      <c r="M122" s="196">
        <v>1</v>
      </c>
      <c r="N122" s="103">
        <f>IF($M122="x","incl",VLOOKUP($B122,'Cost prices'!$B$6:$H$538,7,FALSE)*$M122)</f>
        <v>3771.42</v>
      </c>
      <c r="O122" s="196">
        <v>1</v>
      </c>
      <c r="P122" s="103">
        <f>IF($M122="x","incl",VLOOKUP($B122,'Cost prices'!$B$6:$H$538,7,FALSE)*$M122)</f>
        <v>3771.42</v>
      </c>
      <c r="Q122" s="196">
        <v>1</v>
      </c>
      <c r="R122" s="103">
        <f>IF($Q122="x","incl",VLOOKUP($B122,'Cost prices'!$B$6:$H$538,7,FALSE)*$Q122)</f>
        <v>3771.42</v>
      </c>
      <c r="S122" s="103"/>
      <c r="T122" s="263"/>
      <c r="U122" s="196">
        <v>1</v>
      </c>
      <c r="V122" s="103">
        <f>IF($U122="x","incl",VLOOKUP($B122,'Cost prices'!$B$6:$H$538,7,FALSE)*$U122)</f>
        <v>3771.42</v>
      </c>
      <c r="W122" s="196">
        <v>1</v>
      </c>
      <c r="X122" s="103">
        <f>IF($W122="x","incl",VLOOKUP($B122,'Cost prices'!$B$6:$H$538,7,FALSE)*$W122)</f>
        <v>3771.42</v>
      </c>
      <c r="Y122" s="196">
        <v>1</v>
      </c>
      <c r="Z122" s="103">
        <f>IF($Y122="x","incl",VLOOKUP($B122,'Cost prices'!$B$6:$H$538,7,FALSE)*$Y122)</f>
        <v>3771.42</v>
      </c>
      <c r="AA122" s="196">
        <v>0</v>
      </c>
      <c r="AB122" s="103">
        <f>IF($AA122="x","incl",VLOOKUP($B122,'Cost prices'!$B$6:$H$538,7,FALSE)*$AA122)</f>
        <v>0</v>
      </c>
      <c r="AC122" s="196">
        <v>1</v>
      </c>
      <c r="AD122" s="103">
        <f>IF($AC122="x","incl",VLOOKUP($B122,'Cost prices'!$B$6:$H$538,7,FALSE)*$AC122)</f>
        <v>3771.42</v>
      </c>
      <c r="AE122" s="103">
        <f>IF($AC122="x","incl",VLOOKUP($B122,'Cost prices'!$B$6:$H$538,7,FALSE)*$AC122)</f>
        <v>3771.42</v>
      </c>
      <c r="AF122" s="103">
        <f>IF($AC122="x","incl",VLOOKUP($B122,'Cost prices'!$B$6:$H$538,7,FALSE)*$AC122)</f>
        <v>3771.42</v>
      </c>
      <c r="AG122" s="196">
        <v>1</v>
      </c>
      <c r="AH122" s="103">
        <f>IF($AG122="x","incl",VLOOKUP($B122,'Cost prices'!$B$6:$H$538,7,FALSE)*$AG122)</f>
        <v>3771.42</v>
      </c>
      <c r="AI122" s="103">
        <f>IF($AG122="x","incl",VLOOKUP($B122,'Cost prices'!$B$6:$H$538,7,FALSE)*$AG122)</f>
        <v>3771.42</v>
      </c>
      <c r="AJ122" s="196">
        <v>1</v>
      </c>
      <c r="AK122" s="103">
        <f>IF($AJ122="x","incl",VLOOKUP($B122,'Cost prices'!$B$6:$H$538,7,FALSE)*$AJ122)</f>
        <v>3771.42</v>
      </c>
      <c r="AL122" s="103">
        <f>IF($AJ122="x","incl",VLOOKUP($B122,'Cost prices'!$B$6:$H$538,7,FALSE)*$AJ122)</f>
        <v>3771.42</v>
      </c>
      <c r="AM122" s="103">
        <f>IF($AJ122="x","incl",VLOOKUP($B122,'Cost prices'!$B$6:$H$538,7,FALSE)*$AJ122)</f>
        <v>3771.42</v>
      </c>
      <c r="AN122" s="208">
        <v>1.5</v>
      </c>
      <c r="AO122" s="103">
        <f>IF($AN122="x","incl",VLOOKUP($B122,'Cost prices'!$B$6:$H$538,7,FALSE)*$AN122)</f>
        <v>5657.13</v>
      </c>
      <c r="AP122" s="103">
        <f>IF($AN122="x","incl",VLOOKUP($B122,'Cost prices'!$B$6:$H$538,7,FALSE)*$AN122)</f>
        <v>5657.13</v>
      </c>
      <c r="AQ122" s="103">
        <f>IF($AN122="x","incl",VLOOKUP($B122,'Cost prices'!$B$6:$H$538,7,FALSE)*$AN122)</f>
        <v>5657.13</v>
      </c>
    </row>
    <row r="123" spans="1:64" ht="13" outlineLevel="1" x14ac:dyDescent="0.15">
      <c r="B123" s="185" t="s">
        <v>107</v>
      </c>
      <c r="D123" s="196">
        <v>1</v>
      </c>
      <c r="E123" s="103">
        <f>IF(D123="x","incl",VLOOKUP($B123,'Cost prices'!$B$6:$H$538,7,FALSE)*D123)</f>
        <v>900</v>
      </c>
      <c r="F123" s="103">
        <f>IF(D123="x","incl",VLOOKUP($B123,'Cost prices'!$B$6:$H$538,7,FALSE)*D123)</f>
        <v>900</v>
      </c>
      <c r="G123" s="196">
        <v>1</v>
      </c>
      <c r="H123" s="103">
        <f>IF($G123="x","incl",VLOOKUP($B123,'Cost prices'!$B$6:$H$538,7,FALSE)*$G123)</f>
        <v>900</v>
      </c>
      <c r="I123" s="196">
        <v>1</v>
      </c>
      <c r="J123" s="103">
        <f>IF($I123="x","incl",VLOOKUP($B123,'Cost prices'!$B$6:$H$538,7,FALSE)*$I123)</f>
        <v>900</v>
      </c>
      <c r="K123" s="196">
        <v>1</v>
      </c>
      <c r="L123" s="103">
        <f>IF(K123="x","incl",VLOOKUP($B123,'Cost prices'!$B$6:$H$538,7,FALSE)*K123)</f>
        <v>900</v>
      </c>
      <c r="M123" s="196">
        <v>1</v>
      </c>
      <c r="N123" s="103">
        <f>IF($M123="x","incl",VLOOKUP($B123,'Cost prices'!$B$6:$H$538,7,FALSE)*$M123)</f>
        <v>900</v>
      </c>
      <c r="O123" s="196">
        <v>1</v>
      </c>
      <c r="P123" s="103">
        <f>IF($M123="x","incl",VLOOKUP($B123,'Cost prices'!$B$6:$H$538,7,FALSE)*$M123)</f>
        <v>900</v>
      </c>
      <c r="Q123" s="196">
        <v>1</v>
      </c>
      <c r="R123" s="103">
        <f>IF($Q123="x","incl",VLOOKUP($B123,'Cost prices'!$B$6:$H$538,7,FALSE)*$Q123)</f>
        <v>900</v>
      </c>
      <c r="S123" s="103"/>
      <c r="T123" s="263"/>
      <c r="U123" s="196">
        <v>1</v>
      </c>
      <c r="V123" s="103">
        <f>IF($U123="x","incl",VLOOKUP($B123,'Cost prices'!$B$6:$H$538,7,FALSE)*$U123)</f>
        <v>900</v>
      </c>
      <c r="W123" s="196">
        <v>1</v>
      </c>
      <c r="X123" s="103">
        <f>IF($W123="x","incl",VLOOKUP($B123,'Cost prices'!$B$6:$H$538,7,FALSE)*$W123)</f>
        <v>900</v>
      </c>
      <c r="Y123" s="196">
        <v>1</v>
      </c>
      <c r="Z123" s="103">
        <f>IF($Y123="x","incl",VLOOKUP($B123,'Cost prices'!$B$6:$H$538,7,FALSE)*$Y123)</f>
        <v>900</v>
      </c>
      <c r="AA123" s="196">
        <v>0</v>
      </c>
      <c r="AB123" s="103">
        <f>IF($AA123="x","incl",VLOOKUP($B123,'Cost prices'!$B$6:$H$538,7,FALSE)*$AA123)</f>
        <v>0</v>
      </c>
      <c r="AC123" s="196">
        <v>1</v>
      </c>
      <c r="AD123" s="103">
        <f>IF($AC123="x","incl",VLOOKUP($B123,'Cost prices'!$B$6:$H$538,7,FALSE)*$AC123)</f>
        <v>900</v>
      </c>
      <c r="AE123" s="103">
        <f>IF($AC123="x","incl",VLOOKUP($B123,'Cost prices'!$B$6:$H$538,7,FALSE)*$AC123)</f>
        <v>900</v>
      </c>
      <c r="AF123" s="103">
        <f>IF($AC123="x","incl",VLOOKUP($B123,'Cost prices'!$B$6:$H$538,7,FALSE)*$AC123)</f>
        <v>900</v>
      </c>
      <c r="AG123" s="196">
        <v>1</v>
      </c>
      <c r="AH123" s="103">
        <f>IF($AG123="x","incl",VLOOKUP($B123,'Cost prices'!$B$6:$H$538,7,FALSE)*$AG123)</f>
        <v>900</v>
      </c>
      <c r="AI123" s="103">
        <f>IF($AG123="x","incl",VLOOKUP($B123,'Cost prices'!$B$6:$H$538,7,FALSE)*$AG123)</f>
        <v>900</v>
      </c>
      <c r="AJ123" s="196">
        <v>1</v>
      </c>
      <c r="AK123" s="103">
        <f>IF($AJ123="x","incl",VLOOKUP($B123,'Cost prices'!$B$6:$H$538,7,FALSE)*$AJ123)</f>
        <v>900</v>
      </c>
      <c r="AL123" s="103">
        <f>IF($AJ123="x","incl",VLOOKUP($B123,'Cost prices'!$B$6:$H$538,7,FALSE)*$AJ123)</f>
        <v>900</v>
      </c>
      <c r="AM123" s="103">
        <f>IF($AJ123="x","incl",VLOOKUP($B123,'Cost prices'!$B$6:$H$538,7,FALSE)*$AJ123)</f>
        <v>900</v>
      </c>
      <c r="AN123" s="196">
        <v>1</v>
      </c>
      <c r="AO123" s="103">
        <f>IF($AN123="x","incl",VLOOKUP($B123,'Cost prices'!$B$6:$H$538,7,FALSE)*$AN123)</f>
        <v>900</v>
      </c>
      <c r="AP123" s="103">
        <f>IF($AN123="x","incl",VLOOKUP($B123,'Cost prices'!$B$6:$H$538,7,FALSE)*$AN123)</f>
        <v>900</v>
      </c>
      <c r="AQ123" s="103">
        <f>IF($AN123="x","incl",VLOOKUP($B123,'Cost prices'!$B$6:$H$538,7,FALSE)*$AN123)</f>
        <v>900</v>
      </c>
    </row>
    <row r="124" spans="1:64" ht="13" outlineLevel="1" x14ac:dyDescent="0.15">
      <c r="B124" s="185" t="s">
        <v>811</v>
      </c>
      <c r="D124" s="196"/>
      <c r="E124" s="103"/>
      <c r="F124" s="103"/>
      <c r="G124" s="196"/>
      <c r="H124" s="103"/>
      <c r="I124" s="196"/>
      <c r="J124" s="103"/>
      <c r="K124" s="196"/>
      <c r="L124" s="103"/>
      <c r="M124" s="196"/>
      <c r="N124" s="263"/>
      <c r="O124" s="196"/>
      <c r="P124" s="263"/>
      <c r="Q124" s="196"/>
      <c r="R124" s="263"/>
      <c r="S124" s="263"/>
      <c r="T124" s="263"/>
      <c r="U124" s="196"/>
      <c r="V124" s="103">
        <f>IF($U124="x","incl",VLOOKUP($B124,'Cost prices'!$B$6:$H$376,7,FALSE)*$U124)*SUM(V6:V11,V20:V123)</f>
        <v>0</v>
      </c>
      <c r="W124" s="196">
        <v>1</v>
      </c>
      <c r="X124" s="103">
        <f>IF($W124="x","incl",VLOOKUP($B124,'Cost prices'!$B$6:$H$376,7,FALSE)*$W124)*SUM(X6:X11,X20:X123)</f>
        <v>0</v>
      </c>
      <c r="Y124" s="196">
        <v>1</v>
      </c>
      <c r="Z124" s="103">
        <f>IF($Y124="x","incl",VLOOKUP($B124,'Cost prices'!$B$6:$H$376,7,FALSE)*$Y124)*SUM(Z6:Z11,Z20:Z123)</f>
        <v>0</v>
      </c>
      <c r="AA124" s="196">
        <v>0</v>
      </c>
      <c r="AB124" s="103">
        <f>IF($AA124="x","incl",VLOOKUP($B124,'Cost prices'!$B$6:$H$376,7,FALSE)*$AA124)*SUM(AB6:AB11,AB20:AB123)</f>
        <v>0</v>
      </c>
      <c r="AC124" s="196">
        <v>1</v>
      </c>
      <c r="AD124" s="103">
        <f>IF($AC124="x","incl",VLOOKUP($B124,'Cost prices'!$B$6:$H$376,7,FALSE)*$AC124)*SUM(AD6:AD11,AD20:AD123)</f>
        <v>0</v>
      </c>
      <c r="AE124" s="103">
        <f>IF($AC124="x","incl",VLOOKUP($B124,'Cost prices'!$B$6:$H$376,7,FALSE)*$AC124)*SUM(AE6:AE11,AE20:AE123)</f>
        <v>0</v>
      </c>
      <c r="AF124" s="103">
        <f>IF($AC124="x","incl",VLOOKUP($B124,'Cost prices'!$B$6:$H$376,7,FALSE)*$AC124)*SUM(AF6:AF11,AF20:AF123)</f>
        <v>0</v>
      </c>
      <c r="AG124" s="196">
        <v>1</v>
      </c>
      <c r="AH124" s="103">
        <f>IF($AG124="x","incl",VLOOKUP($B124,'Cost prices'!$B$6:$H$376,7,FALSE)*$AG124)*SUM(AH6:AH11,AH20:AH123)</f>
        <v>0</v>
      </c>
      <c r="AI124" s="103">
        <f>IF($AG124="x","incl",VLOOKUP($B124,'Cost prices'!$B$6:$H$376,7,FALSE)*$AG124)*SUM(AI6:AI11,AI20:AI123)</f>
        <v>0</v>
      </c>
      <c r="AJ124" s="196">
        <v>1</v>
      </c>
      <c r="AK124" s="103">
        <f>IF($AJ124="x","incl",VLOOKUP($B124,'Cost prices'!$B$6:$H$376,7,FALSE)*$AJ124)*SUM(AK6:AK11,AK20:AK123)</f>
        <v>0</v>
      </c>
      <c r="AL124" s="103">
        <f>IF($AJ124="x","incl",VLOOKUP($B124,'Cost prices'!$B$6:$H$376,7,FALSE)*$AJ124)*SUM(AL6:AL11,AL20:AL123)</f>
        <v>0</v>
      </c>
      <c r="AM124" s="103">
        <f>IF($AJ124="x","incl",VLOOKUP($B124,'Cost prices'!$B$6:$H$376,7,FALSE)*$AJ124)*SUM(AM6:AM11,AM20:AM123)</f>
        <v>0</v>
      </c>
      <c r="AN124" s="196">
        <v>1</v>
      </c>
      <c r="AO124" s="103">
        <f>IF($AN124="x","incl",VLOOKUP($B124,'Cost prices'!$B$6:$H$376,7,FALSE)*$AN124)*SUM(AO6:AO11,AO20:AO123)</f>
        <v>0</v>
      </c>
      <c r="AP124" s="103">
        <f>IF($AN124="x","incl",VLOOKUP($B124,'Cost prices'!$B$6:$H$376,7,FALSE)*$AN124)*SUM(AP6:AP11,AP20:AP123)</f>
        <v>0</v>
      </c>
      <c r="AQ124" s="103">
        <f>IF($AN124="x","incl",VLOOKUP($B124,'Cost prices'!$B$6:$H$376,7,FALSE)*$AN124)*SUM(AQ6:AQ11,AQ20:AQ123)</f>
        <v>0</v>
      </c>
    </row>
    <row r="125" spans="1:64" ht="13" outlineLevel="1" x14ac:dyDescent="0.15">
      <c r="B125" s="185" t="s">
        <v>821</v>
      </c>
      <c r="C125" s="210"/>
      <c r="D125" s="196">
        <v>0</v>
      </c>
      <c r="E125" s="103"/>
      <c r="F125" s="103"/>
      <c r="G125" s="196">
        <v>0</v>
      </c>
      <c r="H125" s="103"/>
      <c r="I125" s="196"/>
      <c r="J125" s="103"/>
      <c r="K125" s="196"/>
      <c r="L125" s="103"/>
      <c r="M125" s="196">
        <v>1</v>
      </c>
      <c r="N125" s="103">
        <f>IF($M125="x","incl",VLOOKUP($B125,'Cost prices'!$B$6:$H$376,7,FALSE)*$M125)*SUM(N6:N11,N20:N123)</f>
        <v>4031.1140112000003</v>
      </c>
      <c r="O125" s="196">
        <v>1</v>
      </c>
      <c r="P125" s="103">
        <f>IF($M125="x","incl",VLOOKUP($B125,'Cost prices'!$B$6:$H$376,7,FALSE)*$M125)*SUM(P6:P11,P20:P123)</f>
        <v>4369.9074055999999</v>
      </c>
      <c r="Q125" s="196">
        <v>1</v>
      </c>
      <c r="R125" s="103">
        <f>IF($Q125="x","incl",VLOOKUP($B125,'Cost prices'!$B$6:$H$376,7,FALSE)*$Q125)*SUM(R6:R11,R20:R123)</f>
        <v>4913.4792571999997</v>
      </c>
      <c r="S125" s="103"/>
      <c r="T125" s="263"/>
      <c r="U125" s="196">
        <v>1</v>
      </c>
      <c r="V125" s="103">
        <f>IF($U125="x","incl",VLOOKUP($B125,'Cost prices'!$B$6:$H$376,7,FALSE)*$U125)*SUM(V6:V11,V20:V123)</f>
        <v>5806.9967004</v>
      </c>
      <c r="W125" s="196">
        <v>1</v>
      </c>
      <c r="X125" s="103">
        <f>IF($W125="x","incl",VLOOKUP($B125,'Cost prices'!$B$6:$H$376,7,FALSE)*$W125)*SUM(X6:X11,X20:X123)</f>
        <v>7369.3494752000006</v>
      </c>
      <c r="Y125" s="196">
        <v>1</v>
      </c>
      <c r="Z125" s="103">
        <f>IF($Y125="x","incl",VLOOKUP($B125,'Cost prices'!$B$6:$H$376,7,FALSE)*$Y125)*SUM(Z6:Z11,Z20:Z123)</f>
        <v>12817.303367200002</v>
      </c>
      <c r="AA125" s="196">
        <v>0</v>
      </c>
      <c r="AB125" s="103">
        <f>IF($AA125="x","incl",VLOOKUP($B125,'Cost prices'!$B$6:$H$376,7,FALSE)*$AA125)*SUM(AB6:AB11,AB20:AB123)</f>
        <v>0</v>
      </c>
      <c r="AC125" s="196">
        <v>1</v>
      </c>
      <c r="AD125" s="103">
        <f>IF($AC125="x","incl",VLOOKUP($B125,'Cost prices'!$B$6:$H$376,7,FALSE)*$AC125)*SUM(AD6:AD11,AD20:AD105)</f>
        <v>3105.2435552000011</v>
      </c>
      <c r="AE125" s="103">
        <f>IF($AC125="x","incl",VLOOKUP($B125,'Cost prices'!$B$6:$H$376,7,FALSE)*$AC125)*SUM(AE6:AE11,AE20:AE104)</f>
        <v>3105.2435552000011</v>
      </c>
      <c r="AF125" s="103">
        <f>IF($AC125="x","incl",VLOOKUP($B125,'Cost prices'!$B$6:$H$376,7,FALSE)*$AC125)*SUM(AF6:AF11,AF20:AF104)</f>
        <v>3105.2435552000011</v>
      </c>
      <c r="AG125" s="196">
        <v>1</v>
      </c>
      <c r="AH125" s="103">
        <f>IF($AG125="x","incl",VLOOKUP($B125,'Cost prices'!$B$6:$H$376,7,FALSE)*$AG125)*SUM(AH6:AH11,AH20:AH104)</f>
        <v>4990.3713111999996</v>
      </c>
      <c r="AI125" s="103">
        <f>IF($AG125="x","incl",VLOOKUP($B125,'Cost prices'!$B$6:$H$376,7,FALSE)*$AG125)*SUM(AI6:AI11,AI20:AI104)</f>
        <v>4990.3713111999996</v>
      </c>
      <c r="AJ125" s="196">
        <v>1</v>
      </c>
      <c r="AK125" s="103">
        <f>IF($AJ125="x","incl",VLOOKUP($B125,'Cost prices'!$B$6:$H$376,7,FALSE)*$AJ125)*SUM(AK6:AK11,AK20:AK104)</f>
        <v>11932.2439952</v>
      </c>
      <c r="AL125" s="103">
        <f>IF($AJ125="x","incl",VLOOKUP($B125,'Cost prices'!$B$6:$H$376,7,FALSE)*$AJ125)*SUM(AL6:AL11,AL20:AL104)</f>
        <v>16324.475433600002</v>
      </c>
      <c r="AM125" s="103">
        <f>IF($AJ125="x","incl",VLOOKUP($B125,'Cost prices'!$B$6:$H$376,7,FALSE)*$AJ125)*SUM(AM6:AM11,AM20:AM104)</f>
        <v>14611.905184800002</v>
      </c>
      <c r="AN125" s="196">
        <v>1</v>
      </c>
      <c r="AO125" s="103">
        <f>IF($AN125="x","incl",VLOOKUP($B125,'Cost prices'!$B$6:$H$376,7,FALSE)*$AN125)*SUM(AO6:AO11,AO20:AO104)</f>
        <v>13435.7960752</v>
      </c>
      <c r="AP125" s="103">
        <f>IF($AN125="x","incl",VLOOKUP($B125,'Cost prices'!$B$6:$H$376,7,FALSE)*$AN125)*SUM(AP6:AP11,AP20:AP104)</f>
        <v>18327.129153599999</v>
      </c>
      <c r="AQ125" s="103">
        <f>IF($AN125="x","incl",VLOOKUP($B125,'Cost prices'!$B$6:$H$376,7,FALSE)*$AN125)*SUM(AQ6:AQ11,AQ20:AQ104)</f>
        <v>18195.247464799999</v>
      </c>
      <c r="AR125" s="211"/>
      <c r="AS125" s="211"/>
    </row>
    <row r="126" spans="1:64" ht="13" outlineLevel="1" x14ac:dyDescent="0.15">
      <c r="B126" s="185" t="s">
        <v>1245</v>
      </c>
      <c r="C126" s="210"/>
      <c r="D126" s="196"/>
      <c r="E126" s="103"/>
      <c r="F126" s="103"/>
      <c r="G126" s="196"/>
      <c r="H126" s="103"/>
      <c r="I126" s="196"/>
      <c r="J126" s="103"/>
      <c r="K126" s="196"/>
      <c r="L126" s="103"/>
      <c r="M126" s="196">
        <v>1</v>
      </c>
      <c r="N126" s="103">
        <f>IF(M126="x","incl",VLOOKUP($B126,'Cost prices'!$B$6:$H$376,7,FALSE)*M126)*SUM(N6:N11,N20:N105)</f>
        <v>507.73047600000001</v>
      </c>
      <c r="O126" s="196">
        <v>1</v>
      </c>
      <c r="P126" s="103">
        <f>IF(O126="x","incl",VLOOKUP($B126,'Cost prices'!$B$6:$H$376,7,FALSE)*O126)*SUM(P6:P11,P20:P105)</f>
        <v>582.46431299999983</v>
      </c>
      <c r="Q126" s="196">
        <v>1</v>
      </c>
      <c r="R126" s="103">
        <f>IF(Q126="x","incl",VLOOKUP($B126,'Cost prices'!$B$6:$H$376,7,FALSE)*Q126)*SUM(R6:R11,R20:R105)</f>
        <v>702.36986849999982</v>
      </c>
      <c r="S126" s="103"/>
      <c r="T126" s="263"/>
      <c r="U126" s="196">
        <v>1</v>
      </c>
      <c r="V126" s="103">
        <f>IF(U126="x","incl",VLOOKUP($B126,'Cost prices'!$B$6:$H$376,7,FALSE)*U126)*SUM(V6:V11,V20:V105)</f>
        <v>824.18430449999994</v>
      </c>
      <c r="W126" s="196">
        <v>1</v>
      </c>
      <c r="X126" s="103">
        <f>IF(W126="x","incl",VLOOKUP($B126,'Cost prices'!$B$6:$H$376,7,FALSE)*W126)*SUM(X6:X11,X20:X105)</f>
        <v>1146.3209459999998</v>
      </c>
      <c r="Y126" s="196">
        <v>1</v>
      </c>
      <c r="Z126" s="103">
        <f>IF(Y126="x","incl",VLOOKUP($B126,'Cost prices'!$B$6:$H$376,7,FALSE)*Y126)*SUM(Z6:Z11,Z20:Z105)</f>
        <v>2296.625481</v>
      </c>
      <c r="AA126" s="196"/>
      <c r="AB126" s="103"/>
      <c r="AC126" s="196">
        <v>1</v>
      </c>
      <c r="AD126" s="103">
        <f>IF(AC126="x","incl",VLOOKUP($B126,'Cost prices'!$B$6:$H$376,7,FALSE)*AC126)*SUM(AD6:AD11,AD20:AD105)</f>
        <v>684.98019600000009</v>
      </c>
      <c r="AE126" s="103">
        <f>IF(AC126="x","incl",VLOOKUP($B126,'Cost prices'!$B$6:$H$376,7,FALSE)*AC126)*SUM(AE6:AE11,AE20:AE105)</f>
        <v>684.98019600000009</v>
      </c>
      <c r="AF126" s="103">
        <f>IF(AC126="x","incl",VLOOKUP($B126,'Cost prices'!$B$6:$H$376,7,FALSE)*AC126)*SUM(AF6:AF11,AF20:AF105)</f>
        <v>684.98019600000009</v>
      </c>
      <c r="AG126" s="196">
        <v>1</v>
      </c>
      <c r="AH126" s="103">
        <f>IF(AG126="x","incl",VLOOKUP($B126,'Cost prices'!$B$6:$H$376,7,FALSE)*AG126)*SUM(AH6:AH11,AH20:AH105)</f>
        <v>1100.8172009999998</v>
      </c>
      <c r="AI126" s="103">
        <f>IF(AG126="x","incl",VLOOKUP($B126,'Cost prices'!$B$6:$H$376,7,FALSE)*AG126)*SUM(AI6:AI11,AI20:AI105)</f>
        <v>1100.8172009999998</v>
      </c>
      <c r="AJ126" s="196">
        <v>1</v>
      </c>
      <c r="AK126" s="103">
        <f>IF(AJ126="x","incl",VLOOKUP($B126,'Cost prices'!$B$6:$H$376,7,FALSE)*AJ126)*SUM(AK6:AK11,AK20:AK105)</f>
        <v>2632.112646</v>
      </c>
      <c r="AL126" s="103">
        <f>IF(AJ126="x","incl",VLOOKUP($B126,'Cost prices'!$B$6:$H$376,7,FALSE)*AJ126)*SUM(AL6:AL11,AL20:AL105)</f>
        <v>3600.987228</v>
      </c>
      <c r="AM126" s="103">
        <f>IF(AJ126="x","incl",VLOOKUP($B126,'Cost prices'!$B$6:$H$376,7,FALSE)*AJ126)*SUM(AM6:AM11,AM20:AM105)</f>
        <v>3223.214379</v>
      </c>
      <c r="AN126" s="196">
        <v>1</v>
      </c>
      <c r="AO126" s="103">
        <f>IF(AN126="x","incl",VLOOKUP($B126,'Cost prices'!$B$6:$H$376,7,FALSE)*AN126)*SUM(AO6:AO11,AO20:AO105)</f>
        <v>2963.778546</v>
      </c>
      <c r="AP126" s="103">
        <f>IF(AN126="x","incl",VLOOKUP($B126,'Cost prices'!$B$6:$H$376,7,FALSE)*AN126)*SUM(AP6:AP11,AP20:AP105)</f>
        <v>4042.7490779999998</v>
      </c>
      <c r="AQ126" s="103">
        <f>IF(AN126="x","incl",VLOOKUP($B126,'Cost prices'!$B$6:$H$376,7,FALSE)*AN126)*SUM(AQ6:AQ11,AQ20:AQ105)</f>
        <v>4013.6575289999996</v>
      </c>
      <c r="AR126" s="211"/>
      <c r="AS126" s="211"/>
    </row>
    <row r="127" spans="1:64" x14ac:dyDescent="0.2">
      <c r="A127" s="212" t="s">
        <v>732</v>
      </c>
      <c r="B127" s="99" t="s">
        <v>6</v>
      </c>
      <c r="C127" s="213"/>
      <c r="E127" s="214">
        <f>SUM(E6:E126)</f>
        <v>82108.363500000007</v>
      </c>
      <c r="F127" s="214">
        <f>SUM(F6:F126)</f>
        <v>93493.363500000007</v>
      </c>
      <c r="G127" s="133"/>
      <c r="H127" s="214">
        <f>SUM(H6:H126)</f>
        <v>118793.36350000001</v>
      </c>
      <c r="J127" s="214">
        <f>SUM(J6:J126)</f>
        <v>157513.36350000001</v>
      </c>
      <c r="K127" s="210"/>
      <c r="L127" s="214">
        <f>SUM(L6:L126)</f>
        <v>66924.520900000003</v>
      </c>
      <c r="M127" s="214"/>
      <c r="N127" s="214">
        <f>SUM(N6:N126)</f>
        <v>91523.726387199989</v>
      </c>
      <c r="O127" s="214"/>
      <c r="P127" s="214">
        <f>SUM(P6:P126)</f>
        <v>96919.509418599991</v>
      </c>
      <c r="Q127" s="214"/>
      <c r="R127" s="214">
        <f>SUM(R6:R126)</f>
        <v>105576.69052569997</v>
      </c>
      <c r="S127" s="214"/>
      <c r="T127" s="308"/>
      <c r="U127" s="214"/>
      <c r="V127" s="214">
        <f>SUM(V6:V126)</f>
        <v>119731.98480489998</v>
      </c>
      <c r="W127" s="214"/>
      <c r="X127" s="214">
        <f>SUM(X6:X126)</f>
        <v>144592.2503212</v>
      </c>
      <c r="Y127" s="214"/>
      <c r="Z127" s="214">
        <f>SUM(Z6:Z126)</f>
        <v>232797.47774820006</v>
      </c>
      <c r="AA127" s="214"/>
      <c r="AB127" s="214">
        <f>SUM(AB6:AB126)</f>
        <v>52181.838499999998</v>
      </c>
      <c r="AC127" s="133"/>
      <c r="AD127" s="214">
        <f>SUM(AD6:AD126)</f>
        <v>105809.79865120001</v>
      </c>
      <c r="AE127" s="214">
        <f>SUM(AE6:AE126)</f>
        <v>105809.79865120001</v>
      </c>
      <c r="AF127" s="214">
        <f>SUM(AF6:AF126)</f>
        <v>110309.79865120001</v>
      </c>
      <c r="AG127" s="214"/>
      <c r="AH127" s="214">
        <f>SUM(AH6:AH126)</f>
        <v>138713.23041220001</v>
      </c>
      <c r="AI127" s="214">
        <f>SUM(AI6:AI126)</f>
        <v>138713.23041220001</v>
      </c>
      <c r="AJ127" s="214"/>
      <c r="AK127" s="214">
        <f>SUM(AK6:AK126)</f>
        <v>249652.76154120002</v>
      </c>
      <c r="AL127" s="214">
        <f>SUM(AL6:AL126)</f>
        <v>319605.50636159995</v>
      </c>
      <c r="AM127" s="214">
        <f>SUM(AM6:AM126)</f>
        <v>308339.38816379994</v>
      </c>
      <c r="AN127" s="214"/>
      <c r="AO127" s="214">
        <f>SUM(AO6:AO126)</f>
        <v>281424.74952120002</v>
      </c>
      <c r="AP127" s="214">
        <f>SUM(AP6:AP126)</f>
        <v>359326.42193159997</v>
      </c>
      <c r="AQ127" s="214">
        <f>SUM(AQ6:AQ126)</f>
        <v>373235.09359379997</v>
      </c>
      <c r="AR127" s="214"/>
      <c r="AS127" s="214">
        <f t="shared" ref="AS127:BL127" si="0">SUM(AS6:AS125)</f>
        <v>31861.03</v>
      </c>
      <c r="AT127" s="214">
        <f t="shared" si="0"/>
        <v>32823.03</v>
      </c>
      <c r="AU127" s="214">
        <f t="shared" si="0"/>
        <v>33785.03</v>
      </c>
      <c r="AV127" s="214">
        <f t="shared" si="0"/>
        <v>36470.03</v>
      </c>
      <c r="AW127" s="214">
        <f t="shared" si="0"/>
        <v>30797.03</v>
      </c>
      <c r="AX127" s="214">
        <f t="shared" si="0"/>
        <v>15878.25</v>
      </c>
      <c r="AY127" s="214">
        <f t="shared" si="0"/>
        <v>18114.75</v>
      </c>
      <c r="AZ127" s="214">
        <f t="shared" si="0"/>
        <v>19910.25</v>
      </c>
      <c r="BA127" s="214">
        <f t="shared" si="0"/>
        <v>21705.75</v>
      </c>
      <c r="BB127" s="214">
        <f t="shared" si="0"/>
        <v>138517.23000000001</v>
      </c>
      <c r="BC127" s="214">
        <f t="shared" si="0"/>
        <v>126658.56</v>
      </c>
      <c r="BD127" s="214">
        <f t="shared" si="0"/>
        <v>180863.25</v>
      </c>
      <c r="BE127" s="214">
        <f t="shared" si="0"/>
        <v>13976.778400000001</v>
      </c>
      <c r="BF127" s="214"/>
      <c r="BG127" s="214">
        <f t="shared" si="0"/>
        <v>4796</v>
      </c>
      <c r="BH127" s="214">
        <f t="shared" si="0"/>
        <v>3989.0122000000001</v>
      </c>
      <c r="BI127" s="214">
        <f t="shared" si="0"/>
        <v>1000</v>
      </c>
      <c r="BJ127" s="214">
        <f t="shared" si="0"/>
        <v>3620</v>
      </c>
      <c r="BK127" s="215">
        <f t="shared" si="0"/>
        <v>14800</v>
      </c>
      <c r="BL127" s="215">
        <f t="shared" si="0"/>
        <v>842.77839999999992</v>
      </c>
    </row>
    <row r="128" spans="1:64" x14ac:dyDescent="0.2">
      <c r="E128" s="133"/>
      <c r="F128" s="133"/>
      <c r="G128" s="133"/>
      <c r="L128" s="133"/>
      <c r="AB128" s="133"/>
      <c r="AC128" s="133"/>
    </row>
    <row r="129" spans="1:63" outlineLevel="1" x14ac:dyDescent="0.2">
      <c r="A129" s="175" t="s">
        <v>722</v>
      </c>
      <c r="B129" s="158"/>
      <c r="E129" s="133"/>
      <c r="F129" s="133"/>
      <c r="L129" s="133"/>
      <c r="U129" s="196" t="s">
        <v>79</v>
      </c>
      <c r="W129" s="196" t="s">
        <v>79</v>
      </c>
      <c r="Y129" s="196" t="s">
        <v>79</v>
      </c>
      <c r="AB129" s="133"/>
      <c r="AC129" s="196" t="s">
        <v>79</v>
      </c>
      <c r="AG129" s="196" t="s">
        <v>79</v>
      </c>
      <c r="AJ129" s="196" t="s">
        <v>79</v>
      </c>
      <c r="AN129" s="196" t="s">
        <v>79</v>
      </c>
      <c r="AO129" s="103"/>
    </row>
    <row r="130" spans="1:63" outlineLevel="1" x14ac:dyDescent="0.2"/>
    <row r="131" spans="1:63" outlineLevel="1" x14ac:dyDescent="0.2"/>
    <row r="132" spans="1:63" outlineLevel="1" x14ac:dyDescent="0.2">
      <c r="A132" s="216" t="s">
        <v>76</v>
      </c>
      <c r="B132" s="185"/>
      <c r="C132" s="101"/>
      <c r="E132" s="133"/>
      <c r="F132" s="133"/>
      <c r="H132" s="103"/>
      <c r="J132" s="103"/>
      <c r="L132" s="133"/>
      <c r="M132" s="103"/>
      <c r="N132" s="103"/>
      <c r="O132" s="103"/>
      <c r="P132" s="103"/>
      <c r="Q132" s="103"/>
      <c r="R132" s="103"/>
      <c r="S132" s="103"/>
      <c r="T132" s="263"/>
      <c r="U132" s="103"/>
      <c r="V132" s="103"/>
      <c r="W132" s="103"/>
      <c r="X132" s="103"/>
      <c r="Y132" s="103"/>
      <c r="Z132" s="107"/>
      <c r="AA132" s="103"/>
      <c r="AB132" s="133"/>
      <c r="AD132" s="107"/>
      <c r="AE132" s="107"/>
      <c r="AF132" s="107"/>
      <c r="AH132" s="107"/>
      <c r="AI132" s="107"/>
      <c r="AK132" s="107"/>
      <c r="AL132" s="107"/>
      <c r="AM132" s="107"/>
      <c r="AO132" s="107"/>
      <c r="AP132" s="107"/>
      <c r="AQ132" s="107"/>
      <c r="AR132" s="107"/>
      <c r="AS132" s="107"/>
    </row>
    <row r="133" spans="1:63" outlineLevel="1" x14ac:dyDescent="0.2">
      <c r="A133" s="175" t="s">
        <v>685</v>
      </c>
      <c r="B133" s="94" t="s">
        <v>680</v>
      </c>
      <c r="C133" s="101"/>
      <c r="E133" s="133"/>
      <c r="F133" s="133"/>
      <c r="H133" s="103"/>
      <c r="J133" s="103"/>
      <c r="L133" s="133"/>
      <c r="M133" s="103"/>
      <c r="N133" s="103"/>
      <c r="O133" s="103"/>
      <c r="P133" s="103"/>
      <c r="Q133" s="103"/>
      <c r="R133" s="103"/>
      <c r="S133" s="103"/>
      <c r="T133" s="263"/>
      <c r="U133" s="103">
        <v>1</v>
      </c>
      <c r="V133" s="103">
        <f>IF($U133="x","incl",VLOOKUP($B133,'Cost prices'!$B$6:$H$538,7,FALSE)*$U133)</f>
        <v>2151.2407555555551</v>
      </c>
      <c r="W133" s="199">
        <v>1</v>
      </c>
      <c r="X133" s="103">
        <f>IF($W133="x","incl",VLOOKUP($B133,'Cost prices'!$B$6:$H$538,7,FALSE)*$W133)</f>
        <v>2151.2407555555551</v>
      </c>
      <c r="Y133" s="196">
        <v>2</v>
      </c>
      <c r="Z133" s="103">
        <f>IF($Y133="x","incl",VLOOKUP($B133,'Cost prices'!$B$6:$H$538,7,FALSE)*$Y133)</f>
        <v>4302.4815111111102</v>
      </c>
      <c r="AA133" s="103"/>
      <c r="AB133" s="133"/>
      <c r="AC133" s="196"/>
      <c r="AD133" s="103">
        <f>IF($AC133="x","incl",VLOOKUP($B133,'Cost prices'!$B$6:$H$538,7,FALSE)*$AC133)</f>
        <v>0</v>
      </c>
      <c r="AE133" s="103">
        <f>IF($AC133="x","incl",VLOOKUP($B133,'Cost prices'!$B$6:$H$538,7,FALSE)*$AC133)</f>
        <v>0</v>
      </c>
      <c r="AF133" s="103">
        <f>IF($AC133="x","incl",VLOOKUP($B133,'Cost prices'!$B$6:$H$538,7,FALSE)*$AC133)</f>
        <v>0</v>
      </c>
      <c r="AG133" s="196">
        <v>1</v>
      </c>
      <c r="AH133" s="103">
        <f>IF($AG133="x","incl",VLOOKUP($B133,'Cost prices'!$B$6:$H$538,7,FALSE)*$AG133)</f>
        <v>2151.2407555555551</v>
      </c>
      <c r="AI133" s="103">
        <f>IF($AG133="x","incl",VLOOKUP($B133,'Cost prices'!$B$6:$H$538,7,FALSE)*$AG133)</f>
        <v>2151.2407555555551</v>
      </c>
      <c r="AJ133" s="196">
        <v>2</v>
      </c>
      <c r="AK133" s="103">
        <f>IF($AJ133="x","incl",VLOOKUP($B133,'Cost prices'!$B$6:$H$538,7,FALSE)*$AJ133)</f>
        <v>4302.4815111111102</v>
      </c>
      <c r="AL133" s="103">
        <f>IF($AJ133="x","incl",VLOOKUP($B133,'Cost prices'!$B$6:$H$538,7,FALSE)*$AJ133)</f>
        <v>4302.4815111111102</v>
      </c>
      <c r="AM133" s="103">
        <f>IF($AJ133="x","incl",VLOOKUP($B133,'Cost prices'!$B$6:$H$538,7,FALSE)*$AJ133)</f>
        <v>4302.4815111111102</v>
      </c>
      <c r="AN133" s="196">
        <v>2</v>
      </c>
      <c r="AO133" s="103">
        <f>IF($AN133="x","incl",VLOOKUP($B133,'Cost prices'!$B$6:$H$538,7,FALSE)*$AN133)</f>
        <v>4302.4815111111102</v>
      </c>
      <c r="AP133" s="103">
        <f>IF($AN133="x","incl",VLOOKUP($B133,'Cost prices'!$B$6:$H$538,7,FALSE)*$AN133)</f>
        <v>4302.4815111111102</v>
      </c>
      <c r="AQ133" s="103">
        <f>IF($AN133="x","incl",VLOOKUP($B133,'Cost prices'!$B$6:$H$538,7,FALSE)*$AN133)</f>
        <v>4302.4815111111102</v>
      </c>
      <c r="AR133" s="107"/>
      <c r="AS133" s="107"/>
    </row>
    <row r="134" spans="1:63" outlineLevel="1" x14ac:dyDescent="0.2">
      <c r="A134" s="175" t="s">
        <v>686</v>
      </c>
      <c r="B134" s="185" t="s">
        <v>681</v>
      </c>
      <c r="C134" s="101"/>
      <c r="E134" s="133"/>
      <c r="F134" s="133"/>
      <c r="H134" s="103"/>
      <c r="J134" s="103"/>
      <c r="L134" s="133"/>
      <c r="M134" s="103"/>
      <c r="N134" s="103"/>
      <c r="O134" s="103"/>
      <c r="P134" s="103"/>
      <c r="Q134" s="103"/>
      <c r="R134" s="103"/>
      <c r="S134" s="103"/>
      <c r="T134" s="263"/>
      <c r="U134" s="103"/>
      <c r="V134" s="103"/>
      <c r="W134" s="103"/>
      <c r="X134" s="103"/>
      <c r="Y134" s="196">
        <v>0</v>
      </c>
      <c r="Z134" s="103">
        <f>IF($Y134="x","incl",VLOOKUP($B134,'Cost prices'!$B$6:$H$538,7,FALSE)*$Y134)</f>
        <v>0</v>
      </c>
      <c r="AA134" s="103"/>
      <c r="AB134" s="133"/>
      <c r="AC134" s="196"/>
      <c r="AD134" s="103">
        <f>IF($AC134="x","incl",VLOOKUP($B134,'Cost prices'!$B$6:$H$538,7,FALSE)*$AC134)</f>
        <v>0</v>
      </c>
      <c r="AE134" s="103">
        <f>IF($AC134="x","incl",VLOOKUP($B134,'Cost prices'!$B$6:$H$538,7,FALSE)*$AC134)</f>
        <v>0</v>
      </c>
      <c r="AF134" s="103">
        <f>IF($AC134="x","incl",VLOOKUP($B134,'Cost prices'!$B$6:$H$538,7,FALSE)*$AC134)</f>
        <v>0</v>
      </c>
      <c r="AG134" s="196">
        <v>0</v>
      </c>
      <c r="AH134" s="103">
        <f>IF($AG134="x","incl",VLOOKUP($B134,'Cost prices'!$B$6:$H$538,7,FALSE)*$AG134)</f>
        <v>0</v>
      </c>
      <c r="AI134" s="103">
        <f>IF($AG134="x","incl",VLOOKUP($B134,'Cost prices'!$B$6:$H$538,7,FALSE)*$AG134)</f>
        <v>0</v>
      </c>
      <c r="AJ134" s="196">
        <v>0</v>
      </c>
      <c r="AK134" s="103">
        <f>IF($AJ134="x","incl",VLOOKUP($B134,'Cost prices'!$B$6:$H$538,7,FALSE)*$AJ134)</f>
        <v>0</v>
      </c>
      <c r="AL134" s="103">
        <f>IF($AJ134="x","incl",VLOOKUP($B134,'Cost prices'!$B$6:$H$538,7,FALSE)*$AJ134)</f>
        <v>0</v>
      </c>
      <c r="AM134" s="103">
        <f>IF($AJ134="x","incl",VLOOKUP($B134,'Cost prices'!$B$6:$H$538,7,FALSE)*$AJ134)</f>
        <v>0</v>
      </c>
      <c r="AN134" s="196">
        <v>1</v>
      </c>
      <c r="AO134" s="103">
        <f>IF($AN134="x","incl",VLOOKUP($B134,'Cost prices'!$B$6:$H$538,7,FALSE)*$AN134)</f>
        <v>1985.7007555555554</v>
      </c>
      <c r="AP134" s="103">
        <f>IF($AN134="x","incl",VLOOKUP($B134,'Cost prices'!$B$6:$H$538,7,FALSE)*$AN134)</f>
        <v>1985.7007555555554</v>
      </c>
      <c r="AQ134" s="103">
        <f>IF($AN134="x","incl",VLOOKUP($B134,'Cost prices'!$B$6:$H$538,7,FALSE)*$AN134)</f>
        <v>1985.7007555555554</v>
      </c>
      <c r="AR134" s="107"/>
      <c r="AS134" s="107"/>
    </row>
    <row r="135" spans="1:63" outlineLevel="1" x14ac:dyDescent="0.2">
      <c r="A135" s="175" t="s">
        <v>77</v>
      </c>
      <c r="B135" s="185" t="s">
        <v>1351</v>
      </c>
      <c r="C135" s="101"/>
      <c r="E135" s="133"/>
      <c r="F135" s="133"/>
      <c r="H135" s="103"/>
      <c r="J135" s="103"/>
      <c r="L135" s="133"/>
      <c r="M135" s="103"/>
      <c r="N135" s="103"/>
      <c r="O135" s="103"/>
      <c r="P135" s="103"/>
      <c r="Q135" s="103"/>
      <c r="R135" s="103"/>
      <c r="S135" s="103"/>
      <c r="T135" s="263"/>
      <c r="U135" s="103">
        <v>0</v>
      </c>
      <c r="V135" s="103">
        <f>IF($U135="x","incl",VLOOKUP($B91,'Cost prices'!$B$6:$H$538,7,FALSE)*$U135)</f>
        <v>0</v>
      </c>
      <c r="W135" s="103"/>
      <c r="X135" s="103"/>
      <c r="Y135" s="196">
        <v>0</v>
      </c>
      <c r="Z135" s="103">
        <f>IF($Y135="x","incl",VLOOKUP($B135,'Cost prices'!$B$6:$H$538,7,FALSE)*$Y135)</f>
        <v>0</v>
      </c>
      <c r="AA135" s="103"/>
      <c r="AB135" s="133"/>
      <c r="AC135" s="196"/>
      <c r="AD135" s="103">
        <f>IF($AC135="x","incl",VLOOKUP($B135,'Cost prices'!$B$6:$H$538,7,FALSE)*$AC135)</f>
        <v>0</v>
      </c>
      <c r="AE135" s="103">
        <f>IF($AC135="x","incl",VLOOKUP($B135,'Cost prices'!$B$6:$H$538,7,FALSE)*$AC135)</f>
        <v>0</v>
      </c>
      <c r="AF135" s="103">
        <f>IF($AC135="x","incl",VLOOKUP($B135,'Cost prices'!$B$6:$H$538,7,FALSE)*$AC135)</f>
        <v>0</v>
      </c>
      <c r="AG135" s="196">
        <v>0</v>
      </c>
      <c r="AH135" s="103">
        <f>IF($AG135="x","incl",VLOOKUP($B135,'Cost prices'!$B$6:$H$538,7,FALSE)*$AG135)</f>
        <v>0</v>
      </c>
      <c r="AI135" s="103">
        <f>IF($AG135="x","incl",VLOOKUP($B135,'Cost prices'!$B$6:$H$538,7,FALSE)*$AG135)</f>
        <v>0</v>
      </c>
      <c r="AJ135" s="196">
        <v>0</v>
      </c>
      <c r="AK135" s="103">
        <f>IF($AJ135="x","incl",VLOOKUP($B135,'Cost prices'!$B$6:$H$538,7,FALSE)*$AJ135)</f>
        <v>0</v>
      </c>
      <c r="AL135" s="103">
        <f>IF($AJ135="x","incl",VLOOKUP($B135,'Cost prices'!$B$6:$H$538,7,FALSE)*$AJ135)</f>
        <v>0</v>
      </c>
      <c r="AM135" s="103">
        <f>IF($AJ135="x","incl",VLOOKUP($B135,'Cost prices'!$B$6:$H$538,7,FALSE)*$AJ135)</f>
        <v>0</v>
      </c>
      <c r="AN135" s="196">
        <v>1</v>
      </c>
      <c r="AO135" s="103">
        <f>IF($AN135="x","incl",VLOOKUP($B135,'Cost prices'!$B$6:$H$538,7,FALSE)*$AN135)</f>
        <v>3429.1869999999994</v>
      </c>
      <c r="AP135" s="103">
        <f>IF($AN135="x","incl",VLOOKUP($B135,'Cost prices'!$B$6:$H$538,7,FALSE)*$AN135)</f>
        <v>3429.1869999999994</v>
      </c>
      <c r="AQ135" s="103">
        <f>IF($AN135="x","incl",VLOOKUP($B135,'Cost prices'!$B$6:$H$538,7,FALSE)*$AN135)</f>
        <v>3429.1869999999994</v>
      </c>
      <c r="AR135" s="107"/>
      <c r="AS135" s="107"/>
    </row>
    <row r="136" spans="1:63" outlineLevel="1" x14ac:dyDescent="0.2">
      <c r="A136" s="175" t="s">
        <v>537</v>
      </c>
      <c r="B136" s="185" t="s">
        <v>683</v>
      </c>
      <c r="E136" s="133"/>
      <c r="F136" s="133"/>
      <c r="H136" s="103"/>
      <c r="J136" s="103"/>
      <c r="L136" s="133"/>
      <c r="M136" s="103"/>
      <c r="N136" s="103"/>
      <c r="O136" s="103"/>
      <c r="P136" s="103"/>
      <c r="Q136" s="103"/>
      <c r="R136" s="103"/>
      <c r="S136" s="103"/>
      <c r="T136" s="263"/>
      <c r="U136" s="103"/>
      <c r="V136" s="103"/>
      <c r="W136" s="103"/>
      <c r="X136" s="103"/>
      <c r="Z136" s="103">
        <f>IF('External Prices'!P$17&lt;&gt;"No",VLOOKUP($B136,'Cost prices'!$B$6:$H$538,7,FALSE),0)</f>
        <v>3397.6501555555551</v>
      </c>
      <c r="AA136" s="103"/>
      <c r="AB136" s="133"/>
      <c r="AC136" s="196"/>
      <c r="AD136" s="103">
        <f>IF($AC136="x","incl",VLOOKUP($B136,'Cost prices'!$B$6:$H$538,7,FALSE)*$AC136)</f>
        <v>0</v>
      </c>
      <c r="AE136" s="103">
        <f>IF($AC136="x","incl",VLOOKUP($B136,'Cost prices'!$B$6:$H$538,7,FALSE)*$AC136)</f>
        <v>0</v>
      </c>
      <c r="AF136" s="103">
        <f>IF($AC136="x","incl",VLOOKUP($B136,'Cost prices'!$B$6:$H$538,7,FALSE)*$AC136)</f>
        <v>0</v>
      </c>
      <c r="AG136" s="196">
        <v>0</v>
      </c>
      <c r="AH136" s="103">
        <f>IF($AG136="x","incl",VLOOKUP($B136,'Cost prices'!$B$6:$H$538,7,FALSE)*$AG136)</f>
        <v>0</v>
      </c>
      <c r="AI136" s="103">
        <f>IF($AG136="x","incl",VLOOKUP($B136,'Cost prices'!$B$6:$H$538,7,FALSE)*$AG136)</f>
        <v>0</v>
      </c>
      <c r="AK136" s="103">
        <f>IF('External Prices'!W$17&lt;&gt;"No",VLOOKUP($B136,'Cost prices'!$B$6:$H$538,7,FALSE),0)</f>
        <v>3397.6501555555551</v>
      </c>
      <c r="AL136" s="103">
        <f>IF('External Prices'!X$17&lt;&gt;"No",VLOOKUP($B136,'Cost prices'!$B$6:$H$538,7,FALSE),0)</f>
        <v>3397.6501555555551</v>
      </c>
      <c r="AM136" s="103">
        <f>IF('External Prices'!Y$17&lt;&gt;"No",VLOOKUP($B136,'Cost prices'!$B$6:$H$538,7,FALSE),0)</f>
        <v>3397.6501555555551</v>
      </c>
      <c r="AO136" s="103">
        <f>IF('External Prices'!Z$17&lt;&gt;"No",VLOOKUP($B136,'Cost prices'!$B$6:$H$538,7,FALSE),0)</f>
        <v>3397.6501555555551</v>
      </c>
      <c r="AP136" s="103">
        <f>IF('External Prices'!AA$17&lt;&gt;"No",VLOOKUP($B136,'Cost prices'!$B$6:$H$538,7,FALSE),0)</f>
        <v>3397.6501555555551</v>
      </c>
      <c r="AQ136" s="103">
        <f>IF('External Prices'!AB$17&lt;&gt;"No",VLOOKUP($B136,'Cost prices'!$B$6:$H$538,7,FALSE),0)</f>
        <v>3397.6501555555551</v>
      </c>
      <c r="AR136" s="107"/>
      <c r="AS136" s="107"/>
    </row>
    <row r="137" spans="1:63" outlineLevel="1" x14ac:dyDescent="0.2">
      <c r="A137" s="175" t="s">
        <v>684</v>
      </c>
      <c r="B137" s="185" t="s">
        <v>682</v>
      </c>
      <c r="E137" s="133"/>
      <c r="F137" s="133"/>
      <c r="H137" s="103"/>
      <c r="J137" s="103"/>
      <c r="L137" s="133"/>
      <c r="M137" s="103"/>
      <c r="N137" s="103"/>
      <c r="O137" s="103"/>
      <c r="P137" s="103"/>
      <c r="Q137" s="103"/>
      <c r="R137" s="103"/>
      <c r="S137" s="103"/>
      <c r="T137" s="263"/>
      <c r="U137" s="103">
        <v>2</v>
      </c>
      <c r="V137" s="103">
        <f>IF($U137="x","incl",VLOOKUP($B89,'Cost prices'!$B$6:$H$538,7,FALSE)*$U137)</f>
        <v>1326.8199111111112</v>
      </c>
      <c r="W137" s="199">
        <v>1</v>
      </c>
      <c r="X137" s="103">
        <f>IF($W137="x","incl",VLOOKUP($B137,'Cost prices'!$B$6:$H$538,7,FALSE)*$W137)</f>
        <v>663.4099555555556</v>
      </c>
      <c r="Y137" s="196">
        <v>1</v>
      </c>
      <c r="Z137" s="103">
        <f>IF($Y137="x","incl",VLOOKUP($B137,'Cost prices'!$B$6:$H$538,7,FALSE)*$Y137)</f>
        <v>663.4099555555556</v>
      </c>
      <c r="AA137" s="103"/>
      <c r="AB137" s="133"/>
      <c r="AC137" s="196"/>
      <c r="AD137" s="103">
        <f>IF($AC137="x","incl",VLOOKUP($B137,'Cost prices'!$B$6:$H$538,7,FALSE)*$AC137)</f>
        <v>0</v>
      </c>
      <c r="AE137" s="103">
        <f>IF($AC137="x","incl",VLOOKUP($B137,'Cost prices'!$B$6:$H$538,7,FALSE)*$AC137)</f>
        <v>0</v>
      </c>
      <c r="AF137" s="103">
        <f>IF($AC137="x","incl",VLOOKUP($B137,'Cost prices'!$B$6:$H$538,7,FALSE)*$AC137)</f>
        <v>0</v>
      </c>
      <c r="AG137" s="196">
        <v>1</v>
      </c>
      <c r="AH137" s="103">
        <f>IF($AG137="x","incl",VLOOKUP($B137,'Cost prices'!$B$6:$H$538,7,FALSE)*$AG137)</f>
        <v>663.4099555555556</v>
      </c>
      <c r="AI137" s="103">
        <f>IF($AG137="x","incl",VLOOKUP($B137,'Cost prices'!$B$6:$H$538,7,FALSE)*$AG137)</f>
        <v>663.4099555555556</v>
      </c>
      <c r="AJ137" s="196">
        <v>1</v>
      </c>
      <c r="AK137" s="103">
        <f>IF($AJ137="x","incl",VLOOKUP($B137,'Cost prices'!$B$6:$H$538,7,FALSE)*$AJ137)</f>
        <v>663.4099555555556</v>
      </c>
      <c r="AL137" s="103">
        <f>IF($AJ137="x","incl",VLOOKUP($B137,'Cost prices'!$B$6:$H$538,7,FALSE)*$AJ137)</f>
        <v>663.4099555555556</v>
      </c>
      <c r="AM137" s="103">
        <f>IF($AJ137="x","incl",VLOOKUP($B137,'Cost prices'!$B$6:$H$538,7,FALSE)*$AJ137)</f>
        <v>663.4099555555556</v>
      </c>
      <c r="AN137" s="196">
        <v>1</v>
      </c>
      <c r="AO137" s="103">
        <f>IF($AN137="x","incl",VLOOKUP($B137,'Cost prices'!$B$6:$H$538,7,FALSE)*$AN137)</f>
        <v>663.4099555555556</v>
      </c>
      <c r="AP137" s="103">
        <f>IF($AN137="x","incl",VLOOKUP($B137,'Cost prices'!$B$6:$H$538,7,FALSE)*$AN137)</f>
        <v>663.4099555555556</v>
      </c>
      <c r="AQ137" s="103">
        <f>IF($AN137="x","incl",VLOOKUP($B137,'Cost prices'!$B$6:$H$538,7,FALSE)*$AN137)</f>
        <v>663.4099555555556</v>
      </c>
      <c r="AR137" s="107"/>
      <c r="AS137" s="107"/>
    </row>
    <row r="138" spans="1:63" outlineLevel="1" x14ac:dyDescent="0.2">
      <c r="B138" s="185" t="s">
        <v>1244</v>
      </c>
      <c r="E138" s="133"/>
      <c r="F138" s="133"/>
      <c r="H138" s="103"/>
      <c r="J138" s="103"/>
      <c r="L138" s="133"/>
      <c r="M138" s="103"/>
      <c r="N138" s="103"/>
      <c r="O138" s="103"/>
      <c r="P138" s="103"/>
      <c r="Q138" s="103"/>
      <c r="R138" s="103"/>
      <c r="S138" s="103"/>
      <c r="T138" s="263"/>
      <c r="U138" s="103"/>
      <c r="V138" s="103"/>
      <c r="W138" s="199"/>
      <c r="X138" s="103"/>
      <c r="Y138" s="196">
        <v>2</v>
      </c>
      <c r="Z138" s="103">
        <f>IF($Y138="x","incl",VLOOKUP($B138,'Cost prices'!$B$6:$H$538,7,FALSE)*$Y138)</f>
        <v>1965.911111111111</v>
      </c>
      <c r="AA138" s="103"/>
      <c r="AB138" s="133"/>
      <c r="AC138" s="196">
        <v>4</v>
      </c>
      <c r="AD138" s="103">
        <f>IF($AC138="x","incl",VLOOKUP($B138,'Cost prices'!$B$6:$H$538,7,FALSE)*$AC138)</f>
        <v>3931.8222222222221</v>
      </c>
      <c r="AE138" s="103">
        <f>IF($AC138="x","incl",VLOOKUP($B138,'Cost prices'!$B$6:$H$538,7,FALSE)*$AC138)</f>
        <v>3931.8222222222221</v>
      </c>
      <c r="AF138" s="103">
        <f>IF($AC138="x","incl",VLOOKUP($B138,'Cost prices'!$B$6:$H$538,7,FALSE)*$AC138)</f>
        <v>3931.8222222222221</v>
      </c>
      <c r="AG138" s="196">
        <v>3</v>
      </c>
      <c r="AH138" s="103">
        <f>IF($AG138="x","incl",VLOOKUP($B138,'Cost prices'!$B$6:$H$538,7,FALSE)*$AG138)</f>
        <v>2948.8666666666668</v>
      </c>
      <c r="AI138" s="103">
        <f>IF($AG138="x","incl",VLOOKUP($B138,'Cost prices'!$B$6:$H$538,7,FALSE)*$AG138)</f>
        <v>2948.8666666666668</v>
      </c>
      <c r="AJ138" s="196">
        <v>2</v>
      </c>
      <c r="AK138" s="103">
        <f>IF($AJ138="x","incl",VLOOKUP($B138,'Cost prices'!$B$6:$H$538,7,FALSE)*$AJ138)</f>
        <v>1965.911111111111</v>
      </c>
      <c r="AL138" s="103">
        <f>IF($AJ138="x","incl",VLOOKUP($B138,'Cost prices'!$B$6:$H$538,7,FALSE)*$AJ138)</f>
        <v>1965.911111111111</v>
      </c>
      <c r="AM138" s="103">
        <f>IF($AJ138="x","incl",VLOOKUP($B138,'Cost prices'!$B$6:$H$538,7,FALSE)*$AJ138)</f>
        <v>1965.911111111111</v>
      </c>
      <c r="AN138" s="196"/>
      <c r="AO138" s="103"/>
      <c r="AP138" s="103"/>
      <c r="AQ138" s="103"/>
      <c r="AR138" s="107"/>
      <c r="AS138" s="107"/>
    </row>
    <row r="139" spans="1:63" outlineLevel="1" x14ac:dyDescent="0.2">
      <c r="B139" s="185"/>
      <c r="C139" s="197"/>
      <c r="E139" s="133"/>
      <c r="F139" s="133"/>
      <c r="G139" s="133"/>
      <c r="L139" s="133"/>
      <c r="Z139" s="103"/>
      <c r="AD139" s="103"/>
      <c r="AE139" s="103"/>
      <c r="AF139" s="103"/>
      <c r="AH139" s="107"/>
      <c r="AI139" s="107"/>
      <c r="AK139" s="103"/>
      <c r="AL139" s="103"/>
      <c r="AM139" s="103"/>
      <c r="AO139" s="103"/>
      <c r="AP139" s="103"/>
      <c r="AQ139" s="103"/>
      <c r="AR139" s="107"/>
      <c r="AS139" s="107"/>
      <c r="AT139" s="107"/>
      <c r="AU139" s="107"/>
      <c r="AV139" s="107"/>
      <c r="AW139" s="107"/>
      <c r="AX139" s="107"/>
      <c r="AY139" s="107"/>
      <c r="AZ139" s="107"/>
      <c r="BA139" s="107"/>
      <c r="BB139" s="107"/>
      <c r="BC139" s="107"/>
      <c r="BD139" s="107"/>
      <c r="BE139" s="107"/>
      <c r="BF139" s="107"/>
      <c r="BG139" s="107"/>
      <c r="BH139" s="107"/>
      <c r="BI139" s="107"/>
      <c r="BJ139" s="107"/>
      <c r="BK139" s="189"/>
    </row>
    <row r="140" spans="1:63" outlineLevel="1" x14ac:dyDescent="0.2">
      <c r="B140" s="185" t="s">
        <v>790</v>
      </c>
      <c r="C140" s="210"/>
      <c r="E140" s="103"/>
      <c r="F140" s="103"/>
      <c r="H140" s="103"/>
      <c r="J140" s="103"/>
      <c r="K140" s="101"/>
      <c r="L140" s="103"/>
      <c r="M140" s="103"/>
      <c r="N140" s="103"/>
      <c r="O140" s="103"/>
      <c r="P140" s="103"/>
      <c r="Q140" s="103"/>
      <c r="R140" s="103"/>
      <c r="S140" s="103"/>
      <c r="T140" s="263"/>
      <c r="U140" s="196">
        <v>1</v>
      </c>
      <c r="V140" s="103">
        <f>IF($U140="x","incl",VLOOKUP($B140,'Cost prices'!$B$6:$H$376,7,FALSE)*$U140)*SUM(V130:V139)</f>
        <v>434.75758333333329</v>
      </c>
      <c r="W140" s="196">
        <v>1</v>
      </c>
      <c r="X140" s="103">
        <f>IF($U140="x","incl",VLOOKUP($B140,'Cost prices'!$B$6:$H$376,7,FALSE)*$U140)*SUM(X130:X139)</f>
        <v>351.83133888888881</v>
      </c>
      <c r="Y140" s="196">
        <v>1</v>
      </c>
      <c r="Z140" s="103">
        <f>IF($U140="x","incl",VLOOKUP($B140,'Cost prices'!$B$6:$H$376,7,FALSE)*$U140)*SUM(Z130:Z139)</f>
        <v>1291.1815916666665</v>
      </c>
      <c r="AB140" s="103"/>
      <c r="AC140" s="196">
        <v>1</v>
      </c>
      <c r="AD140" s="103">
        <f>IF($U140="x","incl",VLOOKUP($B140,'Cost prices'!$B$6:$H$376,7,FALSE)*$U140)*SUM(AD130:AD139)</f>
        <v>491.47777777777776</v>
      </c>
      <c r="AE140" s="103">
        <f>IF($U140="x","incl",VLOOKUP($B140,'Cost prices'!$B$6:$H$376,7,FALSE)*$U140)*SUM(AE130:AE139)</f>
        <v>491.47777777777776</v>
      </c>
      <c r="AF140" s="103">
        <f>IF($U140="x","incl",VLOOKUP($B140,'Cost prices'!$B$6:$H$376,7,FALSE)*$U140)*SUM(AF130:AF139)</f>
        <v>491.47777777777776</v>
      </c>
      <c r="AG140" s="196">
        <v>1</v>
      </c>
      <c r="AH140" s="103">
        <f>IF($U140="x","incl",VLOOKUP($B140,'Cost prices'!$B$6:$H$376,7,FALSE)*$U140)*SUM(AH130:AH139)</f>
        <v>720.43967222222216</v>
      </c>
      <c r="AI140" s="103">
        <f>IF($U140="x","incl",VLOOKUP($B140,'Cost prices'!$B$6:$H$376,7,FALSE)*$U140)*SUM(AI130:AI139)</f>
        <v>720.43967222222216</v>
      </c>
      <c r="AJ140" s="196">
        <v>1</v>
      </c>
      <c r="AK140" s="103">
        <f>IF($U140="x","incl",VLOOKUP($B140,'Cost prices'!$B$6:$H$376,7,FALSE)*$U140)*SUM(AK130:AK139)</f>
        <v>1291.1815916666665</v>
      </c>
      <c r="AL140" s="103">
        <f>IF($U140="x","incl",VLOOKUP($B140,'Cost prices'!$B$6:$H$376,7,FALSE)*$U140)*SUM(AL130:AL139)</f>
        <v>1291.1815916666665</v>
      </c>
      <c r="AM140" s="103">
        <f>IF($U140="x","incl",VLOOKUP($B140,'Cost prices'!$B$6:$H$376,7,FALSE)*$U140)*SUM(AM130:AM139)</f>
        <v>1291.1815916666665</v>
      </c>
      <c r="AN140" s="196">
        <v>1</v>
      </c>
      <c r="AO140" s="103">
        <f>IF($U140="x","incl",VLOOKUP($B140,'Cost prices'!$B$6:$H$376,7,FALSE)*$U140)*SUM(AO130:AO139)</f>
        <v>1722.3036722222218</v>
      </c>
      <c r="AP140" s="103">
        <f>IF($U140="x","incl",VLOOKUP($B140,'Cost prices'!$B$6:$H$376,7,FALSE)*$U140)*SUM(AP130:AP139)</f>
        <v>1722.3036722222218</v>
      </c>
      <c r="AQ140" s="103">
        <f>IF($U140="x","incl",VLOOKUP($B140,'Cost prices'!$B$6:$H$376,7,FALSE)*$U140)*SUM(AQ130:AQ139)</f>
        <v>1722.3036722222218</v>
      </c>
      <c r="AR140" s="211"/>
      <c r="AS140" s="211"/>
    </row>
    <row r="141" spans="1:63" x14ac:dyDescent="0.2">
      <c r="A141" s="217" t="s">
        <v>724</v>
      </c>
      <c r="B141" s="99" t="s">
        <v>6</v>
      </c>
      <c r="C141" s="210"/>
      <c r="E141" s="214">
        <f>SUM(E130:E140)</f>
        <v>0</v>
      </c>
      <c r="F141" s="214">
        <f>SUM(F130:F140)</f>
        <v>0</v>
      </c>
      <c r="H141" s="214">
        <f>SUM(H130:H140)</f>
        <v>0</v>
      </c>
      <c r="J141" s="214">
        <f>SUM(J130:J140)</f>
        <v>0</v>
      </c>
      <c r="K141" s="101"/>
      <c r="L141" s="214">
        <f>SUM(L130:L140)</f>
        <v>0</v>
      </c>
      <c r="M141" s="133"/>
      <c r="N141" s="214">
        <f>SUM(N130:N140)</f>
        <v>0</v>
      </c>
      <c r="O141" s="133"/>
      <c r="P141" s="214">
        <f>SUM(P130:P140)</f>
        <v>0</v>
      </c>
      <c r="Q141" s="133"/>
      <c r="R141" s="214">
        <f>SUM(R130:R140)</f>
        <v>0</v>
      </c>
      <c r="S141" s="133"/>
      <c r="T141" s="307"/>
      <c r="V141" s="214">
        <f>SUM(V130:V140)</f>
        <v>3912.8182499999994</v>
      </c>
      <c r="X141" s="214">
        <f>SUM(X130:X140)</f>
        <v>3166.4820499999992</v>
      </c>
      <c r="Z141" s="214">
        <f>SUM(Z130:Z140)</f>
        <v>11620.634324999999</v>
      </c>
      <c r="AB141" s="103"/>
      <c r="AD141" s="214">
        <f>SUM(AD130:AD140)</f>
        <v>4423.3</v>
      </c>
      <c r="AE141" s="214">
        <f>SUM(AE130:AE140)</f>
        <v>4423.3</v>
      </c>
      <c r="AF141" s="214">
        <f>SUM(AF130:AF140)</f>
        <v>4423.3</v>
      </c>
      <c r="AH141" s="214">
        <f>SUM(AH130:AH140)</f>
        <v>6483.9570499999991</v>
      </c>
      <c r="AI141" s="214">
        <f>SUM(AI130:AI140)</f>
        <v>6483.9570499999991</v>
      </c>
      <c r="AK141" s="214">
        <f>SUM(AK130:AK140)</f>
        <v>11620.634324999999</v>
      </c>
      <c r="AL141" s="214">
        <f>SUM(AL130:AL140)</f>
        <v>11620.634324999999</v>
      </c>
      <c r="AM141" s="214">
        <f>SUM(AM130:AM140)</f>
        <v>11620.634324999999</v>
      </c>
      <c r="AO141" s="214">
        <f>SUM(AO130:AO140)</f>
        <v>15500.733049999997</v>
      </c>
      <c r="AP141" s="214">
        <f>SUM(AP130:AP140)</f>
        <v>15500.733049999997</v>
      </c>
      <c r="AQ141" s="214">
        <f>SUM(AQ130:AQ140)</f>
        <v>15500.733049999997</v>
      </c>
      <c r="AR141" s="211"/>
      <c r="AS141" s="211"/>
    </row>
    <row r="142" spans="1:63" x14ac:dyDescent="0.2">
      <c r="B142" s="158"/>
      <c r="E142" s="133"/>
      <c r="F142" s="133"/>
      <c r="L142" s="133"/>
      <c r="AB142" s="133"/>
      <c r="AO142" s="103"/>
    </row>
    <row r="143" spans="1:63" outlineLevel="1" x14ac:dyDescent="0.2">
      <c r="A143" s="175" t="s">
        <v>727</v>
      </c>
      <c r="B143" s="158"/>
      <c r="E143" s="133"/>
      <c r="F143" s="133"/>
      <c r="L143" s="133"/>
      <c r="AB143" s="133"/>
      <c r="AO143" s="103"/>
    </row>
    <row r="144" spans="1:63" outlineLevel="1" x14ac:dyDescent="0.2">
      <c r="A144" s="175" t="s">
        <v>36</v>
      </c>
      <c r="B144" s="185" t="s">
        <v>473</v>
      </c>
      <c r="E144" s="133"/>
      <c r="F144" s="133"/>
      <c r="J144" s="103"/>
      <c r="L144" s="133"/>
      <c r="M144" s="103"/>
      <c r="N144" s="103"/>
      <c r="O144" s="103"/>
      <c r="P144" s="103"/>
      <c r="Q144" s="103"/>
      <c r="R144" s="103"/>
      <c r="S144" s="103"/>
      <c r="T144" s="263"/>
      <c r="U144" s="103"/>
      <c r="V144" s="103"/>
      <c r="W144" s="103"/>
      <c r="X144" s="103">
        <f>VLOOKUP(X$1,'Cost prices'!$B$6:$H$538,7, FALSE)</f>
        <v>73573.879499999995</v>
      </c>
      <c r="Y144" s="103"/>
      <c r="Z144" s="103">
        <f>VLOOKUP(Z$1,'Cost prices'!$B$6:$H$538,7, FALSE)</f>
        <v>120025.8</v>
      </c>
      <c r="AA144" s="103"/>
      <c r="AB144" s="133"/>
      <c r="AD144" s="103">
        <f>VLOOKUP(AD$1,'Cost prices'!$B$6:$H$538,7, FALSE)</f>
        <v>47250.3</v>
      </c>
      <c r="AE144" s="103">
        <f>VLOOKUP(AE$1,'Cost prices'!$B$6:$H$538,7, FALSE)</f>
        <v>52771.199999999997</v>
      </c>
      <c r="AF144" s="103">
        <f>VLOOKUP(AF$1,'Cost prices'!$B$6:$H$538,7, FALSE)</f>
        <v>84433.919999999998</v>
      </c>
      <c r="AH144" s="103">
        <f>VLOOKUP(AH$1,'Cost prices'!$B$6:$H$538,7, FALSE)</f>
        <v>74496.3</v>
      </c>
      <c r="AI144" s="103">
        <f>VLOOKUP(AI$1,'Cost prices'!$B$6:$H$538,7, FALSE)</f>
        <v>80017.2</v>
      </c>
      <c r="AK144" s="103">
        <f>VLOOKUP(AK$1,'Cost prices'!$B$6:$H$538,7, FALSE)</f>
        <v>74496.3</v>
      </c>
      <c r="AL144" s="103">
        <f>VLOOKUP(AL$1,'Cost prices'!$B$6:$H$538,7, FALSE)</f>
        <v>80017.2</v>
      </c>
      <c r="AM144" s="103">
        <f>VLOOKUP(AM$1,'Cost prices'!$B$6:$H$538,7, FALSE)</f>
        <v>126273.37799999998</v>
      </c>
      <c r="AO144" s="103">
        <f>VLOOKUP(AO$1,'Cost prices'!$B$6:$H$538,7, FALSE)*
IF('External Prices'!Z$27&lt;&gt;"No",1.3,1)</f>
        <v>73614.39</v>
      </c>
      <c r="AP144" s="103">
        <f>VLOOKUP(AP$1,'Cost prices'!$B$6:$H$538,7, FALSE)*
IF('External Prices'!AA$27&lt;&gt;"No",1.3,1)</f>
        <v>97784.459999999992</v>
      </c>
      <c r="AQ144" s="103">
        <f>VLOOKUP(AQ$1,'Cost prices'!$B$6:$H$538,7, FALSE)*
IF('External Prices'!AB$27&lt;&gt;"No",1.3,1)</f>
        <v>152136.6</v>
      </c>
    </row>
    <row r="145" spans="1:64" outlineLevel="1" x14ac:dyDescent="0.2">
      <c r="A145" s="175" t="s">
        <v>36</v>
      </c>
      <c r="B145" s="94" t="s">
        <v>1429</v>
      </c>
      <c r="E145" s="133"/>
      <c r="F145" s="133"/>
      <c r="J145" s="103"/>
      <c r="L145" s="133"/>
      <c r="M145" s="103"/>
      <c r="N145" s="103">
        <f>VLOOKUP($B145,'Cost prices'!$B$6:$H$538,7, FALSE)</f>
        <v>3570.66</v>
      </c>
      <c r="O145" s="103"/>
      <c r="P145" s="103">
        <f>VLOOKUP($B145,'Cost prices'!$B$6:$H$538,7, FALSE)</f>
        <v>3570.66</v>
      </c>
      <c r="Q145" s="103"/>
      <c r="R145" s="103">
        <f>VLOOKUP($B145,'Cost prices'!$B$6:$H$538,7, FALSE)</f>
        <v>3570.66</v>
      </c>
      <c r="S145" s="103"/>
      <c r="T145" s="263"/>
      <c r="U145" s="103"/>
      <c r="V145" s="103"/>
      <c r="W145" s="103"/>
      <c r="X145" s="103"/>
      <c r="Y145" s="103"/>
      <c r="Z145" s="103"/>
      <c r="AA145" s="103"/>
      <c r="AB145" s="133"/>
      <c r="AD145" s="103"/>
      <c r="AE145" s="103"/>
      <c r="AF145" s="103"/>
      <c r="AH145" s="103"/>
      <c r="AI145" s="103"/>
      <c r="AK145" s="103"/>
      <c r="AL145" s="103"/>
      <c r="AM145" s="103"/>
      <c r="AO145" s="103"/>
      <c r="AP145" s="103"/>
      <c r="AQ145" s="103"/>
    </row>
    <row r="146" spans="1:64" outlineLevel="1" x14ac:dyDescent="0.2">
      <c r="A146" s="175" t="s">
        <v>36</v>
      </c>
      <c r="B146" s="94" t="s">
        <v>1430</v>
      </c>
      <c r="E146" s="133"/>
      <c r="F146" s="133"/>
      <c r="J146" s="103"/>
      <c r="L146" s="133"/>
      <c r="M146" s="103"/>
      <c r="N146" s="103">
        <f>VLOOKUP($B146,'Cost prices'!$B$6:$H$538,7, FALSE)</f>
        <v>2480.8200000000002</v>
      </c>
      <c r="O146" s="103"/>
      <c r="P146" s="103">
        <f>VLOOKUP($B146,'Cost prices'!$B$6:$H$538,7, FALSE)</f>
        <v>2480.8200000000002</v>
      </c>
      <c r="Q146" s="103"/>
      <c r="R146" s="103">
        <f>VLOOKUP($B146,'Cost prices'!$B$6:$H$538,7, FALSE)</f>
        <v>2480.8200000000002</v>
      </c>
      <c r="S146" s="103"/>
      <c r="T146" s="263"/>
      <c r="U146" s="103"/>
      <c r="V146" s="103"/>
      <c r="W146" s="103"/>
      <c r="X146" s="103"/>
      <c r="Y146" s="103"/>
      <c r="Z146" s="103"/>
      <c r="AA146" s="103"/>
      <c r="AB146" s="133"/>
      <c r="AD146" s="103"/>
      <c r="AE146" s="103"/>
      <c r="AF146" s="103"/>
      <c r="AH146" s="103"/>
      <c r="AI146" s="103"/>
      <c r="AK146" s="103"/>
      <c r="AL146" s="103"/>
      <c r="AM146" s="103"/>
      <c r="AO146" s="103"/>
      <c r="AP146" s="103"/>
      <c r="AQ146" s="103"/>
    </row>
    <row r="147" spans="1:64" outlineLevel="1" x14ac:dyDescent="0.2">
      <c r="A147" s="175" t="s">
        <v>36</v>
      </c>
      <c r="B147" s="94" t="s">
        <v>1435</v>
      </c>
      <c r="E147" s="133"/>
      <c r="F147" s="133"/>
      <c r="J147" s="103"/>
      <c r="L147" s="133"/>
      <c r="M147" s="103"/>
      <c r="N147" s="103"/>
      <c r="O147" s="103"/>
      <c r="P147" s="103">
        <f>VLOOKUP($B147,'Cost prices'!$B$6:$H$538,7, FALSE)</f>
        <v>5528.07</v>
      </c>
      <c r="Q147" s="103"/>
      <c r="R147" s="103">
        <f>VLOOKUP($B147,'Cost prices'!$B$6:$H$538,7, FALSE)</f>
        <v>5528.07</v>
      </c>
      <c r="S147" s="103"/>
      <c r="T147" s="263"/>
      <c r="U147" s="103"/>
      <c r="V147" s="103"/>
      <c r="W147" s="103"/>
      <c r="X147" s="103"/>
      <c r="Y147" s="103"/>
      <c r="Z147" s="103"/>
      <c r="AA147" s="103"/>
      <c r="AB147" s="133"/>
      <c r="AD147" s="103"/>
      <c r="AE147" s="103"/>
      <c r="AF147" s="103"/>
      <c r="AH147" s="103"/>
      <c r="AI147" s="103"/>
      <c r="AK147" s="103"/>
      <c r="AL147" s="103"/>
      <c r="AM147" s="103"/>
      <c r="AO147" s="103"/>
      <c r="AP147" s="103"/>
      <c r="AQ147" s="103"/>
    </row>
    <row r="148" spans="1:64" outlineLevel="1" x14ac:dyDescent="0.2">
      <c r="A148" s="175" t="s">
        <v>36</v>
      </c>
      <c r="B148" s="94" t="s">
        <v>1431</v>
      </c>
      <c r="E148" s="133"/>
      <c r="F148" s="133"/>
      <c r="J148" s="103"/>
      <c r="L148" s="133"/>
      <c r="M148" s="103"/>
      <c r="N148" s="103"/>
      <c r="O148" s="103"/>
      <c r="P148" s="103"/>
      <c r="Q148" s="103"/>
      <c r="R148" s="103">
        <f>VLOOKUP($B148,'Cost prices'!$B$6:$H$538,7, FALSE)</f>
        <v>2645.73</v>
      </c>
      <c r="S148" s="103"/>
      <c r="T148" s="263"/>
      <c r="U148" s="103"/>
      <c r="V148" s="103"/>
      <c r="W148" s="103"/>
      <c r="X148" s="103"/>
      <c r="Y148" s="103"/>
      <c r="Z148" s="103"/>
      <c r="AA148" s="103"/>
      <c r="AB148" s="133"/>
      <c r="AD148" s="103"/>
      <c r="AE148" s="103"/>
      <c r="AF148" s="103"/>
      <c r="AH148" s="103"/>
      <c r="AI148" s="103"/>
      <c r="AK148" s="103"/>
      <c r="AL148" s="103"/>
      <c r="AM148" s="103"/>
      <c r="AO148" s="103"/>
      <c r="AP148" s="103"/>
      <c r="AQ148" s="103"/>
    </row>
    <row r="149" spans="1:64" outlineLevel="1" x14ac:dyDescent="0.2">
      <c r="A149" s="175" t="s">
        <v>36</v>
      </c>
      <c r="B149" s="94" t="s">
        <v>1432</v>
      </c>
      <c r="E149" s="133"/>
      <c r="F149" s="133"/>
      <c r="J149" s="103"/>
      <c r="L149" s="133"/>
      <c r="M149" s="103"/>
      <c r="N149" s="103"/>
      <c r="O149" s="103"/>
      <c r="P149" s="103"/>
      <c r="Q149" s="103"/>
      <c r="R149" s="103">
        <f>VLOOKUP($B149,'Cost prices'!$B$6:$H$538,7, FALSE)</f>
        <v>7887</v>
      </c>
      <c r="S149" s="103"/>
      <c r="T149" s="263"/>
      <c r="U149" s="103"/>
      <c r="V149" s="103"/>
      <c r="W149" s="103"/>
      <c r="X149" s="103"/>
      <c r="Y149" s="103"/>
      <c r="Z149" s="103"/>
      <c r="AA149" s="103"/>
      <c r="AB149" s="133"/>
      <c r="AD149" s="103"/>
      <c r="AE149" s="103"/>
      <c r="AF149" s="103"/>
      <c r="AH149" s="103"/>
      <c r="AI149" s="103"/>
      <c r="AK149" s="103"/>
      <c r="AL149" s="103"/>
      <c r="AM149" s="103"/>
      <c r="AO149" s="103"/>
      <c r="AP149" s="103"/>
      <c r="AQ149" s="103"/>
    </row>
    <row r="150" spans="1:64" outlineLevel="1" x14ac:dyDescent="0.2">
      <c r="A150" s="175" t="s">
        <v>36</v>
      </c>
      <c r="B150" s="185" t="s">
        <v>1433</v>
      </c>
      <c r="E150" s="133"/>
      <c r="F150" s="133"/>
      <c r="J150" s="103"/>
      <c r="L150" s="133"/>
      <c r="M150" s="103"/>
      <c r="N150" s="103"/>
      <c r="O150" s="103"/>
      <c r="P150" s="103"/>
      <c r="Q150" s="103"/>
      <c r="R150" s="103"/>
      <c r="S150" s="103"/>
      <c r="T150" s="263"/>
      <c r="U150" s="103"/>
      <c r="W150" s="103"/>
      <c r="X150" s="103"/>
      <c r="Y150" s="103"/>
      <c r="Z150" s="103"/>
      <c r="AA150" s="103"/>
      <c r="AB150" s="133"/>
      <c r="AD150" s="103"/>
      <c r="AE150" s="103"/>
      <c r="AF150" s="103"/>
      <c r="AH150" s="103"/>
      <c r="AI150" s="103"/>
      <c r="AK150" s="103"/>
      <c r="AL150" s="103"/>
      <c r="AM150" s="103"/>
      <c r="AO150" s="103"/>
      <c r="AP150" s="103"/>
      <c r="AQ150" s="103"/>
      <c r="BL150" s="101">
        <f>VLOOKUP($B150,'Cost prices'!$B$6:$H$538,7, FALSE)</f>
        <v>5707.32</v>
      </c>
    </row>
    <row r="151" spans="1:64" outlineLevel="1" x14ac:dyDescent="0.2">
      <c r="A151" s="175" t="s">
        <v>36</v>
      </c>
      <c r="B151" s="94" t="s">
        <v>1438</v>
      </c>
      <c r="E151" s="133"/>
      <c r="F151" s="133"/>
      <c r="J151" s="103"/>
      <c r="L151" s="133"/>
      <c r="M151" s="103"/>
      <c r="N151" s="103"/>
      <c r="O151" s="103"/>
      <c r="P151" s="103"/>
      <c r="Q151" s="103"/>
      <c r="R151" s="103"/>
      <c r="S151" s="103"/>
      <c r="T151" s="263"/>
      <c r="U151" s="103"/>
      <c r="V151" s="103">
        <f>VLOOKUP($B151,'Cost prices'!$B$6:$H$538,7, FALSE)</f>
        <v>0</v>
      </c>
      <c r="W151" s="103"/>
      <c r="X151" s="103"/>
      <c r="Y151" s="103"/>
      <c r="Z151" s="103"/>
      <c r="AA151" s="103"/>
      <c r="AB151" s="133"/>
      <c r="AD151" s="103"/>
      <c r="AE151" s="103"/>
      <c r="AF151" s="103"/>
      <c r="AH151" s="103"/>
      <c r="AI151" s="103"/>
      <c r="AK151" s="103"/>
      <c r="AL151" s="103"/>
      <c r="AM151" s="103"/>
      <c r="AO151" s="103"/>
      <c r="AP151" s="103"/>
      <c r="AQ151" s="103"/>
    </row>
    <row r="152" spans="1:64" outlineLevel="1" x14ac:dyDescent="0.2">
      <c r="A152" s="175" t="s">
        <v>36</v>
      </c>
      <c r="B152" s="94" t="s">
        <v>1439</v>
      </c>
      <c r="E152" s="133"/>
      <c r="F152" s="133"/>
      <c r="J152" s="103"/>
      <c r="L152" s="133"/>
      <c r="M152" s="103"/>
      <c r="N152" s="103"/>
      <c r="O152" s="103"/>
      <c r="P152" s="103"/>
      <c r="Q152" s="103"/>
      <c r="R152" s="103"/>
      <c r="S152" s="103"/>
      <c r="T152" s="263"/>
      <c r="U152" s="103"/>
      <c r="V152" s="103">
        <f>VLOOKUP($B152,'Cost prices'!$B$6:$H$538,7, FALSE)</f>
        <v>0</v>
      </c>
      <c r="W152" s="103"/>
      <c r="X152" s="103"/>
      <c r="Y152" s="103"/>
      <c r="Z152" s="103"/>
      <c r="AA152" s="103"/>
      <c r="AB152" s="133"/>
      <c r="AD152" s="103"/>
      <c r="AE152" s="103"/>
      <c r="AF152" s="103"/>
      <c r="AH152" s="103"/>
      <c r="AI152" s="103"/>
      <c r="AK152" s="103"/>
      <c r="AL152" s="103"/>
      <c r="AM152" s="103"/>
      <c r="AO152" s="103"/>
      <c r="AP152" s="103"/>
      <c r="AQ152" s="103"/>
    </row>
    <row r="153" spans="1:64" outlineLevel="1" x14ac:dyDescent="0.2">
      <c r="A153" s="175" t="s">
        <v>36</v>
      </c>
      <c r="B153" s="94" t="s">
        <v>1440</v>
      </c>
      <c r="E153" s="133"/>
      <c r="F153" s="133"/>
      <c r="J153" s="103"/>
      <c r="L153" s="133"/>
      <c r="M153" s="103"/>
      <c r="N153" s="103"/>
      <c r="O153" s="103"/>
      <c r="P153" s="103"/>
      <c r="Q153" s="103"/>
      <c r="R153" s="103"/>
      <c r="S153" s="103"/>
      <c r="T153" s="263"/>
      <c r="U153" s="103"/>
      <c r="V153" s="103">
        <f>VLOOKUP($B153,'Cost prices'!$B$6:$H$538,7, FALSE)</f>
        <v>24808.2</v>
      </c>
      <c r="W153" s="103"/>
      <c r="X153" s="103"/>
      <c r="Y153" s="103"/>
      <c r="Z153" s="103"/>
      <c r="AA153" s="103"/>
      <c r="AB153" s="133"/>
      <c r="AD153" s="103"/>
      <c r="AE153" s="103"/>
      <c r="AF153" s="103"/>
      <c r="AH153" s="103"/>
      <c r="AI153" s="103"/>
      <c r="AK153" s="103"/>
      <c r="AL153" s="103"/>
      <c r="AM153" s="103"/>
      <c r="AO153" s="103"/>
      <c r="AP153" s="103"/>
      <c r="AQ153" s="103"/>
    </row>
    <row r="154" spans="1:64" outlineLevel="1" x14ac:dyDescent="0.2">
      <c r="A154" s="175" t="s">
        <v>36</v>
      </c>
      <c r="B154" s="94" t="s">
        <v>1508</v>
      </c>
      <c r="E154" s="133"/>
      <c r="F154" s="133"/>
      <c r="J154" s="103"/>
      <c r="L154" s="133"/>
      <c r="M154" s="103"/>
      <c r="N154" s="103"/>
      <c r="O154" s="103"/>
      <c r="P154" s="103"/>
      <c r="Q154" s="103"/>
      <c r="R154" s="103"/>
      <c r="S154" s="103"/>
      <c r="T154" s="263"/>
      <c r="U154" s="103"/>
      <c r="V154" s="103"/>
      <c r="W154" s="103"/>
      <c r="X154" s="103"/>
      <c r="Y154" s="103"/>
      <c r="Z154" s="103"/>
      <c r="AA154" s="103"/>
      <c r="AB154" s="133"/>
      <c r="AD154" s="103"/>
      <c r="AE154" s="103"/>
      <c r="AF154" s="103"/>
      <c r="AH154" s="103"/>
      <c r="AI154" s="103"/>
      <c r="AK154" s="103"/>
      <c r="AL154" s="103"/>
      <c r="AM154" s="103"/>
      <c r="AO154" s="103"/>
      <c r="AP154" s="103"/>
      <c r="AQ154" s="103"/>
      <c r="AV154" s="101">
        <f>IF($AR106="x","incl",VLOOKUP($B154,'Cost prices'!$B$6:$H$538,7,FALSE))-SUM(P145:P147)</f>
        <v>2509.5</v>
      </c>
    </row>
    <row r="155" spans="1:64" outlineLevel="1" x14ac:dyDescent="0.2">
      <c r="A155" s="175" t="s">
        <v>36</v>
      </c>
      <c r="B155" s="185" t="s">
        <v>1402</v>
      </c>
      <c r="E155" s="133"/>
      <c r="F155" s="133"/>
      <c r="J155" s="103"/>
      <c r="L155" s="133"/>
      <c r="M155" s="103"/>
      <c r="N155" s="103"/>
      <c r="O155" s="103"/>
      <c r="P155" s="103"/>
      <c r="Q155" s="103"/>
      <c r="R155" s="103"/>
      <c r="S155" s="103"/>
      <c r="T155" s="263"/>
      <c r="U155" s="103"/>
      <c r="V155" s="103"/>
      <c r="W155" s="103"/>
      <c r="X155" s="103"/>
      <c r="Y155" s="103"/>
      <c r="Z155" s="103"/>
      <c r="AA155" s="103"/>
      <c r="AB155" s="133"/>
      <c r="AD155" s="103"/>
      <c r="AE155" s="103"/>
      <c r="AF155" s="103"/>
      <c r="AH155" s="103"/>
      <c r="AI155" s="103"/>
      <c r="AK155" s="103">
        <f>IF('External Prices'!W$31&lt;&gt;"No",VLOOKUP($B$155,'Cost prices'!$B$6:$H$538,7,FALSE),0)</f>
        <v>0</v>
      </c>
      <c r="AL155" s="103">
        <f>IF('External Prices'!X$31&lt;&gt;"No",VLOOKUP($B$155,'Cost prices'!$B$6:$H$538,7,FALSE),0)</f>
        <v>0</v>
      </c>
      <c r="AM155" s="103">
        <f>IF('External Prices'!Y$31&lt;&gt;"No",VLOOKUP($B$155,'Cost prices'!$B$6:$H$538,7,FALSE),0)</f>
        <v>0</v>
      </c>
      <c r="AO155" s="103">
        <f>IF('External Prices'!Z$31&lt;&gt;"No",VLOOKUP($B$155,'Cost prices'!$B$6:$H$538,7,FALSE),0)</f>
        <v>0</v>
      </c>
      <c r="AP155" s="103">
        <f>IF('External Prices'!AA$31&lt;&gt;"No",VLOOKUP($B$155,'Cost prices'!$B$6:$H$538,7,FALSE),0)</f>
        <v>0</v>
      </c>
      <c r="AQ155" s="103">
        <f>IF('External Prices'!AB$31&lt;&gt;"No",VLOOKUP($B$155,'Cost prices'!$B$6:$H$538,7,FALSE),0)</f>
        <v>0</v>
      </c>
    </row>
    <row r="156" spans="1:64" outlineLevel="1" x14ac:dyDescent="0.2">
      <c r="A156" s="175" t="s">
        <v>36</v>
      </c>
      <c r="B156" s="94" t="s">
        <v>1382</v>
      </c>
      <c r="E156" s="133"/>
      <c r="F156" s="133"/>
      <c r="J156" s="103"/>
      <c r="L156" s="133"/>
      <c r="M156" s="103"/>
      <c r="N156" s="103"/>
      <c r="O156" s="103"/>
      <c r="P156" s="103"/>
      <c r="Q156" s="103"/>
      <c r="R156" s="103"/>
      <c r="S156" s="103"/>
      <c r="T156" s="263"/>
      <c r="U156" s="103"/>
      <c r="V156" s="103"/>
      <c r="W156" s="103"/>
      <c r="X156" s="103"/>
      <c r="Y156" s="103"/>
      <c r="Z156" s="103"/>
      <c r="AA156" s="103"/>
      <c r="AB156" s="133"/>
      <c r="AD156" s="103">
        <f>IF('External Prices'!R$25&lt;&gt;"No",VLOOKUP($B156,'Cost prices'!$B$6:$H$538,7,FALSE),0)</f>
        <v>0</v>
      </c>
      <c r="AE156" s="103">
        <f>IF('External Prices'!S$25&lt;&gt;"No",VLOOKUP($B156,'Cost prices'!$B$6:$H$538,7,FALSE),0)*
IF('External Prices'!S$28&lt;&gt;"No",2,1)</f>
        <v>0</v>
      </c>
      <c r="AF156" s="103">
        <f>IF('External Prices'!T$25&lt;&gt;"No",VLOOKUP($B156,'Cost prices'!$B$6:$H$538,7,FALSE))*1.75</f>
        <v>0</v>
      </c>
      <c r="AH156" s="103">
        <f>IF('External Prices'!U$25&lt;&gt;"No",VLOOKUP($B156,'Cost prices'!$B$6:$H$538,7,FALSE),0)</f>
        <v>0</v>
      </c>
      <c r="AI156" s="103">
        <f>IF('External Prices'!V$25&lt;&gt;"No",VLOOKUP($B156,'Cost prices'!$B$6:$H$538,7,FALSE),0)</f>
        <v>0</v>
      </c>
      <c r="AK156" s="103">
        <f>IF('External Prices'!W$25&lt;&gt;"No",VLOOKUP($B156,'Cost prices'!$B$6:$H$538,7,FALSE),0)</f>
        <v>0</v>
      </c>
      <c r="AL156" s="103">
        <f>IF('External Prices'!X$25&lt;&gt;"No",VLOOKUP($B156,'Cost prices'!$B$6:$H$538,7,FALSE),0)</f>
        <v>12762.6</v>
      </c>
      <c r="AM156" s="103">
        <f>IF('External Prices'!Y$25&lt;&gt;"No",VLOOKUP($B156,'Cost prices'!$B$6:$H$538,7,FALSE)*1.75,0)</f>
        <v>0</v>
      </c>
      <c r="AO156" s="103">
        <f>IF('External Prices'!Z$25&lt;&gt;"No",VLOOKUP($B156,'Cost prices'!$B$6:$H$538,7,FALSE),0)</f>
        <v>0</v>
      </c>
      <c r="AP156" s="103">
        <f>IF('External Prices'!AA$25&lt;&gt;"No",VLOOKUP($B156,'Cost prices'!$B$6:$H$538,7,FALSE),0)</f>
        <v>0</v>
      </c>
      <c r="AQ156" s="103">
        <f>IF('External Prices'!AB$25&lt;&gt;"No",VLOOKUP($B156,'Cost prices'!$B$6:$H$538,7,FALSE)*1.75,0)</f>
        <v>0</v>
      </c>
    </row>
    <row r="157" spans="1:64" outlineLevel="1" x14ac:dyDescent="0.2">
      <c r="A157" s="175" t="s">
        <v>36</v>
      </c>
      <c r="B157" s="94" t="s">
        <v>1406</v>
      </c>
      <c r="E157" s="133"/>
      <c r="F157" s="133"/>
      <c r="J157" s="103"/>
      <c r="L157" s="133"/>
      <c r="M157" s="103"/>
      <c r="N157" s="103"/>
      <c r="O157" s="103"/>
      <c r="P157" s="103"/>
      <c r="Q157" s="103"/>
      <c r="R157" s="103"/>
      <c r="S157" s="103"/>
      <c r="T157" s="263"/>
      <c r="U157" s="103"/>
      <c r="V157" s="103"/>
      <c r="W157" s="103"/>
      <c r="X157" s="103"/>
      <c r="Y157" s="103"/>
      <c r="Z157" s="103"/>
      <c r="AA157" s="103"/>
      <c r="AB157" s="133"/>
      <c r="AD157" s="103">
        <f>IF('External Prices'!R$26&lt;&gt;"No",VLOOKUP($B157,'Cost prices'!$B$6:$H$538,7,FALSE),0)</f>
        <v>0</v>
      </c>
      <c r="AE157" s="103">
        <f>IF('External Prices'!S$26&lt;&gt;"No",VLOOKUP($B157,'Cost prices'!$B$6:$H$538,7,FALSE),0)*
IF('External Prices'!S$28&lt;&gt;"No",1.3,1)</f>
        <v>0</v>
      </c>
      <c r="AF157" s="103">
        <f>IF('External Prices'!T$26&lt;&gt;"No",VLOOKUP($B157,'Cost prices'!$B$6:$H$538,7,FALSE)*1.75,0)</f>
        <v>0</v>
      </c>
      <c r="AH157" s="103">
        <f>IF('External Prices'!U$26&lt;&gt;"No",VLOOKUP($B157,'Cost prices'!$B$6:$H$538,7,FALSE),0)</f>
        <v>0</v>
      </c>
      <c r="AI157" s="103">
        <f>IF('External Prices'!V$26&lt;&gt;"No",VLOOKUP($B157,'Cost prices'!$B$6:$H$538,7,FALSE),0)</f>
        <v>0</v>
      </c>
      <c r="AK157" s="103">
        <f>IF('External Prices'!W$26&lt;&gt;"No",VLOOKUP($B157,'Cost prices'!$B$6:$H$538,7,FALSE),0)</f>
        <v>0</v>
      </c>
      <c r="AL157" s="103">
        <f>IF('External Prices'!X$26&lt;&gt;"No",VLOOKUP($B157,'Cost prices'!$B$6:$H$538,7,FALSE),0)</f>
        <v>0</v>
      </c>
      <c r="AM157" s="103">
        <f>IF('External Prices'!Y$26&lt;&gt;"No",VLOOKUP($B157,'Cost prices'!$B$6:$H$538,7,FALSE)*1.75,0)</f>
        <v>0</v>
      </c>
      <c r="AO157" s="103">
        <f>IF('External Prices'!Z$26&lt;&gt;"No",VLOOKUP($B157,'Cost prices'!$B$6:$H$538,7,FALSE),0)</f>
        <v>21223.200000000001</v>
      </c>
      <c r="AP157" s="103">
        <f>IF('External Prices'!AA$26&lt;&gt;"No",VLOOKUP($B157,'Cost prices'!$B$6:$H$538,7,FALSE),0)</f>
        <v>21223.200000000001</v>
      </c>
      <c r="AQ157" s="103">
        <f>IF('External Prices'!AB$26&lt;&gt;"No",VLOOKUP($B157,'Cost prices'!$B$6:$H$538,7,FALSE)*1.75,0)</f>
        <v>37140.6</v>
      </c>
    </row>
    <row r="158" spans="1:64" outlineLevel="1" x14ac:dyDescent="0.2">
      <c r="A158" s="175" t="s">
        <v>36</v>
      </c>
      <c r="B158" s="94" t="s">
        <v>1421</v>
      </c>
      <c r="E158" s="133"/>
      <c r="F158" s="133"/>
      <c r="J158" s="103"/>
      <c r="L158" s="133"/>
      <c r="M158" s="103"/>
      <c r="N158" s="103"/>
      <c r="O158" s="103"/>
      <c r="P158" s="103"/>
      <c r="Q158" s="103"/>
      <c r="R158" s="103"/>
      <c r="S158" s="103"/>
      <c r="T158" s="263"/>
      <c r="U158" s="103"/>
      <c r="V158" s="103"/>
      <c r="W158" s="103"/>
      <c r="X158" s="103"/>
      <c r="Y158" s="103"/>
      <c r="Z158" s="103"/>
      <c r="AA158" s="103"/>
      <c r="AB158" s="133"/>
      <c r="AD158" s="103">
        <f>IF('External Prices'!R$33&lt;&gt;"No",VLOOKUP($B158,'Cost prices'!$B$6:$H$538,7,FALSE),0)</f>
        <v>0</v>
      </c>
      <c r="AE158" s="103">
        <f>IF('External Prices'!S$33&lt;&gt;"No",VLOOKUP($B158,'Cost prices'!$B$6:$H$538,7,FALSE),0)</f>
        <v>0</v>
      </c>
      <c r="AF158" s="103">
        <f>IF('External Prices'!T$33&lt;&gt;"No",VLOOKUP($B158,'Cost prices'!$B$6:$H$538,7,FALSE),0)</f>
        <v>0</v>
      </c>
      <c r="AH158" s="103">
        <f>IF('External Prices'!U$33&lt;&gt;"No",VLOOKUP($B158,'Cost prices'!$B$6:$H$538,7,FALSE),0)</f>
        <v>0</v>
      </c>
      <c r="AI158" s="103">
        <f>IF('External Prices'!V$33&lt;&gt;"No",VLOOKUP($B158,'Cost prices'!$B$6:$H$538,7,FALSE),0)</f>
        <v>0</v>
      </c>
      <c r="AK158" s="103">
        <f>IF('External Prices'!W$33&lt;&gt;"No",VLOOKUP($B158,'Cost prices'!$B$6:$H$538,7,FALSE),0)</f>
        <v>0</v>
      </c>
      <c r="AL158" s="103">
        <f>IF('External Prices'!X$33&lt;&gt;"No",VLOOKUP($B158,'Cost prices'!$B$6:$H$538,7,FALSE),0)</f>
        <v>0</v>
      </c>
      <c r="AM158" s="103">
        <f>IF('External Prices'!Y$33&lt;&gt;"No",VLOOKUP($B158,'Cost prices'!$B$6:$H$538,7,FALSE),0)</f>
        <v>0</v>
      </c>
      <c r="AO158" s="103">
        <f>IF('External Prices'!Z$33&lt;&gt;"No",VLOOKUP($B158,'Cost prices'!$B$6:$H$538,7,FALSE),0)</f>
        <v>717</v>
      </c>
      <c r="AP158" s="103">
        <f>IF('External Prices'!AA$33&lt;&gt;"No",VLOOKUP($B158,'Cost prices'!$B$6:$H$538,7,FALSE),0)</f>
        <v>0</v>
      </c>
      <c r="AQ158" s="103">
        <f>IF('External Prices'!AB$33&lt;&gt;"No",VLOOKUP($B158,'Cost prices'!$B$6:$H$538,7,FALSE),0)</f>
        <v>0</v>
      </c>
    </row>
    <row r="159" spans="1:64" outlineLevel="1" x14ac:dyDescent="0.2">
      <c r="A159" s="175" t="s">
        <v>514</v>
      </c>
      <c r="B159" s="185" t="s">
        <v>721</v>
      </c>
      <c r="E159" s="133"/>
      <c r="F159" s="133"/>
      <c r="J159" s="103"/>
      <c r="L159" s="133"/>
      <c r="M159" s="103"/>
      <c r="N159" s="103"/>
      <c r="O159" s="103"/>
      <c r="P159" s="103"/>
      <c r="Q159" s="103"/>
      <c r="R159" s="103"/>
      <c r="S159" s="103"/>
      <c r="T159" s="263"/>
      <c r="U159" s="103"/>
      <c r="V159" s="103"/>
      <c r="W159" s="103"/>
      <c r="X159" s="103"/>
      <c r="Z159" s="103">
        <f>VLOOKUP($B$159,'Cost prices'!$B$6:$H$538,7, FALSE)</f>
        <v>13192.8</v>
      </c>
      <c r="AA159" s="103"/>
      <c r="AB159" s="133"/>
      <c r="AD159" s="103"/>
      <c r="AE159" s="103"/>
      <c r="AF159" s="103"/>
      <c r="AH159" s="103"/>
      <c r="AI159" s="103"/>
      <c r="AK159" s="103">
        <f>IF('External Prices'!W$17&lt;&gt;"No",VLOOKUP($B159,'Cost prices'!$B$6:$H$538,7,FALSE),0)</f>
        <v>13192.8</v>
      </c>
      <c r="AL159" s="103">
        <f>IF('External Prices'!X$17&lt;&gt;"No",VLOOKUP($B159,'Cost prices'!$B$6:$H$538,7,FALSE),0)</f>
        <v>13192.8</v>
      </c>
      <c r="AM159" s="103">
        <f>IF('External Prices'!Y$17&lt;&gt;"No",VLOOKUP($B159,'Cost prices'!$B$6:$H$538,7,FALSE),0)</f>
        <v>13192.8</v>
      </c>
      <c r="AO159" s="103">
        <f>IF('External Prices'!Z$17&lt;&gt;"No",VLOOKUP($B159,'Cost prices'!$B$6:$H$538,7,FALSE),0)</f>
        <v>13192.8</v>
      </c>
      <c r="AP159" s="103">
        <f>IF('External Prices'!AA$17&lt;&gt;"No",VLOOKUP($B159,'Cost prices'!$B$6:$H$538,7,FALSE),0)</f>
        <v>13192.8</v>
      </c>
      <c r="AQ159" s="103">
        <f>IF('External Prices'!AB$17&lt;&gt;"No",VLOOKUP($B159,'Cost prices'!$B$6:$H$538,7,FALSE),0)</f>
        <v>13192.8</v>
      </c>
    </row>
    <row r="160" spans="1:64" outlineLevel="1" x14ac:dyDescent="0.2">
      <c r="A160" s="183" t="s">
        <v>15</v>
      </c>
      <c r="B160" s="185" t="s">
        <v>513</v>
      </c>
      <c r="E160" s="133"/>
      <c r="F160" s="133"/>
      <c r="J160" s="103"/>
      <c r="L160" s="133"/>
      <c r="M160" s="103"/>
      <c r="N160" s="103"/>
      <c r="O160" s="103"/>
      <c r="P160" s="103"/>
      <c r="Q160" s="103"/>
      <c r="R160" s="103"/>
      <c r="S160" s="103"/>
      <c r="T160" s="263"/>
      <c r="U160" s="103"/>
      <c r="V160" s="103"/>
      <c r="W160" s="103"/>
      <c r="X160" s="103"/>
      <c r="Y160" s="101" t="s">
        <v>80</v>
      </c>
      <c r="Z160" s="103" t="str">
        <f>IF($Y160="x","incl",VLOOKUP($B160,'Cost prices'!$B$6:$H$538,7,FALSE)*$Y160)</f>
        <v>incl</v>
      </c>
      <c r="AA160" s="103"/>
      <c r="AB160" s="133"/>
      <c r="AC160" s="218" t="s">
        <v>80</v>
      </c>
      <c r="AD160" s="103" t="str">
        <f>IF($AC160="x","incl",VLOOKUP($B160,'Cost prices'!$B$6:$H$538,7,FALSE)*$AC160)</f>
        <v>incl</v>
      </c>
      <c r="AE160" s="103" t="str">
        <f>IF($AC160="x","incl",VLOOKUP($B160,'Cost prices'!$B$6:$H$538,7,FALSE)*$AC160)</f>
        <v>incl</v>
      </c>
      <c r="AF160" s="103" t="str">
        <f>IF($AC160="x","incl",VLOOKUP($B160,'Cost prices'!$B$6:$H$538,7,FALSE)*$AC160)</f>
        <v>incl</v>
      </c>
      <c r="AG160" s="218" t="s">
        <v>80</v>
      </c>
      <c r="AH160" s="103" t="str">
        <f>IF($AG160="x","incl",VLOOKUP($B160,'Cost prices'!$B$6:$H$538,7,FALSE)*$AG160)</f>
        <v>incl</v>
      </c>
      <c r="AI160" s="103" t="str">
        <f>IF($AG160="x","incl",VLOOKUP($B160,'Cost prices'!$B$6:$H$538,7,FALSE)*$AG160)</f>
        <v>incl</v>
      </c>
      <c r="AJ160" s="196" t="s">
        <v>80</v>
      </c>
      <c r="AK160" s="103" t="str">
        <f>IF($AJ160="x","incl",VLOOKUP($B160,'Cost prices'!$B$6:$H$538,7,FALSE)*$AJ160)</f>
        <v>incl</v>
      </c>
      <c r="AL160" s="103" t="str">
        <f>IF($AJ160="x","incl",VLOOKUP($B160,'Cost prices'!$B$6:$H$538,7,FALSE)*$AJ160)</f>
        <v>incl</v>
      </c>
      <c r="AM160" s="103" t="str">
        <f>IF($AJ160="x","incl",VLOOKUP($B160,'Cost prices'!$B$6:$H$538,7,FALSE)*$AJ160)</f>
        <v>incl</v>
      </c>
      <c r="AN160" s="101" t="s">
        <v>80</v>
      </c>
      <c r="AO160" s="103" t="str">
        <f>IF('External Prices'!Z$28&lt;&gt;"No",6000,
IF($AN160="x","incl",VLOOKUP($B160,'Cost prices'!$B$6:$H$538,7,FALSE)*$AN160))</f>
        <v>incl</v>
      </c>
      <c r="AP160" s="103" t="str">
        <f>IF('External Prices'!AA$28&lt;&gt;"No",6000,
IF($AN160="x","incl",VLOOKUP($B160,'Cost prices'!$B$6:$H$538,7,FALSE)*$AN160))</f>
        <v>incl</v>
      </c>
      <c r="AQ160" s="103">
        <f>IF('External Prices'!AB$28&lt;&gt;"No",6000,
IF($AN160="x","incl",VLOOKUP($B160,'Cost prices'!$B$6:$H$538,7,FALSE)*$AN160))</f>
        <v>6000</v>
      </c>
    </row>
    <row r="161" spans="1:45" outlineLevel="1" x14ac:dyDescent="0.2">
      <c r="A161" s="183" t="s">
        <v>15</v>
      </c>
      <c r="B161" s="185" t="s">
        <v>528</v>
      </c>
      <c r="E161" s="133"/>
      <c r="F161" s="133"/>
      <c r="G161" s="137"/>
      <c r="H161" s="133"/>
      <c r="I161" s="137"/>
      <c r="J161" s="133"/>
      <c r="L161" s="133"/>
      <c r="M161" s="133"/>
      <c r="N161" s="133"/>
      <c r="O161" s="133"/>
      <c r="P161" s="133"/>
      <c r="Q161" s="133"/>
      <c r="R161" s="133"/>
      <c r="S161" s="133"/>
      <c r="T161" s="307"/>
      <c r="U161" s="133"/>
      <c r="V161" s="133"/>
      <c r="W161" s="133"/>
      <c r="X161" s="133"/>
      <c r="Y161" s="137"/>
      <c r="Z161" s="103"/>
      <c r="AA161" s="133"/>
      <c r="AB161" s="133"/>
      <c r="AC161" s="137"/>
      <c r="AD161" s="103"/>
      <c r="AE161" s="103"/>
      <c r="AF161" s="103"/>
      <c r="AG161" s="137"/>
      <c r="AH161" s="103"/>
      <c r="AI161" s="103"/>
      <c r="AJ161" s="137"/>
      <c r="AK161" s="103"/>
      <c r="AL161" s="103"/>
      <c r="AM161" s="103"/>
      <c r="AN161" s="137"/>
      <c r="AO161" s="103"/>
      <c r="AP161" s="103"/>
      <c r="AQ161" s="103"/>
      <c r="AR161" s="107"/>
      <c r="AS161" s="107"/>
    </row>
    <row r="162" spans="1:45" outlineLevel="1" x14ac:dyDescent="0.2">
      <c r="A162" s="175" t="s">
        <v>36</v>
      </c>
      <c r="B162" s="185" t="s">
        <v>42</v>
      </c>
      <c r="C162" s="101"/>
      <c r="E162" s="133"/>
      <c r="F162" s="133"/>
      <c r="H162" s="103"/>
      <c r="J162" s="103"/>
      <c r="L162" s="133"/>
      <c r="M162" s="103"/>
      <c r="N162" s="103"/>
      <c r="O162" s="103"/>
      <c r="P162" s="103"/>
      <c r="Q162" s="103"/>
      <c r="R162" s="103"/>
      <c r="S162" s="103"/>
      <c r="T162" s="263"/>
      <c r="U162" s="103"/>
      <c r="V162" s="103"/>
      <c r="W162" s="103"/>
      <c r="X162" s="103"/>
      <c r="Y162" s="196" t="s">
        <v>80</v>
      </c>
      <c r="Z162" s="103" t="str">
        <f>IF($Y162="x","incl",VLOOKUP($B162,'Cost prices'!$B$6:$H$538,7,FALSE)*$Y162)</f>
        <v>incl</v>
      </c>
      <c r="AA162" s="103"/>
      <c r="AB162" s="133"/>
      <c r="AC162" s="218" t="s">
        <v>80</v>
      </c>
      <c r="AD162" s="103" t="str">
        <f>IF($AC162="x","incl",VLOOKUP($B162,'Cost prices'!$B$6:$H$538,7,FALSE)*$AC162)</f>
        <v>incl</v>
      </c>
      <c r="AE162" s="103" t="str">
        <f>IF($AC162="x","incl",VLOOKUP($B162,'Cost prices'!$B$6:$H$538,7,FALSE)*$AC162)</f>
        <v>incl</v>
      </c>
      <c r="AF162" s="103" t="str">
        <f>IF($AC162="x","incl",VLOOKUP($B162,'Cost prices'!$B$6:$H$538,7,FALSE)*$AC162)</f>
        <v>incl</v>
      </c>
      <c r="AG162" s="218" t="s">
        <v>80</v>
      </c>
      <c r="AH162" s="103" t="str">
        <f>IF($AG162="x","incl",VLOOKUP($B162,'Cost prices'!$B$6:$H$538,7,FALSE)*$AG162)</f>
        <v>incl</v>
      </c>
      <c r="AI162" s="103" t="str">
        <f>IF($AG162="x","incl",VLOOKUP($B162,'Cost prices'!$B$6:$H$538,7,FALSE)*$AG162)</f>
        <v>incl</v>
      </c>
      <c r="AJ162" s="196" t="s">
        <v>80</v>
      </c>
      <c r="AK162" s="103" t="str">
        <f>IF($AJ162="x","incl",VLOOKUP($B162,'Cost prices'!$B$6:$H$538,7,FALSE)*$AJ162)</f>
        <v>incl</v>
      </c>
      <c r="AL162" s="103" t="str">
        <f>IF($AJ162="x","incl",VLOOKUP($B162,'Cost prices'!$B$6:$H$538,7,FALSE)*$AJ162)</f>
        <v>incl</v>
      </c>
      <c r="AM162" s="103" t="str">
        <f>IF($AJ162="x","incl",VLOOKUP($B162,'Cost prices'!$B$6:$H$538,7,FALSE)*$AJ162)</f>
        <v>incl</v>
      </c>
      <c r="AN162" s="101" t="s">
        <v>80</v>
      </c>
      <c r="AO162" s="103" t="str">
        <f>IF('External Prices'!Z$28&lt;&gt;"No",6000,
IF($AN162="x","incl",VLOOKUP($B162,'Cost prices'!$B$6:$H$538,7,FALSE)*$AN162))</f>
        <v>incl</v>
      </c>
      <c r="AP162" s="103" t="str">
        <f>IF('External Prices'!AA$28&lt;&gt;"No",6000,
IF($AN162="x","incl",VLOOKUP($B162,'Cost prices'!$B$6:$H$538,7,FALSE)*$AN162))</f>
        <v>incl</v>
      </c>
      <c r="AQ162" s="103">
        <f>IF('External Prices'!AB$28&lt;&gt;"No",6000,
IF($AN162="x","incl",VLOOKUP($B162,'Cost prices'!$B$6:$H$538,7,FALSE)*$AN162))</f>
        <v>6000</v>
      </c>
      <c r="AR162" s="107"/>
      <c r="AS162" s="107"/>
    </row>
    <row r="163" spans="1:45" outlineLevel="1" x14ac:dyDescent="0.2">
      <c r="A163" s="175" t="s">
        <v>36</v>
      </c>
      <c r="B163" s="94" t="s">
        <v>817</v>
      </c>
      <c r="C163" s="101"/>
      <c r="E163" s="133"/>
      <c r="F163" s="133"/>
      <c r="H163" s="103"/>
      <c r="J163" s="103"/>
      <c r="L163" s="133"/>
      <c r="M163" s="103"/>
      <c r="N163" s="103"/>
      <c r="O163" s="103"/>
      <c r="P163" s="103"/>
      <c r="Q163" s="103"/>
      <c r="R163" s="103"/>
      <c r="S163" s="103"/>
      <c r="T163" s="263"/>
      <c r="U163" s="103"/>
      <c r="V163" s="103"/>
      <c r="W163" s="103"/>
      <c r="X163" s="103"/>
      <c r="Y163" s="101" t="s">
        <v>80</v>
      </c>
      <c r="Z163" s="103" t="str">
        <f>IF($Y163="x","incl",VLOOKUP($B163,'Cost prices'!$B$6:$H$538,7,FALSE)*$Y163)</f>
        <v>incl</v>
      </c>
      <c r="AA163" s="218">
        <v>0</v>
      </c>
      <c r="AB163" s="103">
        <f>IF($AA163="x","incl",VLOOKUP($B163,'Cost prices'!$B$6:$H$538,7,FALSE)*$AA163)</f>
        <v>0</v>
      </c>
      <c r="AC163" s="218" t="s">
        <v>80</v>
      </c>
      <c r="AD163" s="103" t="str">
        <f>IF($AC163="x","incl",VLOOKUP($B163,'Cost prices'!$B$6:$H$538,7,FALSE)*$AC163)</f>
        <v>incl</v>
      </c>
      <c r="AE163" s="103" t="str">
        <f>IF($AC163="x","incl",VLOOKUP($B163,'Cost prices'!$B$6:$H$538,7,FALSE)*$AC163)</f>
        <v>incl</v>
      </c>
      <c r="AF163" s="103" t="str">
        <f>IF($AC163="x","incl",VLOOKUP($B163,'Cost prices'!$B$6:$H$538,7,FALSE)*$AC163)</f>
        <v>incl</v>
      </c>
      <c r="AG163" s="218" t="s">
        <v>80</v>
      </c>
      <c r="AH163" s="103" t="str">
        <f>IF($AG163="x","incl",VLOOKUP($B163,'Cost prices'!$B$6:$H$538,7,FALSE)*$AG163)</f>
        <v>incl</v>
      </c>
      <c r="AI163" s="103" t="str">
        <f>IF($AG163="x","incl",VLOOKUP($B163,'Cost prices'!$B$6:$H$538,7,FALSE)*$AG163)</f>
        <v>incl</v>
      </c>
      <c r="AJ163" s="196" t="s">
        <v>80</v>
      </c>
      <c r="AK163" s="103" t="str">
        <f>IF($AJ163="x","incl",VLOOKUP($B163,'Cost prices'!$B$6:$H$538,7,FALSE)*$AJ163)</f>
        <v>incl</v>
      </c>
      <c r="AL163" s="103" t="str">
        <f>IF($AJ163="x","incl",VLOOKUP($B163,'Cost prices'!$B$6:$H$538,7,FALSE)*$AJ163)</f>
        <v>incl</v>
      </c>
      <c r="AM163" s="103" t="str">
        <f>IF($AJ163="x","incl",VLOOKUP($B163,'Cost prices'!$B$6:$H$538,7,FALSE)*$AJ163)</f>
        <v>incl</v>
      </c>
      <c r="AN163" s="101" t="s">
        <v>80</v>
      </c>
      <c r="AO163" s="103" t="str">
        <f>IF($AN163="x","incl",VLOOKUP($B163,'Cost prices'!$B$6:$H$538,7,FALSE)*$AN163)</f>
        <v>incl</v>
      </c>
      <c r="AP163" s="103" t="str">
        <f>IF($AN163="x","incl",VLOOKUP($B163,'Cost prices'!$B$6:$H$538,7,FALSE)*$AN163)</f>
        <v>incl</v>
      </c>
      <c r="AQ163" s="103" t="str">
        <f>IF($AN163="x","incl",VLOOKUP($B163,'Cost prices'!$B$6:$H$538,7,FALSE)*$AN163)</f>
        <v>incl</v>
      </c>
      <c r="AR163" s="107"/>
      <c r="AS163" s="107"/>
    </row>
    <row r="164" spans="1:45" outlineLevel="1" x14ac:dyDescent="0.2">
      <c r="A164" s="175" t="s">
        <v>36</v>
      </c>
      <c r="B164" s="94" t="s">
        <v>717</v>
      </c>
      <c r="C164" s="101"/>
      <c r="E164" s="133"/>
      <c r="F164" s="133"/>
      <c r="H164" s="103"/>
      <c r="J164" s="103"/>
      <c r="L164" s="133"/>
      <c r="M164" s="103"/>
      <c r="N164" s="103"/>
      <c r="O164" s="103"/>
      <c r="P164" s="103"/>
      <c r="Q164" s="103"/>
      <c r="R164" s="103"/>
      <c r="S164" s="103"/>
      <c r="T164" s="263"/>
      <c r="U164" s="103"/>
      <c r="V164" s="103"/>
      <c r="W164" s="103"/>
      <c r="X164" s="103"/>
      <c r="Y164" s="101" t="s">
        <v>80</v>
      </c>
      <c r="Z164" s="103" t="str">
        <f>IF($Y164="x","incl",VLOOKUP($B164,'Cost prices'!$B$6:$H$538,7,FALSE)*$Y164)</f>
        <v>incl</v>
      </c>
      <c r="AA164" s="218">
        <v>1</v>
      </c>
      <c r="AB164" s="288">
        <f>IF($AA164="x","incl",VLOOKUP($B164,'Cost prices'!$B$6:$H$538,7,FALSE)*$AA164)</f>
        <v>1610.1668999999999</v>
      </c>
      <c r="AC164" s="218" t="s">
        <v>80</v>
      </c>
      <c r="AD164" s="103" t="str">
        <f>IF($AC164="x","incl",VLOOKUP($B164,'Cost prices'!$B$6:$H$538,7,FALSE)*$AC164)</f>
        <v>incl</v>
      </c>
      <c r="AE164" s="103" t="str">
        <f>IF($AC164="x","incl",VLOOKUP($B164,'Cost prices'!$B$6:$H$538,7,FALSE)*$AC164)</f>
        <v>incl</v>
      </c>
      <c r="AF164" s="103" t="str">
        <f>IF($AC164="x","incl",VLOOKUP($B164,'Cost prices'!$B$6:$H$538,7,FALSE)*$AC164)</f>
        <v>incl</v>
      </c>
      <c r="AG164" s="218" t="s">
        <v>80</v>
      </c>
      <c r="AH164" s="103" t="str">
        <f>IF($AG164="x","incl",VLOOKUP($B164,'Cost prices'!$B$6:$H$538,7,FALSE)*$AG164)</f>
        <v>incl</v>
      </c>
      <c r="AI164" s="103" t="str">
        <f>IF($AG164="x","incl",VLOOKUP($B164,'Cost prices'!$B$6:$H$538,7,FALSE)*$AG164)</f>
        <v>incl</v>
      </c>
      <c r="AJ164" s="196" t="s">
        <v>80</v>
      </c>
      <c r="AK164" s="103" t="str">
        <f>IF($AJ164="x","incl",VLOOKUP($B164,'Cost prices'!$B$6:$H$538,7,FALSE)*$AJ164)</f>
        <v>incl</v>
      </c>
      <c r="AL164" s="103" t="str">
        <f>IF($AJ164="x","incl",VLOOKUP($B164,'Cost prices'!$B$6:$H$538,7,FALSE)*$AJ164)</f>
        <v>incl</v>
      </c>
      <c r="AM164" s="103" t="str">
        <f>IF($AJ164="x","incl",VLOOKUP($B164,'Cost prices'!$B$6:$H$538,7,FALSE)*$AJ164)</f>
        <v>incl</v>
      </c>
      <c r="AN164" s="101" t="s">
        <v>80</v>
      </c>
      <c r="AO164" s="103" t="str">
        <f>IF($AN164="x","incl",VLOOKUP($B164,'Cost prices'!$B$6:$H$538,7,FALSE)*$AN164)</f>
        <v>incl</v>
      </c>
      <c r="AP164" s="103" t="str">
        <f>IF($AN164="x","incl",VLOOKUP($B164,'Cost prices'!$B$6:$H$538,7,FALSE)*$AN164)</f>
        <v>incl</v>
      </c>
      <c r="AQ164" s="103" t="str">
        <f>IF($AN164="x","incl",VLOOKUP($B164,'Cost prices'!$B$6:$H$538,7,FALSE)*$AN164)</f>
        <v>incl</v>
      </c>
      <c r="AR164" s="107"/>
      <c r="AS164" s="107"/>
    </row>
    <row r="165" spans="1:45" outlineLevel="1" x14ac:dyDescent="0.2">
      <c r="A165" s="175" t="s">
        <v>36</v>
      </c>
      <c r="B165" s="94" t="s">
        <v>1529</v>
      </c>
      <c r="C165" s="101"/>
      <c r="E165" s="133"/>
      <c r="F165" s="133"/>
      <c r="H165" s="103"/>
      <c r="J165" s="103"/>
      <c r="L165" s="133"/>
      <c r="M165" s="103"/>
      <c r="N165" s="103"/>
      <c r="O165" s="103"/>
      <c r="P165" s="103"/>
      <c r="Q165" s="103"/>
      <c r="R165" s="103"/>
      <c r="S165" s="103"/>
      <c r="T165" s="263"/>
      <c r="U165" s="103"/>
      <c r="V165" s="103"/>
      <c r="W165" s="103"/>
      <c r="X165" s="103"/>
      <c r="Y165" s="196"/>
      <c r="Z165" s="103"/>
      <c r="AA165" s="103"/>
      <c r="AB165" s="133"/>
      <c r="AC165" s="137"/>
      <c r="AD165" s="103"/>
      <c r="AE165" s="103"/>
      <c r="AF165" s="103"/>
      <c r="AG165" s="137"/>
      <c r="AH165" s="103"/>
      <c r="AI165" s="103"/>
      <c r="AK165" s="103"/>
      <c r="AL165" s="103"/>
      <c r="AM165" s="103"/>
      <c r="AO165" s="103"/>
      <c r="AP165" s="103"/>
      <c r="AQ165" s="103"/>
      <c r="AR165" s="107"/>
      <c r="AS165" s="107"/>
    </row>
    <row r="166" spans="1:45" outlineLevel="1" x14ac:dyDescent="0.2">
      <c r="A166" s="175" t="s">
        <v>36</v>
      </c>
      <c r="B166" s="126" t="s">
        <v>555</v>
      </c>
      <c r="C166" s="101"/>
      <c r="E166" s="133"/>
      <c r="F166" s="133"/>
      <c r="H166" s="103"/>
      <c r="J166" s="103"/>
      <c r="L166" s="133"/>
      <c r="M166" s="103"/>
      <c r="N166" s="103"/>
      <c r="O166" s="103"/>
      <c r="P166" s="103"/>
      <c r="Q166" s="103"/>
      <c r="R166" s="103"/>
      <c r="S166" s="103"/>
      <c r="T166" s="263"/>
      <c r="U166" s="103"/>
      <c r="V166" s="103"/>
      <c r="W166" s="103"/>
      <c r="X166" s="103"/>
      <c r="Y166" s="196"/>
      <c r="Z166" s="103"/>
      <c r="AA166" s="103"/>
      <c r="AB166" s="133"/>
      <c r="AD166" s="107"/>
      <c r="AE166" s="107"/>
      <c r="AF166" s="107"/>
      <c r="AG166" s="218"/>
      <c r="AH166" s="103"/>
      <c r="AI166" s="103"/>
      <c r="AJ166" s="196"/>
      <c r="AK166" s="103"/>
      <c r="AL166" s="103"/>
      <c r="AM166" s="103"/>
      <c r="AO166" s="103"/>
      <c r="AP166" s="103"/>
      <c r="AQ166" s="103"/>
      <c r="AR166" s="107"/>
      <c r="AS166" s="107"/>
    </row>
    <row r="167" spans="1:45" outlineLevel="1" x14ac:dyDescent="0.2">
      <c r="A167" s="175" t="s">
        <v>36</v>
      </c>
      <c r="B167" s="185" t="s">
        <v>43</v>
      </c>
      <c r="C167" s="101"/>
      <c r="E167" s="133"/>
      <c r="F167" s="133"/>
      <c r="H167" s="103"/>
      <c r="J167" s="103"/>
      <c r="L167" s="133"/>
      <c r="M167" s="103"/>
      <c r="N167" s="103"/>
      <c r="O167" s="103"/>
      <c r="P167" s="103"/>
      <c r="Q167" s="103"/>
      <c r="R167" s="103"/>
      <c r="S167" s="103"/>
      <c r="T167" s="263"/>
      <c r="U167" s="103"/>
      <c r="V167" s="103"/>
      <c r="W167" s="103"/>
      <c r="X167" s="103"/>
      <c r="Y167" s="196" t="s">
        <v>80</v>
      </c>
      <c r="Z167" s="103" t="str">
        <f>IF($Y167="x","incl",VLOOKUP($B167,'Cost prices'!$B$6:$H$538,7,FALSE)*$Y167)</f>
        <v>incl</v>
      </c>
      <c r="AA167" s="103"/>
      <c r="AB167" s="133"/>
      <c r="AC167" s="218" t="s">
        <v>80</v>
      </c>
      <c r="AD167" s="103" t="str">
        <f>IF($AC167="x","incl",VLOOKUP($B167,'Cost prices'!$B$6:$H$538,7,FALSE)*$AC167)</f>
        <v>incl</v>
      </c>
      <c r="AE167" s="103" t="str">
        <f>IF($AC167="x","incl",VLOOKUP($B167,'Cost prices'!$B$6:$H$538,7,FALSE)*$AC167)</f>
        <v>incl</v>
      </c>
      <c r="AF167" s="103" t="str">
        <f>IF($AC167="x","incl",VLOOKUP($B167,'Cost prices'!$B$6:$H$538,7,FALSE)*$AC167)</f>
        <v>incl</v>
      </c>
      <c r="AG167" s="218" t="s">
        <v>80</v>
      </c>
      <c r="AH167" s="103" t="str">
        <f>IF($AG167="x","incl",VLOOKUP($B167,'Cost prices'!$B$6:$H$538,7,FALSE)*$AG167)</f>
        <v>incl</v>
      </c>
      <c r="AI167" s="103" t="str">
        <f>IF($AG167="x","incl",VLOOKUP($B167,'Cost prices'!$B$6:$H$538,7,FALSE)*$AG167)</f>
        <v>incl</v>
      </c>
      <c r="AJ167" s="196" t="s">
        <v>80</v>
      </c>
      <c r="AK167" s="103" t="str">
        <f>IF($AJ167="x","incl",VLOOKUP($B167,'Cost prices'!$B$6:$H$538,7,FALSE)*$AJ167)</f>
        <v>incl</v>
      </c>
      <c r="AL167" s="103" t="str">
        <f>IF($AJ167="x","incl",VLOOKUP($B167,'Cost prices'!$B$6:$H$538,7,FALSE)*$AJ167)</f>
        <v>incl</v>
      </c>
      <c r="AM167" s="103" t="str">
        <f>IF($AJ167="x","incl",VLOOKUP($B167,'Cost prices'!$B$6:$H$538,7,FALSE)*$AJ167)</f>
        <v>incl</v>
      </c>
      <c r="AN167" s="101" t="s">
        <v>80</v>
      </c>
      <c r="AO167" s="103" t="str">
        <f>IF($AN167="x","incl",VLOOKUP($B167,'Cost prices'!$B$6:$H$538,7,FALSE)*$AN167)</f>
        <v>incl</v>
      </c>
      <c r="AP167" s="103" t="str">
        <f>IF($AN167="x","incl",VLOOKUP($B167,'Cost prices'!$B$6:$H$538,7,FALSE)*$AN167)</f>
        <v>incl</v>
      </c>
      <c r="AQ167" s="103" t="str">
        <f>IF($AN167="x","incl",VLOOKUP($B167,'Cost prices'!$B$6:$H$538,7,FALSE)*$AN167)</f>
        <v>incl</v>
      </c>
      <c r="AR167" s="107"/>
      <c r="AS167" s="107"/>
    </row>
    <row r="168" spans="1:45" outlineLevel="1" x14ac:dyDescent="0.2">
      <c r="A168" s="175" t="s">
        <v>36</v>
      </c>
      <c r="B168" s="185" t="s">
        <v>44</v>
      </c>
      <c r="C168" s="101"/>
      <c r="E168" s="133"/>
      <c r="F168" s="133"/>
      <c r="H168" s="103"/>
      <c r="J168" s="103"/>
      <c r="L168" s="133"/>
      <c r="M168" s="103"/>
      <c r="N168" s="103"/>
      <c r="O168" s="103"/>
      <c r="P168" s="103"/>
      <c r="Q168" s="103"/>
      <c r="R168" s="103"/>
      <c r="S168" s="103"/>
      <c r="T168" s="263"/>
      <c r="U168" s="103"/>
      <c r="V168" s="103"/>
      <c r="W168" s="103"/>
      <c r="X168" s="103"/>
      <c r="Z168" s="103"/>
      <c r="AA168" s="103"/>
      <c r="AB168" s="133"/>
      <c r="AD168" s="107"/>
      <c r="AE168" s="107"/>
      <c r="AF168" s="107"/>
      <c r="AG168" s="218" t="s">
        <v>80</v>
      </c>
      <c r="AH168" s="103" t="str">
        <f>IF($AG168="x","incl",VLOOKUP($B168,'Cost prices'!$B$6:$H$538,7,FALSE)*$AG168)</f>
        <v>incl</v>
      </c>
      <c r="AI168" s="103" t="str">
        <f>IF($AG168="x","incl",VLOOKUP($B168,'Cost prices'!$B$6:$H$538,7,FALSE)*$AG168)</f>
        <v>incl</v>
      </c>
      <c r="AJ168" s="196" t="s">
        <v>80</v>
      </c>
      <c r="AK168" s="103" t="str">
        <f>IF($AJ168="x","incl",VLOOKUP($B168,'Cost prices'!$B$6:$H$538,7,FALSE)*$AJ168)</f>
        <v>incl</v>
      </c>
      <c r="AL168" s="103" t="str">
        <f>IF($AJ168="x","incl",VLOOKUP($B168,'Cost prices'!$B$6:$H$538,7,FALSE)*$AJ168)</f>
        <v>incl</v>
      </c>
      <c r="AM168" s="103" t="str">
        <f>IF($AJ168="x","incl",VLOOKUP($B168,'Cost prices'!$B$6:$H$538,7,FALSE)*$AJ168)</f>
        <v>incl</v>
      </c>
      <c r="AN168" s="101" t="s">
        <v>80</v>
      </c>
      <c r="AO168" s="103" t="str">
        <f>IF($AN168="x","incl",VLOOKUP($B168,'Cost prices'!$B$6:$H$538,7,FALSE)*$AN168)</f>
        <v>incl</v>
      </c>
      <c r="AP168" s="103" t="str">
        <f>IF($AN168="x","incl",VLOOKUP($B168,'Cost prices'!$B$6:$H$538,7,FALSE)*$AN168)</f>
        <v>incl</v>
      </c>
      <c r="AQ168" s="103" t="str">
        <f>IF($AN168="x","incl",VLOOKUP($B168,'Cost prices'!$B$6:$H$538,7,FALSE)*$AN168)</f>
        <v>incl</v>
      </c>
      <c r="AR168" s="107"/>
      <c r="AS168" s="107"/>
    </row>
    <row r="169" spans="1:45" outlineLevel="1" x14ac:dyDescent="0.2">
      <c r="A169" s="175" t="s">
        <v>36</v>
      </c>
      <c r="B169" s="185" t="s">
        <v>45</v>
      </c>
      <c r="C169" s="101"/>
      <c r="E169" s="133"/>
      <c r="F169" s="133"/>
      <c r="H169" s="103"/>
      <c r="J169" s="103"/>
      <c r="L169" s="133"/>
      <c r="M169" s="103"/>
      <c r="N169" s="103"/>
      <c r="O169" s="103"/>
      <c r="P169" s="103"/>
      <c r="Q169" s="103"/>
      <c r="R169" s="103"/>
      <c r="S169" s="103"/>
      <c r="T169" s="263"/>
      <c r="U169" s="103"/>
      <c r="V169" s="103"/>
      <c r="W169" s="103"/>
      <c r="X169" s="103"/>
      <c r="Z169" s="103"/>
      <c r="AA169" s="103"/>
      <c r="AB169" s="133"/>
      <c r="AD169" s="107"/>
      <c r="AE169" s="107"/>
      <c r="AF169" s="107"/>
      <c r="AG169" s="218" t="s">
        <v>80</v>
      </c>
      <c r="AH169" s="103" t="str">
        <f>IF($AG169="x","incl",VLOOKUP($B169,'Cost prices'!$B$6:$H$538,7,FALSE)*$AG169)</f>
        <v>incl</v>
      </c>
      <c r="AI169" s="103" t="str">
        <f>IF($AG169="x","incl",VLOOKUP($B169,'Cost prices'!$B$6:$H$538,7,FALSE)*$AG169)</f>
        <v>incl</v>
      </c>
      <c r="AJ169" s="196" t="s">
        <v>80</v>
      </c>
      <c r="AK169" s="103" t="str">
        <f>IF($AJ169="x","incl",VLOOKUP($B169,'Cost prices'!$B$6:$H$538,7,FALSE)*$AJ169)</f>
        <v>incl</v>
      </c>
      <c r="AL169" s="103" t="str">
        <f>IF($AJ169="x","incl",VLOOKUP($B169,'Cost prices'!$B$6:$H$538,7,FALSE)*$AJ169)</f>
        <v>incl</v>
      </c>
      <c r="AM169" s="103" t="str">
        <f>IF($AJ169="x","incl",VLOOKUP($B169,'Cost prices'!$B$6:$H$538,7,FALSE)*$AJ169)</f>
        <v>incl</v>
      </c>
      <c r="AN169" s="101" t="s">
        <v>80</v>
      </c>
      <c r="AO169" s="103" t="str">
        <f>IF($AN169="x","incl",VLOOKUP($B169,'Cost prices'!$B$6:$H$538,7,FALSE)*$AN169)</f>
        <v>incl</v>
      </c>
      <c r="AP169" s="103" t="str">
        <f>IF($AN169="x","incl",VLOOKUP($B169,'Cost prices'!$B$6:$H$538,7,FALSE)*$AN169)</f>
        <v>incl</v>
      </c>
      <c r="AQ169" s="103" t="str">
        <f>IF($AN169="x","incl",VLOOKUP($B169,'Cost prices'!$B$6:$H$538,7,FALSE)*$AN169)</f>
        <v>incl</v>
      </c>
      <c r="AR169" s="107"/>
      <c r="AS169" s="107"/>
    </row>
    <row r="170" spans="1:45" outlineLevel="1" x14ac:dyDescent="0.2">
      <c r="A170" s="175" t="s">
        <v>36</v>
      </c>
      <c r="B170" s="185" t="s">
        <v>46</v>
      </c>
      <c r="C170" s="167"/>
      <c r="E170" s="133"/>
      <c r="F170" s="133"/>
      <c r="H170" s="103"/>
      <c r="J170" s="103"/>
      <c r="L170" s="133"/>
      <c r="M170" s="103"/>
      <c r="N170" s="103"/>
      <c r="O170" s="103"/>
      <c r="P170" s="103"/>
      <c r="Q170" s="103"/>
      <c r="R170" s="103"/>
      <c r="S170" s="103"/>
      <c r="T170" s="263"/>
      <c r="U170" s="103"/>
      <c r="V170" s="103"/>
      <c r="W170" s="103"/>
      <c r="X170" s="103"/>
      <c r="Y170" s="196" t="s">
        <v>80</v>
      </c>
      <c r="Z170" s="103" t="str">
        <f>IF($Y170="x","incl",VLOOKUP($B170,'Cost prices'!$B$6:$H$538,7,FALSE)*$Y170)</f>
        <v>incl</v>
      </c>
      <c r="AA170" s="103"/>
      <c r="AB170" s="133"/>
      <c r="AD170" s="107"/>
      <c r="AE170" s="107"/>
      <c r="AF170" s="107"/>
      <c r="AG170" s="218" t="s">
        <v>80</v>
      </c>
      <c r="AH170" s="103" t="str">
        <f>IF($AG170="x","incl",VLOOKUP($B170,'Cost prices'!$B$6:$H$538,7,FALSE)*$AG170)</f>
        <v>incl</v>
      </c>
      <c r="AI170" s="103" t="str">
        <f>IF($AG170="x","incl",VLOOKUP($B170,'Cost prices'!$B$6:$H$538,7,FALSE)*$AG170)</f>
        <v>incl</v>
      </c>
      <c r="AJ170" s="196" t="s">
        <v>80</v>
      </c>
      <c r="AK170" s="103" t="str">
        <f>IF($AJ170="x","incl",VLOOKUP($B170,'Cost prices'!$B$6:$H$538,7,FALSE)*$AJ170)</f>
        <v>incl</v>
      </c>
      <c r="AL170" s="103" t="str">
        <f>IF($AJ170="x","incl",VLOOKUP($B170,'Cost prices'!$B$6:$H$538,7,FALSE)*$AJ170)</f>
        <v>incl</v>
      </c>
      <c r="AM170" s="103" t="str">
        <f>IF($AJ170="x","incl",VLOOKUP($B170,'Cost prices'!$B$6:$H$538,7,FALSE)*$AJ170)</f>
        <v>incl</v>
      </c>
      <c r="AN170" s="101" t="s">
        <v>80</v>
      </c>
      <c r="AO170" s="103" t="str">
        <f>IF($AN170="x","incl",VLOOKUP($B170,'Cost prices'!$B$6:$H$538,7,FALSE)*$AN170)</f>
        <v>incl</v>
      </c>
      <c r="AP170" s="103" t="str">
        <f>IF($AN170="x","incl",VLOOKUP($B170,'Cost prices'!$B$6:$H$538,7,FALSE)*$AN170)</f>
        <v>incl</v>
      </c>
      <c r="AQ170" s="103" t="str">
        <f>IF($AN170="x","incl",VLOOKUP($B170,'Cost prices'!$B$6:$H$538,7,FALSE)*$AN170)</f>
        <v>incl</v>
      </c>
      <c r="AR170" s="107"/>
      <c r="AS170" s="107"/>
    </row>
    <row r="171" spans="1:45" outlineLevel="1" x14ac:dyDescent="0.2">
      <c r="A171" s="175" t="s">
        <v>36</v>
      </c>
      <c r="B171" s="185" t="s">
        <v>565</v>
      </c>
      <c r="C171" s="167"/>
      <c r="E171" s="133"/>
      <c r="F171" s="133"/>
      <c r="H171" s="103"/>
      <c r="J171" s="103"/>
      <c r="L171" s="133"/>
      <c r="M171" s="103"/>
      <c r="N171" s="103"/>
      <c r="O171" s="103"/>
      <c r="P171" s="103"/>
      <c r="Q171" s="103"/>
      <c r="R171" s="103"/>
      <c r="S171" s="103"/>
      <c r="T171" s="263"/>
      <c r="U171" s="103"/>
      <c r="V171" s="103"/>
      <c r="W171" s="103"/>
      <c r="X171" s="103"/>
      <c r="Y171" s="196" t="s">
        <v>80</v>
      </c>
      <c r="Z171" s="103" t="str">
        <f>IF($Y171="x","incl",VLOOKUP($B171,'Cost prices'!$B$6:$H$538,7,FALSE)*$Y171)</f>
        <v>incl</v>
      </c>
      <c r="AA171" s="103"/>
      <c r="AB171" s="133"/>
      <c r="AD171" s="107"/>
      <c r="AE171" s="107"/>
      <c r="AF171" s="107"/>
      <c r="AG171" s="218" t="s">
        <v>80</v>
      </c>
      <c r="AH171" s="103" t="str">
        <f>IF($AG171="x","incl",VLOOKUP($B171,'Cost prices'!$B$6:$H$538,7,FALSE)*$AG171)</f>
        <v>incl</v>
      </c>
      <c r="AI171" s="103" t="str">
        <f>IF($AG171="x","incl",VLOOKUP($B171,'Cost prices'!$B$6:$H$538,7,FALSE)*$AG171)</f>
        <v>incl</v>
      </c>
      <c r="AJ171" s="196" t="s">
        <v>80</v>
      </c>
      <c r="AK171" s="103" t="str">
        <f>IF($AJ171="x","incl",VLOOKUP($B171,'Cost prices'!$B$6:$H$538,7,FALSE)*$AJ171)</f>
        <v>incl</v>
      </c>
      <c r="AL171" s="103" t="str">
        <f>IF($AJ171="x","incl",VLOOKUP($B171,'Cost prices'!$B$6:$H$538,7,FALSE)*$AJ171)</f>
        <v>incl</v>
      </c>
      <c r="AM171" s="103" t="str">
        <f>IF($AJ171="x","incl",VLOOKUP($B171,'Cost prices'!$B$6:$H$538,7,FALSE)*$AJ171)</f>
        <v>incl</v>
      </c>
      <c r="AN171" s="101" t="s">
        <v>80</v>
      </c>
      <c r="AO171" s="103" t="str">
        <f>IF($AN171="x","incl",VLOOKUP($B171,'Cost prices'!$B$6:$H$538,7,FALSE)*$AN171)</f>
        <v>incl</v>
      </c>
      <c r="AP171" s="103" t="str">
        <f>IF($AN171="x","incl",VLOOKUP($B171,'Cost prices'!$B$6:$H$538,7,FALSE)*$AN171)</f>
        <v>incl</v>
      </c>
      <c r="AQ171" s="103" t="str">
        <f>IF($AN171="x","incl",VLOOKUP($B171,'Cost prices'!$B$6:$H$538,7,FALSE)*$AN171)</f>
        <v>incl</v>
      </c>
      <c r="AR171" s="107"/>
      <c r="AS171" s="107"/>
    </row>
    <row r="172" spans="1:45" outlineLevel="1" x14ac:dyDescent="0.2">
      <c r="A172" s="175" t="s">
        <v>36</v>
      </c>
      <c r="B172" s="185" t="s">
        <v>48</v>
      </c>
      <c r="C172" s="167"/>
      <c r="E172" s="133"/>
      <c r="F172" s="133"/>
      <c r="H172" s="103"/>
      <c r="J172" s="103"/>
      <c r="L172" s="133"/>
      <c r="M172" s="103"/>
      <c r="N172" s="103"/>
      <c r="O172" s="103"/>
      <c r="P172" s="103"/>
      <c r="Q172" s="103"/>
      <c r="R172" s="103"/>
      <c r="S172" s="103"/>
      <c r="T172" s="263"/>
      <c r="U172" s="103"/>
      <c r="V172" s="103"/>
      <c r="W172" s="103"/>
      <c r="X172" s="103"/>
      <c r="Z172" s="103"/>
      <c r="AA172" s="103"/>
      <c r="AB172" s="133"/>
      <c r="AD172" s="107"/>
      <c r="AE172" s="107"/>
      <c r="AF172" s="107"/>
      <c r="AG172" s="218">
        <v>1</v>
      </c>
      <c r="AH172" s="103">
        <f>IF($AG172="x","incl",VLOOKUP($B172,'Cost prices'!$B$6:$H$538,7,FALSE)*$AG172)</f>
        <v>4180.1099999999997</v>
      </c>
      <c r="AI172" s="103">
        <f>IF($AG172="x","incl",VLOOKUP($B172,'Cost prices'!$B$6:$H$538,7,FALSE)*$AG172)</f>
        <v>4180.1099999999997</v>
      </c>
      <c r="AJ172" s="196">
        <v>1</v>
      </c>
      <c r="AK172" s="103">
        <f>IF($AJ172="x","incl",VLOOKUP($B172,'Cost prices'!$B$6:$H$538,7,FALSE)*$AJ172)</f>
        <v>4180.1099999999997</v>
      </c>
      <c r="AL172" s="103">
        <f>IF($AJ172="x","incl",VLOOKUP($B172,'Cost prices'!$B$6:$H$538,7,FALSE)*$AJ172)</f>
        <v>4180.1099999999997</v>
      </c>
      <c r="AM172" s="103">
        <f>IF($AJ172="x","incl",VLOOKUP($B172,'Cost prices'!$B$6:$H$538,7,FALSE)*$AJ172)</f>
        <v>4180.1099999999997</v>
      </c>
      <c r="AN172" s="101">
        <v>1</v>
      </c>
      <c r="AO172" s="103">
        <f>IF($AN172="x","incl",VLOOKUP($B172,'Cost prices'!$B$6:$H$538,7,FALSE)*$AN172)</f>
        <v>4180.1099999999997</v>
      </c>
      <c r="AP172" s="103">
        <f>IF($AN172="x","incl",VLOOKUP($B172,'Cost prices'!$B$6:$H$538,7,FALSE)*$AN172)</f>
        <v>4180.1099999999997</v>
      </c>
      <c r="AQ172" s="103">
        <f>IF($AN172="x","incl",VLOOKUP($B172,'Cost prices'!$B$6:$H$538,7,FALSE)*$AN172)</f>
        <v>4180.1099999999997</v>
      </c>
      <c r="AR172" s="107"/>
      <c r="AS172" s="107"/>
    </row>
    <row r="173" spans="1:45" outlineLevel="1" x14ac:dyDescent="0.2">
      <c r="A173" s="175" t="s">
        <v>36</v>
      </c>
      <c r="B173" s="219" t="s">
        <v>63</v>
      </c>
      <c r="C173" s="101"/>
      <c r="E173" s="103"/>
      <c r="H173" s="103"/>
      <c r="J173" s="103"/>
      <c r="L173" s="103"/>
      <c r="M173" s="103"/>
      <c r="N173" s="103"/>
      <c r="O173" s="103"/>
      <c r="P173" s="103"/>
      <c r="Q173" s="103"/>
      <c r="R173" s="103"/>
      <c r="S173" s="103"/>
      <c r="T173" s="263"/>
      <c r="U173" s="103"/>
      <c r="V173" s="103"/>
      <c r="W173" s="103"/>
      <c r="X173" s="103"/>
      <c r="Z173" s="103"/>
      <c r="AA173" s="103"/>
      <c r="AD173" s="107"/>
      <c r="AE173" s="107"/>
      <c r="AF173" s="107"/>
      <c r="AG173" s="137"/>
      <c r="AH173" s="107"/>
      <c r="AI173" s="107"/>
      <c r="AK173" s="103"/>
      <c r="AL173" s="103"/>
      <c r="AM173" s="103"/>
      <c r="AN173" s="101">
        <v>1</v>
      </c>
      <c r="AO173" s="103">
        <f>IF($AN173="x","incl",VLOOKUP($B173,'Cost prices'!$B$6:$H$538,7,FALSE)*$AN173)</f>
        <v>19224</v>
      </c>
      <c r="AP173" s="103">
        <f>IF($AN173="x","incl",VLOOKUP($B173,'Cost prices'!$B$6:$H$538,7,FALSE)*$AN173)</f>
        <v>19224</v>
      </c>
      <c r="AQ173" s="103">
        <f>IF($AN173="x","incl",VLOOKUP($B173,'Cost prices'!$B$6:$H$538,7,FALSE)*$AN173)*1.5</f>
        <v>28836</v>
      </c>
      <c r="AR173" s="107"/>
      <c r="AS173" s="107"/>
    </row>
    <row r="174" spans="1:45" outlineLevel="1" x14ac:dyDescent="0.2">
      <c r="A174" s="175" t="s">
        <v>36</v>
      </c>
      <c r="B174" s="219" t="s">
        <v>120</v>
      </c>
      <c r="C174" s="101"/>
      <c r="E174" s="103"/>
      <c r="H174" s="103"/>
      <c r="J174" s="103"/>
      <c r="L174" s="103"/>
      <c r="M174" s="103"/>
      <c r="N174" s="103"/>
      <c r="O174" s="103"/>
      <c r="P174" s="103"/>
      <c r="Q174" s="103"/>
      <c r="R174" s="103"/>
      <c r="S174" s="103"/>
      <c r="T174" s="263"/>
      <c r="U174" s="103"/>
      <c r="V174" s="103"/>
      <c r="W174" s="103"/>
      <c r="X174" s="103"/>
      <c r="Z174" s="103"/>
      <c r="AA174" s="103"/>
      <c r="AD174" s="107"/>
      <c r="AE174" s="107"/>
      <c r="AF174" s="107"/>
      <c r="AG174" s="137"/>
      <c r="AH174" s="107"/>
      <c r="AI174" s="107"/>
      <c r="AK174" s="103"/>
      <c r="AL174" s="103"/>
      <c r="AM174" s="103"/>
      <c r="AN174" s="101">
        <v>1</v>
      </c>
      <c r="AO174" s="103">
        <f>IF($AN174="x","incl",VLOOKUP($B174,'Cost prices'!$B$6:$H$538,7,FALSE)*$AN174)</f>
        <v>10755</v>
      </c>
      <c r="AP174" s="103">
        <f>IF($AN174="x","incl",VLOOKUP($B174,'Cost prices'!$B$6:$H$538,7,FALSE)*$AN174)</f>
        <v>10755</v>
      </c>
      <c r="AQ174" s="103">
        <f>IF($AN174="x","incl",VLOOKUP($B174,'Cost prices'!$B$6:$H$538,7,FALSE)*$AN174)</f>
        <v>10755</v>
      </c>
      <c r="AR174" s="107"/>
      <c r="AS174" s="107"/>
    </row>
    <row r="175" spans="1:45" outlineLevel="1" x14ac:dyDescent="0.2">
      <c r="A175" s="175" t="s">
        <v>36</v>
      </c>
      <c r="B175" s="219" t="s">
        <v>65</v>
      </c>
      <c r="C175" s="101"/>
      <c r="E175" s="103"/>
      <c r="H175" s="103"/>
      <c r="J175" s="103"/>
      <c r="L175" s="103"/>
      <c r="M175" s="103"/>
      <c r="N175" s="103"/>
      <c r="O175" s="103"/>
      <c r="P175" s="103"/>
      <c r="Q175" s="103"/>
      <c r="R175" s="103"/>
      <c r="S175" s="103"/>
      <c r="T175" s="263"/>
      <c r="U175" s="103"/>
      <c r="V175" s="103"/>
      <c r="W175" s="103"/>
      <c r="X175" s="103"/>
      <c r="Z175" s="103"/>
      <c r="AA175" s="103"/>
      <c r="AD175" s="107"/>
      <c r="AE175" s="107"/>
      <c r="AF175" s="107"/>
      <c r="AG175" s="137"/>
      <c r="AH175" s="107"/>
      <c r="AI175" s="107"/>
      <c r="AK175" s="103"/>
      <c r="AL175" s="103"/>
      <c r="AM175" s="103"/>
      <c r="AN175" s="101">
        <v>1</v>
      </c>
      <c r="AO175" s="103">
        <f>IF($AN175="x","incl",VLOOKUP($B175,'Cost prices'!$B$6:$H$538,7,FALSE)*$AN175)</f>
        <v>5585.43</v>
      </c>
      <c r="AP175" s="103">
        <f>IF($AN175="x","incl",VLOOKUP($B175,'Cost prices'!$B$6:$H$538,7,FALSE)*$AN175)</f>
        <v>5585.43</v>
      </c>
      <c r="AQ175" s="103">
        <f>IF($AN175="x","incl",VLOOKUP($B175,'Cost prices'!$B$6:$H$538,7,FALSE)*$AN175)</f>
        <v>5585.43</v>
      </c>
      <c r="AR175" s="107"/>
      <c r="AS175" s="107"/>
    </row>
    <row r="176" spans="1:45" outlineLevel="1" x14ac:dyDescent="0.2">
      <c r="B176" s="219"/>
      <c r="C176" s="101"/>
      <c r="E176" s="103"/>
      <c r="H176" s="103"/>
      <c r="J176" s="103"/>
      <c r="L176" s="103"/>
      <c r="M176" s="103"/>
      <c r="N176" s="103"/>
      <c r="O176" s="103"/>
      <c r="P176" s="103"/>
      <c r="Q176" s="103"/>
      <c r="R176" s="103"/>
      <c r="S176" s="103"/>
      <c r="T176" s="263"/>
      <c r="U176" s="103"/>
      <c r="V176" s="103"/>
      <c r="W176" s="103"/>
      <c r="X176" s="103"/>
      <c r="Y176" s="103"/>
      <c r="Z176" s="103"/>
      <c r="AA176" s="103"/>
      <c r="AD176" s="107"/>
      <c r="AE176" s="107"/>
      <c r="AF176" s="107"/>
      <c r="AG176" s="137"/>
      <c r="AH176" s="107"/>
      <c r="AI176" s="107"/>
      <c r="AK176" s="103"/>
      <c r="AL176" s="103"/>
      <c r="AM176" s="103"/>
      <c r="AO176" s="103"/>
      <c r="AP176" s="103"/>
      <c r="AQ176" s="103"/>
      <c r="AR176" s="107"/>
      <c r="AS176" s="107"/>
    </row>
    <row r="177" spans="1:65" outlineLevel="1" x14ac:dyDescent="0.2">
      <c r="A177" s="175" t="s">
        <v>561</v>
      </c>
      <c r="B177" s="219" t="s">
        <v>792</v>
      </c>
      <c r="E177" s="103"/>
      <c r="H177" s="103"/>
      <c r="J177" s="103"/>
      <c r="L177" s="103"/>
      <c r="M177" s="196"/>
      <c r="N177" s="103">
        <f>IF($M177="x","incl",VLOOKUP($B177,'Cost prices'!$B$6:$H$538,7,FALSE)*$M177)</f>
        <v>0</v>
      </c>
      <c r="O177" s="196"/>
      <c r="P177" s="103">
        <f>IF($M177="x","incl",VLOOKUP($B177,'Cost prices'!$B$6:$H$538,7,FALSE)*$M177)</f>
        <v>0</v>
      </c>
      <c r="Q177" s="196"/>
      <c r="R177" s="103">
        <f>IF($Q177="x","incl",VLOOKUP($B177,'Cost prices'!$B$6:$H$538,7,FALSE)*$Q177)</f>
        <v>0</v>
      </c>
      <c r="S177" s="103"/>
      <c r="T177" s="263"/>
      <c r="U177" s="196"/>
      <c r="V177" s="103">
        <f>IF($U177="x","incl",VLOOKUP($B177,'Cost prices'!$B$6:$H$538,7,FALSE)*$U177)</f>
        <v>0</v>
      </c>
      <c r="W177" s="196">
        <v>1</v>
      </c>
      <c r="X177" s="103">
        <f>IF($W177="x","incl",VLOOKUP($B177,'Cost prices'!$B$6:$H$538,7,FALSE)*$W177)</f>
        <v>2868</v>
      </c>
      <c r="Y177" s="199">
        <v>1</v>
      </c>
      <c r="Z177" s="103">
        <f>IF($Y177="x","incl",VLOOKUP($B177,'Cost prices'!$B$6:$H$538,7,FALSE)*$Y177)</f>
        <v>2868</v>
      </c>
      <c r="AA177" s="196"/>
      <c r="AB177" s="103">
        <f>IF($AA177="x","incl",VLOOKUP($B177,'Cost prices'!$B$6:$H$538,7,FALSE)*$AA177)</f>
        <v>0</v>
      </c>
      <c r="AC177" s="196">
        <v>1</v>
      </c>
      <c r="AD177" s="103">
        <f>IF($AC177="x","incl",VLOOKUP($B177,'Cost prices'!$B$6:$H$538,7,FALSE)*$AC177)</f>
        <v>2868</v>
      </c>
      <c r="AE177" s="103">
        <f>IF($AC177="x","incl",VLOOKUP($B177,'Cost prices'!$B$6:$H$538,7,FALSE)*$AC177)</f>
        <v>2868</v>
      </c>
      <c r="AF177" s="103">
        <f>IF($AC177="x","incl",VLOOKUP($B177,'Cost prices'!$B$6:$H$538,7,FALSE)*$AC177)</f>
        <v>2868</v>
      </c>
      <c r="AG177" s="196">
        <v>1</v>
      </c>
      <c r="AH177" s="103">
        <f>IF($AG177="x","incl",VLOOKUP($B177,'Cost prices'!$B$6:$H$538,7,FALSE)*$AG177)</f>
        <v>2868</v>
      </c>
      <c r="AI177" s="103">
        <f>IF($AG177="x","incl",VLOOKUP($B177,'Cost prices'!$B$6:$H$538,7,FALSE)*$AG177)</f>
        <v>2868</v>
      </c>
      <c r="AJ177" s="196">
        <v>1</v>
      </c>
      <c r="AK177" s="103">
        <f>IF($AJ177="x","incl",VLOOKUP($B177,'Cost prices'!$B$6:$H$538,7,FALSE)*$AJ177)</f>
        <v>2868</v>
      </c>
      <c r="AL177" s="103">
        <f>IF($AJ177="x","incl",VLOOKUP($B177,'Cost prices'!$B$6:$H$538,7,FALSE)*$AJ177)</f>
        <v>2868</v>
      </c>
      <c r="AM177" s="103">
        <f>IF($AJ177="x","incl",VLOOKUP($B177,'Cost prices'!$B$6:$H$538,7,FALSE)*$AJ177)</f>
        <v>2868</v>
      </c>
      <c r="AN177" s="101">
        <v>1</v>
      </c>
      <c r="AO177" s="103">
        <f>IF($AN177="x","incl",VLOOKUP($B177,'Cost prices'!$B$6:$H$538,7,FALSE)*$AN177)</f>
        <v>2868</v>
      </c>
      <c r="AP177" s="103">
        <f>IF($AN177="x","incl",VLOOKUP($B177,'Cost prices'!$B$6:$H$538,7,FALSE)*$AN177)</f>
        <v>2868</v>
      </c>
      <c r="AQ177" s="103">
        <f>IF($AN177="x","incl",VLOOKUP($B177,'Cost prices'!$B$6:$H$538,7,FALSE)*$AN177)</f>
        <v>2868</v>
      </c>
      <c r="AR177" s="107"/>
      <c r="AS177" s="107"/>
    </row>
    <row r="178" spans="1:65" outlineLevel="1" x14ac:dyDescent="0.2">
      <c r="B178" s="219"/>
      <c r="E178" s="103"/>
      <c r="H178" s="103"/>
      <c r="J178" s="103"/>
      <c r="L178" s="103"/>
      <c r="M178" s="196"/>
      <c r="N178" s="103"/>
      <c r="O178" s="196"/>
      <c r="P178" s="103"/>
      <c r="Q178" s="196"/>
      <c r="R178" s="103"/>
      <c r="S178" s="103"/>
      <c r="T178" s="263"/>
      <c r="U178" s="196"/>
      <c r="V178" s="103"/>
      <c r="W178" s="196"/>
      <c r="X178" s="103"/>
      <c r="Y178" s="199"/>
      <c r="Z178" s="103"/>
      <c r="AA178" s="196"/>
      <c r="AB178" s="103"/>
      <c r="AC178" s="196"/>
      <c r="AD178" s="103"/>
      <c r="AE178" s="103"/>
      <c r="AF178" s="103"/>
      <c r="AG178" s="196"/>
      <c r="AH178" s="103"/>
      <c r="AI178" s="103"/>
      <c r="AJ178" s="196"/>
      <c r="AK178" s="103"/>
      <c r="AL178" s="103"/>
      <c r="AM178" s="103"/>
      <c r="AO178" s="103"/>
      <c r="AP178" s="103"/>
      <c r="AQ178" s="103"/>
      <c r="AR178" s="107"/>
      <c r="AS178" s="107"/>
    </row>
    <row r="179" spans="1:65" outlineLevel="1" x14ac:dyDescent="0.2">
      <c r="A179" s="175" t="s">
        <v>81</v>
      </c>
      <c r="B179" s="219" t="s">
        <v>820</v>
      </c>
      <c r="E179" s="103"/>
      <c r="H179" s="103"/>
      <c r="J179" s="103"/>
      <c r="L179" s="103"/>
      <c r="M179" s="196"/>
      <c r="N179" s="103"/>
      <c r="O179" s="196"/>
      <c r="P179" s="103"/>
      <c r="Q179" s="196"/>
      <c r="R179" s="103"/>
      <c r="S179" s="103"/>
      <c r="T179" s="263"/>
      <c r="U179" s="196"/>
      <c r="V179" s="103"/>
      <c r="W179" s="196"/>
      <c r="X179" s="103"/>
      <c r="Y179" s="199"/>
      <c r="Z179" s="103"/>
      <c r="AA179" s="196"/>
      <c r="AB179" s="103"/>
      <c r="AC179" s="196">
        <v>1</v>
      </c>
      <c r="AD179" s="103">
        <f>IF($AC179="x","incl",VLOOKUP($B179,'Cost prices'!$B$6:$H$538,7,FALSE)*$AC179)</f>
        <v>3585</v>
      </c>
      <c r="AE179" s="103">
        <f>IF($AC179="x","incl",VLOOKUP($B179,'Cost prices'!$B$6:$H$538,7,FALSE)*$AC179)</f>
        <v>3585</v>
      </c>
      <c r="AF179" s="103"/>
      <c r="AG179" s="196"/>
      <c r="AH179" s="103"/>
      <c r="AI179" s="103"/>
      <c r="AJ179" s="196"/>
      <c r="AK179" s="103"/>
      <c r="AL179" s="103"/>
      <c r="AM179" s="103"/>
      <c r="AO179" s="103"/>
      <c r="AP179" s="103"/>
      <c r="AQ179" s="103"/>
      <c r="AR179" s="107"/>
      <c r="AS179" s="107"/>
    </row>
    <row r="180" spans="1:65" outlineLevel="1" x14ac:dyDescent="0.2">
      <c r="A180" s="175" t="s">
        <v>81</v>
      </c>
      <c r="B180" s="219" t="s">
        <v>1434</v>
      </c>
      <c r="E180" s="103"/>
      <c r="H180" s="103"/>
      <c r="J180" s="103"/>
      <c r="L180" s="103"/>
      <c r="M180" s="196">
        <v>1</v>
      </c>
      <c r="N180" s="103">
        <f>IF($M180="x","incl",VLOOKUP($B180,'Cost prices'!$B$6:$H$538,7,FALSE)*$M180)</f>
        <v>1075.5</v>
      </c>
      <c r="O180" s="196">
        <v>1</v>
      </c>
      <c r="P180" s="103">
        <f>IF($M180="x","incl",VLOOKUP($B180,'Cost prices'!$B$6:$H$538,7,FALSE)*$M180)</f>
        <v>1075.5</v>
      </c>
      <c r="Q180" s="196">
        <v>1</v>
      </c>
      <c r="R180" s="103">
        <f>IF($Q180="x","incl",VLOOKUP($B180,'Cost prices'!$B$6:$H$538,7,FALSE)*$Q180)</f>
        <v>1075.5</v>
      </c>
      <c r="S180" s="103"/>
      <c r="T180" s="263"/>
      <c r="U180" s="196"/>
      <c r="V180" s="103"/>
      <c r="W180" s="196"/>
      <c r="X180" s="103"/>
      <c r="Y180" s="199"/>
      <c r="Z180" s="103"/>
      <c r="AA180" s="196"/>
      <c r="AB180" s="103"/>
      <c r="AC180" s="196"/>
      <c r="AD180" s="103"/>
      <c r="AE180" s="103"/>
      <c r="AF180" s="103"/>
      <c r="AG180" s="196"/>
      <c r="AH180" s="103"/>
      <c r="AI180" s="103"/>
      <c r="AJ180" s="196"/>
      <c r="AK180" s="103"/>
      <c r="AL180" s="103"/>
      <c r="AM180" s="103"/>
      <c r="AO180" s="103"/>
      <c r="AP180" s="103"/>
      <c r="AQ180" s="103"/>
      <c r="AR180" s="107"/>
      <c r="AS180" s="107"/>
    </row>
    <row r="181" spans="1:65" outlineLevel="1" x14ac:dyDescent="0.2">
      <c r="A181" s="175" t="s">
        <v>81</v>
      </c>
      <c r="B181" s="219" t="s">
        <v>1441</v>
      </c>
      <c r="E181" s="103"/>
      <c r="H181" s="103"/>
      <c r="J181" s="103"/>
      <c r="L181" s="103"/>
      <c r="M181" s="196"/>
      <c r="N181" s="103"/>
      <c r="O181" s="196"/>
      <c r="P181" s="103"/>
      <c r="Q181" s="196"/>
      <c r="R181" s="103"/>
      <c r="S181" s="103"/>
      <c r="T181" s="263"/>
      <c r="U181" s="196">
        <v>1</v>
      </c>
      <c r="V181" s="103">
        <f>IF($M180="x","incl",VLOOKUP($B180,'Cost prices'!$B$6:$H$538,7,FALSE)*$M180)</f>
        <v>1075.5</v>
      </c>
      <c r="W181" s="196"/>
      <c r="X181" s="103"/>
      <c r="Y181" s="199"/>
      <c r="Z181" s="103"/>
      <c r="AA181" s="196"/>
      <c r="AB181" s="103"/>
      <c r="AC181" s="196"/>
      <c r="AD181" s="103"/>
      <c r="AE181" s="103"/>
      <c r="AF181" s="103"/>
      <c r="AG181" s="196"/>
      <c r="AH181" s="103"/>
      <c r="AI181" s="103"/>
      <c r="AJ181" s="196"/>
      <c r="AK181" s="103"/>
      <c r="AL181" s="103"/>
      <c r="AM181" s="103"/>
      <c r="AO181" s="103"/>
      <c r="AP181" s="103"/>
      <c r="AQ181" s="103"/>
      <c r="AR181" s="107"/>
      <c r="AS181" s="107"/>
    </row>
    <row r="182" spans="1:65" outlineLevel="1" x14ac:dyDescent="0.2">
      <c r="A182" s="183" t="s">
        <v>81</v>
      </c>
      <c r="B182" s="219" t="s">
        <v>533</v>
      </c>
      <c r="E182" s="103"/>
      <c r="H182" s="103"/>
      <c r="J182" s="103"/>
      <c r="L182" s="103"/>
      <c r="M182" s="208"/>
      <c r="N182" s="103"/>
      <c r="O182" s="208"/>
      <c r="P182" s="103"/>
      <c r="Q182" s="208"/>
      <c r="R182" s="103"/>
      <c r="S182" s="103"/>
      <c r="T182" s="263"/>
      <c r="U182" s="208"/>
      <c r="V182" s="103">
        <f>IF($U182="x","incl",VLOOKUP($B182,'Cost prices'!$B$6:$H$538,7,FALSE)*$U182)</f>
        <v>0</v>
      </c>
      <c r="W182" s="208">
        <v>0.5</v>
      </c>
      <c r="X182" s="103">
        <f>IF($W182="x","incl",VLOOKUP($B182,'Cost prices'!$B$6:$H$538,7,FALSE)*$W182)</f>
        <v>3585</v>
      </c>
      <c r="Y182" s="199">
        <v>1</v>
      </c>
      <c r="Z182" s="103">
        <f>IF($Y182="x","incl",VLOOKUP($B182,'Cost prices'!$B$6:$H$538,7,FALSE)*$Y182)</f>
        <v>7170</v>
      </c>
      <c r="AA182" s="196"/>
      <c r="AB182" s="103"/>
      <c r="AC182" s="196">
        <v>1</v>
      </c>
      <c r="AD182" s="103"/>
      <c r="AE182" s="103"/>
      <c r="AF182" s="103">
        <f>IF($AC182="x","incl",VLOOKUP($B182,'Cost prices'!$B$6:$H$538,7,FALSE)*$AC182)</f>
        <v>7170</v>
      </c>
      <c r="AG182" s="196">
        <v>1</v>
      </c>
      <c r="AH182" s="103">
        <f>IF($AG182="x","incl",VLOOKUP($B182,'Cost prices'!$B$6:$H$538,7,FALSE)*$AG182)</f>
        <v>7170</v>
      </c>
      <c r="AI182" s="103">
        <f>IF($AG182="x","incl",VLOOKUP($B182,'Cost prices'!$B$6:$H$538,7,FALSE)*$AG182)</f>
        <v>7170</v>
      </c>
      <c r="AJ182" s="196">
        <v>1</v>
      </c>
      <c r="AK182" s="103">
        <f>IF($AJ182="x","incl",VLOOKUP($B182,'Cost prices'!$B$6:$H$538,7,FALSE)*$AJ182)</f>
        <v>7170</v>
      </c>
      <c r="AL182" s="103">
        <f>IF($AJ182="x","incl",VLOOKUP($B182,'Cost prices'!$B$6:$H$538,7,FALSE)*$AJ182)</f>
        <v>7170</v>
      </c>
      <c r="AM182" s="103">
        <f>IF($AJ182="x","incl",VLOOKUP($B182,'Cost prices'!$B$6:$H$538,7,FALSE)*$AJ182)*1.5</f>
        <v>10755</v>
      </c>
      <c r="AN182" s="101">
        <v>1</v>
      </c>
      <c r="AO182" s="103">
        <f>IF($AN182="x","incl",VLOOKUP($B182,'Cost prices'!$B$6:$H$538,7,FALSE)*$AN182)</f>
        <v>7170</v>
      </c>
      <c r="AP182" s="103">
        <f>IF($AN182="x","incl",VLOOKUP($B182,'Cost prices'!$B$6:$H$538,7,FALSE)*$AN182)</f>
        <v>7170</v>
      </c>
      <c r="AQ182" s="103">
        <f>IF($AN182="x","incl",VLOOKUP($B182,'Cost prices'!$B$6:$H$538,7,FALSE)*$AN182)*1.5</f>
        <v>10755</v>
      </c>
      <c r="AR182" s="107"/>
      <c r="AS182" s="107"/>
    </row>
    <row r="183" spans="1:65" x14ac:dyDescent="0.2">
      <c r="A183" s="212" t="s">
        <v>728</v>
      </c>
      <c r="B183" s="99" t="s">
        <v>6</v>
      </c>
      <c r="E183" s="214">
        <f>SUM(E144:E182)</f>
        <v>0</v>
      </c>
      <c r="F183" s="214">
        <f>SUM(F144:F182)</f>
        <v>0</v>
      </c>
      <c r="H183" s="214">
        <f>SUM(H144:H182)</f>
        <v>0</v>
      </c>
      <c r="J183" s="214">
        <f>SUM(J144:J182)</f>
        <v>0</v>
      </c>
      <c r="L183" s="214">
        <f>SUM(L144:L182)</f>
        <v>0</v>
      </c>
      <c r="M183" s="214"/>
      <c r="N183" s="214">
        <f>SUM(N144:N182)</f>
        <v>7126.98</v>
      </c>
      <c r="O183" s="214"/>
      <c r="P183" s="214">
        <f>SUM(P144:P182)</f>
        <v>12655.05</v>
      </c>
      <c r="Q183" s="214"/>
      <c r="R183" s="214">
        <f>SUM(R144:R182)</f>
        <v>23187.78</v>
      </c>
      <c r="S183" s="214"/>
      <c r="T183" s="308"/>
      <c r="U183" s="214"/>
      <c r="V183" s="214">
        <f>SUM(V144:V182)</f>
        <v>25883.7</v>
      </c>
      <c r="W183" s="214"/>
      <c r="X183" s="214">
        <f>SUM(X144:X182)</f>
        <v>80026.879499999995</v>
      </c>
      <c r="Y183" s="214"/>
      <c r="Z183" s="214">
        <f>SUM(Z144:Z182)</f>
        <v>143256.6</v>
      </c>
      <c r="AA183" s="133"/>
      <c r="AB183" s="214">
        <f>SUM(AB144:AB182)</f>
        <v>1610.1668999999999</v>
      </c>
      <c r="AD183" s="214">
        <f>SUM(AD144:AD182)</f>
        <v>53703.3</v>
      </c>
      <c r="AE183" s="214">
        <f>SUM(AE144:AE182)</f>
        <v>59224.2</v>
      </c>
      <c r="AF183" s="214">
        <f>SUM(AF144:AF182)</f>
        <v>94471.92</v>
      </c>
      <c r="AH183" s="214">
        <f>SUM(AH144:AH182)</f>
        <v>88714.41</v>
      </c>
      <c r="AI183" s="214">
        <f>SUM(AI144:AI182)</f>
        <v>94235.31</v>
      </c>
      <c r="AK183" s="214">
        <f>SUM(AK144:AK182)</f>
        <v>101907.21</v>
      </c>
      <c r="AL183" s="214">
        <f>SUM(AL144:AL182)</f>
        <v>120190.71</v>
      </c>
      <c r="AM183" s="214">
        <f>SUM(AM144:AM182)</f>
        <v>157269.28799999997</v>
      </c>
      <c r="AO183" s="214">
        <f>SUM(AO144:AO182)</f>
        <v>158529.93</v>
      </c>
      <c r="AP183" s="214">
        <f>SUM(AP144:AP182)</f>
        <v>181982.99999999997</v>
      </c>
      <c r="AQ183" s="214">
        <f>SUM(AQ144:AQ182)</f>
        <v>277449.53999999998</v>
      </c>
      <c r="AR183" s="214"/>
      <c r="AS183" s="214">
        <f>SUM(AS144:AS182)</f>
        <v>0</v>
      </c>
      <c r="AT183" s="214">
        <f>SUM(AT144:AT182)</f>
        <v>0</v>
      </c>
      <c r="AU183" s="214">
        <f>SUM(AU144:AU182)</f>
        <v>0</v>
      </c>
      <c r="AV183" s="214">
        <f>SUM(AV144:AV182)</f>
        <v>2509.5</v>
      </c>
      <c r="AW183" s="214">
        <f>SUM(AW144:AW182)</f>
        <v>0</v>
      </c>
      <c r="AX183" s="214"/>
      <c r="AY183" s="214"/>
      <c r="AZ183" s="214"/>
      <c r="BA183" s="214"/>
      <c r="BB183" s="214"/>
      <c r="BC183" s="214"/>
      <c r="BD183" s="214"/>
      <c r="BE183" s="214">
        <f t="shared" ref="BE183:BK183" si="1">SUM(BE144:BE182)</f>
        <v>0</v>
      </c>
      <c r="BF183" s="214"/>
      <c r="BG183" s="214">
        <f t="shared" si="1"/>
        <v>0</v>
      </c>
      <c r="BH183" s="214">
        <f t="shared" si="1"/>
        <v>0</v>
      </c>
      <c r="BI183" s="214">
        <f t="shared" si="1"/>
        <v>0</v>
      </c>
      <c r="BJ183" s="214">
        <f t="shared" si="1"/>
        <v>0</v>
      </c>
      <c r="BK183" s="215">
        <f t="shared" si="1"/>
        <v>0</v>
      </c>
      <c r="BL183" s="215">
        <f>SUM(BL131:BL182)</f>
        <v>5707.32</v>
      </c>
      <c r="BM183" s="215">
        <f>SUM(BM144:BM182)</f>
        <v>0</v>
      </c>
    </row>
    <row r="184" spans="1:65" x14ac:dyDescent="0.2">
      <c r="A184" s="183"/>
      <c r="E184" s="103"/>
      <c r="H184" s="103"/>
      <c r="J184" s="103"/>
      <c r="L184" s="103"/>
      <c r="M184" s="103"/>
      <c r="N184" s="103"/>
      <c r="O184" s="103"/>
      <c r="P184" s="103"/>
      <c r="Q184" s="103"/>
      <c r="R184" s="103"/>
      <c r="S184" s="103"/>
      <c r="T184" s="263"/>
      <c r="U184" s="103"/>
      <c r="V184" s="103"/>
      <c r="W184" s="103"/>
      <c r="X184" s="103"/>
      <c r="Y184" s="103"/>
      <c r="Z184" s="107"/>
      <c r="AA184" s="103"/>
      <c r="AD184" s="107"/>
      <c r="AE184" s="107"/>
      <c r="AF184" s="107"/>
      <c r="AK184" s="107"/>
      <c r="AL184" s="107"/>
      <c r="AM184" s="107"/>
      <c r="AO184" s="107"/>
      <c r="AP184" s="107"/>
      <c r="AQ184" s="107"/>
      <c r="AR184" s="107"/>
      <c r="AS184" s="107"/>
    </row>
    <row r="185" spans="1:65" outlineLevel="1" x14ac:dyDescent="0.2">
      <c r="A185" s="183" t="s">
        <v>597</v>
      </c>
      <c r="E185" s="103"/>
      <c r="H185" s="103"/>
      <c r="J185" s="103"/>
      <c r="L185" s="103"/>
      <c r="M185" s="103"/>
      <c r="N185" s="103"/>
      <c r="O185" s="103"/>
      <c r="P185" s="103"/>
      <c r="Q185" s="103"/>
      <c r="R185" s="103"/>
      <c r="S185" s="103"/>
      <c r="T185" s="263"/>
      <c r="U185" s="103"/>
      <c r="V185" s="103"/>
      <c r="W185" s="103"/>
      <c r="X185" s="103"/>
      <c r="Y185" s="103"/>
      <c r="Z185" s="107"/>
      <c r="AA185" s="103"/>
      <c r="AD185" s="107"/>
      <c r="AE185" s="107"/>
      <c r="AF185" s="107"/>
      <c r="AK185" s="107"/>
      <c r="AL185" s="107"/>
      <c r="AM185" s="107"/>
      <c r="AO185" s="107"/>
      <c r="AP185" s="107"/>
      <c r="AQ185" s="107"/>
      <c r="AR185" s="107"/>
      <c r="AS185" s="107"/>
    </row>
    <row r="186" spans="1:65" outlineLevel="1" x14ac:dyDescent="0.2">
      <c r="A186" s="183"/>
      <c r="B186" s="195" t="s">
        <v>16</v>
      </c>
      <c r="E186" s="103"/>
      <c r="G186" s="176"/>
      <c r="H186" s="103"/>
      <c r="I186" s="176"/>
      <c r="J186" s="103"/>
      <c r="K186" s="176"/>
      <c r="L186" s="103"/>
      <c r="M186" s="103"/>
      <c r="N186" s="103"/>
      <c r="O186" s="103"/>
      <c r="P186" s="103"/>
      <c r="Q186" s="103"/>
      <c r="R186" s="103"/>
      <c r="S186" s="103"/>
      <c r="T186" s="263"/>
      <c r="U186" s="176"/>
      <c r="V186" s="103"/>
      <c r="W186" s="103"/>
      <c r="X186" s="103"/>
      <c r="Y186" s="103"/>
      <c r="Z186" s="107"/>
      <c r="AC186" s="176"/>
      <c r="AD186" s="107"/>
      <c r="AE186" s="107"/>
      <c r="AF186" s="107"/>
      <c r="AG186" s="176"/>
      <c r="AH186" s="176"/>
      <c r="AI186" s="176"/>
      <c r="AJ186" s="176"/>
      <c r="AK186" s="107"/>
      <c r="AL186" s="107"/>
      <c r="AM186" s="107"/>
      <c r="AN186" s="176"/>
      <c r="AO186" s="107"/>
      <c r="AP186" s="107"/>
      <c r="AQ186" s="107"/>
    </row>
    <row r="187" spans="1:65" outlineLevel="1" x14ac:dyDescent="0.2">
      <c r="A187" s="183"/>
      <c r="B187" s="168" t="s">
        <v>1409</v>
      </c>
      <c r="E187" s="220">
        <f>VLOOKUP(E$1,Rules!$AL$7:$BB$54,6, FALSE)*VLOOKUP($B187,'Cost prices'!$B$6:$H$538,7,FALSE)</f>
        <v>990.03360000000009</v>
      </c>
      <c r="F187" s="220">
        <f>VLOOKUP(F$1,Rules!$AL$7:$BB$54,6, FALSE)*VLOOKUP($B187,'Cost prices'!$B$6:$H$538,7,FALSE)</f>
        <v>990.03360000000009</v>
      </c>
      <c r="H187" s="220">
        <f>VLOOKUP(H$1,Rules!$AL$7:$BB$54,6, FALSE)*VLOOKUP($B187,'Cost prices'!$B$6:$H$538,7,FALSE)</f>
        <v>990.03360000000009</v>
      </c>
      <c r="J187" s="220">
        <f>VLOOKUP(J$1,Rules!$AL$7:$BB$54,6, FALSE)*VLOOKUP($B187,'Cost prices'!$B$6:$H$538,7,FALSE)</f>
        <v>990.03360000000009</v>
      </c>
      <c r="K187" s="101"/>
      <c r="L187" s="220">
        <f>VLOOKUP(L$1,Rules!$AL$7:$BB$54,6, FALSE)*VLOOKUP($B187,'Cost prices'!$B$6:$H$538,7,FALSE)</f>
        <v>990.03360000000009</v>
      </c>
      <c r="M187" s="220"/>
      <c r="N187" s="220">
        <f>VLOOKUP(N$1,Rules!$AL$7:$BB$54,6, FALSE)*VLOOKUP($B187,'Cost prices'!$B$6:$H$538,7,FALSE)</f>
        <v>990.03360000000009</v>
      </c>
      <c r="O187" s="220"/>
      <c r="P187" s="220">
        <f>VLOOKUP(P$1,Rules!$AL$7:$BB$54,6, FALSE)*VLOOKUP($B187,'Cost prices'!$B$6:$H$538,7,FALSE)</f>
        <v>990.03360000000009</v>
      </c>
      <c r="Q187" s="220"/>
      <c r="R187" s="220">
        <f>VLOOKUP(R$1,Rules!$AL$7:$BB$54,6, FALSE)*VLOOKUP($B187,'Cost prices'!$B$6:$H$538,7,FALSE)</f>
        <v>990.03360000000009</v>
      </c>
      <c r="S187" s="220"/>
      <c r="T187" s="309"/>
      <c r="V187" s="220">
        <f>VLOOKUP(V$1,Rules!$AL$7:$BB$54,6, FALSE)*VLOOKUP($B187,'Cost prices'!$B$6:$H$538,7,FALSE)</f>
        <v>1980.0672000000002</v>
      </c>
      <c r="W187" s="220"/>
      <c r="X187" s="220">
        <f>VLOOKUP(X$1,Rules!$AL$7:$BB$54,6, FALSE)*VLOOKUP($B187,'Cost prices'!$B$6:$H$538,7,FALSE)</f>
        <v>9900.3360000000011</v>
      </c>
      <c r="Y187" s="220"/>
      <c r="Z187" s="220">
        <f>VLOOKUP(Z$1,Rules!$AL$7:$BB$54,6, FALSE)*VLOOKUP($B187,'Cost prices'!$B$6:$H$538,7,FALSE)</f>
        <v>19800.672000000002</v>
      </c>
      <c r="AB187" s="220">
        <f>VLOOKUP(AB$1,Rules!$AL$7:$BB$54,6, FALSE)*VLOOKUP($B187,'Cost prices'!$B$6:$H$538,7,FALSE)</f>
        <v>0</v>
      </c>
      <c r="AD187" s="220">
        <f>VLOOKUP(AD$1,Rules!$AL$7:$BB$54,6, FALSE)*VLOOKUP($B187,'Cost prices'!$B$6:$H$538,7,FALSE)</f>
        <v>3960.1344000000004</v>
      </c>
      <c r="AE187" s="220">
        <f>VLOOKUP(AE$1,Rules!$AL$7:$BB$54,6, FALSE)*VLOOKUP($B187,'Cost prices'!$B$6:$H$538,7,FALSE)</f>
        <v>3960.1344000000004</v>
      </c>
      <c r="AF187" s="220">
        <f>VLOOKUP(AF$1,Rules!$AL$7:$BB$54,6, FALSE)*VLOOKUP($B187,'Cost prices'!$B$6:$H$538,7,FALSE)</f>
        <v>5940.2016000000003</v>
      </c>
      <c r="AH187" s="220">
        <f>VLOOKUP(AH$1,Rules!$AL$7:$BB$54,6, FALSE)*VLOOKUP($B187,'Cost prices'!$B$6:$H$538,7,FALSE)</f>
        <v>5940.2016000000003</v>
      </c>
      <c r="AI187" s="220">
        <f>VLOOKUP(AI$1,Rules!$AL$7:$BB$54,6, FALSE)*VLOOKUP($B187,'Cost prices'!$B$6:$H$538,7,FALSE)</f>
        <v>5940.2016000000003</v>
      </c>
      <c r="AK187" s="220">
        <f>VLOOKUP(AK$1,Rules!$AL$7:$BB$54,6, FALSE)*VLOOKUP($B187,'Cost prices'!$B$6:$H$538,7,FALSE)</f>
        <v>5940.2016000000003</v>
      </c>
      <c r="AL187" s="220">
        <f>VLOOKUP(AL$1,Rules!$AL$7:$BB$54,6, FALSE)*VLOOKUP($B187,'Cost prices'!$B$6:$H$538,7,FALSE)</f>
        <v>5940.2016000000003</v>
      </c>
      <c r="AM187" s="220">
        <f>VLOOKUP(AM$1,Rules!$AL$7:$BB$54,6, FALSE)*VLOOKUP($B187,'Cost prices'!$B$6:$H$538,7,FALSE)</f>
        <v>19800.672000000002</v>
      </c>
      <c r="AO187" s="283">
        <f>VLOOKUP(AO$1,Rules!$AL$7:$BB$54,6,FALSE) * VLOOKUP($B187,'Cost prices'!$B$6:$H$538,7,FALSE) +
IF('External Prices'!Z$27&lt;&gt;"No", VLOOKUP("Coxial",Rules!$AL$7:$BB$54,6,FALSE) * VLOOKUP($B187,'Cost prices'!$B$6:$H$538,7,FALSE), 0)</f>
        <v>19800.672000000002</v>
      </c>
      <c r="AP187" s="283">
        <f>VLOOKUP(AP$1,Rules!$AL$7:$BB$54,6,FALSE) * VLOOKUP($B187,'Cost prices'!$B$6:$H$538,7,FALSE) +
IF('External Prices'!AA$27&lt;&gt;"No", VLOOKUP("Coxial",Rules!$AL$7:$BB$54,6,FALSE) * VLOOKUP($B187,'Cost prices'!$B$6:$H$538,7,FALSE), 0)</f>
        <v>19800.672000000002</v>
      </c>
      <c r="AQ187" s="283">
        <f>VLOOKUP(AQ$1,Rules!$AL$7:$BB$54,6,FALSE) * VLOOKUP($B187,'Cost prices'!$B$6:$H$538,7,FALSE) +
IF('External Prices'!AB$27&lt;&gt;"No", VLOOKUP("Coxial",Rules!$AL$7:$BB$54,6,FALSE) * VLOOKUP($B187,'Cost prices'!$B$6:$H$538,7,FALSE), 0)</f>
        <v>39601.344000000005</v>
      </c>
      <c r="AS187" s="220">
        <f>VLOOKUP(AS$1,Rules!$AL$7:$BB$54,6, FALSE)*VLOOKUP($B187,'Cost prices'!$B$6:$H$538,7,FALSE)</f>
        <v>247.50840000000002</v>
      </c>
      <c r="AT187" s="220">
        <f>VLOOKUP(AT$1,Rules!$AL$7:$BB$54,6, FALSE)*VLOOKUP($B187,'Cost prices'!$B$6:$H$538,7,FALSE)</f>
        <v>247.50840000000002</v>
      </c>
      <c r="AU187" s="220">
        <f>VLOOKUP(AU$1,Rules!$AL$7:$BB$54,6, FALSE)*VLOOKUP($B187,'Cost prices'!$B$6:$H$538,7,FALSE)</f>
        <v>247.50840000000002</v>
      </c>
      <c r="AV187" s="220">
        <f>VLOOKUP(AV$1,Rules!$AL$7:$BB$54,6, FALSE)*VLOOKUP($B187,'Cost prices'!$B$6:$H$538,7,FALSE)</f>
        <v>247.50840000000002</v>
      </c>
      <c r="AW187" s="220">
        <f>VLOOKUP(AW$1,Rules!$AL$7:$BB$54,6, FALSE)*VLOOKUP($B187,'Cost prices'!$B$6:$H$538,7,FALSE)</f>
        <v>247.50840000000002</v>
      </c>
      <c r="AX187" s="220">
        <f>VLOOKUP(AX$1,Rules!$AL$7:$BB$54,6, FALSE)*VLOOKUP($B187,'Cost prices'!$B$6:$H$538,7,FALSE)</f>
        <v>247.50840000000002</v>
      </c>
      <c r="AY187" s="220">
        <f>VLOOKUP(AY$1,Rules!$AL$7:$BB$54,6, FALSE)*VLOOKUP($B187,'Cost prices'!$B$6:$H$538,7,FALSE)</f>
        <v>247.50840000000002</v>
      </c>
      <c r="AZ187" s="220">
        <f>VLOOKUP(AZ$1,Rules!$AL$7:$BB$54,6, FALSE)*VLOOKUP($B187,'Cost prices'!$B$6:$H$538,7,FALSE)</f>
        <v>247.50840000000002</v>
      </c>
      <c r="BA187" s="220">
        <f>VLOOKUP(BA$1,Rules!$AL$7:$BB$54,6, FALSE)*VLOOKUP($B187,'Cost prices'!$B$6:$H$538,7,FALSE)</f>
        <v>247.50840000000002</v>
      </c>
      <c r="BB187" s="220">
        <f>VLOOKUP(BB$1,Rules!$AL$7:$BB$54,6, FALSE)*VLOOKUP($B187,'Cost prices'!$B$6:$H$538,7,FALSE)</f>
        <v>247.50840000000002</v>
      </c>
      <c r="BC187" s="220">
        <f>VLOOKUP(BC$1,Rules!$AL$7:$BB$54,6, FALSE)*VLOOKUP($B187,'Cost prices'!$B$6:$H$538,7,FALSE)</f>
        <v>1980.0672000000002</v>
      </c>
      <c r="BD187" s="220">
        <f>VLOOKUP(BD$1,Rules!$AL$7:$BB$54,6, FALSE)*VLOOKUP($B187,'Cost prices'!$B$6:$H$538,7,FALSE)</f>
        <v>247.50840000000002</v>
      </c>
      <c r="BE187" s="220">
        <f>VLOOKUP(BE$1,Rules!$AL$7:$BB$54,6, FALSE)*VLOOKUP($B187,'Cost prices'!$B$6:$H$538,7,FALSE)</f>
        <v>123.75420000000001</v>
      </c>
      <c r="BF187" s="220"/>
      <c r="BG187" s="220">
        <f>VLOOKUP(BG$1,Rules!$AL$7:$BB$54,6, FALSE)*VLOOKUP($B187,'Cost prices'!$B$6:$H$538,7,FALSE)</f>
        <v>123.75420000000001</v>
      </c>
      <c r="BH187" s="220">
        <f>VLOOKUP(BH$1,Rules!$AL$7:$BB$54,6, FALSE)*VLOOKUP($B187,'Cost prices'!$B$6:$H$538,7,FALSE)</f>
        <v>123.75420000000001</v>
      </c>
      <c r="BI187" s="220">
        <f>VLOOKUP(BI$1,Rules!$AL$7:$BB$54,6, FALSE)*VLOOKUP($B187,'Cost prices'!$B$6:$H$538,7,FALSE)</f>
        <v>123.75420000000001</v>
      </c>
      <c r="BJ187" s="220">
        <f>VLOOKUP(BJ$1,Rules!$AL$7:$BB$54,6, FALSE)*VLOOKUP($B187,'Cost prices'!$B$6:$H$538,7,FALSE)</f>
        <v>123.75420000000001</v>
      </c>
      <c r="BK187" s="220">
        <f>VLOOKUP(BK$1,Rules!$AL$7:$BB$54,6, FALSE)*VLOOKUP($B187,'Cost prices'!$B$6:$H$538,7,FALSE)</f>
        <v>1980.0672000000002</v>
      </c>
    </row>
    <row r="188" spans="1:65" outlineLevel="1" x14ac:dyDescent="0.2">
      <c r="A188" s="183"/>
      <c r="B188" s="168" t="s">
        <v>1410</v>
      </c>
      <c r="E188" s="220">
        <f>VLOOKUP(E$1,Rules!$AL$7:$BB$54,7, FALSE)*VLOOKUP($B188,'Cost prices'!$B$6:$H$538,7,FALSE)</f>
        <v>675.70079999999996</v>
      </c>
      <c r="F188" s="220">
        <f>VLOOKUP(F$1,Rules!$AL$7:$BB$54,7, FALSE)*VLOOKUP($B188,'Cost prices'!$B$6:$H$538,7,FALSE)</f>
        <v>675.70079999999996</v>
      </c>
      <c r="H188" s="220">
        <f>VLOOKUP(H$1,Rules!$AL$7:$BB$54,7, FALSE)*VLOOKUP($B188,'Cost prices'!$B$6:$H$538,7,FALSE)</f>
        <v>675.70079999999996</v>
      </c>
      <c r="J188" s="220">
        <f>VLOOKUP(J$1,Rules!$AL$7:$BB$54,7, FALSE)*VLOOKUP($B188,'Cost prices'!$B$6:$H$538,7,FALSE)</f>
        <v>675.70079999999996</v>
      </c>
      <c r="K188" s="101"/>
      <c r="L188" s="220">
        <f>VLOOKUP(L$1,Rules!$AL$7:$BB$54,7, FALSE)*VLOOKUP($B188,'Cost prices'!$B$6:$H$538,7,FALSE)</f>
        <v>675.70079999999996</v>
      </c>
      <c r="M188" s="220"/>
      <c r="N188" s="220">
        <f>VLOOKUP(N$1,Rules!$AL$7:$BB$54,7, FALSE)*VLOOKUP($B188,'Cost prices'!$B$6:$H$538,7,FALSE)</f>
        <v>675.70079999999996</v>
      </c>
      <c r="O188" s="220"/>
      <c r="P188" s="220">
        <f>VLOOKUP(P$1,Rules!$AL$7:$BB$54,7, FALSE)*VLOOKUP($B188,'Cost prices'!$B$6:$H$538,7,FALSE)</f>
        <v>675.70079999999996</v>
      </c>
      <c r="Q188" s="220"/>
      <c r="R188" s="220">
        <f>VLOOKUP(R$1,Rules!$AL$7:$BB$54,7, FALSE)*VLOOKUP($B188,'Cost prices'!$B$6:$H$538,7,FALSE)</f>
        <v>675.70079999999996</v>
      </c>
      <c r="S188" s="220"/>
      <c r="T188" s="309"/>
      <c r="V188" s="220">
        <f>VLOOKUP(V$1,Rules!$AL$7:$BB$54,7, FALSE)*VLOOKUP($B188,'Cost prices'!$B$6:$H$538,7,FALSE)</f>
        <v>1351.4015999999999</v>
      </c>
      <c r="W188" s="220"/>
      <c r="X188" s="220">
        <f>VLOOKUP(X$1,Rules!$AL$7:$BB$54,7, FALSE)*VLOOKUP($B188,'Cost prices'!$B$6:$H$538,7,FALSE)</f>
        <v>2702.8031999999998</v>
      </c>
      <c r="Y188" s="220"/>
      <c r="Z188" s="220">
        <f>VLOOKUP(Z$1,Rules!$AL$7:$BB$54,7, FALSE)*VLOOKUP($B188,'Cost prices'!$B$6:$H$538,7,FALSE)</f>
        <v>6757.0079999999998</v>
      </c>
      <c r="AB188" s="220">
        <f>VLOOKUP(AB$1,Rules!$AL$7:$BB$54,7, FALSE)*VLOOKUP($B188,'Cost prices'!$B$6:$H$538,7,FALSE)</f>
        <v>0</v>
      </c>
      <c r="AD188" s="220">
        <f>VLOOKUP(AD$1,Rules!$AL$7:$BB$54,7, FALSE)*VLOOKUP($B188,'Cost prices'!$B$6:$H$538,7,FALSE)</f>
        <v>2702.8031999999998</v>
      </c>
      <c r="AE188" s="220">
        <f>VLOOKUP(AE$1,Rules!$AL$7:$BB$54,7, FALSE)*VLOOKUP($B188,'Cost prices'!$B$6:$H$538,7,FALSE)</f>
        <v>2702.8031999999998</v>
      </c>
      <c r="AF188" s="220">
        <f>VLOOKUP(AF$1,Rules!$AL$7:$BB$54,7, FALSE)*VLOOKUP($B188,'Cost prices'!$B$6:$H$538,7,FALSE)</f>
        <v>2702.8031999999998</v>
      </c>
      <c r="AH188" s="220">
        <f>VLOOKUP(AH$1,Rules!$AL$7:$BB$54,7, FALSE)*VLOOKUP($B188,'Cost prices'!$B$6:$H$538,7,FALSE)</f>
        <v>2702.8031999999998</v>
      </c>
      <c r="AI188" s="220">
        <f>VLOOKUP(AI$1,Rules!$AL$7:$BB$54,7, FALSE)*VLOOKUP($B188,'Cost prices'!$B$6:$H$538,7,FALSE)</f>
        <v>2702.8031999999998</v>
      </c>
      <c r="AK188" s="220">
        <f>VLOOKUP(AK$1,Rules!$AL$7:$BB$54,7, FALSE)*VLOOKUP($B188,'Cost prices'!$B$6:$H$538,7,FALSE)</f>
        <v>2702.8031999999998</v>
      </c>
      <c r="AL188" s="220">
        <f>VLOOKUP(AL$1,Rules!$AL$7:$BB$54,7, FALSE)*VLOOKUP($B188,'Cost prices'!$B$6:$H$538,7,FALSE)</f>
        <v>2702.8031999999998</v>
      </c>
      <c r="AM188" s="220">
        <f>VLOOKUP(AM$1,Rules!$AL$7:$BB$54,7, FALSE)*VLOOKUP($B188,'Cost prices'!$B$6:$H$538,7,FALSE)</f>
        <v>6757.0079999999998</v>
      </c>
      <c r="AO188" s="220">
        <f>VLOOKUP(AO$1,Rules!$AL$7:$BB$54,7, FALSE)*VLOOKUP($B188,'Cost prices'!$B$6:$H$538,7,FALSE)+
IF('External Prices'!Z$27&lt;&gt;"No", VLOOKUP("Coxial",Rules!$AL$7:$BB$54,7,FALSE) * VLOOKUP($B188,'Cost prices'!$B$6:$H$538,7,FALSE), 0)</f>
        <v>4054.2047999999995</v>
      </c>
      <c r="AP188" s="220">
        <f>VLOOKUP(AP$1,Rules!$AL$7:$BB$54,7, FALSE)*VLOOKUP($B188,'Cost prices'!$B$6:$H$538,7,FALSE)+
IF('External Prices'!AA$27&lt;&gt;"No", VLOOKUP("Coxial",Rules!$AL$7:$BB$54,7,FALSE) * VLOOKUP($B188,'Cost prices'!$B$6:$H$538,7,FALSE), 0)</f>
        <v>4054.2047999999995</v>
      </c>
      <c r="AQ188" s="220">
        <f>VLOOKUP(AQ$1,Rules!$AL$7:$BB$54,7, FALSE)*VLOOKUP($B188,'Cost prices'!$B$6:$H$538,7,FALSE)+
IF('External Prices'!AB$27&lt;&gt;"No", VLOOKUP("Coxial",Rules!$AL$7:$BB$54,7,FALSE) * VLOOKUP($B188,'Cost prices'!$B$6:$H$538,7,FALSE), 0)</f>
        <v>6757.0079999999998</v>
      </c>
      <c r="AS188" s="220">
        <f>VLOOKUP(AS$1,Rules!$AL$7:$BB$54,7, FALSE)*VLOOKUP($B188,'Cost prices'!$B$6:$H$538,7,FALSE)</f>
        <v>168.92519999999999</v>
      </c>
      <c r="AT188" s="220">
        <f>VLOOKUP(AT$1,Rules!$AL$7:$BB$54,7, FALSE)*VLOOKUP($B188,'Cost prices'!$B$6:$H$538,7,FALSE)</f>
        <v>168.92519999999999</v>
      </c>
      <c r="AU188" s="220">
        <f>VLOOKUP(AU$1,Rules!$AL$7:$BB$54,7, FALSE)*VLOOKUP($B188,'Cost prices'!$B$6:$H$538,7,FALSE)</f>
        <v>168.92519999999999</v>
      </c>
      <c r="AV188" s="220">
        <f>VLOOKUP(AV$1,Rules!$AL$7:$BB$54,7, FALSE)*VLOOKUP($B188,'Cost prices'!$B$6:$H$538,7,FALSE)</f>
        <v>168.92519999999999</v>
      </c>
      <c r="AW188" s="220">
        <f>VLOOKUP(AW$1,Rules!$AL$7:$BB$54,7, FALSE)*VLOOKUP($B188,'Cost prices'!$B$6:$H$538,7,FALSE)</f>
        <v>168.92519999999999</v>
      </c>
      <c r="AX188" s="220">
        <f>VLOOKUP(AX$1,Rules!$AL$7:$BB$54,7, FALSE)*VLOOKUP($B188,'Cost prices'!$B$6:$H$538,7,FALSE)</f>
        <v>168.92519999999999</v>
      </c>
      <c r="AY188" s="220">
        <f>VLOOKUP(AY$1,Rules!$AL$7:$BB$54,7, FALSE)*VLOOKUP($B188,'Cost prices'!$B$6:$H$538,7,FALSE)</f>
        <v>168.92519999999999</v>
      </c>
      <c r="AZ188" s="220">
        <f>VLOOKUP(AZ$1,Rules!$AL$7:$BB$54,7, FALSE)*VLOOKUP($B188,'Cost prices'!$B$6:$H$538,7,FALSE)</f>
        <v>168.92519999999999</v>
      </c>
      <c r="BA188" s="220">
        <f>VLOOKUP(BA$1,Rules!$AL$7:$BB$54,7, FALSE)*VLOOKUP($B188,'Cost prices'!$B$6:$H$538,7,FALSE)</f>
        <v>168.92519999999999</v>
      </c>
      <c r="BB188" s="220">
        <f>VLOOKUP(BB$1,Rules!$AL$7:$BB$54,7, FALSE)*VLOOKUP($B188,'Cost prices'!$B$6:$H$538,7,FALSE)</f>
        <v>168.92519999999999</v>
      </c>
      <c r="BC188" s="220">
        <f>VLOOKUP(BC$1,Rules!$AL$7:$BB$54,7, FALSE)*VLOOKUP($B188,'Cost prices'!$B$6:$H$538,7,FALSE)</f>
        <v>1351.4015999999999</v>
      </c>
      <c r="BD188" s="220">
        <f>VLOOKUP(BD$1,Rules!$AL$7:$BB$54,7, FALSE)*VLOOKUP($B188,'Cost prices'!$B$6:$H$538,7,FALSE)</f>
        <v>168.92519999999999</v>
      </c>
      <c r="BE188" s="220">
        <f>VLOOKUP(BE$1,Rules!$AL$7:$BB$54,7, FALSE)*VLOOKUP($B188,'Cost prices'!$B$6:$H$538,7,FALSE)</f>
        <v>42.231299999999997</v>
      </c>
      <c r="BF188" s="220"/>
      <c r="BG188" s="220">
        <f>VLOOKUP(BG$1,Rules!$AL$7:$BB$54,7, FALSE)*VLOOKUP($B188,'Cost prices'!$B$6:$H$538,7,FALSE)</f>
        <v>42.231299999999997</v>
      </c>
      <c r="BH188" s="220">
        <f>VLOOKUP(BH$1,Rules!$AL$7:$BB$54,7, FALSE)*VLOOKUP($B188,'Cost prices'!$B$6:$H$538,7,FALSE)</f>
        <v>42.231299999999997</v>
      </c>
      <c r="BI188" s="220">
        <f>VLOOKUP(BI$1,Rules!$AL$7:$BB$54,7, FALSE)*VLOOKUP($B188,'Cost prices'!$B$6:$H$538,7,FALSE)</f>
        <v>42.231299999999997</v>
      </c>
      <c r="BJ188" s="220">
        <f>VLOOKUP(BJ$1,Rules!$AL$7:$BB$54,7, FALSE)*VLOOKUP($B188,'Cost prices'!$B$6:$H$538,7,FALSE)</f>
        <v>42.231299999999997</v>
      </c>
      <c r="BK188" s="220">
        <f>VLOOKUP(BK$1,Rules!$AL$7:$BB$54,7, FALSE)*VLOOKUP($B188,'Cost prices'!$B$6:$H$538,7,FALSE)</f>
        <v>1351.4015999999999</v>
      </c>
    </row>
    <row r="189" spans="1:65" outlineLevel="1" x14ac:dyDescent="0.2">
      <c r="A189" s="183"/>
      <c r="B189" s="219" t="s">
        <v>1539</v>
      </c>
      <c r="E189" s="220">
        <f>VLOOKUP(E$1,Rules!$AL$7:$BB$54,8, FALSE)*VLOOKUP($B189,'Cost prices'!$B$6:$H$538,7,FALSE)</f>
        <v>1495.2</v>
      </c>
      <c r="F189" s="220">
        <f>VLOOKUP(F$1,Rules!$AL$7:$BB$54,8, FALSE)*VLOOKUP($B189,'Cost prices'!$B$6:$H$538,7,FALSE)</f>
        <v>1495.2</v>
      </c>
      <c r="H189" s="220">
        <f>VLOOKUP(H$1,Rules!$AL$7:$BB$54,8, FALSE)*VLOOKUP($B189,'Cost prices'!$B$6:$H$538,7,FALSE)</f>
        <v>1495.2</v>
      </c>
      <c r="J189" s="220">
        <f>VLOOKUP(J$1,Rules!$AL$7:$BB$54,8, FALSE)*VLOOKUP($B189,'Cost prices'!$B$6:$H$538,7,FALSE)</f>
        <v>1495.2</v>
      </c>
      <c r="K189" s="101"/>
      <c r="L189" s="220">
        <f>VLOOKUP(L$1,Rules!$AL$7:$BB$54,8, FALSE)*VLOOKUP($B189,'Cost prices'!$B$6:$H$538,7,FALSE)</f>
        <v>1495.2</v>
      </c>
      <c r="M189" s="220"/>
      <c r="N189" s="220">
        <f>VLOOKUP(N$1,Rules!$AL$7:$BB$54,8, FALSE)*VLOOKUP($B189,'Cost prices'!$B$6:$H$538,7,FALSE)</f>
        <v>1495.2</v>
      </c>
      <c r="O189" s="220"/>
      <c r="P189" s="220">
        <f>VLOOKUP(P$1,Rules!$AL$7:$BB$54,8, FALSE)*VLOOKUP($B189,'Cost prices'!$B$6:$H$538,7,FALSE)</f>
        <v>1495.2</v>
      </c>
      <c r="Q189" s="220"/>
      <c r="R189" s="220">
        <f>VLOOKUP(R$1,Rules!$AL$7:$BB$54,8, FALSE)*VLOOKUP($B189,'Cost prices'!$B$6:$H$538,7,FALSE)</f>
        <v>1495.2</v>
      </c>
      <c r="S189" s="220"/>
      <c r="T189" s="309"/>
      <c r="V189" s="220">
        <f>VLOOKUP(V$1,Rules!$AL$7:$BB$54,8, FALSE)*VLOOKUP($B189,'Cost prices'!$B$6:$H$538,7,FALSE)</f>
        <v>2990.4</v>
      </c>
      <c r="W189" s="220"/>
      <c r="X189" s="220">
        <f>VLOOKUP(X$1,Rules!$AL$7:$BB$54,8, FALSE)*VLOOKUP($B189,'Cost prices'!$B$6:$H$538,7,FALSE)</f>
        <v>5980.8</v>
      </c>
      <c r="Y189" s="220"/>
      <c r="Z189" s="220">
        <f>VLOOKUP(Z$1,Rules!$AL$7:$BB$54,8, FALSE)*VLOOKUP($B189,'Cost prices'!$B$6:$H$538,7,FALSE)</f>
        <v>14952</v>
      </c>
      <c r="AB189" s="220">
        <f>VLOOKUP(AB$1,Rules!$AL$7:$BB$54,8, FALSE)*VLOOKUP($B189,'Cost prices'!$B$6:$H$538,7,FALSE)</f>
        <v>0</v>
      </c>
      <c r="AD189" s="220">
        <f>VLOOKUP(AD$1,Rules!$AL$7:$BB$54,8, FALSE)*VLOOKUP($B189,'Cost prices'!$B$6:$H$538,7,FALSE)</f>
        <v>5980.8</v>
      </c>
      <c r="AE189" s="220">
        <f>VLOOKUP(AE$1,Rules!$AL$7:$BB$54,8, FALSE)*VLOOKUP($B189,'Cost prices'!$B$6:$H$538,7,FALSE)</f>
        <v>5980.8</v>
      </c>
      <c r="AF189" s="220">
        <f>VLOOKUP(AF$1,Rules!$AL$7:$BB$54,8, FALSE)*VLOOKUP($B189,'Cost prices'!$B$6:$H$538,7,FALSE)</f>
        <v>5980.8</v>
      </c>
      <c r="AH189" s="220">
        <f>VLOOKUP(AH$1,Rules!$AL$7:$BB$54,8, FALSE)*VLOOKUP($B189,'Cost prices'!$B$6:$H$538,7,FALSE)</f>
        <v>8971.2000000000007</v>
      </c>
      <c r="AI189" s="220">
        <f>VLOOKUP(AI$1,Rules!$AL$7:$BB$54,8, FALSE)*VLOOKUP($B189,'Cost prices'!$B$6:$H$538,7,FALSE)</f>
        <v>8971.2000000000007</v>
      </c>
      <c r="AK189" s="220">
        <f>VLOOKUP(AK$1,Rules!$AL$7:$BB$54,8, FALSE)*VLOOKUP($B189,'Cost prices'!$B$6:$H$538,7,FALSE)</f>
        <v>8971.2000000000007</v>
      </c>
      <c r="AL189" s="220">
        <f>VLOOKUP(AL$1,Rules!$AL$7:$BB$54,8, FALSE)*VLOOKUP($B189,'Cost prices'!$B$6:$H$538,7,FALSE)</f>
        <v>8971.2000000000007</v>
      </c>
      <c r="AM189" s="220">
        <f>VLOOKUP(AM$1,Rules!$AL$7:$BB$54,8, FALSE)*VLOOKUP($B189,'Cost prices'!$B$6:$H$538,7,FALSE)</f>
        <v>14952</v>
      </c>
      <c r="AO189" s="220">
        <f>VLOOKUP(AO$1,Rules!$AL$7:$BB$54,8, FALSE)*VLOOKUP($B189,'Cost prices'!$B$6:$H$538,7,FALSE)+
IF('External Prices'!Z$27&lt;&gt;"No", VLOOKUP("Coxial",Rules!$AL$7:$BB$54,8,FALSE) * VLOOKUP($B189,'Cost prices'!$B$6:$H$538,7,FALSE), 0)</f>
        <v>14952</v>
      </c>
      <c r="AP189" s="220">
        <f>VLOOKUP(AP$1,Rules!$AL$7:$BB$54,8, FALSE)*VLOOKUP($B189,'Cost prices'!$B$6:$H$538,7,FALSE)+
IF('External Prices'!AA$27&lt;&gt;"No", VLOOKUP("Coxial",Rules!$AL$7:$BB$54,8,FALSE) * VLOOKUP($B189,'Cost prices'!$B$6:$H$538,7,FALSE), 0)</f>
        <v>14952</v>
      </c>
      <c r="AQ189" s="220">
        <f>VLOOKUP(AQ$1,Rules!$AL$7:$BB$54,8, FALSE)*VLOOKUP($B189,'Cost prices'!$B$6:$H$538,7,FALSE)+
IF('External Prices'!AB$27&lt;&gt;"No", VLOOKUP("Coxial",Rules!$AL$7:$BB$54,8,FALSE) * VLOOKUP($B189,'Cost prices'!$B$6:$H$538,7,FALSE), 0)</f>
        <v>14952</v>
      </c>
      <c r="AS189" s="220">
        <f>VLOOKUP(AS$1,Rules!$AL$7:$BB$54,8, FALSE)*VLOOKUP($B189,'Cost prices'!$B$6:$H$538,7,FALSE)</f>
        <v>747.6</v>
      </c>
      <c r="AT189" s="220">
        <f>VLOOKUP(AT$1,Rules!$AL$7:$BB$54,8, FALSE)*VLOOKUP($B189,'Cost prices'!$B$6:$H$538,7,FALSE)</f>
        <v>747.6</v>
      </c>
      <c r="AU189" s="220">
        <f>VLOOKUP(AU$1,Rules!$AL$7:$BB$54,8, FALSE)*VLOOKUP($B189,'Cost prices'!$B$6:$H$538,7,FALSE)</f>
        <v>747.6</v>
      </c>
      <c r="AV189" s="220">
        <f>VLOOKUP(AV$1,Rules!$AL$7:$BB$54,8, FALSE)*VLOOKUP($B189,'Cost prices'!$B$6:$H$538,7,FALSE)</f>
        <v>747.6</v>
      </c>
      <c r="AW189" s="220">
        <f>VLOOKUP(AW$1,Rules!$AL$7:$BB$54,8, FALSE)*VLOOKUP($B189,'Cost prices'!$B$6:$H$538,7,FALSE)</f>
        <v>747.6</v>
      </c>
      <c r="AX189" s="220">
        <f>VLOOKUP(AX$1,Rules!$AL$7:$BB$54,8, FALSE)*VLOOKUP($B189,'Cost prices'!$B$6:$H$538,7,FALSE)</f>
        <v>747.6</v>
      </c>
      <c r="AY189" s="220">
        <f>VLOOKUP(AY$1,Rules!$AL$7:$BB$54,8, FALSE)*VLOOKUP($B189,'Cost prices'!$B$6:$H$538,7,FALSE)</f>
        <v>747.6</v>
      </c>
      <c r="AZ189" s="220">
        <f>VLOOKUP(AZ$1,Rules!$AL$7:$BB$54,8, FALSE)*VLOOKUP($B189,'Cost prices'!$B$6:$H$538,7,FALSE)</f>
        <v>747.6</v>
      </c>
      <c r="BA189" s="220">
        <f>VLOOKUP(BA$1,Rules!$AL$7:$BB$54,8, FALSE)*VLOOKUP($B189,'Cost prices'!$B$6:$H$538,7,FALSE)</f>
        <v>747.6</v>
      </c>
      <c r="BB189" s="220">
        <f>VLOOKUP(BB$1,Rules!$AL$7:$BB$54,8, FALSE)*VLOOKUP($B189,'Cost prices'!$B$6:$H$538,7,FALSE)</f>
        <v>747.6</v>
      </c>
      <c r="BC189" s="220">
        <f>VLOOKUP(BC$1,Rules!$AL$7:$BB$54,8, FALSE)*VLOOKUP($B189,'Cost prices'!$B$6:$H$538,7,FALSE)</f>
        <v>5980.8</v>
      </c>
      <c r="BD189" s="220">
        <f>VLOOKUP(BD$1,Rules!$AL$7:$BB$54,8, FALSE)*VLOOKUP($B189,'Cost prices'!$B$6:$H$538,7,FALSE)</f>
        <v>747.6</v>
      </c>
      <c r="BE189" s="220">
        <f>VLOOKUP(BE$1,Rules!$AL$7:$BB$54,8, FALSE)*VLOOKUP($B189,'Cost prices'!$B$6:$H$538,7,FALSE)</f>
        <v>93.45</v>
      </c>
      <c r="BF189" s="220"/>
      <c r="BG189" s="220">
        <f>VLOOKUP(BG$1,Rules!$AL$7:$BB$54,8, FALSE)*VLOOKUP($B189,'Cost prices'!$B$6:$H$538,7,FALSE)</f>
        <v>93.45</v>
      </c>
      <c r="BH189" s="220">
        <f>VLOOKUP(BH$1,Rules!$AL$7:$BB$54,8, FALSE)*VLOOKUP($B189,'Cost prices'!$B$6:$H$538,7,FALSE)</f>
        <v>93.45</v>
      </c>
      <c r="BI189" s="220">
        <f>VLOOKUP(BI$1,Rules!$AL$7:$BB$54,8, FALSE)*VLOOKUP($B189,'Cost prices'!$B$6:$H$538,7,FALSE)</f>
        <v>93.45</v>
      </c>
      <c r="BJ189" s="220">
        <f>VLOOKUP(BJ$1,Rules!$AL$7:$BB$54,8, FALSE)*VLOOKUP($B189,'Cost prices'!$B$6:$H$538,7,FALSE)</f>
        <v>93.45</v>
      </c>
      <c r="BK189" s="220">
        <f>VLOOKUP(BK$1,Rules!$AL$7:$BB$54,8, FALSE)*VLOOKUP($B189,'Cost prices'!$B$6:$H$538,7,FALSE)</f>
        <v>2990.4</v>
      </c>
    </row>
    <row r="190" spans="1:65" outlineLevel="1" x14ac:dyDescent="0.2">
      <c r="A190" s="183"/>
      <c r="B190" s="219" t="s">
        <v>1180</v>
      </c>
      <c r="E190" s="220">
        <f>VLOOKUP(E$1,Rules!$AL$7:$BB$54,9, FALSE)*VLOOKUP($B190,'Cost prices'!$B$6:$H$538,7,FALSE)</f>
        <v>4800</v>
      </c>
      <c r="F190" s="220">
        <f>VLOOKUP(F$1,Rules!$AL$7:$BB$54,9, FALSE)*VLOOKUP($B190,'Cost prices'!$B$6:$H$538,7,FALSE)</f>
        <v>4800</v>
      </c>
      <c r="H190" s="220">
        <f>VLOOKUP(H$1,Rules!$AL$7:$BB$54,9, FALSE)*VLOOKUP($B190,'Cost prices'!$B$6:$H$538,7,FALSE)</f>
        <v>4800</v>
      </c>
      <c r="J190" s="220">
        <f>VLOOKUP(J$1,Rules!$AL$7:$BB$54,9, FALSE)*VLOOKUP($B190,'Cost prices'!$B$6:$H$538,7,FALSE)</f>
        <v>4800</v>
      </c>
      <c r="K190" s="101"/>
      <c r="L190" s="220">
        <f>VLOOKUP(L$1,Rules!$AL$7:$BB$54,9, FALSE)*VLOOKUP($B190,'Cost prices'!$B$6:$H$538,7,FALSE)</f>
        <v>4800</v>
      </c>
      <c r="M190" s="220"/>
      <c r="N190" s="220">
        <f>VLOOKUP(N$1,Rules!$AL$7:$BB$54,9, FALSE)*VLOOKUP($B190,'Cost prices'!$B$6:$H$538,7,FALSE)</f>
        <v>4800</v>
      </c>
      <c r="O190" s="220"/>
      <c r="P190" s="220">
        <f>VLOOKUP(P$1,Rules!$AL$7:$BB$54,9, FALSE)*VLOOKUP($B190,'Cost prices'!$B$6:$H$538,7,FALSE)</f>
        <v>4800</v>
      </c>
      <c r="Q190" s="220"/>
      <c r="R190" s="220">
        <f>VLOOKUP(R$1,Rules!$AL$7:$BB$54,9, FALSE)*VLOOKUP($B190,'Cost prices'!$B$6:$H$538,7,FALSE)</f>
        <v>4800</v>
      </c>
      <c r="S190" s="220"/>
      <c r="T190" s="309"/>
      <c r="V190" s="220">
        <f>VLOOKUP(V$1,Rules!$AL$7:$BB$54,9, FALSE)*VLOOKUP($B190,'Cost prices'!$B$6:$H$538,7,FALSE)</f>
        <v>9600</v>
      </c>
      <c r="W190" s="220"/>
      <c r="X190" s="220">
        <f>VLOOKUP(X$1,Rules!$AL$7:$BB$54,9, FALSE)*VLOOKUP($B190,'Cost prices'!$B$6:$H$538,7,FALSE)</f>
        <v>9600</v>
      </c>
      <c r="Y190" s="220"/>
      <c r="Z190" s="220">
        <f>VLOOKUP(Z$1,Rules!$AL$7:$BB$54,9, FALSE)*VLOOKUP($B190,'Cost prices'!$B$6:$H$538,7,FALSE)</f>
        <v>32000</v>
      </c>
      <c r="AB190" s="220">
        <f>VLOOKUP(AB$1,Rules!$AL$7:$BB$54,9, FALSE)*VLOOKUP($B190,'Cost prices'!$B$6:$H$538,7,FALSE)</f>
        <v>8000</v>
      </c>
      <c r="AD190" s="220">
        <f>VLOOKUP(AD$1,Rules!$AL$7:$BB$54,9, FALSE)*VLOOKUP($B190,'Cost prices'!$B$6:$H$538,7,FALSE)</f>
        <v>9600</v>
      </c>
      <c r="AE190" s="220">
        <f>VLOOKUP(AE$1,Rules!$AL$7:$BB$54,9, FALSE)*VLOOKUP($B190,'Cost prices'!$B$6:$H$538,7,FALSE)</f>
        <v>9600</v>
      </c>
      <c r="AF190" s="220">
        <f>VLOOKUP(AF$1,Rules!$AL$7:$BB$54,9, FALSE)*VLOOKUP($B190,'Cost prices'!$B$6:$H$538,7,FALSE)</f>
        <v>9600</v>
      </c>
      <c r="AH190" s="220">
        <f>VLOOKUP(AH$1,Rules!$AL$7:$BB$54,9, FALSE)*VLOOKUP($B190,'Cost prices'!$B$6:$H$538,7,FALSE)</f>
        <v>16000</v>
      </c>
      <c r="AI190" s="220">
        <f>VLOOKUP(AI$1,Rules!$AL$7:$BB$54,9, FALSE)*VLOOKUP($B190,'Cost prices'!$B$6:$H$538,7,FALSE)</f>
        <v>16000</v>
      </c>
      <c r="AK190" s="220">
        <f>VLOOKUP(AK$1,Rules!$AL$7:$BB$54,9, FALSE)*VLOOKUP($B190,'Cost prices'!$B$6:$H$538,7,FALSE)</f>
        <v>16000</v>
      </c>
      <c r="AL190" s="220">
        <f>VLOOKUP(AL$1,Rules!$AL$7:$BB$54,9, FALSE)*VLOOKUP($B190,'Cost prices'!$B$6:$H$538,7,FALSE)</f>
        <v>16000</v>
      </c>
      <c r="AM190" s="220">
        <f>VLOOKUP(AM$1,Rules!$AL$7:$BB$54,9, FALSE)*VLOOKUP($B190,'Cost prices'!$B$6:$H$538,7,FALSE)</f>
        <v>24000</v>
      </c>
      <c r="AO190" s="220">
        <f>VLOOKUP(AO$1,Rules!$AL$7:$BB$54,9, FALSE)*VLOOKUP($B190,'Cost prices'!$B$6:$H$538,7,FALSE)+
IF('External Prices'!Z$27&lt;&gt;"No", VLOOKUP("Coxial",Rules!$AL$7:$BB$54,9,FALSE) * VLOOKUP($B190,'Cost prices'!$B$6:$H$538,7,FALSE), 0)</f>
        <v>32000</v>
      </c>
      <c r="AP190" s="220">
        <f>VLOOKUP(AP$1,Rules!$AL$7:$BB$54,9, FALSE)*VLOOKUP($B190,'Cost prices'!$B$6:$H$538,7,FALSE)+
IF('External Prices'!AA$27&lt;&gt;"No", VLOOKUP("Coxial",Rules!$AL$7:$BB$54,9,FALSE) * VLOOKUP($B190,'Cost prices'!$B$6:$H$538,7,FALSE), 0)</f>
        <v>32000</v>
      </c>
      <c r="AQ190" s="220">
        <f>VLOOKUP(AQ$1,Rules!$AL$7:$BB$54,9, FALSE)*VLOOKUP($B190,'Cost prices'!$B$6:$H$538,7,FALSE)+
IF('External Prices'!AB$27&lt;&gt;"No", VLOOKUP("Coxial",Rules!$AL$7:$BB$54,9,FALSE) * VLOOKUP($B190,'Cost prices'!$B$6:$H$538,7,FALSE), 0)</f>
        <v>32000</v>
      </c>
      <c r="AS190" s="220">
        <f>VLOOKUP(AS$1,Rules!$AL$7:$BB$54,9, FALSE)*VLOOKUP($B190,'Cost prices'!$B$6:$H$538,7,FALSE)</f>
        <v>800</v>
      </c>
      <c r="AT190" s="220">
        <f>VLOOKUP(AT$1,Rules!$AL$7:$BB$54,9, FALSE)*VLOOKUP($B190,'Cost prices'!$B$6:$H$538,7,FALSE)</f>
        <v>800</v>
      </c>
      <c r="AU190" s="220">
        <f>VLOOKUP(AU$1,Rules!$AL$7:$BB$54,9, FALSE)*VLOOKUP($B190,'Cost prices'!$B$6:$H$538,7,FALSE)</f>
        <v>800</v>
      </c>
      <c r="AV190" s="220">
        <f>VLOOKUP(AV$1,Rules!$AL$7:$BB$54,9, FALSE)*VLOOKUP($B190,'Cost prices'!$B$6:$H$538,7,FALSE)</f>
        <v>800</v>
      </c>
      <c r="AW190" s="220">
        <f>VLOOKUP(AW$1,Rules!$AL$7:$BB$54,9, FALSE)*VLOOKUP($B190,'Cost prices'!$B$6:$H$538,7,FALSE)</f>
        <v>800</v>
      </c>
      <c r="AX190" s="220">
        <f>VLOOKUP(AX$1,Rules!$AL$7:$BB$54,9, FALSE)*VLOOKUP($B190,'Cost prices'!$B$6:$H$538,7,FALSE)</f>
        <v>800</v>
      </c>
      <c r="AY190" s="220">
        <f>VLOOKUP(AY$1,Rules!$AL$7:$BB$54,9, FALSE)*VLOOKUP($B190,'Cost prices'!$B$6:$H$538,7,FALSE)</f>
        <v>800</v>
      </c>
      <c r="AZ190" s="220">
        <f>VLOOKUP(AZ$1,Rules!$AL$7:$BB$54,9, FALSE)*VLOOKUP($B190,'Cost prices'!$B$6:$H$538,7,FALSE)</f>
        <v>800</v>
      </c>
      <c r="BA190" s="220">
        <f>VLOOKUP(BA$1,Rules!$AL$7:$BB$54,9, FALSE)*VLOOKUP($B190,'Cost prices'!$B$6:$H$538,7,FALSE)</f>
        <v>800</v>
      </c>
      <c r="BB190" s="220">
        <f>VLOOKUP(BB$1,Rules!$AL$7:$BB$54,9, FALSE)*VLOOKUP($B190,'Cost prices'!$B$6:$H$538,7,FALSE)</f>
        <v>800</v>
      </c>
      <c r="BC190" s="220">
        <f>VLOOKUP(BC$1,Rules!$AL$7:$BB$54,9, FALSE)*VLOOKUP($B190,'Cost prices'!$B$6:$H$538,7,FALSE)</f>
        <v>6400</v>
      </c>
      <c r="BD190" s="220">
        <f>VLOOKUP(BD$1,Rules!$AL$7:$BB$54,9, FALSE)*VLOOKUP($B190,'Cost prices'!$B$6:$H$538,7,FALSE)</f>
        <v>800</v>
      </c>
      <c r="BE190" s="220">
        <f>VLOOKUP(BE$1,Rules!$AL$7:$BB$54,9, FALSE)*VLOOKUP($B190,'Cost prices'!$B$6:$H$538,7,FALSE)</f>
        <v>400</v>
      </c>
      <c r="BF190" s="220"/>
      <c r="BG190" s="220">
        <f>VLOOKUP(BG$1,Rules!$AL$7:$BB$54,9, FALSE)*VLOOKUP($B190,'Cost prices'!$B$6:$H$538,7,FALSE)</f>
        <v>400</v>
      </c>
      <c r="BH190" s="220">
        <f>VLOOKUP(BH$1,Rules!$AL$7:$BB$54,9, FALSE)*VLOOKUP($B190,'Cost prices'!$B$6:$H$538,7,FALSE)</f>
        <v>400</v>
      </c>
      <c r="BI190" s="220">
        <f>VLOOKUP(BI$1,Rules!$AL$7:$BB$54,9, FALSE)*VLOOKUP($B190,'Cost prices'!$B$6:$H$538,7,FALSE)</f>
        <v>100</v>
      </c>
      <c r="BJ190" s="220">
        <f>VLOOKUP(BJ$1,Rules!$AL$7:$BB$54,9, FALSE)*VLOOKUP($B190,'Cost prices'!$B$6:$H$538,7,FALSE)</f>
        <v>400</v>
      </c>
      <c r="BK190" s="220">
        <f>VLOOKUP(BK$1,Rules!$AL$7:$BB$54,9, FALSE)*VLOOKUP($B190,'Cost prices'!$B$6:$H$538,7,FALSE)</f>
        <v>9600</v>
      </c>
    </row>
    <row r="191" spans="1:65" outlineLevel="1" x14ac:dyDescent="0.2">
      <c r="A191" s="183"/>
      <c r="B191" s="94"/>
      <c r="E191" s="220"/>
      <c r="F191" s="220"/>
      <c r="H191" s="220"/>
      <c r="J191" s="220"/>
      <c r="K191" s="101"/>
      <c r="L191" s="220"/>
      <c r="M191" s="220"/>
      <c r="N191" s="220"/>
      <c r="O191" s="220"/>
      <c r="P191" s="220"/>
      <c r="Q191" s="220"/>
      <c r="R191" s="220"/>
      <c r="S191" s="220"/>
      <c r="T191" s="309"/>
      <c r="U191" s="103"/>
      <c r="V191" s="220"/>
      <c r="W191" s="220"/>
      <c r="X191" s="220"/>
      <c r="Y191" s="220"/>
      <c r="Z191" s="220"/>
      <c r="AB191" s="220"/>
      <c r="AD191" s="220"/>
      <c r="AE191" s="220"/>
      <c r="AF191" s="220"/>
      <c r="AG191" s="103"/>
      <c r="AH191" s="220"/>
      <c r="AI191" s="220"/>
      <c r="AJ191" s="103"/>
      <c r="AK191" s="220"/>
      <c r="AL191" s="220"/>
      <c r="AM191" s="220"/>
      <c r="AN191" s="103"/>
      <c r="AO191" s="220"/>
      <c r="AP191" s="220"/>
      <c r="AQ191" s="220"/>
      <c r="AR191" s="107"/>
      <c r="AS191" s="220"/>
      <c r="AT191" s="220"/>
      <c r="AU191" s="220"/>
      <c r="AV191" s="220"/>
      <c r="AW191" s="220"/>
      <c r="AX191" s="220"/>
      <c r="AY191" s="220"/>
      <c r="AZ191" s="220"/>
      <c r="BA191" s="220"/>
      <c r="BB191" s="220"/>
      <c r="BC191" s="220"/>
      <c r="BD191" s="220"/>
      <c r="BE191" s="220"/>
      <c r="BF191" s="220"/>
      <c r="BG191" s="220"/>
      <c r="BH191" s="220"/>
      <c r="BI191" s="220"/>
      <c r="BJ191" s="220"/>
      <c r="BK191" s="220"/>
    </row>
    <row r="192" spans="1:65" outlineLevel="1" x14ac:dyDescent="0.2">
      <c r="A192" s="183"/>
      <c r="B192" s="219" t="s">
        <v>589</v>
      </c>
      <c r="E192" s="220"/>
      <c r="F192" s="220"/>
      <c r="G192" s="103"/>
      <c r="H192" s="220"/>
      <c r="I192" s="103"/>
      <c r="J192" s="220"/>
      <c r="L192" s="220"/>
      <c r="M192" s="220"/>
      <c r="N192" s="220">
        <f>VLOOKUP(N$1,Rules!$AL$7:$BB$54,13, FALSE)*VLOOKUP($B192,'Cost prices'!$B$6:$H$538,7,FALSE)</f>
        <v>0</v>
      </c>
      <c r="O192" s="220"/>
      <c r="P192" s="220">
        <f>VLOOKUP(P$1,Rules!$AL$7:$BB$54,13, FALSE)*VLOOKUP($B192,'Cost prices'!$B$6:$H$538,7,FALSE)</f>
        <v>0</v>
      </c>
      <c r="Q192" s="220"/>
      <c r="R192" s="220">
        <f>VLOOKUP(R$1,Rules!$AL$7:$BB$54,13, FALSE)*VLOOKUP($B192,'Cost prices'!$B$6:$H$538,7,FALSE)</f>
        <v>0</v>
      </c>
      <c r="S192" s="220"/>
      <c r="T192" s="309"/>
      <c r="U192" s="103"/>
      <c r="V192" s="220">
        <f>VLOOKUP(V$1,Rules!$AL$7:$BB$54,13, FALSE)*VLOOKUP($B192,'Cost prices'!$B$6:$H$538,7,FALSE)</f>
        <v>0</v>
      </c>
      <c r="W192" s="220"/>
      <c r="X192" s="220">
        <f>VLOOKUP(X$1,Rules!$AL$7:$BB$54,13, FALSE)*VLOOKUP($B192,'Cost prices'!$B$6:$H$538,7,FALSE)</f>
        <v>0</v>
      </c>
      <c r="Y192" s="220"/>
      <c r="Z192" s="220">
        <f>VLOOKUP(Z$1,Rules!$AL$7:$BB$54,13, FALSE)*VLOOKUP($B192,'Cost prices'!$B$6:$H$538,7,FALSE)</f>
        <v>15056.34</v>
      </c>
      <c r="AA192" s="103"/>
      <c r="AB192" s="220">
        <f>VLOOKUP(AB$1,Rules!$AL$7:$BB$54,12, FALSE)*VLOOKUP($B192,'Cost prices'!$B$6:$H$538,7,FALSE)</f>
        <v>0</v>
      </c>
      <c r="AC192" s="103"/>
      <c r="AD192" s="220">
        <f>VLOOKUP(AD$1,Rules!$AL$7:$BB$54,13, FALSE)*VLOOKUP($B192,'Cost prices'!$B$6:$H$538,7,FALSE)</f>
        <v>0</v>
      </c>
      <c r="AE192" s="220">
        <f>VLOOKUP(AE$1,Rules!$AL$7:$BB$54,13, FALSE)*VLOOKUP($B192,'Cost prices'!$B$6:$H$538,7,FALSE)</f>
        <v>0</v>
      </c>
      <c r="AF192" s="220">
        <f>VLOOKUP(AF$1,Rules!$AL$7:$BB$54,13, FALSE)*VLOOKUP($B192,'Cost prices'!$B$6:$H$538,7,FALSE)</f>
        <v>15056.34</v>
      </c>
      <c r="AG192" s="103"/>
      <c r="AH192" s="220">
        <f>VLOOKUP(AH$1,Rules!$AL$7:$BB$54,13, FALSE)*VLOOKUP($B192,'Cost prices'!$B$6:$H$538,7,FALSE)</f>
        <v>0</v>
      </c>
      <c r="AI192" s="220">
        <f>VLOOKUP(AI$1,Rules!$AL$7:$BB$54,13, FALSE)*VLOOKUP($B192,'Cost prices'!$B$6:$H$538,7,FALSE)</f>
        <v>0</v>
      </c>
      <c r="AJ192" s="103"/>
      <c r="AK192" s="220">
        <f>VLOOKUP(AK$1,Rules!$AL$7:$BB$54,13, FALSE)*VLOOKUP($B192,'Cost prices'!$B$6:$H$538,7,FALSE)</f>
        <v>15056.34</v>
      </c>
      <c r="AL192" s="220">
        <f>VLOOKUP(AL$1,Rules!$AL$7:$BB$54,13, FALSE)*VLOOKUP($B192,'Cost prices'!$B$6:$H$538,7,FALSE)</f>
        <v>15056.34</v>
      </c>
      <c r="AM192" s="220">
        <f>VLOOKUP(AM$1,Rules!$AL$7:$BB$54,13, FALSE)*VLOOKUP($B192,'Cost prices'!$B$6:$H$538,7,FALSE)</f>
        <v>15056.34</v>
      </c>
      <c r="AN192" s="103"/>
      <c r="AO192" s="220">
        <f>VLOOKUP(AO$1,Rules!$AL$7:$BB$54,13, FALSE)*VLOOKUP($B192,'Cost prices'!$B$6:$H$538,7,FALSE)</f>
        <v>15056.34</v>
      </c>
      <c r="AP192" s="220">
        <f>VLOOKUP(AP$1,Rules!$AL$7:$BB$54,13, FALSE)*VLOOKUP($B192,'Cost prices'!$B$6:$H$538,7,FALSE)</f>
        <v>15056.34</v>
      </c>
      <c r="AQ192" s="220">
        <f>VLOOKUP(AQ$1,Rules!$AL$7:$BB$54,13, FALSE)*VLOOKUP($B192,'Cost prices'!$B$6:$H$538,7,FALSE)</f>
        <v>15056.34</v>
      </c>
      <c r="AR192" s="107"/>
      <c r="AS192" s="220">
        <f>VLOOKUP(AS$1,Rules!$AL$7:$BB$54,12, FALSE)*VLOOKUP($B192,'Cost prices'!$B$6:$H$538,7,FALSE)</f>
        <v>0</v>
      </c>
      <c r="AT192" s="220">
        <f>VLOOKUP(AT$1,Rules!$AL$7:$BB$54,12, FALSE)*VLOOKUP($B192,'Cost prices'!$B$6:$H$538,7,FALSE)</f>
        <v>0</v>
      </c>
      <c r="AU192" s="220">
        <f>VLOOKUP(AU$1,Rules!$AL$7:$BB$54,12, FALSE)*VLOOKUP($B192,'Cost prices'!$B$6:$H$538,7,FALSE)</f>
        <v>0</v>
      </c>
      <c r="AV192" s="220">
        <f>VLOOKUP(AV$1,Rules!$AL$7:$BB$54,12, FALSE)*VLOOKUP($B192,'Cost prices'!$B$6:$H$538,7,FALSE)</f>
        <v>0</v>
      </c>
      <c r="AW192" s="220">
        <f>VLOOKUP(AW$1,Rules!$AL$7:$BB$54,12, FALSE)*VLOOKUP($B192,'Cost prices'!$B$6:$H$538,7,FALSE)</f>
        <v>0</v>
      </c>
      <c r="AX192" s="220">
        <f>VLOOKUP(AX$1,Rules!$AL$7:$BB$54,12, FALSE)*VLOOKUP($B192,'Cost prices'!$B$6:$H$538,7,FALSE)</f>
        <v>0</v>
      </c>
      <c r="AY192" s="220">
        <f>VLOOKUP(AY$1,Rules!$AL$7:$BB$54,12, FALSE)*VLOOKUP($B192,'Cost prices'!$B$6:$H$538,7,FALSE)</f>
        <v>0</v>
      </c>
      <c r="AZ192" s="220">
        <f>VLOOKUP(AZ$1,Rules!$AL$7:$BB$54,12, FALSE)*VLOOKUP($B192,'Cost prices'!$B$6:$H$538,7,FALSE)</f>
        <v>0</v>
      </c>
      <c r="BA192" s="220">
        <f>VLOOKUP(BA$1,Rules!$AL$7:$BB$54,12, FALSE)*VLOOKUP($B192,'Cost prices'!$B$6:$H$538,7,FALSE)</f>
        <v>0</v>
      </c>
      <c r="BB192" s="220">
        <f>VLOOKUP(BB$1,Rules!$AL$7:$BB$54,12, FALSE)*VLOOKUP($B192,'Cost prices'!$B$6:$H$538,7,FALSE)</f>
        <v>0</v>
      </c>
      <c r="BC192" s="220">
        <f>VLOOKUP(BC$1,Rules!$AL$7:$BB$54,12, FALSE)*VLOOKUP($B192,'Cost prices'!$B$6:$H$538,7,FALSE)</f>
        <v>0</v>
      </c>
      <c r="BD192" s="220">
        <f>VLOOKUP(BD$1,Rules!$AL$7:$BB$54,12, FALSE)*VLOOKUP($B192,'Cost prices'!$B$6:$H$538,7,FALSE)</f>
        <v>0</v>
      </c>
      <c r="BE192" s="220">
        <f>VLOOKUP(BE$1,Rules!$AL$7:$BB$54,12, FALSE)*VLOOKUP($B192,'Cost prices'!$B$6:$H$538,7,FALSE)</f>
        <v>0</v>
      </c>
      <c r="BF192" s="220"/>
      <c r="BG192" s="220">
        <f>VLOOKUP(BG$1,Rules!$AL$7:$BB$54,12, FALSE)*VLOOKUP($B192,'Cost prices'!$B$6:$H$538,7,FALSE)</f>
        <v>0</v>
      </c>
      <c r="BH192" s="220">
        <f>VLOOKUP(BH$1,Rules!$AL$7:$BB$54,12, FALSE)*VLOOKUP($B192,'Cost prices'!$B$6:$H$538,7,FALSE)</f>
        <v>0</v>
      </c>
      <c r="BI192" s="220">
        <f>VLOOKUP(BI$1,Rules!$AL$7:$BB$54,12, FALSE)*VLOOKUP($B192,'Cost prices'!$B$6:$H$538,7,FALSE)</f>
        <v>0</v>
      </c>
      <c r="BJ192" s="220">
        <f>VLOOKUP(BJ$1,Rules!$AL$7:$BB$54,12, FALSE)*VLOOKUP($B192,'Cost prices'!$B$6:$H$538,7,FALSE)</f>
        <v>0</v>
      </c>
      <c r="BK192" s="220">
        <f>VLOOKUP(BK$1,Rules!$AL$7:$BB$54,12, FALSE)*VLOOKUP($B192,'Cost prices'!$B$6:$H$538,7,FALSE)</f>
        <v>0</v>
      </c>
    </row>
    <row r="193" spans="1:64" outlineLevel="1" x14ac:dyDescent="0.2">
      <c r="A193" s="183"/>
      <c r="B193" s="219" t="s">
        <v>1541</v>
      </c>
      <c r="E193" s="220"/>
      <c r="F193" s="220"/>
      <c r="G193" s="103"/>
      <c r="H193" s="220"/>
      <c r="I193" s="103"/>
      <c r="J193" s="220"/>
      <c r="L193" s="220"/>
      <c r="M193" s="220"/>
      <c r="N193" s="220">
        <f>VLOOKUP(N$1,Rules!$AL$7:$BB$54,12, FALSE)*VLOOKUP($B193,'Cost prices'!$B$6:$H$538,7,FALSE)</f>
        <v>11026.800000000001</v>
      </c>
      <c r="O193" s="220"/>
      <c r="P193" s="220">
        <f>VLOOKUP(P$1,Rules!$AL$7:$BB$54,12, FALSE)*VLOOKUP($B193,'Cost prices'!$B$6:$H$538,7,FALSE)</f>
        <v>11026.800000000001</v>
      </c>
      <c r="Q193" s="220"/>
      <c r="R193" s="220">
        <f>VLOOKUP(R$1,Rules!$AL$7:$BB$54,12, FALSE)*VLOOKUP($B193,'Cost prices'!$B$6:$H$538,7,FALSE)</f>
        <v>11026.800000000001</v>
      </c>
      <c r="S193" s="220"/>
      <c r="T193" s="309"/>
      <c r="U193" s="103"/>
      <c r="V193" s="220">
        <f>VLOOKUP(V$1,Rules!$AL$7:$BB$54,12, FALSE)*VLOOKUP($B193,'Cost prices'!$B$6:$H$538,7,FALSE)</f>
        <v>11026.800000000001</v>
      </c>
      <c r="W193" s="220"/>
      <c r="X193" s="220">
        <f>VLOOKUP(X$1,Rules!$AL$7:$BB$54,12, FALSE)*VLOOKUP($B193,'Cost prices'!$B$6:$H$538,7,FALSE)</f>
        <v>11026.800000000001</v>
      </c>
      <c r="Y193" s="220"/>
      <c r="Z193" s="220">
        <f>VLOOKUP(Z$1,Rules!$AL$7:$BB$54,12, FALSE)*VLOOKUP($B193,'Cost prices'!$B$6:$H$538,7,FALSE)</f>
        <v>0</v>
      </c>
      <c r="AA193" s="103"/>
      <c r="AB193" s="220"/>
      <c r="AC193" s="103"/>
      <c r="AD193" s="220">
        <f>VLOOKUP(AD$1,Rules!$AL$7:$BB$54,12, FALSE)*VLOOKUP($B193,'Cost prices'!$B$6:$H$538,7,FALSE)</f>
        <v>11026.800000000001</v>
      </c>
      <c r="AE193" s="220">
        <f>VLOOKUP(AE$1,Rules!$AL$7:$BB$54,12, FALSE)*VLOOKUP($B193,'Cost prices'!$B$6:$H$538,7,FALSE)</f>
        <v>11026.800000000001</v>
      </c>
      <c r="AF193" s="220">
        <f>VLOOKUP(AF$1,Rules!$AL$7:$BB$54,12, FALSE)*VLOOKUP($B193,'Cost prices'!$B$6:$H$538,7,FALSE)</f>
        <v>0</v>
      </c>
      <c r="AG193" s="103"/>
      <c r="AH193" s="220">
        <f>VLOOKUP(AH$1,Rules!$AL$7:$BB$54,12, FALSE)*VLOOKUP($B193,'Cost prices'!$B$6:$H$538,7,FALSE)</f>
        <v>11026.800000000001</v>
      </c>
      <c r="AI193" s="220">
        <f>VLOOKUP(AI$1,Rules!$AL$7:$BB$54,12, FALSE)*VLOOKUP($B193,'Cost prices'!$B$6:$H$538,7,FALSE)</f>
        <v>11026.800000000001</v>
      </c>
      <c r="AJ193" s="103"/>
      <c r="AK193" s="220">
        <f>VLOOKUP(AK$1,Rules!$AL$7:$BB$54,12, FALSE)*VLOOKUP($B193,'Cost prices'!$B$6:$H$538,7,FALSE)</f>
        <v>0</v>
      </c>
      <c r="AL193" s="220">
        <f>VLOOKUP(AL$1,Rules!$AL$7:$BB$54,12, FALSE)*VLOOKUP($B193,'Cost prices'!$B$6:$H$538,7,FALSE)</f>
        <v>0</v>
      </c>
      <c r="AM193" s="220">
        <f>VLOOKUP(AM$1,Rules!$AL$7:$BB$54,12, FALSE)*VLOOKUP($B193,'Cost prices'!$B$6:$H$538,7,FALSE)</f>
        <v>0</v>
      </c>
      <c r="AN193" s="103"/>
      <c r="AO193" s="220">
        <f>VLOOKUP(AO$1,Rules!$AL$7:$BB$54,12, FALSE)*VLOOKUP($B193,'Cost prices'!$B$6:$H$538,7,FALSE)</f>
        <v>0</v>
      </c>
      <c r="AP193" s="220">
        <f>VLOOKUP(AP$1,Rules!$AL$7:$BB$54,12, FALSE)*VLOOKUP($B193,'Cost prices'!$B$6:$H$538,7,FALSE)</f>
        <v>0</v>
      </c>
      <c r="AQ193" s="220">
        <f>VLOOKUP(AQ$1,Rules!$AL$7:$BB$54,12, FALSE)*VLOOKUP($B193,'Cost prices'!$B$6:$H$538,7,FALSE)</f>
        <v>0</v>
      </c>
      <c r="AR193" s="107"/>
      <c r="AS193" s="220"/>
      <c r="AT193" s="220"/>
      <c r="AU193" s="220"/>
      <c r="AV193" s="220"/>
      <c r="AW193" s="220"/>
      <c r="AX193" s="220"/>
      <c r="AY193" s="220"/>
      <c r="AZ193" s="220"/>
      <c r="BA193" s="220"/>
      <c r="BB193" s="220"/>
      <c r="BC193" s="220"/>
      <c r="BD193" s="220"/>
      <c r="BE193" s="220"/>
      <c r="BF193" s="220"/>
      <c r="BG193" s="220"/>
      <c r="BH193" s="220"/>
      <c r="BI193" s="220"/>
      <c r="BJ193" s="220"/>
      <c r="BK193" s="220"/>
    </row>
    <row r="194" spans="1:64" outlineLevel="1" x14ac:dyDescent="0.2">
      <c r="A194" s="183"/>
      <c r="B194" s="219" t="s">
        <v>1473</v>
      </c>
      <c r="E194" s="220"/>
      <c r="F194" s="220"/>
      <c r="G194" s="103"/>
      <c r="H194" s="220"/>
      <c r="I194" s="103"/>
      <c r="J194" s="220"/>
      <c r="L194" s="220"/>
      <c r="M194" s="220"/>
      <c r="N194" s="220">
        <f>VLOOKUP(N$1,Rules!$AL$7:$BB$54,14, FALSE)*VLOOKUP($B194,'Cost prices'!$B$6:$H$538,7,FALSE)</f>
        <v>0</v>
      </c>
      <c r="O194" s="220"/>
      <c r="P194" s="220">
        <f>VLOOKUP(P$1,Rules!$AL$7:$BB$54,14, FALSE)*VLOOKUP($B194,'Cost prices'!$B$6:$H$538,7,FALSE)</f>
        <v>0</v>
      </c>
      <c r="Q194" s="220"/>
      <c r="R194" s="220">
        <f>VLOOKUP(R$1,Rules!$AL$7:$BB$54,14, FALSE)*VLOOKUP($B194,'Cost prices'!$B$6:$H$538,7,FALSE)</f>
        <v>0</v>
      </c>
      <c r="S194" s="220"/>
      <c r="T194" s="309"/>
      <c r="U194" s="103"/>
      <c r="V194" s="220">
        <f>VLOOKUP(V$1,Rules!$AL$7:$BB$54,14, FALSE)*VLOOKUP($B194,'Cost prices'!$B$6:$H$538,7,FALSE)</f>
        <v>0</v>
      </c>
      <c r="W194" s="220"/>
      <c r="X194" s="220">
        <f>VLOOKUP(X$1,Rules!$AL$7:$BB$54,14, FALSE)*VLOOKUP($B194,'Cost prices'!$B$6:$H$538,7,FALSE)</f>
        <v>0</v>
      </c>
      <c r="Y194" s="220"/>
      <c r="Z194" s="220">
        <f>VLOOKUP(Z$1,Rules!$AL$7:$BB$54,14, FALSE)*VLOOKUP($B194,'Cost prices'!$B$6:$H$538,7,FALSE)</f>
        <v>19142.36</v>
      </c>
      <c r="AA194" s="103"/>
      <c r="AB194" s="220">
        <f>VLOOKUP(AB$1,Rules!$AL$7:$BB$54,13, FALSE)*VLOOKUP($B194,'Cost prices'!$B$6:$H$538,7,FALSE)</f>
        <v>0</v>
      </c>
      <c r="AC194" s="103"/>
      <c r="AD194" s="220">
        <f>VLOOKUP(AD$1,Rules!$AL$7:$BB$54,14, FALSE)*VLOOKUP($B194,'Cost prices'!$B$6:$H$538,7,FALSE)</f>
        <v>0</v>
      </c>
      <c r="AE194" s="220">
        <f>VLOOKUP(AE$1,Rules!$AL$7:$BB$54,14, FALSE)*VLOOKUP($B194,'Cost prices'!$B$6:$H$538,7,FALSE)</f>
        <v>0</v>
      </c>
      <c r="AF194" s="220">
        <f>VLOOKUP(AF$1,Rules!$AL$7:$BB$54,14, FALSE)*VLOOKUP($B194,'Cost prices'!$B$6:$H$538,7,FALSE)</f>
        <v>0</v>
      </c>
      <c r="AG194" s="103"/>
      <c r="AH194" s="220">
        <f>VLOOKUP(AH$1,Rules!$AL$7:$BB$54,14, FALSE)*VLOOKUP($B194,'Cost prices'!$B$6:$H$538,7,FALSE)</f>
        <v>0</v>
      </c>
      <c r="AI194" s="220">
        <f>VLOOKUP(AI$1,Rules!$AL$7:$BB$54,14, FALSE)*VLOOKUP($B194,'Cost prices'!$B$6:$H$538,7,FALSE)</f>
        <v>0</v>
      </c>
      <c r="AJ194" s="103"/>
      <c r="AK194" s="220">
        <f>VLOOKUP(AK$1,Rules!$AL$7:$BB$54,14, FALSE)*VLOOKUP($B194,'Cost prices'!$B$6:$H$538,7,FALSE)</f>
        <v>19142.36</v>
      </c>
      <c r="AL194" s="220">
        <f>VLOOKUP(AL$1,Rules!$AL$7:$BB$54,14, FALSE)*VLOOKUP($B194,'Cost prices'!$B$6:$H$538,7,FALSE)</f>
        <v>19142.36</v>
      </c>
      <c r="AM194" s="220">
        <f>VLOOKUP(AM$1,Rules!$AL$7:$BB$54,14, FALSE)*VLOOKUP($B194,'Cost prices'!$B$6:$H$538,7,FALSE)</f>
        <v>19142.36</v>
      </c>
      <c r="AN194" s="103"/>
      <c r="AO194" s="220">
        <f>VLOOKUP(AO$1,Rules!$AL$7:$BB$54,14, FALSE)*VLOOKUP($B194,'Cost prices'!$B$6:$H$538,7,FALSE)</f>
        <v>19142.36</v>
      </c>
      <c r="AP194" s="220">
        <f>VLOOKUP(AP$1,Rules!$AL$7:$BB$54,14, FALSE)*VLOOKUP($B194,'Cost prices'!$B$6:$H$538,7,FALSE)</f>
        <v>19142.36</v>
      </c>
      <c r="AQ194" s="220">
        <f>VLOOKUP(AQ$1,Rules!$AL$7:$BB$54,14, FALSE)*VLOOKUP($B194,'Cost prices'!$B$6:$H$538,7,FALSE)</f>
        <v>19142.36</v>
      </c>
      <c r="AR194" s="107"/>
      <c r="AS194" s="220"/>
      <c r="AT194" s="220"/>
      <c r="AU194" s="220"/>
      <c r="AV194" s="220"/>
      <c r="AW194" s="220"/>
      <c r="AX194" s="220"/>
      <c r="AY194" s="220"/>
      <c r="AZ194" s="220"/>
      <c r="BA194" s="220"/>
      <c r="BB194" s="220"/>
      <c r="BC194" s="220"/>
      <c r="BD194" s="220"/>
      <c r="BE194" s="220"/>
      <c r="BF194" s="220"/>
      <c r="BG194" s="220"/>
      <c r="BH194" s="220"/>
      <c r="BI194" s="220"/>
      <c r="BJ194" s="220"/>
      <c r="BK194" s="220"/>
    </row>
    <row r="195" spans="1:64" outlineLevel="1" x14ac:dyDescent="0.2">
      <c r="A195" s="183"/>
      <c r="B195" s="219" t="s">
        <v>590</v>
      </c>
      <c r="E195" s="220"/>
      <c r="F195" s="220"/>
      <c r="G195" s="103"/>
      <c r="H195" s="220"/>
      <c r="I195" s="103"/>
      <c r="J195" s="220"/>
      <c r="L195" s="220"/>
      <c r="M195" s="220"/>
      <c r="N195" s="220">
        <f>VLOOKUP(N$1,Rules!$AL$7:$BB$54,15, FALSE)*VLOOKUP($B195,'Cost prices'!$B$6:$H$538,7,FALSE)</f>
        <v>3369.9</v>
      </c>
      <c r="O195" s="220"/>
      <c r="P195" s="220">
        <f>VLOOKUP(P$1,Rules!$AL$7:$BB$54,15, FALSE)*VLOOKUP($B195,'Cost prices'!$B$6:$H$538,7,FALSE)</f>
        <v>3369.9</v>
      </c>
      <c r="Q195" s="220"/>
      <c r="R195" s="220">
        <f>VLOOKUP(R$1,Rules!$AL$7:$BB$54,15, FALSE)*VLOOKUP($B195,'Cost prices'!$B$6:$H$538,7,FALSE)</f>
        <v>3369.9</v>
      </c>
      <c r="S195" s="220"/>
      <c r="T195" s="309"/>
      <c r="U195" s="103"/>
      <c r="V195" s="220">
        <f>VLOOKUP(V$1,Rules!$AL$7:$BB$54,15, FALSE)*VLOOKUP($B195,'Cost prices'!$B$6:$H$538,7,FALSE)</f>
        <v>3369.9</v>
      </c>
      <c r="W195" s="220"/>
      <c r="X195" s="220">
        <f>VLOOKUP(X$1,Rules!$AL$7:$BB$54,15, FALSE)*VLOOKUP($B195,'Cost prices'!$B$6:$H$538,7,FALSE)</f>
        <v>3369.9</v>
      </c>
      <c r="Y195" s="220"/>
      <c r="Z195" s="220">
        <f>VLOOKUP(Z$1,Rules!$AL$7:$BB$54,15, FALSE)*VLOOKUP($B195,'Cost prices'!$B$6:$H$538,7,FALSE)</f>
        <v>13479.6</v>
      </c>
      <c r="AA195" s="103"/>
      <c r="AB195" s="220">
        <f>VLOOKUP(AB$1,Rules!$AL$7:$BB$54,14, FALSE)*VLOOKUP($B195,'Cost prices'!$B$6:$H$538,7,FALSE)</f>
        <v>0</v>
      </c>
      <c r="AC195" s="103"/>
      <c r="AD195" s="220">
        <f>VLOOKUP(AD$1,Rules!$AL$7:$BB$54,15, FALSE)*VLOOKUP($B195,'Cost prices'!$B$6:$H$538,7,FALSE)</f>
        <v>3369.9</v>
      </c>
      <c r="AE195" s="220">
        <f>VLOOKUP(AE$1,Rules!$AL$7:$BB$54,15, FALSE)*VLOOKUP($B195,'Cost prices'!$B$6:$H$538,7,FALSE)</f>
        <v>3369.9</v>
      </c>
      <c r="AF195" s="220">
        <f>VLOOKUP(AF$1,Rules!$AL$7:$BB$54,15, FALSE)*VLOOKUP($B195,'Cost prices'!$B$6:$H$538,7,FALSE)</f>
        <v>6739.8</v>
      </c>
      <c r="AG195" s="103"/>
      <c r="AH195" s="220">
        <f>VLOOKUP(AH$1,Rules!$AL$7:$BB$54,15, FALSE)*VLOOKUP($B195,'Cost prices'!$B$6:$H$538,7,FALSE)</f>
        <v>6739.8</v>
      </c>
      <c r="AI195" s="220">
        <f>VLOOKUP(AI$1,Rules!$AL$7:$BB$54,15, FALSE)*VLOOKUP($B195,'Cost prices'!$B$6:$H$538,7,FALSE)</f>
        <v>6739.8</v>
      </c>
      <c r="AJ195" s="103"/>
      <c r="AK195" s="220">
        <f>VLOOKUP(AK$1,Rules!$AL$7:$BB$54,15, FALSE)*VLOOKUP($B195,'Cost prices'!$B$6:$H$538,7,FALSE)</f>
        <v>6739.8</v>
      </c>
      <c r="AL195" s="220">
        <f>VLOOKUP(AL$1,Rules!$AL$7:$BB$54,15, FALSE)*VLOOKUP($B195,'Cost prices'!$B$6:$H$538,7,FALSE)</f>
        <v>6739.8</v>
      </c>
      <c r="AM195" s="220">
        <f>VLOOKUP(AM$1,Rules!$AL$7:$BB$54,15, FALSE)*VLOOKUP($B195,'Cost prices'!$B$6:$H$538,7,FALSE)</f>
        <v>13479.6</v>
      </c>
      <c r="AN195" s="103"/>
      <c r="AO195" s="220">
        <f>VLOOKUP(AO$1,Rules!$AL$7:$BB$54,15, FALSE)*VLOOKUP($B195,'Cost prices'!$B$6:$H$538,7,FALSE)</f>
        <v>13479.6</v>
      </c>
      <c r="AP195" s="220">
        <f>VLOOKUP(AP$1,Rules!$AL$7:$BB$54,15, FALSE)*VLOOKUP($B195,'Cost prices'!$B$6:$H$538,7,FALSE)</f>
        <v>13479.6</v>
      </c>
      <c r="AQ195" s="220">
        <f>VLOOKUP(AQ$1,Rules!$AL$7:$BB$54,15, FALSE)*VLOOKUP($B195,'Cost prices'!$B$6:$H$538,7,FALSE)</f>
        <v>13479.6</v>
      </c>
      <c r="AR195" s="107"/>
      <c r="AS195" s="220">
        <f>VLOOKUP(AS$1,Rules!$AL$7:$BB$54,13, FALSE)*VLOOKUP($B195,'Cost prices'!$B$6:$H$538,7,FALSE)</f>
        <v>0</v>
      </c>
      <c r="AT195" s="220">
        <f>VLOOKUP(AT$1,Rules!$AL$7:$BB$54,13, FALSE)*VLOOKUP($B195,'Cost prices'!$B$6:$H$538,7,FALSE)</f>
        <v>0</v>
      </c>
      <c r="AU195" s="220">
        <f>VLOOKUP(AU$1,Rules!$AL$7:$BB$54,13, FALSE)*VLOOKUP($B195,'Cost prices'!$B$6:$H$538,7,FALSE)</f>
        <v>0</v>
      </c>
      <c r="AV195" s="220">
        <f>VLOOKUP(AV$1,Rules!$AL$7:$BB$54,13, FALSE)*VLOOKUP($B195,'Cost prices'!$B$6:$H$538,7,FALSE)</f>
        <v>0</v>
      </c>
      <c r="AW195" s="220">
        <f>VLOOKUP(AW$1,Rules!$AL$7:$BB$54,13, FALSE)*VLOOKUP($B195,'Cost prices'!$B$6:$H$538,7,FALSE)</f>
        <v>0</v>
      </c>
      <c r="AX195" s="220">
        <f>VLOOKUP(AX$1,Rules!$AL$7:$BB$54,13, FALSE)*VLOOKUP($B195,'Cost prices'!$B$6:$H$538,7,FALSE)</f>
        <v>0</v>
      </c>
      <c r="AY195" s="220">
        <f>VLOOKUP(AY$1,Rules!$AL$7:$BB$54,13, FALSE)*VLOOKUP($B195,'Cost prices'!$B$6:$H$538,7,FALSE)</f>
        <v>0</v>
      </c>
      <c r="AZ195" s="220">
        <f>VLOOKUP(AZ$1,Rules!$AL$7:$BB$54,13, FALSE)*VLOOKUP($B195,'Cost prices'!$B$6:$H$538,7,FALSE)</f>
        <v>0</v>
      </c>
      <c r="BA195" s="220">
        <f>VLOOKUP(BA$1,Rules!$AL$7:$BB$54,13, FALSE)*VLOOKUP($B195,'Cost prices'!$B$6:$H$538,7,FALSE)</f>
        <v>0</v>
      </c>
      <c r="BB195" s="220">
        <f>VLOOKUP(BB$1,Rules!$AL$7:$BB$54,13, FALSE)*VLOOKUP($B195,'Cost prices'!$B$6:$H$538,7,FALSE)</f>
        <v>0</v>
      </c>
      <c r="BC195" s="220">
        <f>VLOOKUP(BC$1,Rules!$AL$7:$BB$54,13, FALSE)*VLOOKUP($B195,'Cost prices'!$B$6:$H$538,7,FALSE)</f>
        <v>0</v>
      </c>
      <c r="BD195" s="220">
        <f>VLOOKUP(BD$1,Rules!$AL$7:$BB$54,13, FALSE)*VLOOKUP($B195,'Cost prices'!$B$6:$H$538,7,FALSE)</f>
        <v>0</v>
      </c>
      <c r="BE195" s="220">
        <f>VLOOKUP(BE$1,Rules!$AL$7:$BB$54,13, FALSE)*VLOOKUP($B195,'Cost prices'!$B$6:$H$538,7,FALSE)</f>
        <v>0</v>
      </c>
      <c r="BF195" s="220"/>
      <c r="BG195" s="220">
        <f>VLOOKUP(BG$1,Rules!$AL$7:$BB$54,13, FALSE)*VLOOKUP($B195,'Cost prices'!$B$6:$H$538,7,FALSE)</f>
        <v>0</v>
      </c>
      <c r="BH195" s="220">
        <f>VLOOKUP(BH$1,Rules!$AL$7:$BB$54,13, FALSE)*VLOOKUP($B195,'Cost prices'!$B$6:$H$538,7,FALSE)</f>
        <v>0</v>
      </c>
      <c r="BI195" s="220">
        <f>VLOOKUP(BI$1,Rules!$AL$7:$BB$54,13, FALSE)*VLOOKUP($B195,'Cost prices'!$B$6:$H$538,7,FALSE)</f>
        <v>0</v>
      </c>
      <c r="BJ195" s="220">
        <f>VLOOKUP(BJ$1,Rules!$AL$7:$BB$54,13, FALSE)*VLOOKUP($B195,'Cost prices'!$B$6:$H$538,7,FALSE)</f>
        <v>0</v>
      </c>
      <c r="BK195" s="220">
        <f>VLOOKUP(BK$1,Rules!$AL$7:$BB$54,13, FALSE)*VLOOKUP($B195,'Cost prices'!$B$6:$H$538,7,FALSE)</f>
        <v>0</v>
      </c>
    </row>
    <row r="196" spans="1:64" outlineLevel="1" x14ac:dyDescent="0.2">
      <c r="A196" s="183"/>
      <c r="B196" s="219" t="s">
        <v>591</v>
      </c>
      <c r="E196" s="220">
        <f>VLOOKUP(E$1,Rules!$AL$7:$BB$54,16, FALSE)*VLOOKUP($B196,'Cost prices'!$B$6:$H$538,7,FALSE)</f>
        <v>4000</v>
      </c>
      <c r="F196" s="220">
        <f>VLOOKUP(F$1,Rules!$AL$7:$BB$54,16, FALSE)*VLOOKUP($B196,'Cost prices'!$B$6:$H$538,7,FALSE)</f>
        <v>4000</v>
      </c>
      <c r="G196" s="220"/>
      <c r="H196" s="220">
        <f>VLOOKUP(H$1,Rules!$AL$7:$BB$54,16, FALSE)*VLOOKUP($B196,'Cost prices'!$B$6:$H$538,7,FALSE)</f>
        <v>4000</v>
      </c>
      <c r="I196" s="220"/>
      <c r="J196" s="220">
        <f>VLOOKUP(J$1,Rules!$AL$7:$BB$54,16, FALSE)*VLOOKUP($B196,'Cost prices'!$B$6:$H$538,7,FALSE)</f>
        <v>4000</v>
      </c>
      <c r="K196" s="220"/>
      <c r="L196" s="220"/>
      <c r="M196" s="220"/>
      <c r="N196" s="220"/>
      <c r="O196" s="220"/>
      <c r="P196" s="220"/>
      <c r="Q196" s="220"/>
      <c r="R196" s="220"/>
      <c r="S196" s="220"/>
      <c r="T196" s="309"/>
      <c r="U196" s="103"/>
      <c r="V196" s="220"/>
      <c r="W196" s="220"/>
      <c r="X196" s="220"/>
      <c r="Y196" s="220"/>
      <c r="Z196" s="220"/>
      <c r="AA196" s="103"/>
      <c r="AB196" s="220">
        <f>VLOOKUP(AB$1,Rules!$AL$7:$BB$54,15, FALSE)*VLOOKUP($B196,'Cost prices'!$B$6:$H$538,7,FALSE)</f>
        <v>0</v>
      </c>
      <c r="AC196" s="103"/>
      <c r="AD196" s="220"/>
      <c r="AE196" s="220"/>
      <c r="AF196" s="220"/>
      <c r="AG196" s="103"/>
      <c r="AH196" s="220"/>
      <c r="AI196" s="220"/>
      <c r="AJ196" s="103"/>
      <c r="AK196" s="220"/>
      <c r="AL196" s="220"/>
      <c r="AM196" s="220"/>
      <c r="AN196" s="103"/>
      <c r="AO196" s="220"/>
      <c r="AP196" s="220"/>
      <c r="AQ196" s="220"/>
      <c r="AR196" s="107"/>
      <c r="AS196" s="220">
        <f>VLOOKUP(AS$1,Rules!$AL$7:$BB$54,14, FALSE)*VLOOKUP($B196,'Cost prices'!$B$6:$H$538,7,FALSE)</f>
        <v>0</v>
      </c>
      <c r="AT196" s="220">
        <f>VLOOKUP(AT$1,Rules!$AL$7:$BB$54,14, FALSE)*VLOOKUP($B196,'Cost prices'!$B$6:$H$538,7,FALSE)</f>
        <v>0</v>
      </c>
      <c r="AU196" s="220">
        <f>VLOOKUP(AU$1,Rules!$AL$7:$BB$54,14, FALSE)*VLOOKUP($B196,'Cost prices'!$B$6:$H$538,7,FALSE)</f>
        <v>0</v>
      </c>
      <c r="AV196" s="220">
        <f>VLOOKUP(AV$1,Rules!$AL$7:$BB$54,14, FALSE)*VLOOKUP($B196,'Cost prices'!$B$6:$H$538,7,FALSE)</f>
        <v>0</v>
      </c>
      <c r="AW196" s="220">
        <f>VLOOKUP(AW$1,Rules!$AL$7:$BB$54,14, FALSE)*VLOOKUP($B196,'Cost prices'!$B$6:$H$538,7,FALSE)</f>
        <v>0</v>
      </c>
      <c r="AX196" s="220">
        <f>VLOOKUP(AX$1,Rules!$AL$7:$BB$54,14, FALSE)*VLOOKUP($B196,'Cost prices'!$B$6:$H$538,7,FALSE)</f>
        <v>0</v>
      </c>
      <c r="AY196" s="220">
        <f>VLOOKUP(AY$1,Rules!$AL$7:$BB$54,14, FALSE)*VLOOKUP($B196,'Cost prices'!$B$6:$H$538,7,FALSE)</f>
        <v>0</v>
      </c>
      <c r="AZ196" s="220">
        <f>VLOOKUP(AZ$1,Rules!$AL$7:$BB$54,14, FALSE)*VLOOKUP($B196,'Cost prices'!$B$6:$H$538,7,FALSE)</f>
        <v>0</v>
      </c>
      <c r="BA196" s="220">
        <f>VLOOKUP(BA$1,Rules!$AL$7:$BB$54,14, FALSE)*VLOOKUP($B196,'Cost prices'!$B$6:$H$538,7,FALSE)</f>
        <v>0</v>
      </c>
      <c r="BB196" s="220">
        <f>VLOOKUP(BB$1,Rules!$AL$7:$BB$54,14, FALSE)*VLOOKUP($B196,'Cost prices'!$B$6:$H$538,7,FALSE)</f>
        <v>0</v>
      </c>
      <c r="BC196" s="220">
        <f>VLOOKUP(BC$1,Rules!$AL$7:$BB$54,14, FALSE)*VLOOKUP($B196,'Cost prices'!$B$6:$H$538,7,FALSE)</f>
        <v>0</v>
      </c>
      <c r="BD196" s="220">
        <f>VLOOKUP(BD$1,Rules!$AL$7:$BB$54,14, FALSE)*VLOOKUP($B196,'Cost prices'!$B$6:$H$538,7,FALSE)</f>
        <v>0</v>
      </c>
      <c r="BE196" s="220">
        <f>VLOOKUP(BE$1,Rules!$AL$7:$BB$54,14, FALSE)*VLOOKUP($B196,'Cost prices'!$B$6:$H$538,7,FALSE)</f>
        <v>0</v>
      </c>
      <c r="BF196" s="220"/>
      <c r="BG196" s="220">
        <f>VLOOKUP(BG$1,Rules!$AL$7:$BB$54,14, FALSE)*VLOOKUP($B196,'Cost prices'!$B$6:$H$538,7,FALSE)</f>
        <v>0</v>
      </c>
      <c r="BH196" s="220">
        <f>VLOOKUP(BH$1,Rules!$AL$7:$BB$54,14, FALSE)*VLOOKUP($B196,'Cost prices'!$B$6:$H$538,7,FALSE)</f>
        <v>0</v>
      </c>
      <c r="BI196" s="220">
        <f>VLOOKUP(BI$1,Rules!$AL$7:$BB$54,14, FALSE)*VLOOKUP($B196,'Cost prices'!$B$6:$H$538,7,FALSE)</f>
        <v>0</v>
      </c>
      <c r="BJ196" s="220">
        <f>VLOOKUP(BJ$1,Rules!$AL$7:$BB$54,14, FALSE)*VLOOKUP($B196,'Cost prices'!$B$6:$H$538,7,FALSE)</f>
        <v>0</v>
      </c>
      <c r="BK196" s="220">
        <f>VLOOKUP(BK$1,Rules!$AL$7:$BB$54,14, FALSE)*VLOOKUP($B196,'Cost prices'!$B$6:$H$538,7,FALSE)</f>
        <v>0</v>
      </c>
    </row>
    <row r="197" spans="1:64" outlineLevel="1" x14ac:dyDescent="0.2">
      <c r="A197" s="183"/>
      <c r="B197" s="219" t="s">
        <v>1418</v>
      </c>
      <c r="E197" s="323"/>
      <c r="F197" s="323"/>
      <c r="G197" s="113"/>
      <c r="H197" s="323"/>
      <c r="I197" s="113"/>
      <c r="J197" s="323"/>
      <c r="K197" s="113"/>
      <c r="L197" s="220" t="b">
        <f>IF('External Prices'!I$32="Yes", VLOOKUP($B197,Rules!$AL$7:$BB$54,8, FALSE)*VLOOKUP($B197,'Cost prices'!$B$6:$H$538,7,FALSE))</f>
        <v>0</v>
      </c>
      <c r="M197" s="220"/>
      <c r="N197" s="220" t="b">
        <f>IF('External Prices'!J$32="Yes", VLOOKUP($B197,Rules!$AL$7:$BB$54,8, FALSE)*VLOOKUP($B197,'Cost prices'!$B$6:$H$538,7,FALSE))</f>
        <v>0</v>
      </c>
      <c r="O197" s="220"/>
      <c r="P197" s="220" t="b">
        <f>IF('External Prices'!K$32="Yes", VLOOKUP($B197,Rules!$AL$7:$BB$54,8, FALSE)*VLOOKUP($B197,'Cost prices'!$B$6:$H$538,7,FALSE))</f>
        <v>0</v>
      </c>
      <c r="Q197" s="220"/>
      <c r="R197" s="220" t="b">
        <f>IF('External Prices'!L$32="Yes", VLOOKUP($B197,Rules!$AL$7:$BB$54,8, FALSE)*VLOOKUP($B197,'Cost prices'!$B$6:$H$538,7,FALSE))</f>
        <v>0</v>
      </c>
      <c r="S197" s="220"/>
      <c r="T197" s="309"/>
      <c r="U197" s="103"/>
      <c r="V197" s="220" t="b">
        <f>IF('External Prices'!N$32="Yes", VLOOKUP($B197,Rules!$AL$7:$BB$54,8, FALSE)*VLOOKUP($B197,'Cost prices'!$B$6:$H$538,7,FALSE))</f>
        <v>0</v>
      </c>
      <c r="W197" s="220"/>
      <c r="X197" s="220" t="b">
        <f>IF('External Prices'!O$32="Yes", VLOOKUP($B197,Rules!$AL$7:$BB$54,8, FALSE)*VLOOKUP($B197,'Cost prices'!$B$6:$H$538,7,FALSE))</f>
        <v>0</v>
      </c>
      <c r="Y197" s="220"/>
      <c r="Z197" s="220" t="b">
        <f>IF('External Prices'!P$32="Yes", VLOOKUP($B197,Rules!$AL$7:$BB$54,8, FALSE)*VLOOKUP($B197,'Cost prices'!$B$6:$H$538,7,FALSE))</f>
        <v>0</v>
      </c>
      <c r="AA197" s="103"/>
      <c r="AB197" s="220">
        <f>IF('External Prices'!Q$32="Yes", VLOOKUP($B197,Rules!$AL$7:$BB$54,8, FALSE)*VLOOKUP($B197,'Cost prices'!$B$6:$H$538,7,FALSE))</f>
        <v>14952</v>
      </c>
      <c r="AC197" s="103"/>
      <c r="AD197" s="220" t="b">
        <f>IF('External Prices'!R$32="Yes", VLOOKUP($B197,Rules!$AL$7:$BB$54,8, FALSE)*VLOOKUP($B197,'Cost prices'!$B$6:$H$538,7,FALSE))</f>
        <v>0</v>
      </c>
      <c r="AE197" s="220" t="b">
        <f>IF('External Prices'!S$32="Yes", VLOOKUP($B197,Rules!$AL$7:$BB$54,8, FALSE)*VLOOKUP($B197,'Cost prices'!$B$6:$H$538,7,FALSE))</f>
        <v>0</v>
      </c>
      <c r="AF197" s="220" t="b">
        <f>IF('External Prices'!T$32="Yes", VLOOKUP($B197,Rules!$AL$7:$BB$54,8, FALSE)*VLOOKUP($B197,'Cost prices'!$B$6:$H$538,7,FALSE))</f>
        <v>0</v>
      </c>
      <c r="AG197" s="103"/>
      <c r="AH197" s="220" t="b">
        <f>IF('External Prices'!U$32="Yes", VLOOKUP($B197,Rules!$AL$7:$BB$54,8, FALSE)*VLOOKUP($B197,'Cost prices'!$B$6:$H$538,7,FALSE))</f>
        <v>0</v>
      </c>
      <c r="AI197" s="220" t="b">
        <f>IF('External Prices'!V$32="Yes", VLOOKUP($B197,Rules!$AL$7:$BB$54,8, FALSE)*VLOOKUP($B197,'Cost prices'!$B$6:$H$538,7,FALSE))</f>
        <v>0</v>
      </c>
      <c r="AJ197" s="103"/>
      <c r="AK197" s="220" t="b">
        <f>IF('External Prices'!W$32="Yes", VLOOKUP($B197,Rules!$AL$7:$BB$54,8, FALSE)*VLOOKUP($B197,'Cost prices'!$B$6:$H$538,7,FALSE))</f>
        <v>0</v>
      </c>
      <c r="AL197" s="220">
        <f>IF('External Prices'!X$32="Yes", VLOOKUP($B197,Rules!$AL$7:$BB$54,8, FALSE)*VLOOKUP($B197,'Cost prices'!$B$6:$H$538,7,FALSE))</f>
        <v>14952</v>
      </c>
      <c r="AM197" s="220" t="b">
        <f>IF('External Prices'!Y$32="Yes", VLOOKUP($B197,Rules!$AL$7:$BB$54,8, FALSE)*VLOOKUP($B197,'Cost prices'!$B$6:$H$538,7,FALSE))</f>
        <v>0</v>
      </c>
      <c r="AN197" s="103"/>
      <c r="AO197" s="220" t="b">
        <f>IF('External Prices'!Z$32="Yes", VLOOKUP($B197,Rules!$AL$7:$BB$54,8, FALSE)*VLOOKUP($B197,'Cost prices'!$B$6:$H$538,7,FALSE))</f>
        <v>0</v>
      </c>
      <c r="AP197" s="220">
        <f>IF('External Prices'!AA$32="Yes", VLOOKUP($B197,Rules!$AL$7:$BB$54,8, FALSE)*VLOOKUP($B197,'Cost prices'!$B$6:$H$538,7,FALSE))</f>
        <v>14952</v>
      </c>
      <c r="AQ197" s="220" t="b">
        <f>IF('External Prices'!AB$32="Yes", VLOOKUP($B197,Rules!$AL$7:$BB$54,8, FALSE)*VLOOKUP($B197,'Cost prices'!$B$6:$H$538,7,FALSE))</f>
        <v>0</v>
      </c>
      <c r="AR197" s="107"/>
      <c r="AS197" s="220"/>
      <c r="AT197" s="220"/>
      <c r="AU197" s="220"/>
      <c r="AV197" s="220"/>
      <c r="AW197" s="220"/>
      <c r="AX197" s="220"/>
      <c r="AY197" s="220"/>
      <c r="AZ197" s="220"/>
      <c r="BA197" s="220"/>
      <c r="BB197" s="220"/>
      <c r="BC197" s="220"/>
      <c r="BD197" s="220"/>
      <c r="BE197" s="220"/>
      <c r="BF197" s="220"/>
      <c r="BG197" s="220"/>
      <c r="BH197" s="220"/>
      <c r="BI197" s="220"/>
      <c r="BJ197" s="220"/>
      <c r="BK197" s="220"/>
    </row>
    <row r="198" spans="1:64" outlineLevel="1" x14ac:dyDescent="0.2">
      <c r="A198" s="183"/>
      <c r="B198" s="185" t="s">
        <v>53</v>
      </c>
      <c r="E198" s="323"/>
      <c r="F198" s="323"/>
      <c r="G198" s="113"/>
      <c r="H198" s="323"/>
      <c r="I198" s="113"/>
      <c r="J198" s="323"/>
      <c r="K198" s="113"/>
      <c r="L198" s="323"/>
      <c r="M198" s="323"/>
      <c r="N198" s="323"/>
      <c r="O198" s="323"/>
      <c r="P198" s="323"/>
      <c r="Q198" s="323"/>
      <c r="R198" s="323"/>
      <c r="S198" s="220"/>
      <c r="T198" s="309"/>
      <c r="U198" s="221"/>
      <c r="V198" s="323"/>
      <c r="W198" s="220"/>
      <c r="X198" s="323"/>
      <c r="Y198" s="220"/>
      <c r="Z198" s="323"/>
      <c r="AA198" s="103"/>
      <c r="AB198" s="220">
        <f>VLOOKUP(AB$1,Rules!$AL$7:$BB$54,16, FALSE)*VLOOKUP($B198,'Cost prices'!$B$6:$H$538,7,FALSE)</f>
        <v>0</v>
      </c>
      <c r="AC198" s="103"/>
      <c r="AD198" s="323"/>
      <c r="AE198" s="323"/>
      <c r="AF198" s="323"/>
      <c r="AG198" s="221"/>
      <c r="AH198" s="323"/>
      <c r="AI198" s="323"/>
      <c r="AJ198" s="221"/>
      <c r="AK198" s="323"/>
      <c r="AL198" s="323"/>
      <c r="AM198" s="323"/>
      <c r="AN198" s="103"/>
      <c r="AO198" s="323"/>
      <c r="AP198" s="323"/>
      <c r="AQ198" s="323"/>
      <c r="AR198" s="107"/>
      <c r="AS198" s="220">
        <f>VLOOKUP(AS$1,Rules!$AL$7:$BB$54,15, FALSE)*VLOOKUP($B198,'Cost prices'!$B$6:$H$538,7,FALSE)</f>
        <v>0</v>
      </c>
      <c r="AT198" s="220">
        <f>VLOOKUP(AT$1,Rules!$AL$7:$BB$54,15, FALSE)*VLOOKUP($B198,'Cost prices'!$B$6:$H$538,7,FALSE)</f>
        <v>0</v>
      </c>
      <c r="AU198" s="220">
        <f>VLOOKUP(AU$1,Rules!$AL$7:$BB$54,15, FALSE)*VLOOKUP($B198,'Cost prices'!$B$6:$H$538,7,FALSE)</f>
        <v>0</v>
      </c>
      <c r="AV198" s="220">
        <f>VLOOKUP(AV$1,Rules!$AL$7:$BB$54,15, FALSE)*VLOOKUP($B198,'Cost prices'!$B$6:$H$538,7,FALSE)</f>
        <v>0</v>
      </c>
      <c r="AW198" s="220">
        <f>VLOOKUP(AW$1,Rules!$AL$7:$BB$54,15, FALSE)*VLOOKUP($B198,'Cost prices'!$B$6:$H$538,7,FALSE)</f>
        <v>0</v>
      </c>
      <c r="AX198" s="220">
        <f>VLOOKUP(AX$1,Rules!$AL$7:$BB$54,15, FALSE)*VLOOKUP($B198,'Cost prices'!$B$6:$H$538,7,FALSE)</f>
        <v>0</v>
      </c>
      <c r="AY198" s="220">
        <f>VLOOKUP(AY$1,Rules!$AL$7:$BB$54,15, FALSE)*VLOOKUP($B198,'Cost prices'!$B$6:$H$538,7,FALSE)</f>
        <v>0</v>
      </c>
      <c r="AZ198" s="220">
        <f>VLOOKUP(AZ$1,Rules!$AL$7:$BB$54,15, FALSE)*VLOOKUP($B198,'Cost prices'!$B$6:$H$538,7,FALSE)</f>
        <v>0</v>
      </c>
      <c r="BA198" s="220">
        <f>VLOOKUP(BA$1,Rules!$AL$7:$BB$54,15, FALSE)*VLOOKUP($B198,'Cost prices'!$B$6:$H$538,7,FALSE)</f>
        <v>0</v>
      </c>
      <c r="BB198" s="220">
        <f>VLOOKUP(BB$1,Rules!$AL$7:$BB$54,15, FALSE)*VLOOKUP($B198,'Cost prices'!$B$6:$H$538,7,FALSE)</f>
        <v>0</v>
      </c>
      <c r="BC198" s="220">
        <f>VLOOKUP(BC$1,Rules!$AL$7:$BB$54,15, FALSE)*VLOOKUP($B198,'Cost prices'!$B$6:$H$538,7,FALSE)</f>
        <v>0</v>
      </c>
      <c r="BD198" s="220">
        <f>VLOOKUP(BD$1,Rules!$AL$7:$BB$54,15, FALSE)*VLOOKUP($B198,'Cost prices'!$B$6:$H$538,7,FALSE)</f>
        <v>0</v>
      </c>
      <c r="BE198" s="220">
        <f>VLOOKUP(BE$1,Rules!$AL$7:$BB$54,15, FALSE)*VLOOKUP($B198,'Cost prices'!$B$6:$H$538,7,FALSE)</f>
        <v>0</v>
      </c>
      <c r="BF198" s="220"/>
      <c r="BG198" s="220">
        <f>VLOOKUP(BG$1,Rules!$AL$7:$BB$54,15, FALSE)*VLOOKUP($B198,'Cost prices'!$B$6:$H$538,7,FALSE)</f>
        <v>0</v>
      </c>
      <c r="BH198" s="220">
        <f>VLOOKUP(BH$1,Rules!$AL$7:$BB$54,15, FALSE)*VLOOKUP($B198,'Cost prices'!$B$6:$H$538,7,FALSE)</f>
        <v>0</v>
      </c>
      <c r="BI198" s="220">
        <f>VLOOKUP(BI$1,Rules!$AL$7:$BB$54,15, FALSE)*VLOOKUP($B198,'Cost prices'!$B$6:$H$538,7,FALSE)</f>
        <v>0</v>
      </c>
      <c r="BJ198" s="220">
        <f>VLOOKUP(BJ$1,Rules!$AL$7:$BB$54,15, FALSE)*VLOOKUP($B198,'Cost prices'!$B$6:$H$538,7,FALSE)</f>
        <v>0</v>
      </c>
      <c r="BK198" s="220">
        <f>VLOOKUP(BK$1,Rules!$AL$7:$BB$54,15, FALSE)*VLOOKUP($B198,'Cost prices'!$B$6:$H$538,7,FALSE)</f>
        <v>0</v>
      </c>
    </row>
    <row r="199" spans="1:64" outlineLevel="1" x14ac:dyDescent="0.2">
      <c r="A199" s="183"/>
      <c r="B199" s="185"/>
      <c r="E199" s="220"/>
      <c r="F199" s="220"/>
      <c r="G199" s="103"/>
      <c r="H199" s="220"/>
      <c r="I199" s="103"/>
      <c r="J199" s="220"/>
      <c r="L199" s="220"/>
      <c r="M199" s="220"/>
      <c r="N199" s="220"/>
      <c r="O199" s="220"/>
      <c r="P199" s="220"/>
      <c r="Q199" s="220"/>
      <c r="R199" s="220"/>
      <c r="S199" s="220"/>
      <c r="T199" s="309"/>
      <c r="U199" s="221"/>
      <c r="V199" s="220"/>
      <c r="W199" s="220"/>
      <c r="X199" s="220"/>
      <c r="Y199" s="220"/>
      <c r="Z199" s="220"/>
      <c r="AA199" s="103"/>
      <c r="AB199" s="220"/>
      <c r="AC199" s="103"/>
      <c r="AD199" s="220"/>
      <c r="AE199" s="220"/>
      <c r="AF199" s="220"/>
      <c r="AG199" s="221"/>
      <c r="AH199" s="220"/>
      <c r="AI199" s="220"/>
      <c r="AJ199" s="221"/>
      <c r="AK199" s="220"/>
      <c r="AL199" s="220"/>
      <c r="AM199" s="220"/>
      <c r="AN199" s="103"/>
      <c r="AO199" s="220"/>
      <c r="AP199" s="220"/>
      <c r="AQ199" s="220"/>
      <c r="AR199" s="107"/>
      <c r="AS199" s="220"/>
      <c r="AT199" s="220"/>
      <c r="AU199" s="220"/>
      <c r="AV199" s="220"/>
      <c r="AW199" s="220"/>
      <c r="AX199" s="220"/>
      <c r="AY199" s="220"/>
      <c r="AZ199" s="220"/>
      <c r="BA199" s="220"/>
      <c r="BB199" s="220"/>
      <c r="BC199" s="220"/>
      <c r="BD199" s="220"/>
      <c r="BE199" s="220"/>
      <c r="BF199" s="220"/>
      <c r="BG199" s="220"/>
      <c r="BH199" s="220"/>
      <c r="BI199" s="220"/>
      <c r="BJ199" s="220"/>
      <c r="BK199" s="220"/>
    </row>
    <row r="200" spans="1:64" x14ac:dyDescent="0.2">
      <c r="A200" s="222" t="s">
        <v>18</v>
      </c>
      <c r="B200" s="99" t="s">
        <v>6</v>
      </c>
      <c r="E200" s="214">
        <f>SUM(E187:E198)</f>
        <v>11960.9344</v>
      </c>
      <c r="F200" s="214">
        <f>SUM(F187:F198)</f>
        <v>11960.9344</v>
      </c>
      <c r="G200" s="221"/>
      <c r="H200" s="214">
        <f>SUM(H187:H198)</f>
        <v>11960.9344</v>
      </c>
      <c r="I200" s="221"/>
      <c r="J200" s="214">
        <f>SUM(J187:J198)</f>
        <v>11960.9344</v>
      </c>
      <c r="K200" s="221"/>
      <c r="L200" s="214">
        <f>SUM(L187:L198)</f>
        <v>7960.9344000000001</v>
      </c>
      <c r="M200" s="214"/>
      <c r="N200" s="214">
        <f>SUM(N187:N198)</f>
        <v>22357.634400000003</v>
      </c>
      <c r="O200" s="214"/>
      <c r="P200" s="214">
        <f>SUM(P187:P198)</f>
        <v>22357.634400000003</v>
      </c>
      <c r="Q200" s="214"/>
      <c r="R200" s="214">
        <f>SUM(R187:R198)</f>
        <v>22357.634400000003</v>
      </c>
      <c r="S200" s="214"/>
      <c r="T200" s="308"/>
      <c r="U200" s="214"/>
      <c r="V200" s="214">
        <f>SUM(V187:V198)</f>
        <v>30318.568800000001</v>
      </c>
      <c r="W200" s="133"/>
      <c r="X200" s="214">
        <f>SUM(X187:X198)</f>
        <v>42580.639200000005</v>
      </c>
      <c r="Y200" s="133"/>
      <c r="Z200" s="214">
        <f>SUM(Z187:Z198)</f>
        <v>121187.98</v>
      </c>
      <c r="AA200" s="221"/>
      <c r="AB200" s="214">
        <f>SUM(AB187:AB198)</f>
        <v>22952</v>
      </c>
      <c r="AC200" s="221"/>
      <c r="AD200" s="214">
        <f>SUM(AD187:AD198)</f>
        <v>36640.437600000005</v>
      </c>
      <c r="AE200" s="214">
        <f>SUM(AE187:AE198)</f>
        <v>36640.437600000005</v>
      </c>
      <c r="AF200" s="214">
        <f>SUM(AF187:AF198)</f>
        <v>46019.944800000005</v>
      </c>
      <c r="AH200" s="214">
        <f>SUM(AH187:AH198)</f>
        <v>51380.804800000005</v>
      </c>
      <c r="AI200" s="214">
        <f>SUM(AI187:AI198)</f>
        <v>51380.804800000005</v>
      </c>
      <c r="AK200" s="214">
        <f>SUM(AK187:AK198)</f>
        <v>74552.704800000007</v>
      </c>
      <c r="AL200" s="214">
        <f>SUM(AL187:AL198)</f>
        <v>89504.704800000007</v>
      </c>
      <c r="AM200" s="214">
        <f>SUM(AM187:AM198)</f>
        <v>113187.98000000001</v>
      </c>
      <c r="AN200" s="221"/>
      <c r="AO200" s="214">
        <f>SUM(AO187:AO198)</f>
        <v>118485.1768</v>
      </c>
      <c r="AP200" s="214">
        <f>SUM(AP187:AP198)</f>
        <v>133437.17680000002</v>
      </c>
      <c r="AQ200" s="214">
        <f>SUM(AQ187:AQ198)</f>
        <v>140988.652</v>
      </c>
      <c r="AR200" s="133"/>
      <c r="AS200" s="214">
        <f t="shared" ref="AS200:BK200" si="2">SUM(AS187:AS198)</f>
        <v>1964.0336</v>
      </c>
      <c r="AT200" s="214">
        <f t="shared" si="2"/>
        <v>1964.0336</v>
      </c>
      <c r="AU200" s="214">
        <f t="shared" si="2"/>
        <v>1964.0336</v>
      </c>
      <c r="AV200" s="214">
        <f t="shared" si="2"/>
        <v>1964.0336</v>
      </c>
      <c r="AW200" s="214">
        <f t="shared" si="2"/>
        <v>1964.0336</v>
      </c>
      <c r="AX200" s="214">
        <f t="shared" si="2"/>
        <v>1964.0336</v>
      </c>
      <c r="AY200" s="214">
        <f t="shared" si="2"/>
        <v>1964.0336</v>
      </c>
      <c r="AZ200" s="214">
        <f t="shared" si="2"/>
        <v>1964.0336</v>
      </c>
      <c r="BA200" s="214">
        <f t="shared" si="2"/>
        <v>1964.0336</v>
      </c>
      <c r="BB200" s="214">
        <f>SUM(BB187:BB198)</f>
        <v>1964.0336</v>
      </c>
      <c r="BC200" s="214">
        <f>SUM(BC187:BC198)</f>
        <v>15712.2688</v>
      </c>
      <c r="BD200" s="214">
        <f>SUM(BD187:BD198)</f>
        <v>1964.0336</v>
      </c>
      <c r="BE200" s="214">
        <f t="shared" si="2"/>
        <v>659.43550000000005</v>
      </c>
      <c r="BF200" s="214"/>
      <c r="BG200" s="214">
        <f t="shared" si="2"/>
        <v>659.43550000000005</v>
      </c>
      <c r="BH200" s="214">
        <f t="shared" si="2"/>
        <v>659.43550000000005</v>
      </c>
      <c r="BI200" s="214">
        <f t="shared" si="2"/>
        <v>359.43549999999999</v>
      </c>
      <c r="BJ200" s="214">
        <f t="shared" si="2"/>
        <v>659.43550000000005</v>
      </c>
      <c r="BK200" s="215">
        <f t="shared" si="2"/>
        <v>15921.8688</v>
      </c>
      <c r="BL200" s="215">
        <f>SUM(BL187:BL198)</f>
        <v>0</v>
      </c>
    </row>
    <row r="201" spans="1:64" x14ac:dyDescent="0.2">
      <c r="A201" s="183"/>
      <c r="E201" s="103"/>
      <c r="H201" s="103"/>
      <c r="J201" s="103"/>
      <c r="L201" s="103"/>
      <c r="M201" s="103"/>
      <c r="N201" s="103"/>
      <c r="O201" s="103"/>
      <c r="P201" s="103"/>
      <c r="Q201" s="103"/>
      <c r="R201" s="103"/>
      <c r="S201" s="103"/>
      <c r="T201" s="263"/>
      <c r="U201" s="103"/>
      <c r="V201" s="103"/>
      <c r="W201" s="103"/>
      <c r="X201" s="103"/>
      <c r="Y201" s="103"/>
      <c r="Z201" s="103"/>
      <c r="AA201" s="103"/>
      <c r="AD201" s="107"/>
      <c r="AE201" s="107"/>
      <c r="AF201" s="107"/>
      <c r="AH201" s="107"/>
      <c r="AI201" s="107"/>
      <c r="AK201" s="107"/>
      <c r="AL201" s="107"/>
      <c r="AM201" s="107"/>
      <c r="AO201" s="107"/>
      <c r="AP201" s="107"/>
      <c r="AQ201" s="107"/>
      <c r="AR201" s="107"/>
      <c r="BL201" s="111"/>
    </row>
    <row r="202" spans="1:64" x14ac:dyDescent="0.2">
      <c r="A202" s="183" t="s">
        <v>82</v>
      </c>
      <c r="B202" s="99" t="s">
        <v>6</v>
      </c>
      <c r="E202" s="214">
        <f>E127+E141+E183+E200</f>
        <v>94069.297900000005</v>
      </c>
      <c r="F202" s="214">
        <f>F127+F141+F183+F200</f>
        <v>105454.29790000001</v>
      </c>
      <c r="H202" s="214">
        <f>H127+H141+H183+H200</f>
        <v>130754.29790000001</v>
      </c>
      <c r="J202" s="214">
        <f>J127+J141+J183+J200</f>
        <v>169474.29790000001</v>
      </c>
      <c r="L202" s="214">
        <f>L127+L141+L183+L200</f>
        <v>74885.455300000001</v>
      </c>
      <c r="M202" s="214"/>
      <c r="N202" s="214">
        <f>N127+N141+N183+N200</f>
        <v>121008.3407872</v>
      </c>
      <c r="O202" s="214"/>
      <c r="P202" s="214">
        <f>P127+P141+P183+P200</f>
        <v>131932.1938186</v>
      </c>
      <c r="Q202" s="214"/>
      <c r="R202" s="214">
        <f>R127+R141+R183+R200</f>
        <v>151122.10492569997</v>
      </c>
      <c r="S202" s="214"/>
      <c r="T202" s="308"/>
      <c r="U202" s="214"/>
      <c r="V202" s="214">
        <f>V127+V141+V183+V200</f>
        <v>179847.07185489999</v>
      </c>
      <c r="W202" s="133"/>
      <c r="X202" s="214">
        <f>X127+X141+X183+X200</f>
        <v>270366.25107120001</v>
      </c>
      <c r="Y202" s="133"/>
      <c r="Z202" s="214">
        <f>Z127+Z141+Z183+Z200</f>
        <v>508862.69207320001</v>
      </c>
      <c r="AA202" s="103"/>
      <c r="AB202" s="214">
        <f>AB127+AB141+AB183+AB200</f>
        <v>76744.005399999995</v>
      </c>
      <c r="AD202" s="214">
        <f>AD127+AD141+AD183+AD200</f>
        <v>200576.8362512</v>
      </c>
      <c r="AE202" s="214">
        <f>AE127+AE141+AE183+AE200</f>
        <v>206097.73625120003</v>
      </c>
      <c r="AF202" s="214">
        <f>AF127+AF141+AF183+AF200</f>
        <v>255224.96345119999</v>
      </c>
      <c r="AH202" s="214">
        <f>AH127+AH141+AH183+AH200</f>
        <v>285292.40226220002</v>
      </c>
      <c r="AI202" s="214">
        <f>AI127+AI141+AI183+AI200</f>
        <v>290813.30226219998</v>
      </c>
      <c r="AK202" s="214">
        <f>AK127+AK141+AK183+AK200</f>
        <v>437733.31066620001</v>
      </c>
      <c r="AL202" s="214">
        <f>AL127+AL141+AL183+AL200</f>
        <v>540921.55548659991</v>
      </c>
      <c r="AM202" s="214">
        <f>AM127+AM141+AM183+AM200</f>
        <v>590417.29048879992</v>
      </c>
      <c r="AO202" s="214">
        <f>AO127+AO141+AO183+AO200</f>
        <v>573940.58937119995</v>
      </c>
      <c r="AP202" s="214">
        <f>AP127+AP141+AP183+AP200</f>
        <v>690247.3317815999</v>
      </c>
      <c r="AQ202" s="214">
        <f>AQ127+AQ141+AQ183+AQ200</f>
        <v>807174.01864379994</v>
      </c>
      <c r="AR202" s="133"/>
      <c r="AS202" s="214">
        <f t="shared" ref="AS202:BL202" si="3">AS127+AS141+AS183+AS200</f>
        <v>33825.063600000001</v>
      </c>
      <c r="AT202" s="214">
        <f t="shared" si="3"/>
        <v>34787.063600000001</v>
      </c>
      <c r="AU202" s="214">
        <f t="shared" si="3"/>
        <v>35749.063600000001</v>
      </c>
      <c r="AV202" s="214">
        <f t="shared" si="3"/>
        <v>40943.563600000001</v>
      </c>
      <c r="AW202" s="214">
        <f t="shared" si="3"/>
        <v>32761.063599999998</v>
      </c>
      <c r="AX202" s="214">
        <f t="shared" si="3"/>
        <v>17842.283599999999</v>
      </c>
      <c r="AY202" s="214">
        <f t="shared" si="3"/>
        <v>20078.783599999999</v>
      </c>
      <c r="AZ202" s="214">
        <f t="shared" si="3"/>
        <v>21874.283599999999</v>
      </c>
      <c r="BA202" s="214">
        <f t="shared" si="3"/>
        <v>23669.783599999999</v>
      </c>
      <c r="BB202" s="214">
        <f t="shared" si="3"/>
        <v>140481.26360000001</v>
      </c>
      <c r="BC202" s="214">
        <f t="shared" si="3"/>
        <v>142370.82879999999</v>
      </c>
      <c r="BD202" s="214">
        <f t="shared" si="3"/>
        <v>182827.2836</v>
      </c>
      <c r="BE202" s="214">
        <f t="shared" si="3"/>
        <v>14636.213900000001</v>
      </c>
      <c r="BF202" s="214"/>
      <c r="BG202" s="214">
        <f t="shared" si="3"/>
        <v>5455.4354999999996</v>
      </c>
      <c r="BH202" s="214">
        <f t="shared" si="3"/>
        <v>4648.4477000000006</v>
      </c>
      <c r="BI202" s="214">
        <f t="shared" si="3"/>
        <v>1359.4355</v>
      </c>
      <c r="BJ202" s="214">
        <f t="shared" si="3"/>
        <v>4279.4354999999996</v>
      </c>
      <c r="BK202" s="215">
        <f t="shared" si="3"/>
        <v>30721.8688</v>
      </c>
      <c r="BL202" s="215">
        <f t="shared" si="3"/>
        <v>6550.0983999999999</v>
      </c>
    </row>
    <row r="203" spans="1:64" x14ac:dyDescent="0.2">
      <c r="A203" s="183"/>
      <c r="E203" s="103"/>
      <c r="H203" s="103"/>
      <c r="J203" s="103"/>
      <c r="L203" s="103"/>
      <c r="M203" s="103"/>
      <c r="N203" s="103"/>
      <c r="O203" s="103"/>
      <c r="P203" s="103"/>
      <c r="Q203" s="103"/>
      <c r="R203" s="103"/>
      <c r="S203" s="103"/>
      <c r="T203" s="263"/>
      <c r="U203" s="103"/>
      <c r="V203" s="103"/>
      <c r="W203" s="103"/>
      <c r="X203" s="103"/>
      <c r="Y203" s="103"/>
      <c r="Z203" s="103"/>
      <c r="AA203" s="103"/>
      <c r="AD203" s="107"/>
      <c r="AE203" s="107"/>
      <c r="AF203" s="107"/>
      <c r="AH203" s="107"/>
      <c r="AI203" s="107"/>
      <c r="AK203" s="107"/>
      <c r="AL203" s="107"/>
      <c r="AM203" s="107"/>
      <c r="AO203" s="107"/>
      <c r="BL203" s="111"/>
    </row>
    <row r="204" spans="1:64" x14ac:dyDescent="0.2">
      <c r="A204" s="183" t="s">
        <v>1211</v>
      </c>
      <c r="B204" s="195" t="s">
        <v>1211</v>
      </c>
      <c r="C204" s="210"/>
      <c r="E204" s="103">
        <f>VLOOKUP($B204,Rules!$I$30:$J$30,2,FALSE)*E$202</f>
        <v>4703.4648950000001</v>
      </c>
      <c r="F204" s="103">
        <f>VLOOKUP($B204,Rules!$I$30:$J$30,2,FALSE)*F$202</f>
        <v>5272.714895000001</v>
      </c>
      <c r="H204" s="103">
        <f>VLOOKUP($B204,Rules!$I$30:$J$30,2,FALSE)*H$202</f>
        <v>6537.714895000001</v>
      </c>
      <c r="J204" s="103">
        <f>VLOOKUP($B204,Rules!$I$30:$J$30,2,FALSE)*J$202</f>
        <v>8473.714895000001</v>
      </c>
      <c r="L204" s="103">
        <f>VLOOKUP($B204,Rules!$I$30:$J$30,2,FALSE)*L$202</f>
        <v>3744.2727650000002</v>
      </c>
      <c r="M204" s="103"/>
      <c r="N204" s="103">
        <f>VLOOKUP($B204,Rules!$I$30:$J$30,2,FALSE)*N$202</f>
        <v>6050.4170393599998</v>
      </c>
      <c r="O204" s="103"/>
      <c r="P204" s="103">
        <f>VLOOKUP($B204,Rules!$I$30:$J$30,2,FALSE)*P$202</f>
        <v>6596.6096909300004</v>
      </c>
      <c r="Q204" s="103"/>
      <c r="R204" s="103">
        <f>VLOOKUP($B204,Rules!$I$30:$J$30,2,FALSE)*R$202</f>
        <v>7556.1052462849984</v>
      </c>
      <c r="S204" s="103"/>
      <c r="T204" s="263"/>
      <c r="U204" s="103"/>
      <c r="V204" s="103">
        <f>VLOOKUP($B204,Rules!$I$30:$J$30,2,FALSE)*V$202</f>
        <v>8992.3535927449993</v>
      </c>
      <c r="W204" s="103"/>
      <c r="X204" s="103">
        <f>VLOOKUP($B204,Rules!$I$30:$J$30,2,FALSE)*X$202</f>
        <v>13518.312553560001</v>
      </c>
      <c r="Y204" s="103"/>
      <c r="Z204" s="103">
        <f>VLOOKUP($B204,Rules!$I$30:$J$30,2,FALSE)*Z$202</f>
        <v>25443.134603660001</v>
      </c>
      <c r="AA204" s="210"/>
      <c r="AB204" s="103">
        <f>VLOOKUP($B204,Rules!$I$30:$J$30,2,FALSE)*AB$202</f>
        <v>3837.2002699999998</v>
      </c>
      <c r="AD204" s="103">
        <f>VLOOKUP($B204,Rules!$I$30:$J$30,2,FALSE)*AD$202</f>
        <v>10028.84181256</v>
      </c>
      <c r="AE204" s="103">
        <f>VLOOKUP($B204,Rules!$I$30:$J$30,2,FALSE)*AE$202</f>
        <v>10304.886812560002</v>
      </c>
      <c r="AF204" s="103">
        <f>VLOOKUP($B204,Rules!$I$30:$J$30,2,FALSE)*AF$202</f>
        <v>12761.248172560001</v>
      </c>
      <c r="AH204" s="103">
        <f>VLOOKUP($B204,Rules!$I$30:$J$30,2,FALSE)*AH$202</f>
        <v>14264.620113110002</v>
      </c>
      <c r="AI204" s="103">
        <f>VLOOKUP($B204,Rules!$I$30:$J$30,2,FALSE)*AI$202</f>
        <v>14540.665113110001</v>
      </c>
      <c r="AK204" s="103">
        <f>VLOOKUP($B204,Rules!$I$30:$J$30,2,FALSE)*AK$202</f>
        <v>21886.665533310003</v>
      </c>
      <c r="AL204" s="103">
        <f>VLOOKUP($B204,Rules!$I$30:$J$30,2,FALSE)*AL$202</f>
        <v>27046.077774329999</v>
      </c>
      <c r="AM204" s="103">
        <f>VLOOKUP($B204,Rules!$I$30:$J$30,2,FALSE)*AM$202</f>
        <v>29520.864524439996</v>
      </c>
      <c r="AO204" s="103">
        <f>VLOOKUP($B204,Rules!$I$30:$J$30,2,FALSE)*AO$202</f>
        <v>28697.029468559998</v>
      </c>
      <c r="AP204" s="103">
        <f>VLOOKUP($B204,Rules!$I$30:$J$30,2,FALSE)*AP$202</f>
        <v>34512.366589079997</v>
      </c>
      <c r="AQ204" s="103">
        <f>VLOOKUP($B204,Rules!$I$30:$J$30,2,FALSE)*AQ$202</f>
        <v>40358.700932189997</v>
      </c>
      <c r="AR204" s="103"/>
      <c r="AS204" s="103">
        <f>VLOOKUP($B204,Rules!$I$30:$J$30,2,FALSE)*AS$202</f>
        <v>1691.2531800000002</v>
      </c>
      <c r="AT204" s="103">
        <f>VLOOKUP($B204,Rules!$I$30:$J$30,2,FALSE)*AT$202</f>
        <v>1739.3531800000001</v>
      </c>
      <c r="AU204" s="103">
        <f>VLOOKUP($B204,Rules!$I$30:$J$30,2,FALSE)*AU$202</f>
        <v>1787.4531800000002</v>
      </c>
      <c r="AV204" s="103">
        <f>VLOOKUP($B204,Rules!$I$30:$J$30,2,FALSE)*AV$202</f>
        <v>2047.1781800000001</v>
      </c>
      <c r="AW204" s="103">
        <f>VLOOKUP($B204,Rules!$I$30:$J$30,2,FALSE)*AW$202</f>
        <v>1638.0531799999999</v>
      </c>
      <c r="AX204" s="103">
        <f>VLOOKUP($B204,Rules!$I$30:$J$30,2,FALSE)*AX$202</f>
        <v>892.11418000000003</v>
      </c>
      <c r="AY204" s="103">
        <f>VLOOKUP($B204,Rules!$I$30:$J$30,2,FALSE)*AY$202</f>
        <v>1003.93918</v>
      </c>
      <c r="AZ204" s="103">
        <f>VLOOKUP($B204,Rules!$I$30:$J$30,2,FALSE)*AZ$202</f>
        <v>1093.7141799999999</v>
      </c>
      <c r="BA204" s="103">
        <f>VLOOKUP($B204,Rules!$I$30:$J$30,2,FALSE)*BA$202</f>
        <v>1183.48918</v>
      </c>
      <c r="BB204" s="103">
        <f>VLOOKUP($B204,Rules!$I$30:$J$30,2,FALSE)*BB$202</f>
        <v>7024.063180000001</v>
      </c>
      <c r="BC204" s="103">
        <f>VLOOKUP($B204,Rules!$I$30:$J$30,2,FALSE)*BC$202</f>
        <v>7118.54144</v>
      </c>
      <c r="BD204" s="103">
        <f>VLOOKUP($B204,Rules!$I$30:$J$30,2,FALSE)*BD$202</f>
        <v>9141.3641800000005</v>
      </c>
      <c r="BE204" s="103">
        <f>VLOOKUP($B204,Rules!$I$30:$J$30,2,FALSE)*BE$202</f>
        <v>731.81069500000012</v>
      </c>
      <c r="BF204" s="103"/>
      <c r="BG204" s="103">
        <f>VLOOKUP($B204,Rules!$I$30:$J$30,2,FALSE)*BG$202</f>
        <v>272.77177499999999</v>
      </c>
      <c r="BH204" s="103">
        <f>VLOOKUP($B204,Rules!$I$30:$J$30,2,FALSE)*BH$202</f>
        <v>232.42238500000005</v>
      </c>
      <c r="BI204" s="103">
        <f>VLOOKUP($B204,Rules!$I$30:$J$30,2,FALSE)*BI$202</f>
        <v>67.971775000000008</v>
      </c>
      <c r="BJ204" s="103">
        <f>VLOOKUP($B204,Rules!$I$30:$J$30,2,FALSE)*BJ$202</f>
        <v>213.97177499999998</v>
      </c>
      <c r="BK204" s="103">
        <f>VLOOKUP($B204,Rules!$I$30:$J$30,2,FALSE)*BK$202</f>
        <v>1536.0934400000001</v>
      </c>
      <c r="BL204" s="103">
        <f>VLOOKUP($B204,Rules!$I$30:$J$30,2,FALSE)*BL$202</f>
        <v>327.50492000000003</v>
      </c>
    </row>
    <row r="205" spans="1:64" x14ac:dyDescent="0.2">
      <c r="A205" s="183" t="s">
        <v>1201</v>
      </c>
      <c r="B205" s="195" t="s">
        <v>1202</v>
      </c>
      <c r="C205" s="210"/>
      <c r="E205" s="103"/>
      <c r="F205" s="103"/>
      <c r="H205" s="103"/>
      <c r="J205" s="103"/>
      <c r="L205" s="103"/>
      <c r="M205" s="103"/>
      <c r="N205" s="103"/>
      <c r="O205" s="103"/>
      <c r="P205" s="103"/>
      <c r="Q205" s="103"/>
      <c r="R205" s="103"/>
      <c r="S205" s="103"/>
      <c r="T205" s="263"/>
      <c r="U205" s="103"/>
      <c r="V205" s="103"/>
      <c r="W205" s="103"/>
      <c r="X205" s="103"/>
      <c r="Y205" s="103"/>
      <c r="Z205" s="103">
        <f>VLOOKUP($B205,Rules!$I$31:$J$31,2,FALSE)*Z$202</f>
        <v>25443.134603660001</v>
      </c>
      <c r="AA205" s="210"/>
      <c r="AB205" s="103"/>
      <c r="AD205" s="203"/>
      <c r="AE205" s="203"/>
      <c r="AF205" s="103">
        <f>VLOOKUP($B205,Rules!$I$31:$J$31,2,FALSE)*AF$202</f>
        <v>12761.248172560001</v>
      </c>
      <c r="AH205" s="103">
        <f>VLOOKUP($B205,Rules!$I$31:$J$31,2,FALSE)*AH$202</f>
        <v>14264.620113110002</v>
      </c>
      <c r="AI205" s="103">
        <f>VLOOKUP($B205,Rules!$I$31:$J$31,2,FALSE)*AI$202</f>
        <v>14540.665113110001</v>
      </c>
      <c r="AK205" s="103">
        <f>VLOOKUP($B205,Rules!$I$31:$J$31,2,FALSE)*AK$202</f>
        <v>21886.665533310003</v>
      </c>
      <c r="AL205" s="103">
        <f>VLOOKUP($B205,Rules!$I$31:$J$31,2,FALSE)*AL$202</f>
        <v>27046.077774329999</v>
      </c>
      <c r="AM205" s="103">
        <f>VLOOKUP($B205,Rules!$I$31:$J$31,2,FALSE)*AM$202</f>
        <v>29520.864524439996</v>
      </c>
      <c r="AO205" s="103">
        <f>VLOOKUP($B205,Rules!$I$31:$J$31,2,FALSE)*AO$202</f>
        <v>28697.029468559998</v>
      </c>
      <c r="AP205" s="103">
        <f>VLOOKUP($B205,Rules!$I$31:$J$31,2,FALSE)*AP$202</f>
        <v>34512.366589079997</v>
      </c>
      <c r="AQ205" s="103">
        <f>VLOOKUP($B205,Rules!$I$31:$J$31,2,FALSE)*AQ$202</f>
        <v>40358.700932189997</v>
      </c>
      <c r="AR205" s="103"/>
      <c r="AS205" s="103"/>
      <c r="AT205" s="103"/>
      <c r="AU205" s="103"/>
      <c r="AV205" s="103"/>
      <c r="AW205" s="103"/>
      <c r="AX205" s="103"/>
      <c r="AY205" s="103"/>
      <c r="AZ205" s="103"/>
      <c r="BA205" s="103"/>
      <c r="BB205" s="103"/>
      <c r="BC205" s="103"/>
      <c r="BD205" s="103"/>
      <c r="BE205" s="103"/>
      <c r="BF205" s="103"/>
      <c r="BG205" s="103"/>
      <c r="BH205" s="103"/>
      <c r="BI205" s="103"/>
      <c r="BJ205" s="103"/>
      <c r="BK205" s="103"/>
      <c r="BL205" s="103"/>
    </row>
    <row r="206" spans="1:64" x14ac:dyDescent="0.2">
      <c r="A206" s="183" t="s">
        <v>1203</v>
      </c>
      <c r="B206" s="195" t="s">
        <v>1204</v>
      </c>
      <c r="C206" s="210"/>
      <c r="E206" s="103"/>
      <c r="F206" s="103"/>
      <c r="H206" s="103"/>
      <c r="J206" s="103"/>
      <c r="L206" s="103"/>
      <c r="M206" s="103"/>
      <c r="N206" s="103"/>
      <c r="O206" s="103"/>
      <c r="P206" s="103"/>
      <c r="Q206" s="103"/>
      <c r="R206" s="103"/>
      <c r="S206" s="103"/>
      <c r="T206" s="263"/>
      <c r="U206" s="103"/>
      <c r="V206" s="103"/>
      <c r="W206" s="103"/>
      <c r="X206" s="103"/>
      <c r="Y206" s="103"/>
      <c r="Z206" s="103">
        <f>VLOOKUP($B206,Rules!$I$32:$J$32,2,FALSE)*Z$202</f>
        <v>5088.6269207320001</v>
      </c>
      <c r="AA206" s="210"/>
      <c r="AB206" s="103"/>
      <c r="AD206" s="203"/>
      <c r="AE206" s="203"/>
      <c r="AF206" s="103">
        <f>VLOOKUP($B206,Rules!$I$32:$J$32,2,FALSE)*AF$202</f>
        <v>2552.2496345119998</v>
      </c>
      <c r="AH206" s="103">
        <f>VLOOKUP($B206,Rules!$I$32:$J$32,2,FALSE)*AH$202</f>
        <v>2852.9240226220004</v>
      </c>
      <c r="AI206" s="103">
        <f>VLOOKUP($B206,Rules!$I$32:$J$32,2,FALSE)*AI$202</f>
        <v>2908.1330226219998</v>
      </c>
      <c r="AK206" s="103">
        <f>VLOOKUP($B206,Rules!$I$32:$J$32,2,FALSE)*AK$202</f>
        <v>4377.3331066620003</v>
      </c>
      <c r="AL206" s="103">
        <f>VLOOKUP($B206,Rules!$I$32:$J$32,2,FALSE)*AL$202</f>
        <v>5409.2155548659994</v>
      </c>
      <c r="AM206" s="103">
        <f>VLOOKUP($B206,Rules!$I$32:$J$32,2,FALSE)*AM$202</f>
        <v>5904.1729048879997</v>
      </c>
      <c r="AO206" s="103">
        <f>VLOOKUP($B206,Rules!$I$32:$J$32,2,FALSE)*AO$202</f>
        <v>5739.4058937119999</v>
      </c>
      <c r="AP206" s="103">
        <f>VLOOKUP($B206,Rules!$I$32:$J$32,2,FALSE)*AP$202</f>
        <v>6902.4733178159995</v>
      </c>
      <c r="AQ206" s="103">
        <f>VLOOKUP($B206,Rules!$I$32:$J$32,2,FALSE)*AQ$202</f>
        <v>8071.7401864379999</v>
      </c>
      <c r="AR206" s="103"/>
      <c r="AS206" s="103"/>
      <c r="AT206" s="103"/>
      <c r="AU206" s="103"/>
      <c r="AV206" s="103"/>
      <c r="AW206" s="103"/>
      <c r="AX206" s="103"/>
      <c r="AY206" s="103"/>
      <c r="AZ206" s="103"/>
      <c r="BA206" s="103"/>
      <c r="BB206" s="103"/>
      <c r="BC206" s="103"/>
      <c r="BD206" s="103"/>
      <c r="BE206" s="103"/>
      <c r="BF206" s="103"/>
      <c r="BG206" s="103"/>
      <c r="BH206" s="103"/>
      <c r="BI206" s="103"/>
      <c r="BJ206" s="103"/>
      <c r="BK206" s="103"/>
      <c r="BL206" s="103"/>
    </row>
    <row r="207" spans="1:64" x14ac:dyDescent="0.2">
      <c r="A207" s="183" t="s">
        <v>1209</v>
      </c>
      <c r="B207" s="195" t="s">
        <v>1209</v>
      </c>
      <c r="C207" s="210"/>
      <c r="E207" s="103"/>
      <c r="F207" s="103"/>
      <c r="H207" s="103"/>
      <c r="J207" s="103"/>
      <c r="L207" s="103"/>
      <c r="M207" s="103"/>
      <c r="N207" s="103"/>
      <c r="O207" s="103"/>
      <c r="P207" s="103"/>
      <c r="Q207" s="103"/>
      <c r="R207" s="103"/>
      <c r="S207" s="103"/>
      <c r="T207" s="263"/>
      <c r="U207" s="103"/>
      <c r="V207" s="103"/>
      <c r="W207" s="103"/>
      <c r="X207" s="103"/>
      <c r="Y207" s="103"/>
      <c r="Z207" s="103">
        <f>VLOOKUP($B207,Rules!$I$33:$J$33,2,FALSE)*Z$202</f>
        <v>10177.253841464</v>
      </c>
      <c r="AA207" s="210"/>
      <c r="AB207" s="103"/>
      <c r="AD207" s="203"/>
      <c r="AE207" s="203"/>
      <c r="AF207" s="103">
        <f>VLOOKUP($B207,Rules!$I$33:$J$33,2,FALSE)*AF$202</f>
        <v>5104.4992690239997</v>
      </c>
      <c r="AH207" s="103">
        <f>VLOOKUP($B207,Rules!$I$33:$J$33,2,FALSE)*AH$202</f>
        <v>5705.8480452440008</v>
      </c>
      <c r="AI207" s="103">
        <f>VLOOKUP($B207,Rules!$I$33:$J$33,2,FALSE)*AI$202</f>
        <v>5816.2660452439995</v>
      </c>
      <c r="AK207" s="103">
        <f>VLOOKUP($B207,Rules!$I$33:$J$33,2,FALSE)*AK$202</f>
        <v>8754.6662133240006</v>
      </c>
      <c r="AL207" s="103">
        <f>VLOOKUP($B207,Rules!$I$33:$J$33,2,FALSE)*AL$202</f>
        <v>10818.431109731999</v>
      </c>
      <c r="AM207" s="103">
        <f>VLOOKUP($B207,Rules!$I$33:$J$33,2,FALSE)*AM$202</f>
        <v>11808.345809775999</v>
      </c>
      <c r="AO207" s="103">
        <f>VLOOKUP($B207,Rules!$I$33:$J$33,2,FALSE)*AO$202</f>
        <v>11478.811787424</v>
      </c>
      <c r="AP207" s="103">
        <f>VLOOKUP($B207,Rules!$I$33:$J$33,2,FALSE)*AP$202</f>
        <v>13804.946635631999</v>
      </c>
      <c r="AQ207" s="103">
        <f>VLOOKUP($B207,Rules!$I$33:$J$33,2,FALSE)*AQ$202</f>
        <v>16143.480372876</v>
      </c>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row>
    <row r="208" spans="1:64" x14ac:dyDescent="0.2">
      <c r="A208" s="183"/>
      <c r="E208" s="103"/>
      <c r="H208" s="103"/>
      <c r="J208" s="103"/>
      <c r="L208" s="103"/>
      <c r="M208" s="103"/>
      <c r="N208" s="103"/>
      <c r="O208" s="103"/>
      <c r="P208" s="103"/>
      <c r="Q208" s="103"/>
      <c r="R208" s="103"/>
      <c r="S208" s="103"/>
      <c r="T208" s="263"/>
      <c r="U208" s="103"/>
      <c r="V208" s="103"/>
      <c r="W208" s="103"/>
      <c r="X208" s="103"/>
      <c r="Y208" s="103"/>
      <c r="Z208" s="107"/>
      <c r="AA208" s="103"/>
      <c r="AD208" s="107"/>
      <c r="AE208" s="107"/>
      <c r="AF208" s="107"/>
      <c r="AH208" s="107"/>
      <c r="AI208" s="107"/>
      <c r="AK208" s="107"/>
      <c r="AL208" s="107"/>
      <c r="AM208" s="107"/>
      <c r="AO208" s="223"/>
      <c r="AP208" s="223"/>
      <c r="AQ208" s="223"/>
      <c r="AR208" s="223"/>
      <c r="BL208" s="111"/>
    </row>
    <row r="209" spans="1:64" outlineLevel="1" x14ac:dyDescent="0.2">
      <c r="A209" s="183" t="s">
        <v>83</v>
      </c>
      <c r="E209" s="210">
        <f>VLOOKUP(E$1,Rules!$AL$7:$AP$54,2, FALSE)</f>
        <v>0.15</v>
      </c>
      <c r="F209" s="210">
        <f>VLOOKUP(F$1,Rules!$AL$7:$AP$54,2, FALSE)</f>
        <v>0.15</v>
      </c>
      <c r="G209" s="211"/>
      <c r="H209" s="210">
        <f>VLOOKUP(H$1,Rules!$AL$7:$AP$54,2, FALSE)</f>
        <v>0.15</v>
      </c>
      <c r="I209" s="211"/>
      <c r="J209" s="210">
        <f>VLOOKUP(J$1,Rules!$AL$7:$AP$54,2, FALSE)</f>
        <v>0.2</v>
      </c>
      <c r="L209" s="210">
        <f>VLOOKUP(L$1,Rules!$AL$7:$AP$54,2, FALSE)</f>
        <v>0.15</v>
      </c>
      <c r="M209" s="210"/>
      <c r="N209" s="210">
        <f>VLOOKUP(N$1,Rules!$AL$7:$AP$54,2, FALSE)</f>
        <v>0.15</v>
      </c>
      <c r="O209" s="210"/>
      <c r="P209" s="210">
        <f>VLOOKUP(P$1,Rules!$AL$7:$AP$54,2, FALSE)</f>
        <v>0.15</v>
      </c>
      <c r="Q209" s="210"/>
      <c r="R209" s="210">
        <f>VLOOKUP(R$1,Rules!$AL$7:$AP$54,2, FALSE)</f>
        <v>0.15</v>
      </c>
      <c r="S209" s="210"/>
      <c r="T209" s="264"/>
      <c r="U209" s="210"/>
      <c r="V209" s="210">
        <f>VLOOKUP(V$1,Rules!$AL$7:$AP$54,2, FALSE)</f>
        <v>0.15</v>
      </c>
      <c r="W209" s="210"/>
      <c r="X209" s="210">
        <f>VLOOKUP(X$1,Rules!$AL$7:$AP$54,2, FALSE)</f>
        <v>0.25</v>
      </c>
      <c r="Y209" s="210"/>
      <c r="Z209" s="210">
        <f>VLOOKUP(Z$1,Rules!$AL$7:$AP$54,2, FALSE)</f>
        <v>0.25</v>
      </c>
      <c r="AA209" s="210"/>
      <c r="AB209" s="210">
        <f>VLOOKUP(AB$1,Rules!$AL$7:$AP$54,2, FALSE)</f>
        <v>0.3</v>
      </c>
      <c r="AC209" s="211"/>
      <c r="AD209" s="210">
        <f>VLOOKUP(AD$1,Rules!$AL$7:$AP$54,2, FALSE)</f>
        <v>0.21</v>
      </c>
      <c r="AE209" s="210">
        <f>VLOOKUP(AE$1,Rules!$AL$7:$AP$54,2, FALSE)</f>
        <v>0.21</v>
      </c>
      <c r="AF209" s="210">
        <f>VLOOKUP(AF$1,Rules!$AL$7:$AP$54,2, FALSE)</f>
        <v>0.21</v>
      </c>
      <c r="AG209" s="211"/>
      <c r="AH209" s="210">
        <f>VLOOKUP(AH$1,Rules!$AL$7:$AP$54,2, FALSE)</f>
        <v>0.21</v>
      </c>
      <c r="AI209" s="210">
        <f>VLOOKUP(AI$1,Rules!$AL$7:$AP$54,2, FALSE)</f>
        <v>0.21</v>
      </c>
      <c r="AJ209" s="211"/>
      <c r="AK209" s="210">
        <f>VLOOKUP(AK$1,Rules!$AL$7:$AP$54,2, FALSE)</f>
        <v>0.28999999999999998</v>
      </c>
      <c r="AL209" s="210">
        <f>VLOOKUP(AL$1,Rules!$AL$7:$AP$54,2, FALSE)</f>
        <v>0.28999999999999998</v>
      </c>
      <c r="AM209" s="210">
        <f>VLOOKUP(AM$1,Rules!$AL$7:$AP$54,2, FALSE)</f>
        <v>0.3</v>
      </c>
      <c r="AN209" s="211"/>
      <c r="AO209" s="284">
        <f>IF('External Prices'!Z$27="No", VLOOKUP(AO$1, Rules!$AL$7:$AP$54,2, FALSE), VLOOKUP("Coxial", Rules!$AL$7:$BB$54,2, FALSE))</f>
        <v>0.26</v>
      </c>
      <c r="AP209" s="284">
        <f>IF('External Prices'!AA$27="No", VLOOKUP(AP$1, Rules!$AL$7:$AP$54,2, FALSE), VLOOKUP("Coxial", Rules!$AL$7:$BB$54,2, FALSE))</f>
        <v>0.3</v>
      </c>
      <c r="AQ209" s="284">
        <f>IF('External Prices'!AB$27="No", VLOOKUP(AQ$1, Rules!$AL$7:$AP$54,2, FALSE), VLOOKUP("Coxial", Rules!$AL$7:$BB$54,2, FALSE))</f>
        <v>0.26</v>
      </c>
      <c r="AR209" s="224"/>
      <c r="AS209" s="210">
        <f>VLOOKUP(AS$1,Rules!$AL$7:$AP$54,2, FALSE)</f>
        <v>0.15</v>
      </c>
      <c r="AT209" s="210">
        <f>VLOOKUP(AT$1,Rules!$AL$7:$AP$54,2, FALSE)</f>
        <v>0.15</v>
      </c>
      <c r="AU209" s="210">
        <f>VLOOKUP(AU$1,Rules!$AL$7:$AP$54,2, FALSE)</f>
        <v>0.15</v>
      </c>
      <c r="AV209" s="210">
        <f>VLOOKUP(AV$1,Rules!$AL$7:$AP$54,2, FALSE)</f>
        <v>0.15</v>
      </c>
      <c r="AW209" s="210">
        <f>VLOOKUP(AW$1,Rules!$AL$7:$AP$54,2, FALSE)</f>
        <v>0.15</v>
      </c>
      <c r="AX209" s="210">
        <f>VLOOKUP(AX$1,Rules!$AL$7:$AP$54,2, FALSE)</f>
        <v>0.15</v>
      </c>
      <c r="AY209" s="210">
        <f>VLOOKUP(AY$1,Rules!$AL$7:$AP$54,2, FALSE)</f>
        <v>0.15</v>
      </c>
      <c r="AZ209" s="210">
        <f>VLOOKUP(AZ$1,Rules!$AL$7:$AP$54,2, FALSE)</f>
        <v>0.15</v>
      </c>
      <c r="BA209" s="210">
        <f>VLOOKUP(BA$1,Rules!$AL$7:$AP$54,2, FALSE)</f>
        <v>0.15</v>
      </c>
      <c r="BB209" s="210">
        <f>VLOOKUP(BB$1,Rules!$AL$7:$AP$54,2, FALSE)</f>
        <v>0.15</v>
      </c>
      <c r="BC209" s="210">
        <f>VLOOKUP(BC$1,Rules!$AL$7:$AP$54,2, FALSE)</f>
        <v>0.15</v>
      </c>
      <c r="BD209" s="210">
        <f>VLOOKUP(BD$1,Rules!$AL$7:$AP$54,2, FALSE)</f>
        <v>0.15</v>
      </c>
      <c r="BE209" s="210">
        <f>VLOOKUP(BE$1,Rules!$AL$7:$AP$54,2, FALSE)</f>
        <v>0.15</v>
      </c>
      <c r="BF209" s="210"/>
      <c r="BG209" s="210">
        <f>VLOOKUP(BG$1,Rules!$AL$7:$AP$54,2, FALSE)</f>
        <v>0.15</v>
      </c>
      <c r="BH209" s="210">
        <f>VLOOKUP(BH$1,Rules!$AL$7:$AP$54,2, FALSE)</f>
        <v>0.15</v>
      </c>
      <c r="BI209" s="210">
        <f>VLOOKUP(BI$1,Rules!$AL$7:$AP$54,2, FALSE)</f>
        <v>0.15</v>
      </c>
      <c r="BJ209" s="210">
        <f>VLOOKUP(BJ$1,Rules!$AL$7:$AP$54,2, FALSE)</f>
        <v>0.15</v>
      </c>
      <c r="BK209" s="210">
        <f>VLOOKUP(BK$1,Rules!$AL$7:$AP$54,2, FALSE)</f>
        <v>0.15</v>
      </c>
      <c r="BL209" s="210">
        <f>VLOOKUP(BL$1,Rules!$AL$7:$AP$54,2, FALSE)</f>
        <v>0.15</v>
      </c>
    </row>
    <row r="210" spans="1:64" outlineLevel="1" x14ac:dyDescent="0.2">
      <c r="A210" s="183" t="s">
        <v>723</v>
      </c>
      <c r="E210" s="210">
        <f>VLOOKUP(E$1,Rules!$AL$7:$AP$54,3, FALSE)</f>
        <v>0.15</v>
      </c>
      <c r="F210" s="210">
        <f>VLOOKUP(F$1,Rules!$AL$7:$AP$54,3, FALSE)</f>
        <v>0.15</v>
      </c>
      <c r="G210" s="211"/>
      <c r="H210" s="210">
        <f>VLOOKUP(H$1,Rules!$AL$7:$AP$54,3, FALSE)</f>
        <v>0.18</v>
      </c>
      <c r="I210" s="211"/>
      <c r="J210" s="210">
        <f>VLOOKUP(J$1,Rules!$AL$7:$AP$54,3, FALSE)</f>
        <v>0.25</v>
      </c>
      <c r="L210" s="210">
        <f>VLOOKUP(L$1,Rules!$AL$7:$AP$54,3, FALSE)</f>
        <v>0.15</v>
      </c>
      <c r="M210" s="210"/>
      <c r="N210" s="210">
        <f>VLOOKUP(N$1,Rules!$AL$7:$AP$54,3, FALSE)</f>
        <v>0.15</v>
      </c>
      <c r="O210" s="210"/>
      <c r="P210" s="210">
        <f>VLOOKUP(P$1,Rules!$AL$7:$AP$54,3, FALSE)</f>
        <v>0.15</v>
      </c>
      <c r="Q210" s="210"/>
      <c r="R210" s="210">
        <f>VLOOKUP(R$1,Rules!$AL$7:$AP$54,3, FALSE)</f>
        <v>0.15</v>
      </c>
      <c r="S210" s="210"/>
      <c r="T210" s="264"/>
      <c r="U210" s="210"/>
      <c r="V210" s="210">
        <f>VLOOKUP(V$1,Rules!$AL$7:$AP$54,3, FALSE)</f>
        <v>0.15</v>
      </c>
      <c r="W210" s="210"/>
      <c r="X210" s="210">
        <f>VLOOKUP(X$1,Rules!$AL$7:$AP$54,3, FALSE)</f>
        <v>0.25</v>
      </c>
      <c r="Y210" s="210"/>
      <c r="Z210" s="210">
        <f>VLOOKUP(Z$1,Rules!$AL$7:$AP$54,3, FALSE)</f>
        <v>0.25</v>
      </c>
      <c r="AA210" s="210"/>
      <c r="AB210" s="210">
        <f>VLOOKUP(AB$1,Rules!$AL$7:$AP$54,3, FALSE)</f>
        <v>0.3</v>
      </c>
      <c r="AC210" s="211"/>
      <c r="AD210" s="210">
        <f>VLOOKUP(AD$1,Rules!$AL$7:$AP$54,3, FALSE)</f>
        <v>0.21</v>
      </c>
      <c r="AE210" s="210">
        <f>VLOOKUP(AE$1,Rules!$AL$7:$AP$54,3, FALSE)</f>
        <v>0.21</v>
      </c>
      <c r="AF210" s="210">
        <f>VLOOKUP(AF$1,Rules!$AL$7:$AP$54,3, FALSE)</f>
        <v>0.21</v>
      </c>
      <c r="AG210" s="211"/>
      <c r="AH210" s="210">
        <f>VLOOKUP(AH$1,Rules!$AL$7:$AP$54,3, FALSE)</f>
        <v>0.21</v>
      </c>
      <c r="AI210" s="210">
        <f>VLOOKUP(AI$1,Rules!$AL$7:$AP$54,3, FALSE)</f>
        <v>0.21</v>
      </c>
      <c r="AJ210" s="211"/>
      <c r="AK210" s="210">
        <f>VLOOKUP(AK$1,Rules!$AL$7:$AP$54,3, FALSE)</f>
        <v>0.26</v>
      </c>
      <c r="AL210" s="210">
        <f>VLOOKUP(AL$1,Rules!$AL$7:$AP$54,3, FALSE)</f>
        <v>0.26</v>
      </c>
      <c r="AM210" s="210">
        <f>VLOOKUP(AM$1,Rules!$AL$7:$AP$54,3, FALSE)</f>
        <v>0.3</v>
      </c>
      <c r="AN210" s="211"/>
      <c r="AO210" s="210">
        <f>IF('External Prices'!Z$27="No", VLOOKUP(AO$1, Rules!$AL$7:$AP$54,3, FALSE), VLOOKUP("Coxial", Rules!$AL$7:$BB$54,3, FALSE))</f>
        <v>0.26</v>
      </c>
      <c r="AP210" s="210">
        <f>IF('External Prices'!AA$27="No", VLOOKUP(AP$1, Rules!$AL$7:$AP$54,3, FALSE), VLOOKUP("Coxial", Rules!$AL$7:$BB$54,3, FALSE))</f>
        <v>0.26</v>
      </c>
      <c r="AQ210" s="210">
        <f>IF('External Prices'!AB$27="No", VLOOKUP(AQ$1, Rules!$AL$7:$AP$54,3, FALSE), VLOOKUP("Coxial", Rules!$AL$7:$BB$54,3, FALSE))</f>
        <v>0.26</v>
      </c>
      <c r="AR210" s="224"/>
      <c r="AS210" s="210"/>
      <c r="AT210" s="210"/>
      <c r="AU210" s="210"/>
      <c r="AV210" s="210"/>
      <c r="AW210" s="210"/>
      <c r="AX210" s="210"/>
      <c r="AY210" s="210"/>
      <c r="AZ210" s="210"/>
      <c r="BA210" s="210"/>
      <c r="BB210" s="210"/>
      <c r="BC210" s="210"/>
      <c r="BD210" s="210"/>
      <c r="BE210" s="210"/>
      <c r="BF210" s="210"/>
      <c r="BG210" s="210"/>
      <c r="BH210" s="210"/>
      <c r="BI210" s="210"/>
      <c r="BJ210" s="210"/>
      <c r="BK210" s="210"/>
      <c r="BL210" s="210"/>
    </row>
    <row r="211" spans="1:64" outlineLevel="1" x14ac:dyDescent="0.2">
      <c r="A211" s="183" t="s">
        <v>84</v>
      </c>
      <c r="E211" s="210">
        <f>VLOOKUP(E$1,Rules!$AL$7:$AP$54,4, FALSE)</f>
        <v>0.15</v>
      </c>
      <c r="F211" s="210">
        <f>VLOOKUP(F$1,Rules!$AL$7:$AP$54,4, FALSE)</f>
        <v>0.15</v>
      </c>
      <c r="G211" s="211"/>
      <c r="H211" s="210">
        <f>VLOOKUP(H$1,Rules!$AL$7:$AP$54,4, FALSE)</f>
        <v>0.18</v>
      </c>
      <c r="I211" s="211"/>
      <c r="J211" s="210">
        <f>VLOOKUP(J$1,Rules!$AL$7:$AP$54,4, FALSE)</f>
        <v>0.25</v>
      </c>
      <c r="L211" s="210">
        <f>VLOOKUP(L$1,Rules!$AL$7:$AP$54,4, FALSE)</f>
        <v>0.15</v>
      </c>
      <c r="M211" s="210"/>
      <c r="N211" s="210">
        <f>VLOOKUP(N$1,Rules!$AL$7:$AP$54,4, FALSE)</f>
        <v>0.15</v>
      </c>
      <c r="O211" s="210"/>
      <c r="P211" s="210">
        <f>VLOOKUP(P$1,Rules!$AL$7:$AP$54,4, FALSE)</f>
        <v>0.15</v>
      </c>
      <c r="Q211" s="210"/>
      <c r="R211" s="210">
        <f>VLOOKUP(R$1,Rules!$AL$7:$AP$54,4, FALSE)</f>
        <v>0.15</v>
      </c>
      <c r="S211" s="210"/>
      <c r="T211" s="264"/>
      <c r="U211" s="210"/>
      <c r="V211" s="210">
        <f>VLOOKUP(V$1,Rules!$AL$7:$AP$54,4, FALSE)</f>
        <v>0.15</v>
      </c>
      <c r="W211" s="210"/>
      <c r="X211" s="210">
        <f>VLOOKUP(X$1,Rules!$AL$7:$AP$54,4, FALSE)</f>
        <v>0.3</v>
      </c>
      <c r="Y211" s="210"/>
      <c r="Z211" s="210">
        <f>VLOOKUP(Z$1,Rules!$AL$7:$AP$54,4, FALSE)</f>
        <v>0.3</v>
      </c>
      <c r="AA211" s="210"/>
      <c r="AB211" s="210">
        <f>VLOOKUP(AB$1,Rules!$AL$7:$AP$54,4, FALSE)</f>
        <v>0.3</v>
      </c>
      <c r="AC211" s="211"/>
      <c r="AD211" s="210">
        <f>VLOOKUP(AD$1,Rules!$AL$7:$AP$54,4, FALSE)</f>
        <v>0.23</v>
      </c>
      <c r="AE211" s="210">
        <f>VLOOKUP(AE$1,Rules!$AL$7:$AP$54,4, FALSE)</f>
        <v>0.23</v>
      </c>
      <c r="AF211" s="210">
        <f>VLOOKUP(AF$1,Rules!$AL$7:$AP$54,4, FALSE)</f>
        <v>0.23</v>
      </c>
      <c r="AG211" s="211"/>
      <c r="AH211" s="210">
        <f>VLOOKUP(AH$1,Rules!$AL$7:$AP$54,4, FALSE)</f>
        <v>0.26</v>
      </c>
      <c r="AI211" s="210">
        <f>VLOOKUP(AI$1,Rules!$AL$7:$AP$54,4, FALSE)</f>
        <v>0.26</v>
      </c>
      <c r="AJ211" s="211"/>
      <c r="AK211" s="210">
        <f>VLOOKUP(AK$1,Rules!$AL$7:$AP$54,4, FALSE)</f>
        <v>0.4</v>
      </c>
      <c r="AL211" s="210">
        <f>VLOOKUP(AL$1,Rules!$AL$7:$AP$54,4, FALSE)</f>
        <v>0.4</v>
      </c>
      <c r="AM211" s="210">
        <f>VLOOKUP(AM$1,Rules!$AL$7:$AP$54,4, FALSE)</f>
        <v>0.4</v>
      </c>
      <c r="AN211" s="211"/>
      <c r="AO211" s="210">
        <f>IF('External Prices'!Z$27="No", VLOOKUP(AO$1, Rules!$AL$7:$AP$54,4, FALSE), VLOOKUP("Coxial", Rules!$AL$7:$BB$54,4, FALSE))</f>
        <v>0.35</v>
      </c>
      <c r="AP211" s="210">
        <f>IF('External Prices'!AA$27="No", VLOOKUP(AP$1, Rules!$AL$7:$AP$54,4, FALSE), VLOOKUP("Coxial", Rules!$AL$7:$BB$54,4, FALSE))</f>
        <v>0.35</v>
      </c>
      <c r="AQ211" s="210">
        <f>IF('External Prices'!AB$27="No", VLOOKUP(AQ$1, Rules!$AL$7:$AP$54,4, FALSE), VLOOKUP("Coxial", Rules!$AL$7:$BB$54,4, FALSE))</f>
        <v>0.35</v>
      </c>
      <c r="AR211" s="224"/>
      <c r="AS211" s="210">
        <f>VLOOKUP(AS$1,Rules!$AL$7:$AP$54,3, FALSE)</f>
        <v>0.15</v>
      </c>
      <c r="AT211" s="210">
        <f>VLOOKUP(AT$1,Rules!$AL$7:$AP$54,3, FALSE)</f>
        <v>0.15</v>
      </c>
      <c r="AU211" s="210">
        <f>VLOOKUP(AU$1,Rules!$AL$7:$AP$54,3, FALSE)</f>
        <v>0.15</v>
      </c>
      <c r="AV211" s="210">
        <f>VLOOKUP(AV$1,Rules!$AL$7:$AP$54,3, FALSE)</f>
        <v>0.15</v>
      </c>
      <c r="AW211" s="210">
        <f>VLOOKUP(AW$1,Rules!$AL$7:$AP$54,3, FALSE)</f>
        <v>0.15</v>
      </c>
      <c r="AX211" s="210">
        <f>VLOOKUP(AX$1,Rules!$AL$7:$AP$54,3, FALSE)</f>
        <v>0.15</v>
      </c>
      <c r="AY211" s="210">
        <f>VLOOKUP(AY$1,Rules!$AL$7:$AP$54,3, FALSE)</f>
        <v>0.15</v>
      </c>
      <c r="AZ211" s="210">
        <f>VLOOKUP(AZ$1,Rules!$AL$7:$AP$54,3, FALSE)</f>
        <v>0.15</v>
      </c>
      <c r="BA211" s="210">
        <f>VLOOKUP(BA$1,Rules!$AL$7:$AP$54,3, FALSE)</f>
        <v>0.15</v>
      </c>
      <c r="BB211" s="210">
        <f>VLOOKUP(BB$1,Rules!$AL$7:$AP$54,3, FALSE)</f>
        <v>0.15</v>
      </c>
      <c r="BC211" s="210">
        <f>VLOOKUP(BC$1,Rules!$AL$7:$AP$54,3, FALSE)</f>
        <v>0.15</v>
      </c>
      <c r="BD211" s="210">
        <f>VLOOKUP(BD$1,Rules!$AL$7:$AP$54,3, FALSE)</f>
        <v>0.15</v>
      </c>
      <c r="BE211" s="210">
        <f>VLOOKUP(BE$1,Rules!$AL$7:$AP$54,3, FALSE)</f>
        <v>0.15</v>
      </c>
      <c r="BF211" s="210"/>
      <c r="BG211" s="210">
        <f>VLOOKUP(BG$1,Rules!$AL$7:$AP$54,3, FALSE)</f>
        <v>0.15</v>
      </c>
      <c r="BH211" s="210">
        <f>VLOOKUP(BH$1,Rules!$AL$7:$AP$54,3, FALSE)</f>
        <v>0.15</v>
      </c>
      <c r="BI211" s="210">
        <f>VLOOKUP(BI$1,Rules!$AL$7:$AP$54,3, FALSE)</f>
        <v>0.15</v>
      </c>
      <c r="BJ211" s="210">
        <f>VLOOKUP(BJ$1,Rules!$AL$7:$AP$54,3, FALSE)</f>
        <v>0.15</v>
      </c>
      <c r="BK211" s="210">
        <f>VLOOKUP(BK$1,Rules!$AL$7:$AP$54,3, FALSE)</f>
        <v>0.15</v>
      </c>
      <c r="BL211" s="210">
        <f>VLOOKUP(BL$1,Rules!$AL$7:$AP$54,4, FALSE)</f>
        <v>0.15</v>
      </c>
    </row>
    <row r="212" spans="1:64" outlineLevel="1" x14ac:dyDescent="0.2">
      <c r="A212" s="183" t="s">
        <v>85</v>
      </c>
      <c r="E212" s="210">
        <f>VLOOKUP(E$1,Rules!$AL$7:$AP$54,5, FALSE)</f>
        <v>0.15</v>
      </c>
      <c r="F212" s="210">
        <f>VLOOKUP(F$1,Rules!$AL$7:$AP$54,5, FALSE)</f>
        <v>0.15</v>
      </c>
      <c r="H212" s="210">
        <f>VLOOKUP(H$1,Rules!$AL$7:$AP$54,5, FALSE)</f>
        <v>0.18</v>
      </c>
      <c r="J212" s="210">
        <f>VLOOKUP(J$1,Rules!$AL$7:$AP$54,5, FALSE)</f>
        <v>0.3</v>
      </c>
      <c r="L212" s="210">
        <f>VLOOKUP(L$1,Rules!$AL$7:$AP$54,5, FALSE)</f>
        <v>0.15</v>
      </c>
      <c r="M212" s="210"/>
      <c r="N212" s="210">
        <f>VLOOKUP(N$1,Rules!$AL$7:$AP$54,5, FALSE)</f>
        <v>0.15</v>
      </c>
      <c r="O212" s="210"/>
      <c r="P212" s="210">
        <f>VLOOKUP(P$1,Rules!$AL$7:$AP$54,5, FALSE)</f>
        <v>0.15</v>
      </c>
      <c r="Q212" s="210"/>
      <c r="R212" s="210">
        <f>VLOOKUP(R$1,Rules!$AL$7:$AP$54,5, FALSE)</f>
        <v>0.15</v>
      </c>
      <c r="S212" s="210"/>
      <c r="T212" s="264"/>
      <c r="U212" s="210"/>
      <c r="V212" s="210">
        <f>VLOOKUP(V$1,Rules!$AL$7:$AP$54,5, FALSE)</f>
        <v>0.15</v>
      </c>
      <c r="W212" s="210"/>
      <c r="X212" s="210">
        <f>VLOOKUP(X$1,Rules!$AL$7:$AP$54,5, FALSE)</f>
        <v>0.3</v>
      </c>
      <c r="Y212" s="210"/>
      <c r="Z212" s="210">
        <f>VLOOKUP(Z$1,Rules!$AL$7:$AP$54,5, FALSE)</f>
        <v>0.3</v>
      </c>
      <c r="AA212" s="103"/>
      <c r="AB212" s="210">
        <f>VLOOKUP(AB$1,Rules!$AL$7:$AP$54,5, FALSE)</f>
        <v>0.3</v>
      </c>
      <c r="AD212" s="210">
        <f>VLOOKUP(AD$1,Rules!$AL$7:$AP$54,5, FALSE)</f>
        <v>0.3</v>
      </c>
      <c r="AE212" s="210">
        <f>VLOOKUP(AE$1,Rules!$AL$7:$AP$54,5, FALSE)</f>
        <v>0.3</v>
      </c>
      <c r="AF212" s="210">
        <f>VLOOKUP(AF$1,Rules!$AL$7:$AP$54,5, FALSE)</f>
        <v>0.3</v>
      </c>
      <c r="AH212" s="210">
        <f>VLOOKUP(AH$1,Rules!$AL$7:$AP$54,5, FALSE)</f>
        <v>0.3</v>
      </c>
      <c r="AI212" s="210">
        <f>VLOOKUP(AI$1,Rules!$AL$7:$AP$54,5, FALSE)</f>
        <v>0.3</v>
      </c>
      <c r="AK212" s="210">
        <f>VLOOKUP(AK$1,Rules!$AL$7:$AP$54,5, FALSE)</f>
        <v>0.3</v>
      </c>
      <c r="AL212" s="210">
        <f>VLOOKUP(AL$1,Rules!$AL$7:$AP$54,5, FALSE)</f>
        <v>0.3</v>
      </c>
      <c r="AM212" s="210">
        <f>VLOOKUP(AM$1,Rules!$AL$7:$AP$54,5, FALSE)</f>
        <v>0.3</v>
      </c>
      <c r="AO212" s="210">
        <f>IF('External Prices'!Z$27="No", VLOOKUP(AO$1, Rules!$AL$7:$AP$54,5, FALSE), VLOOKUP("Coxial", Rules!$AL$7:$BB$54,5, FALSE))</f>
        <v>0.3</v>
      </c>
      <c r="AP212" s="210">
        <f>IF('External Prices'!AA$27="No", VLOOKUP(AP$1, Rules!$AL$7:$AP$54,5, FALSE), VLOOKUP("Coxial", Rules!$AL$7:$BB$54,5, FALSE))</f>
        <v>0.3</v>
      </c>
      <c r="AQ212" s="210">
        <f>IF('External Prices'!AB$27="No", VLOOKUP(AQ$1, Rules!$AL$7:$AP$54,5, FALSE), VLOOKUP("Coxial", Rules!$AL$7:$BB$54,5, FALSE))</f>
        <v>0.3</v>
      </c>
      <c r="AR212" s="224"/>
      <c r="AS212" s="210">
        <f>VLOOKUP(AS$1,Rules!$AL$7:$AP$54,4, FALSE)</f>
        <v>0.15</v>
      </c>
      <c r="AT212" s="210">
        <f>VLOOKUP(AT$1,Rules!$AL$7:$AP$54,4, FALSE)</f>
        <v>0.15</v>
      </c>
      <c r="AU212" s="210">
        <f>VLOOKUP(AU$1,Rules!$AL$7:$AP$54,4, FALSE)</f>
        <v>0.15</v>
      </c>
      <c r="AV212" s="210">
        <f>VLOOKUP(AV$1,Rules!$AL$7:$AP$54,4, FALSE)</f>
        <v>0.15</v>
      </c>
      <c r="AW212" s="210">
        <f>VLOOKUP(AW$1,Rules!$AL$7:$AP$54,4, FALSE)</f>
        <v>0.15</v>
      </c>
      <c r="AX212" s="210">
        <f>VLOOKUP(AX$1,Rules!$AL$7:$AP$54,4, FALSE)</f>
        <v>0.15</v>
      </c>
      <c r="AY212" s="210">
        <f>VLOOKUP(AY$1,Rules!$AL$7:$AP$54,4, FALSE)</f>
        <v>0.15</v>
      </c>
      <c r="AZ212" s="210">
        <f>VLOOKUP(AZ$1,Rules!$AL$7:$AP$54,4, FALSE)</f>
        <v>0.15</v>
      </c>
      <c r="BA212" s="210">
        <f>VLOOKUP(BA$1,Rules!$AL$7:$AP$54,4, FALSE)</f>
        <v>0.15</v>
      </c>
      <c r="BB212" s="210">
        <f>VLOOKUP(BB$1,Rules!$AL$7:$AP$54,4, FALSE)</f>
        <v>0.15</v>
      </c>
      <c r="BC212" s="210">
        <f>VLOOKUP(BC$1,Rules!$AL$7:$AP$54,4, FALSE)</f>
        <v>0.15</v>
      </c>
      <c r="BD212" s="210">
        <f>VLOOKUP(BD$1,Rules!$AL$7:$AP$54,4, FALSE)</f>
        <v>0.15</v>
      </c>
      <c r="BE212" s="210">
        <f>VLOOKUP(BE$1,Rules!$AL$7:$AP$54,4, FALSE)</f>
        <v>0.2</v>
      </c>
      <c r="BF212" s="210"/>
      <c r="BG212" s="210">
        <f>VLOOKUP(BG$1,Rules!$AL$7:$AP$54,4, FALSE)</f>
        <v>0.15</v>
      </c>
      <c r="BH212" s="210">
        <f>VLOOKUP(BH$1,Rules!$AL$7:$AP$54,4, FALSE)</f>
        <v>0.15</v>
      </c>
      <c r="BI212" s="210">
        <f>VLOOKUP(BI$1,Rules!$AL$7:$AP$54,4, FALSE)</f>
        <v>0.15</v>
      </c>
      <c r="BJ212" s="210">
        <f>VLOOKUP(BJ$1,Rules!$AL$7:$AP$54,4, FALSE)</f>
        <v>0.15</v>
      </c>
      <c r="BK212" s="210">
        <f>VLOOKUP(BK$1,Rules!$AL$7:$AP$54,4, FALSE)</f>
        <v>0.15</v>
      </c>
      <c r="BL212" s="210">
        <f>VLOOKUP(BL$1,Rules!$AL$7:$AP$54,5, FALSE)</f>
        <v>0.15</v>
      </c>
    </row>
    <row r="213" spans="1:64" outlineLevel="1" x14ac:dyDescent="0.2">
      <c r="A213" s="183"/>
      <c r="E213" s="103"/>
      <c r="H213" s="103"/>
      <c r="J213" s="103"/>
      <c r="L213" s="103"/>
      <c r="M213" s="103"/>
      <c r="N213" s="103"/>
      <c r="O213" s="103"/>
      <c r="P213" s="103"/>
      <c r="Q213" s="103"/>
      <c r="R213" s="103"/>
      <c r="S213" s="103"/>
      <c r="T213" s="263"/>
      <c r="U213" s="103"/>
      <c r="V213" s="103"/>
      <c r="W213" s="103"/>
      <c r="X213" s="103"/>
      <c r="Y213" s="103"/>
      <c r="Z213" s="103"/>
      <c r="AA213" s="103"/>
      <c r="AD213" s="107"/>
      <c r="AE213" s="107"/>
      <c r="AF213" s="107"/>
      <c r="AH213" s="107"/>
      <c r="AI213" s="107"/>
      <c r="AK213" s="107"/>
      <c r="AL213" s="107"/>
      <c r="AM213" s="107"/>
      <c r="AO213" s="107"/>
      <c r="AP213" s="107"/>
      <c r="AQ213" s="107"/>
      <c r="AR213" s="107"/>
      <c r="BL213" s="111"/>
    </row>
    <row r="214" spans="1:64" x14ac:dyDescent="0.2">
      <c r="A214" s="222" t="s">
        <v>730</v>
      </c>
      <c r="B214" s="99" t="s">
        <v>6</v>
      </c>
      <c r="E214" s="214">
        <f>(E127/(1-E209)-E127+(E141/(1-E210)-E141))+(E183/(1-E211)-E183)+(E200/(1-E212)-E200)+(E204/(1-E209)-E204)</f>
        <v>17430.487552058825</v>
      </c>
      <c r="F214" s="214">
        <f>(F127/(1-F209)-F127+(F141/(1-F210)-F141))+(F183/(1-F211)-F183)+(F200/(1-F212)-F200)+(F204/(1-F209)-F204)</f>
        <v>19540.061081470594</v>
      </c>
      <c r="G214" s="133"/>
      <c r="H214" s="214">
        <f>(H127/(1-H209)-H127+(H141/(1-H210)-H141))+(H183/(1-H211)-H183)+(H200/(1-H212)-H200)+(H204/(1-H209)-H204)</f>
        <v>24742.820094383071</v>
      </c>
      <c r="I214" s="133"/>
      <c r="J214" s="214">
        <f>(J127/(1-J209)-J127+(J141/(1-J210)-J141))+(J183/(1-J211)-J183)+(J200/(1-J212)-J200)+(J204/(1-J209)-J204)</f>
        <v>46622.884341607132</v>
      </c>
      <c r="L214" s="214">
        <f>(L127/(1-L209)-L127+(L141/(1-L210)-L141))+(L183/(1-L211)-L183)+(L200/(1-L212)-L200)+(L204/(1-L209)-L204)</f>
        <v>13875.834364411769</v>
      </c>
      <c r="M214" s="214"/>
      <c r="N214" s="214">
        <f>(N127/(1-N209)-N127+(N141/(1-N210)-N141))+(N183/(1-N211)-N183)+(N200/(1-N212)-N200)+(N204/(1-N209)-N204)</f>
        <v>22422.133734098825</v>
      </c>
      <c r="O214" s="214"/>
      <c r="P214" s="214">
        <f>(P127/(1-P209)-P127+(P141/(1-P210)-P141))+(P183/(1-P211)-P183)+(P200/(1-P212)-P200)+(P204/(1-P209)-P204)</f>
        <v>24446.259442858245</v>
      </c>
      <c r="Q214" s="214"/>
      <c r="R214" s="214">
        <f>(R127/(1-R209)-R127+(R141/(1-R210)-R141))+(R183/(1-R211)-R183)+(R200/(1-R212)-R200)+(R204/(1-R209)-R204)</f>
        <v>28002.03708917382</v>
      </c>
      <c r="S214" s="214"/>
      <c r="T214" s="308"/>
      <c r="U214" s="214"/>
      <c r="V214" s="214">
        <f>(V127/(1-V209)-V127+(V141/(1-V210)-V141))+(V183/(1-V211)-V183)+(V200/(1-V212)-V200)+(V204/(1-V209)-V204)</f>
        <v>33324.604490760881</v>
      </c>
      <c r="W214" s="133"/>
      <c r="X214" s="214">
        <f>(X127/(1-X209)-X127+(X141/(1-X210)-X141))+(X183/(1-X211)-X183)+(X200/(1-X212)-X200)+(X204/(1-X209)-X204)</f>
        <v>106305.09441777715</v>
      </c>
      <c r="Y214" s="133"/>
      <c r="Z214" s="214">
        <f>(Z127/(1-Z209)-Z127+(Z141/(1-Z210)-Z141))+(Z183/(1-Z211)-Z183)+(Z200/(1-Z212)-Z200)+(Z204/(1-Z209)-Z204)</f>
        <v>203287.14032085813</v>
      </c>
      <c r="AA214" s="133"/>
      <c r="AB214" s="214">
        <f>(AB127/(1-AB209)-AB127+(AB141/(1-AB210)-AB141))+(AB183/(1-AB211)-AB183)+(AB200/(1-AB212)-AB200)+(AB204/(1-AB209)-AB204)</f>
        <v>34534.802430000003</v>
      </c>
      <c r="AC214" s="133"/>
      <c r="AD214" s="214">
        <f>(AD127/(1-AD209)-AD127+(AD141/(1-AD210)-AD141))+(AD183/(1-AD211)-AD183)+(AD200/(1-AD212)-AD200)+(AD204/(1-AD209)-AD204)</f>
        <v>63712.654061006069</v>
      </c>
      <c r="AE214" s="214">
        <f>(AE127/(1-AE209)-AE127+(AE141/(1-AE210)-AE141))+(AE183/(1-AE211)-AE183)+(AE200/(1-AE212)-AE200)+(AE204/(1-AE209)-AE204)</f>
        <v>65435.133111638985</v>
      </c>
      <c r="AF214" s="214">
        <f>(AF127/(1-AF209)-AF127+(AF141/(1-AF210)-AF141))+(AF183/(1-AF211)-AF183)+(AF200/(1-AF212)-AF200)+(AF204/(1-AF209)-AF204)</f>
        <v>81832.621000759478</v>
      </c>
      <c r="AG214" s="133"/>
      <c r="AH214" s="214">
        <f>(AH127/(1-AH209)-AH127+(AH141/(1-AH210)-AH141))+(AH183/(1-AH211)-AH183)+(AH200/(1-AH212)-AH200)+(AH204/(1-AH209)-AH204)</f>
        <v>95578.854512648977</v>
      </c>
      <c r="AI214" s="214">
        <f>(AI127/(1-AI209)-AI127+(AI141/(1-AI210)-AI141))+(AI183/(1-AI211)-AI183)+(AI200/(1-AI212)-AI200)+(AI204/(1-AI209)-AI204)</f>
        <v>97592.009238957573</v>
      </c>
      <c r="AJ214" s="133"/>
      <c r="AK214" s="214">
        <f>(AK127/(1-AK209)-AK127+(AK141/(1-AK210)-AK141))+(AK183/(1-AK211)-AK183)+(AK200/(1-AK212)-AK200)+(AK204/(1-AK209)-AK204)</f>
        <v>214882.6949871809</v>
      </c>
      <c r="AL214" s="214">
        <f>(AL127/(1-AL209)-AL127+(AL141/(1-AL210)-AL141))+(AL183/(1-AL211)-AL183)+(AL200/(1-AL212)-AL200)+(AL204/(1-AL209)-AL204)</f>
        <v>264159.30843480316</v>
      </c>
      <c r="AM214" s="214">
        <f>(AM127/(1-AM209)-AM127+(AM141/(1-AM210)-AM141))+(AM183/(1-AM211)-AM183)+(AM200/(1-AM212)-AM200)+(AM204/(1-AM209)-AM204)</f>
        <v>303132.84929138853</v>
      </c>
      <c r="AN214" s="133"/>
      <c r="AO214" s="214">
        <f>(AO127/(1-AO209)-AO127+(AO141/(1-AO210)-AO141))+(AO183/(1-AO211)-AO183)+(AO200/(1-AO212)-AO200)+(AO204/(1-AO209)-AO204)</f>
        <v>250549.54112130564</v>
      </c>
      <c r="AP214" s="214">
        <f>(AP127/(1-AP209)-AP127+(AP141/(1-AP210)-AP141))+(AP183/(1-AP211)-AP183)+(AP200/(1-AP212)-AP200)+(AP204/(1-AP209)-AP204)</f>
        <v>329412.46336676308</v>
      </c>
      <c r="AQ214" s="214">
        <f>(AQ127/(1-AQ209)-AQ127+(AQ141/(1-AQ210)-AQ141))+(AQ183/(1-AQ211)-AQ183)+(AQ200/(1-AQ212)-AQ200)+(AQ204/(1-AQ209)-AQ204)</f>
        <v>360582.55627513997</v>
      </c>
      <c r="AR214" s="133"/>
      <c r="AS214" s="214">
        <f t="shared" ref="AS214:BL214" si="4">(AS127/(1-AS209)-AS127+(AS141/(1-AS210)-AS141))+(AS183/(1-AS211)-AS183)+(AS200/(1-AS212)-AS200)+(AS204/(1-AS209)-AS204)</f>
        <v>6267.5853141176485</v>
      </c>
      <c r="AT214" s="214">
        <f t="shared" si="4"/>
        <v>6445.8382552941148</v>
      </c>
      <c r="AU214" s="214">
        <f t="shared" si="4"/>
        <v>6624.0911964705892</v>
      </c>
      <c r="AV214" s="214">
        <f t="shared" si="4"/>
        <v>7586.6014905882339</v>
      </c>
      <c r="AW214" s="214">
        <f t="shared" si="4"/>
        <v>6070.4323729411808</v>
      </c>
      <c r="AX214" s="214">
        <f t="shared" si="4"/>
        <v>3306.0701964705891</v>
      </c>
      <c r="AY214" s="214">
        <f t="shared" si="4"/>
        <v>3720.4804905882352</v>
      </c>
      <c r="AZ214" s="214">
        <f t="shared" si="4"/>
        <v>4053.1760788235306</v>
      </c>
      <c r="BA214" s="214">
        <f t="shared" si="4"/>
        <v>4385.8716670588228</v>
      </c>
      <c r="BB214" s="214">
        <f t="shared" si="4"/>
        <v>26030.351784705883</v>
      </c>
      <c r="BC214" s="214">
        <f t="shared" si="4"/>
        <v>26380.477101176486</v>
      </c>
      <c r="BD214" s="214">
        <f t="shared" si="4"/>
        <v>33876.82019647061</v>
      </c>
      <c r="BE214" s="214">
        <f t="shared" si="4"/>
        <v>2760.4922447058825</v>
      </c>
      <c r="BF214" s="214"/>
      <c r="BG214" s="214">
        <f t="shared" si="4"/>
        <v>1010.8601073529418</v>
      </c>
      <c r="BH214" s="214">
        <f t="shared" si="4"/>
        <v>861.33001500000057</v>
      </c>
      <c r="BI214" s="214">
        <f t="shared" si="4"/>
        <v>251.8954014705883</v>
      </c>
      <c r="BJ214" s="214">
        <f t="shared" si="4"/>
        <v>792.95422500000018</v>
      </c>
      <c r="BK214" s="215">
        <f t="shared" si="4"/>
        <v>5692.5815717647074</v>
      </c>
      <c r="BL214" s="215">
        <f t="shared" si="4"/>
        <v>1213.6947035294115</v>
      </c>
    </row>
    <row r="215" spans="1:64" x14ac:dyDescent="0.2">
      <c r="A215" s="183"/>
      <c r="E215" s="103"/>
      <c r="F215" s="103"/>
      <c r="G215" s="133"/>
      <c r="H215" s="103"/>
      <c r="I215" s="133"/>
      <c r="J215" s="103"/>
      <c r="L215" s="103"/>
      <c r="M215" s="103"/>
      <c r="N215" s="103"/>
      <c r="O215" s="103"/>
      <c r="P215" s="103"/>
      <c r="Q215" s="103"/>
      <c r="R215" s="103"/>
      <c r="S215" s="103"/>
      <c r="T215" s="263"/>
      <c r="U215" s="103"/>
      <c r="V215" s="103"/>
      <c r="W215" s="103"/>
      <c r="X215" s="103"/>
      <c r="Y215" s="103"/>
      <c r="Z215" s="103"/>
      <c r="AA215" s="133"/>
      <c r="AB215" s="103"/>
      <c r="AC215" s="133"/>
      <c r="AD215" s="103"/>
      <c r="AE215" s="103"/>
      <c r="AF215" s="103"/>
      <c r="AG215" s="133"/>
      <c r="AH215" s="103"/>
      <c r="AI215" s="103"/>
      <c r="AJ215" s="133"/>
      <c r="AK215" s="103"/>
      <c r="AL215" s="103"/>
      <c r="AM215" s="103"/>
      <c r="AN215" s="133"/>
      <c r="AO215" s="103"/>
      <c r="AP215" s="103"/>
      <c r="AQ215" s="103"/>
      <c r="AR215" s="103"/>
      <c r="BL215" s="111"/>
    </row>
    <row r="216" spans="1:64" x14ac:dyDescent="0.2">
      <c r="A216" s="183" t="s">
        <v>86</v>
      </c>
      <c r="B216" s="99" t="s">
        <v>6</v>
      </c>
      <c r="E216" s="103">
        <f>E202+E204+E205+E206+E207+E214</f>
        <v>116203.25034705883</v>
      </c>
      <c r="F216" s="103">
        <f>F202+F204+F205+F206+F207+F214</f>
        <v>130267.07387647059</v>
      </c>
      <c r="G216" s="133"/>
      <c r="H216" s="103">
        <f>H202+H204+H205+H206+H207+H214</f>
        <v>162034.83288938308</v>
      </c>
      <c r="I216" s="133"/>
      <c r="J216" s="103">
        <f>J202+J204+J205+J206+J207+J214</f>
        <v>224570.89713660715</v>
      </c>
      <c r="L216" s="103">
        <f>L202+L204+L205+L206+L207+L214</f>
        <v>92505.562429411773</v>
      </c>
      <c r="M216" s="103"/>
      <c r="N216" s="103">
        <f>N202+N204+N205+N206+N207+N214</f>
        <v>149480.89156065881</v>
      </c>
      <c r="O216" s="103"/>
      <c r="P216" s="103">
        <f>P202+P204+P205+P206+P207+P214</f>
        <v>162975.06295238825</v>
      </c>
      <c r="Q216" s="103"/>
      <c r="R216" s="103">
        <f>R202+R204+R205+R206+R207+R214</f>
        <v>186680.2472611588</v>
      </c>
      <c r="S216" s="103"/>
      <c r="T216" s="263"/>
      <c r="U216" s="103"/>
      <c r="V216" s="103">
        <f>V202+V204+V205+V206+V207+V214</f>
        <v>222164.02993840587</v>
      </c>
      <c r="W216" s="103"/>
      <c r="X216" s="103">
        <f>X202+X204+X205+X206+X207+X214</f>
        <v>390189.65804253716</v>
      </c>
      <c r="Y216" s="103"/>
      <c r="Z216" s="103">
        <f>Z202+Z204+Z205+Z206+Z207+Z214</f>
        <v>778301.98236357409</v>
      </c>
      <c r="AA216" s="133"/>
      <c r="AB216" s="103">
        <f>AB202+AB204+AB205+AB206+AB207+AB214</f>
        <v>115116.00810000001</v>
      </c>
      <c r="AC216" s="133"/>
      <c r="AD216" s="103">
        <f>AD202+AD204+AD205+AD206+AD207+AD214</f>
        <v>274318.33212476608</v>
      </c>
      <c r="AE216" s="103">
        <f t="shared" ref="AE216:AQ216" si="5">AE202+AE204+AE205+AE206+AE207+AE214</f>
        <v>281837.756175399</v>
      </c>
      <c r="AF216" s="103">
        <f t="shared" si="5"/>
        <v>370236.82970061549</v>
      </c>
      <c r="AG216" s="133"/>
      <c r="AH216" s="103">
        <f t="shared" si="5"/>
        <v>417959.26906893495</v>
      </c>
      <c r="AI216" s="103">
        <f t="shared" si="5"/>
        <v>426211.04079524346</v>
      </c>
      <c r="AJ216" s="133"/>
      <c r="AK216" s="103">
        <f t="shared" si="5"/>
        <v>709521.33603998681</v>
      </c>
      <c r="AL216" s="103">
        <f t="shared" si="5"/>
        <v>875400.66613466118</v>
      </c>
      <c r="AM216" s="103">
        <f t="shared" si="5"/>
        <v>970304.38754373253</v>
      </c>
      <c r="AN216" s="133"/>
      <c r="AO216" s="103">
        <f t="shared" si="5"/>
        <v>899102.40711076162</v>
      </c>
      <c r="AP216" s="103">
        <f t="shared" si="5"/>
        <v>1109391.9482799708</v>
      </c>
      <c r="AQ216" s="103">
        <f t="shared" si="5"/>
        <v>1272689.197342634</v>
      </c>
      <c r="AR216" s="103"/>
      <c r="AS216" s="103">
        <f t="shared" ref="AS216:BK216" si="6">AS202+AS204+AS214</f>
        <v>41783.90209411765</v>
      </c>
      <c r="AT216" s="103">
        <f t="shared" si="6"/>
        <v>42972.255035294118</v>
      </c>
      <c r="AU216" s="103">
        <f t="shared" si="6"/>
        <v>44160.607976470586</v>
      </c>
      <c r="AV216" s="103">
        <f t="shared" si="6"/>
        <v>50577.343270588237</v>
      </c>
      <c r="AW216" s="103">
        <f t="shared" si="6"/>
        <v>40469.549152941181</v>
      </c>
      <c r="AX216" s="103">
        <f t="shared" si="6"/>
        <v>22040.467976470587</v>
      </c>
      <c r="AY216" s="103">
        <f t="shared" si="6"/>
        <v>24803.203270588234</v>
      </c>
      <c r="AZ216" s="103">
        <f t="shared" si="6"/>
        <v>27021.173858823528</v>
      </c>
      <c r="BA216" s="103">
        <f t="shared" si="6"/>
        <v>29239.144447058821</v>
      </c>
      <c r="BB216" s="103">
        <f>BB202+BB204+BB214</f>
        <v>173535.67856470589</v>
      </c>
      <c r="BC216" s="103">
        <f>BC202+BC204+BC214</f>
        <v>175869.84734117647</v>
      </c>
      <c r="BD216" s="103">
        <f>BD202+BD204+BD214</f>
        <v>225845.46797647059</v>
      </c>
      <c r="BE216" s="103">
        <f t="shared" si="6"/>
        <v>18128.516839705884</v>
      </c>
      <c r="BF216" s="103"/>
      <c r="BG216" s="103">
        <f t="shared" si="6"/>
        <v>6739.0673823529414</v>
      </c>
      <c r="BH216" s="103">
        <f t="shared" si="6"/>
        <v>5742.2001000000009</v>
      </c>
      <c r="BI216" s="103">
        <f t="shared" si="6"/>
        <v>1679.3026764705883</v>
      </c>
      <c r="BJ216" s="103">
        <f t="shared" si="6"/>
        <v>5286.3615</v>
      </c>
      <c r="BK216" s="186">
        <f t="shared" si="6"/>
        <v>37950.543811764706</v>
      </c>
      <c r="BL216" s="186">
        <f>BL202+BL204+BL214</f>
        <v>8091.2980235294117</v>
      </c>
    </row>
    <row r="217" spans="1:64" x14ac:dyDescent="0.2">
      <c r="A217" s="183"/>
      <c r="E217" s="103"/>
      <c r="F217" s="103"/>
      <c r="G217" s="133"/>
      <c r="H217" s="103"/>
      <c r="I217" s="133"/>
      <c r="J217" s="103"/>
      <c r="L217" s="103"/>
      <c r="M217" s="103"/>
      <c r="N217" s="103"/>
      <c r="O217" s="103"/>
      <c r="P217" s="103"/>
      <c r="Q217" s="103"/>
      <c r="R217" s="103"/>
      <c r="S217" s="103"/>
      <c r="T217" s="263"/>
      <c r="U217" s="103"/>
      <c r="V217" s="103"/>
      <c r="W217" s="103"/>
      <c r="X217" s="103"/>
      <c r="Y217" s="103"/>
      <c r="Z217" s="103"/>
      <c r="AA217" s="133"/>
      <c r="AB217" s="103"/>
      <c r="AC217" s="133"/>
      <c r="AD217" s="103"/>
      <c r="AE217" s="103"/>
      <c r="AF217" s="103"/>
      <c r="AG217" s="133"/>
      <c r="AH217" s="103"/>
      <c r="AI217" s="103"/>
      <c r="AJ217" s="133"/>
      <c r="AK217" s="103"/>
      <c r="AL217" s="103"/>
      <c r="AM217" s="103"/>
      <c r="AN217" s="133"/>
      <c r="AO217" s="103"/>
      <c r="AP217" s="103"/>
      <c r="AQ217" s="103"/>
      <c r="AR217" s="103"/>
      <c r="BL217" s="111"/>
    </row>
    <row r="218" spans="1:64" s="230" customFormat="1" ht="13" x14ac:dyDescent="0.15">
      <c r="A218" s="222" t="s">
        <v>267</v>
      </c>
      <c r="B218" s="225" t="s">
        <v>21</v>
      </c>
      <c r="C218" s="226"/>
      <c r="E218" s="227">
        <f>E$216/'Cost prices'!$B$3</f>
        <v>15576.843210061505</v>
      </c>
      <c r="F218" s="227">
        <f>F$216/'Cost prices'!$B$3</f>
        <v>17462.074246175682</v>
      </c>
      <c r="G218" s="228"/>
      <c r="H218" s="227">
        <f>H$216/'Cost prices'!$B$3</f>
        <v>21720.486982491027</v>
      </c>
      <c r="I218" s="228"/>
      <c r="J218" s="227">
        <f>J$216/'Cost prices'!$B$3</f>
        <v>30103.337417775758</v>
      </c>
      <c r="K218" s="226"/>
      <c r="L218" s="227">
        <f>L$216/'Cost prices'!$B$3</f>
        <v>12400.209440939916</v>
      </c>
      <c r="M218" s="227"/>
      <c r="N218" s="227">
        <f>N$216/'Cost prices'!$B$3</f>
        <v>20037.653024216997</v>
      </c>
      <c r="O218" s="227"/>
      <c r="P218" s="227">
        <f>P$216/'Cost prices'!$B$3</f>
        <v>21846.523183966256</v>
      </c>
      <c r="Q218" s="227"/>
      <c r="R218" s="227">
        <f>R$216/'Cost prices'!$B$3</f>
        <v>25024.161831254532</v>
      </c>
      <c r="S218" s="227"/>
      <c r="T218" s="310"/>
      <c r="U218" s="227"/>
      <c r="V218" s="227">
        <f>V$216/'Cost prices'!$B$3</f>
        <v>29780.701064129473</v>
      </c>
      <c r="W218" s="228"/>
      <c r="X218" s="227">
        <f>X$216/'Cost prices'!$B$3</f>
        <v>52304.243705433939</v>
      </c>
      <c r="Y218" s="228"/>
      <c r="Z218" s="227">
        <f>Z$216/'Cost prices'!$B$3</f>
        <v>104330.02444551932</v>
      </c>
      <c r="AA218" s="228"/>
      <c r="AB218" s="227">
        <f>AB$216/'Cost prices'!$B$3</f>
        <v>15431.100281501342</v>
      </c>
      <c r="AC218" s="228"/>
      <c r="AD218" s="227">
        <f>AD$216/'Cost prices'!$B$3</f>
        <v>36771.894386697866</v>
      </c>
      <c r="AE218" s="227">
        <f>AE$216/'Cost prices'!$B$3</f>
        <v>37779.860077131234</v>
      </c>
      <c r="AF218" s="227">
        <f>AF$216/'Cost prices'!$B$3</f>
        <v>49629.601836543632</v>
      </c>
      <c r="AG218" s="228"/>
      <c r="AH218" s="227">
        <f>AH$216/'Cost prices'!$B$3</f>
        <v>56026.711671438999</v>
      </c>
      <c r="AI218" s="227">
        <f>AI$216/'Cost prices'!$B$3</f>
        <v>57132.847291587597</v>
      </c>
      <c r="AJ218" s="228"/>
      <c r="AK218" s="227">
        <f>AK$216/'Cost prices'!$B$3</f>
        <v>95110.098664877587</v>
      </c>
      <c r="AL218" s="227">
        <f>AL$216/'Cost prices'!$B$3</f>
        <v>117345.93379821196</v>
      </c>
      <c r="AM218" s="227">
        <f>AM$216/'Cost prices'!$B$3</f>
        <v>130067.61227127782</v>
      </c>
      <c r="AN218" s="228"/>
      <c r="AO218" s="227">
        <f>AO$216/'Cost prices'!$B$3</f>
        <v>120523.11087275625</v>
      </c>
      <c r="AP218" s="227">
        <f>AP$216/'Cost prices'!$B$3</f>
        <v>148712.05741018374</v>
      </c>
      <c r="AQ218" s="227">
        <f>AQ$216/'Cost prices'!$B$3</f>
        <v>170601.76908078205</v>
      </c>
      <c r="AR218" s="228"/>
      <c r="AS218" s="227">
        <f>AS$216/'Cost prices'!$B$3</f>
        <v>5601.0592619460658</v>
      </c>
      <c r="AT218" s="227">
        <f>AT$216/'Cost prices'!$B$3</f>
        <v>5760.3559028544396</v>
      </c>
      <c r="AU218" s="227">
        <f>AU$216/'Cost prices'!$B$3</f>
        <v>5919.6525437628134</v>
      </c>
      <c r="AV218" s="227">
        <f>AV$216/'Cost prices'!$B$3</f>
        <v>6779.80472796089</v>
      </c>
      <c r="AW218" s="227">
        <f>AW$216/'Cost prices'!$B$3</f>
        <v>5424.8725406087378</v>
      </c>
      <c r="AX218" s="227">
        <f>AX$216/'Cost prices'!$B$3</f>
        <v>2954.4863239236711</v>
      </c>
      <c r="AY218" s="227">
        <f>AY$216/'Cost prices'!$B$3</f>
        <v>3324.8261756820689</v>
      </c>
      <c r="AZ218" s="227">
        <f>AZ$216/'Cost prices'!$B$3</f>
        <v>3622.1412679388109</v>
      </c>
      <c r="BA218" s="227">
        <f>BA$216/'Cost prices'!$B$3</f>
        <v>3919.4563601955524</v>
      </c>
      <c r="BB218" s="227">
        <f>BB$216/'Cost prices'!$B$3</f>
        <v>23262.155303579879</v>
      </c>
      <c r="BC218" s="227">
        <f>BC$216/'Cost prices'!$B$3</f>
        <v>23575.046560479419</v>
      </c>
      <c r="BD218" s="227">
        <f>BD$216/'Cost prices'!$B$3</f>
        <v>30274.191417757451</v>
      </c>
      <c r="BE218" s="227">
        <f>BE$216/'Cost prices'!$B$3</f>
        <v>2430.0960911133893</v>
      </c>
      <c r="BF218" s="227"/>
      <c r="BG218" s="227">
        <f>BG$216/'Cost prices'!$B$3</f>
        <v>903.36023892130584</v>
      </c>
      <c r="BH218" s="227">
        <f>BH$216/'Cost prices'!$B$3</f>
        <v>769.73191689008058</v>
      </c>
      <c r="BI218" s="227">
        <f>BI$216/'Cost prices'!$B$3</f>
        <v>225.10759738211638</v>
      </c>
      <c r="BJ218" s="227">
        <f>BJ$216/'Cost prices'!$B$3</f>
        <v>708.62754691689008</v>
      </c>
      <c r="BK218" s="229">
        <f>BK$216/'Cost prices'!$B$3</f>
        <v>5087.2042643116229</v>
      </c>
      <c r="BL218" s="229">
        <f>BL$216/'Cost prices'!$B$3</f>
        <v>1084.6243999369185</v>
      </c>
    </row>
    <row r="219" spans="1:64" x14ac:dyDescent="0.2">
      <c r="A219" s="183"/>
      <c r="E219" s="186">
        <v>17227.986908916588</v>
      </c>
      <c r="F219" s="111">
        <v>19051.392949185043</v>
      </c>
      <c r="G219" s="111"/>
      <c r="H219" s="186">
        <v>22323.39366835816</v>
      </c>
      <c r="I219" s="111"/>
      <c r="J219" s="186">
        <v>31315.553816299136</v>
      </c>
      <c r="K219" s="186" t="s">
        <v>813</v>
      </c>
      <c r="L219" s="186"/>
      <c r="M219" s="186"/>
      <c r="N219" s="186"/>
      <c r="O219" s="186"/>
      <c r="P219" s="186"/>
      <c r="Q219" s="186"/>
      <c r="R219" s="186"/>
      <c r="S219" s="186"/>
      <c r="T219" s="303"/>
      <c r="U219" s="186"/>
      <c r="V219" s="186"/>
      <c r="W219" s="186"/>
      <c r="X219" s="186"/>
      <c r="Y219" s="186"/>
      <c r="Z219" s="189"/>
      <c r="AA219" s="186"/>
      <c r="AB219" s="103"/>
      <c r="AC219" s="137"/>
      <c r="AD219" s="103"/>
      <c r="AE219" s="103"/>
      <c r="AF219" s="103"/>
      <c r="AH219" s="103"/>
      <c r="AI219" s="103"/>
      <c r="AK219" s="107"/>
      <c r="AL219" s="107"/>
      <c r="AM219" s="107"/>
      <c r="AO219" s="107"/>
      <c r="AP219" s="107"/>
      <c r="AQ219" s="107"/>
      <c r="AR219" s="107"/>
      <c r="AS219" s="107"/>
      <c r="AT219" s="107"/>
      <c r="AU219" s="107"/>
      <c r="BL219" s="111"/>
    </row>
    <row r="220" spans="1:64" x14ac:dyDescent="0.2">
      <c r="B220" s="99" t="s">
        <v>88</v>
      </c>
      <c r="E220" s="210">
        <f>E$214/'Cost prices'!$B$3/E$218</f>
        <v>0.15000000000000002</v>
      </c>
      <c r="F220" s="210">
        <f>F$214/'Cost prices'!$B$3/F$218</f>
        <v>0.15000000000000005</v>
      </c>
      <c r="H220" s="210">
        <f>H$214/'Cost prices'!$B$3/H$218</f>
        <v>0.15270062401504958</v>
      </c>
      <c r="J220" s="210">
        <f>J$214/'Cost prices'!$B$3/J$218</f>
        <v>0.20760875490133654</v>
      </c>
      <c r="L220" s="210">
        <f>L$214/'Cost prices'!$B$3/L$218</f>
        <v>0.15000000000000005</v>
      </c>
      <c r="M220" s="210"/>
      <c r="N220" s="210">
        <f>N$214/'Cost prices'!$B$3/N$218</f>
        <v>0.15000000000000002</v>
      </c>
      <c r="O220" s="210"/>
      <c r="P220" s="210">
        <f>P$214/'Cost prices'!$B$3/P$218</f>
        <v>0.15000000000000005</v>
      </c>
      <c r="Q220" s="210"/>
      <c r="R220" s="210">
        <f>R$214/'Cost prices'!$B$3/R$218</f>
        <v>0.15</v>
      </c>
      <c r="S220" s="210"/>
      <c r="T220" s="264"/>
      <c r="U220" s="210"/>
      <c r="V220" s="210">
        <f>V$214/'Cost prices'!$B$3/V$218</f>
        <v>0.15</v>
      </c>
      <c r="W220" s="210"/>
      <c r="X220" s="210">
        <f>X$214/'Cost prices'!$B$3/X$218</f>
        <v>0.27244467460023791</v>
      </c>
      <c r="Y220" s="210"/>
      <c r="Z220" s="210">
        <f>Z$214/'Cost prices'!$B$3/Z$218</f>
        <v>0.26119314215737799</v>
      </c>
      <c r="AA220" s="103"/>
      <c r="AB220" s="210">
        <f>AB$214/'Cost prices'!$B$3/AB$218</f>
        <v>0.30000000000000004</v>
      </c>
      <c r="AD220" s="210">
        <f>AD$214/'Cost prices'!$B$3/AD$218</f>
        <v>0.23225809798241315</v>
      </c>
      <c r="AE220" s="210">
        <f>AE$214/'Cost prices'!$B$3/AE$218</f>
        <v>0.23217305587302525</v>
      </c>
      <c r="AF220" s="210">
        <f>AF$214/'Cost prices'!$B$3/AF$218</f>
        <v>0.22102777043259519</v>
      </c>
      <c r="AH220" s="210">
        <f>AH$214/'Cost prices'!$B$3/AH$218</f>
        <v>0.22867982979672824</v>
      </c>
      <c r="AI220" s="210">
        <f>AI$214/'Cost prices'!$B$3/AI$218</f>
        <v>0.22897578874743851</v>
      </c>
      <c r="AK220" s="210">
        <f>AK$214/'Cost prices'!$B$3/AK$218</f>
        <v>0.30285586080679983</v>
      </c>
      <c r="AL220" s="210">
        <f>AL$214/'Cost prices'!$B$3/AL$218</f>
        <v>0.30175817617457468</v>
      </c>
      <c r="AM220" s="210">
        <f>AM$214/'Cost prices'!$B$3/AM$218</f>
        <v>0.31241005727981008</v>
      </c>
      <c r="AO220" s="210">
        <f>AO$214/'Cost prices'!$B$3/AO$218</f>
        <v>0.27866630001185183</v>
      </c>
      <c r="AP220" s="210">
        <f>AP$214/'Cost prices'!$B$3/AP$218</f>
        <v>0.29693064194083302</v>
      </c>
      <c r="AQ220" s="210">
        <f>AQ$214/'Cost prices'!$B$3/AQ$218</f>
        <v>0.28332334165170392</v>
      </c>
      <c r="AR220" s="107"/>
      <c r="AS220" s="210">
        <f>AS$214/'Cost prices'!$B$3/AS$218</f>
        <v>0.15000000000000002</v>
      </c>
      <c r="AT220" s="210">
        <f>AT$214/'Cost prices'!$B$3/AT$218</f>
        <v>0.14999999999999991</v>
      </c>
      <c r="AU220" s="210">
        <f>AU$214/'Cost prices'!$B$3/AU$218</f>
        <v>0.15000000000000002</v>
      </c>
      <c r="AV220" s="210">
        <f>AV$214/'Cost prices'!$B$3/AV$218</f>
        <v>0.14999999999999997</v>
      </c>
      <c r="AW220" s="210">
        <f>AW$214/'Cost prices'!$B$3/AW$218</f>
        <v>0.15000000000000008</v>
      </c>
      <c r="AX220" s="210">
        <f>AX$214/'Cost prices'!$B$3/AX$218</f>
        <v>0.15000000000000005</v>
      </c>
      <c r="AY220" s="210">
        <f>AY$214/'Cost prices'!$B$3/AY$218</f>
        <v>0.15</v>
      </c>
      <c r="AZ220" s="210">
        <f>AZ$214/'Cost prices'!$B$3/AZ$218</f>
        <v>0.15000000000000005</v>
      </c>
      <c r="BA220" s="210">
        <f>BA$214/'Cost prices'!$B$3/BA$218</f>
        <v>0.15</v>
      </c>
      <c r="BB220" s="210">
        <f>BB$214/'Cost prices'!$B$3/BB$218</f>
        <v>0.15</v>
      </c>
      <c r="BC220" s="210">
        <f>BC$214/'Cost prices'!$B$3/BC$218</f>
        <v>0.15000000000000011</v>
      </c>
      <c r="BD220" s="210">
        <f>BD$214/'Cost prices'!$B$3/BD$218</f>
        <v>0.15000000000000011</v>
      </c>
      <c r="BE220" s="210">
        <f>BE$214/'Cost prices'!$B$3/BE$218</f>
        <v>0.15227347438924124</v>
      </c>
      <c r="BF220" s="210"/>
      <c r="BG220" s="210">
        <f>BG$214/'Cost prices'!$B$3/BG$218</f>
        <v>0.15000000000000011</v>
      </c>
      <c r="BH220" s="210">
        <f>BH$214/'Cost prices'!$B$3/BH$218</f>
        <v>0.15000000000000008</v>
      </c>
      <c r="BI220" s="210">
        <f>BI$214/'Cost prices'!$B$3/BI$218</f>
        <v>0.15000000000000002</v>
      </c>
      <c r="BJ220" s="210">
        <f>BJ$214/'Cost prices'!$B$3/BJ$218</f>
        <v>0.15000000000000002</v>
      </c>
      <c r="BK220" s="210">
        <f>BK$214/'Cost prices'!$B$3/BK$218</f>
        <v>0.15000000000000005</v>
      </c>
      <c r="BL220" s="210">
        <f>BL$214/'Cost prices'!$B$3/BL$218</f>
        <v>0.14999999999999997</v>
      </c>
    </row>
    <row r="221" spans="1:64" x14ac:dyDescent="0.2">
      <c r="B221" s="99" t="s">
        <v>89</v>
      </c>
      <c r="E221" s="103">
        <f>E$214/'Cost prices'!$B$3</f>
        <v>2336.526481509226</v>
      </c>
      <c r="F221" s="103">
        <f>F$214/'Cost prices'!$B$3</f>
        <v>2619.3111369263529</v>
      </c>
      <c r="G221" s="103"/>
      <c r="H221" s="103">
        <f>H$214/'Cost prices'!$B$3</f>
        <v>3316.7319161371411</v>
      </c>
      <c r="I221" s="103"/>
      <c r="J221" s="103">
        <f>J$214/'Cost prices'!$B$3</f>
        <v>6249.7163996792406</v>
      </c>
      <c r="L221" s="103">
        <f>L$214/'Cost prices'!$B$3</f>
        <v>1860.0314161409879</v>
      </c>
      <c r="M221" s="103"/>
      <c r="N221" s="103">
        <f>N$214/'Cost prices'!$B$3</f>
        <v>3005.6479536325501</v>
      </c>
      <c r="O221" s="103"/>
      <c r="P221" s="103">
        <f>P$214/'Cost prices'!$B$3</f>
        <v>3276.9784775949392</v>
      </c>
      <c r="Q221" s="103"/>
      <c r="R221" s="103">
        <f>R$214/'Cost prices'!$B$3</f>
        <v>3753.6242746881799</v>
      </c>
      <c r="S221" s="103"/>
      <c r="T221" s="263"/>
      <c r="U221" s="103"/>
      <c r="V221" s="103">
        <f>V$214/'Cost prices'!$B$3</f>
        <v>4467.1051596194211</v>
      </c>
      <c r="W221" s="103"/>
      <c r="X221" s="103">
        <f>X$214/'Cost prices'!$B$3</f>
        <v>14250.012656538491</v>
      </c>
      <c r="Y221" s="103"/>
      <c r="Z221" s="103">
        <f>Z$214/'Cost prices'!$B$3</f>
        <v>27250.28690628125</v>
      </c>
      <c r="AA221" s="103"/>
      <c r="AB221" s="103">
        <f>AB$214/'Cost prices'!$B$3</f>
        <v>4629.3300844504029</v>
      </c>
      <c r="AC221" s="103"/>
      <c r="AD221" s="103">
        <f>AD$214/'Cost prices'!$B$3</f>
        <v>8540.5702494646212</v>
      </c>
      <c r="AE221" s="103">
        <f>AE$214/'Cost prices'!$B$3</f>
        <v>8771.4655645628663</v>
      </c>
      <c r="AF221" s="103">
        <f>AF$214/'Cost prices'!$B$3</f>
        <v>10969.520241388671</v>
      </c>
      <c r="AG221" s="103"/>
      <c r="AH221" s="103">
        <f>AH$214/'Cost prices'!$B$3</f>
        <v>12812.178889095037</v>
      </c>
      <c r="AI221" s="103">
        <f>AI$214/'Cost prices'!$B$3</f>
        <v>13082.038771978227</v>
      </c>
      <c r="AJ221" s="103"/>
      <c r="AK221" s="103">
        <f>AK$214/'Cost prices'!$B$3</f>
        <v>28804.650802571166</v>
      </c>
      <c r="AL221" s="103">
        <f>AL$214/'Cost prices'!$B$3</f>
        <v>35410.094964450822</v>
      </c>
      <c r="AM221" s="103">
        <f>AM$214/'Cost prices'!$B$3</f>
        <v>40634.430199918032</v>
      </c>
      <c r="AN221" s="103"/>
      <c r="AO221" s="103">
        <f>AO$214/'Cost prices'!$B$3</f>
        <v>33585.729372829177</v>
      </c>
      <c r="AP221" s="103">
        <f>AP$214/'Cost prices'!$B$3</f>
        <v>44157.166671147868</v>
      </c>
      <c r="AQ221" s="103">
        <f>AQ$214/'Cost prices'!$B$3</f>
        <v>48335.463307659513</v>
      </c>
      <c r="AR221" s="103"/>
      <c r="AS221" s="103">
        <f>AS$214/'Cost prices'!$B$3</f>
        <v>840.15888929190999</v>
      </c>
      <c r="AT221" s="103">
        <f>AT$214/'Cost prices'!$B$3</f>
        <v>864.05338542816548</v>
      </c>
      <c r="AU221" s="103">
        <f>AU$214/'Cost prices'!$B$3</f>
        <v>887.94788156442212</v>
      </c>
      <c r="AV221" s="103">
        <f>AV$214/'Cost prices'!$B$3</f>
        <v>1016.9707091941333</v>
      </c>
      <c r="AW221" s="103">
        <f>AW$214/'Cost prices'!$B$3</f>
        <v>813.73088109131106</v>
      </c>
      <c r="AX221" s="103">
        <f>AX$214/'Cost prices'!$B$3</f>
        <v>443.17294858855081</v>
      </c>
      <c r="AY221" s="103">
        <f>AY$214/'Cost prices'!$B$3</f>
        <v>498.72392635231034</v>
      </c>
      <c r="AZ221" s="103">
        <f>AZ$214/'Cost prices'!$B$3</f>
        <v>543.32119019082177</v>
      </c>
      <c r="BA221" s="103">
        <f>BA$214/'Cost prices'!$B$3</f>
        <v>587.91845402933279</v>
      </c>
      <c r="BB221" s="103">
        <f>BB$214/'Cost prices'!$B$3</f>
        <v>3489.3232955369817</v>
      </c>
      <c r="BC221" s="103">
        <f>BC$214/'Cost prices'!$B$3</f>
        <v>3536.2569840719152</v>
      </c>
      <c r="BD221" s="103">
        <f>BD$214/'Cost prices'!$B$3</f>
        <v>4541.1287126636207</v>
      </c>
      <c r="BE221" s="103">
        <f>BE$214/'Cost prices'!$B$3</f>
        <v>370.03917489354995</v>
      </c>
      <c r="BF221" s="103"/>
      <c r="BG221" s="103">
        <f>BG$214/'Cost prices'!$B$3</f>
        <v>135.50403583819596</v>
      </c>
      <c r="BH221" s="103">
        <f>BH$214/'Cost prices'!$B$3</f>
        <v>115.45978753351214</v>
      </c>
      <c r="BI221" s="103">
        <f>BI$214/'Cost prices'!$B$3</f>
        <v>33.766139607317463</v>
      </c>
      <c r="BJ221" s="103">
        <f>BJ$214/'Cost prices'!$B$3</f>
        <v>106.29413203753353</v>
      </c>
      <c r="BK221" s="103">
        <f>BK$214/'Cost prices'!$B$3</f>
        <v>763.08063964674363</v>
      </c>
      <c r="BL221" s="103">
        <f>BL$214/'Cost prices'!$B$3</f>
        <v>162.69365999053772</v>
      </c>
    </row>
    <row r="222" spans="1:64" x14ac:dyDescent="0.2">
      <c r="B222" s="99" t="s">
        <v>767</v>
      </c>
      <c r="E222" s="210">
        <f>E202/7.45/E218</f>
        <v>0.81061041866410999</v>
      </c>
      <c r="F222" s="210">
        <f>F202/7.45/F218</f>
        <v>0.81061041866410999</v>
      </c>
      <c r="G222" s="103"/>
      <c r="H222" s="210">
        <f>H202/7.45/H218</f>
        <v>0.80803494341294102</v>
      </c>
      <c r="I222" s="103"/>
      <c r="J222" s="210">
        <f>J202/7.45/J218</f>
        <v>0.75567129286494461</v>
      </c>
      <c r="L222" s="210">
        <f>L202/7.45/L218</f>
        <v>0.81061041866410988</v>
      </c>
      <c r="M222" s="210"/>
      <c r="N222" s="210">
        <f>N202/7.45/N218</f>
        <v>0.81061041866410999</v>
      </c>
      <c r="O222" s="210"/>
      <c r="P222" s="210">
        <f>P202/7.45/P218</f>
        <v>0.81061041866410977</v>
      </c>
      <c r="Q222" s="210"/>
      <c r="R222" s="210">
        <f>R202/7.45/R218</f>
        <v>0.81061041866410977</v>
      </c>
      <c r="S222" s="210"/>
      <c r="T222" s="264"/>
      <c r="U222" s="103"/>
      <c r="V222" s="210">
        <f>V202/7.45/V218</f>
        <v>0.81061041866410999</v>
      </c>
      <c r="W222" s="103"/>
      <c r="X222" s="210">
        <f>X202/7.45/X218</f>
        <v>0.69383991402776912</v>
      </c>
      <c r="Y222" s="103"/>
      <c r="Z222" s="210">
        <f>Z202/7.45/Z218</f>
        <v>0.65468897778772472</v>
      </c>
      <c r="AA222" s="103"/>
      <c r="AB222" s="210">
        <f>AB202/7.45/AB218</f>
        <v>0.66756152125279633</v>
      </c>
      <c r="AC222" s="103"/>
      <c r="AD222" s="210">
        <f>AD202/7.45/AD218</f>
        <v>0.73216421720053659</v>
      </c>
      <c r="AE222" s="210">
        <f>AE202/7.45/AE218</f>
        <v>0.73224531840041307</v>
      </c>
      <c r="AF222" s="210">
        <f>AF202/7.45/AF218</f>
        <v>0.69028126537659196</v>
      </c>
      <c r="AG222" s="103"/>
      <c r="AH222" s="210">
        <f>AH202/7.45/AH218</f>
        <v>0.68350044185025927</v>
      </c>
      <c r="AI222" s="210">
        <f>AI202/7.45/AI218</f>
        <v>0.68323817971658962</v>
      </c>
      <c r="AJ222" s="103"/>
      <c r="AK222" s="210">
        <f>AK202/7.45/AK218</f>
        <v>0.61776982578621775</v>
      </c>
      <c r="AL222" s="210">
        <f>AL202/7.45/AL218</f>
        <v>0.61874253201136442</v>
      </c>
      <c r="AM222" s="210">
        <f>AM202/7.45/AM218</f>
        <v>0.60930343561116773</v>
      </c>
      <c r="AN222" s="103"/>
      <c r="AO222" s="210">
        <f>AO202/7.45/AO218</f>
        <v>0.63920525056857935</v>
      </c>
      <c r="AP222" s="210">
        <f>AP202/7.45/AP218</f>
        <v>0.62302042063566998</v>
      </c>
      <c r="AQ222" s="210">
        <f>AQ202/7.45/AQ218</f>
        <v>0.63507844286729076</v>
      </c>
      <c r="AR222" s="103"/>
      <c r="AS222" s="103"/>
      <c r="AT222" s="210"/>
      <c r="AU222" s="210"/>
      <c r="AV222" s="210"/>
      <c r="AW222" s="210"/>
      <c r="AX222" s="210"/>
      <c r="AY222" s="210"/>
      <c r="AZ222" s="210"/>
      <c r="BA222" s="210"/>
      <c r="BB222" s="210"/>
      <c r="BC222" s="210"/>
      <c r="BD222" s="210"/>
      <c r="BE222" s="103"/>
      <c r="BF222" s="103"/>
      <c r="BG222" s="103"/>
      <c r="BH222" s="103"/>
      <c r="BI222" s="103"/>
      <c r="BJ222" s="103"/>
      <c r="BK222" s="186"/>
    </row>
    <row r="223" spans="1:64" x14ac:dyDescent="0.2">
      <c r="E223" s="210"/>
      <c r="F223" s="210"/>
      <c r="G223" s="103"/>
      <c r="H223" s="210"/>
      <c r="I223" s="103"/>
      <c r="J223" s="210"/>
      <c r="L223" s="210"/>
      <c r="M223" s="210"/>
      <c r="N223" s="210"/>
      <c r="O223" s="210"/>
      <c r="P223" s="210"/>
      <c r="Q223" s="210"/>
      <c r="R223" s="210"/>
      <c r="S223" s="210"/>
      <c r="T223" s="264"/>
      <c r="U223" s="103"/>
      <c r="V223" s="210"/>
      <c r="W223" s="103"/>
      <c r="X223" s="210"/>
      <c r="Y223" s="103"/>
      <c r="Z223" s="210"/>
      <c r="AA223" s="103"/>
      <c r="AB223" s="210"/>
      <c r="AC223" s="103"/>
      <c r="AD223" s="210"/>
      <c r="AE223" s="210"/>
      <c r="AF223" s="210"/>
      <c r="AG223" s="103"/>
      <c r="AH223" s="210"/>
      <c r="AI223" s="210"/>
      <c r="AJ223" s="103"/>
      <c r="AK223" s="210"/>
      <c r="AL223" s="210"/>
      <c r="AM223" s="210"/>
      <c r="AN223" s="103"/>
      <c r="AO223" s="210"/>
      <c r="AP223" s="210"/>
      <c r="AQ223" s="210"/>
      <c r="AR223" s="103"/>
      <c r="AS223" s="103"/>
      <c r="AT223" s="210"/>
      <c r="AU223" s="210"/>
      <c r="AV223" s="210"/>
      <c r="AW223" s="210"/>
      <c r="AX223" s="210"/>
      <c r="AY223" s="210"/>
      <c r="AZ223" s="210"/>
      <c r="BA223" s="210"/>
      <c r="BB223" s="210"/>
      <c r="BC223" s="210"/>
      <c r="BD223" s="210"/>
      <c r="BE223" s="103"/>
      <c r="BF223" s="103"/>
      <c r="BG223" s="103"/>
      <c r="BH223" s="103"/>
      <c r="BI223" s="103"/>
      <c r="BJ223" s="103"/>
      <c r="BK223" s="186"/>
    </row>
    <row r="224" spans="1:64" s="237" customFormat="1" ht="13" x14ac:dyDescent="0.15">
      <c r="A224" s="231" t="s">
        <v>1187</v>
      </c>
      <c r="B224" s="232" t="s">
        <v>6</v>
      </c>
      <c r="C224" s="233"/>
      <c r="E224" s="234">
        <f>(E216-E214)</f>
        <v>98772.762795000002</v>
      </c>
      <c r="F224" s="234">
        <f>(F216-F214)</f>
        <v>110727.01279499999</v>
      </c>
      <c r="G224" s="233"/>
      <c r="H224" s="234">
        <f>(H216-H214)</f>
        <v>137292.01279500002</v>
      </c>
      <c r="I224" s="233"/>
      <c r="J224" s="234">
        <f>(J216-J214)</f>
        <v>177948.01279500002</v>
      </c>
      <c r="K224" s="233"/>
      <c r="L224" s="234">
        <f>(L216-L214)</f>
        <v>78629.728065000003</v>
      </c>
      <c r="M224" s="234"/>
      <c r="N224" s="234">
        <f>(N216-N214)</f>
        <v>127058.75782655999</v>
      </c>
      <c r="O224" s="234"/>
      <c r="P224" s="234">
        <f>(P216-P214)</f>
        <v>138528.80350953</v>
      </c>
      <c r="Q224" s="234"/>
      <c r="R224" s="234">
        <f>(R216-R214)</f>
        <v>158678.21017198497</v>
      </c>
      <c r="S224" s="234"/>
      <c r="T224" s="309"/>
      <c r="U224" s="233"/>
      <c r="V224" s="234">
        <f>(V216-V214)</f>
        <v>188839.42544764499</v>
      </c>
      <c r="W224" s="233"/>
      <c r="X224" s="234">
        <f>(X216-X214)</f>
        <v>283884.56362476002</v>
      </c>
      <c r="Y224" s="233"/>
      <c r="Z224" s="234">
        <f>(Z216-Z214)</f>
        <v>575014.84204271599</v>
      </c>
      <c r="AA224" s="233"/>
      <c r="AB224" s="235"/>
      <c r="AC224" s="233"/>
      <c r="AD224" s="234">
        <f>(AD216-AD214)</f>
        <v>210605.67806376002</v>
      </c>
      <c r="AE224" s="234">
        <f>(AE216-AE214)</f>
        <v>216402.62306376002</v>
      </c>
      <c r="AF224" s="234">
        <f>(AF216-AF214)</f>
        <v>288404.20869985601</v>
      </c>
      <c r="AG224" s="233"/>
      <c r="AH224" s="234">
        <f>(AH216-AH214)</f>
        <v>322380.41455628595</v>
      </c>
      <c r="AI224" s="234">
        <f>(AI216-AI214)</f>
        <v>328619.03155628592</v>
      </c>
      <c r="AJ224" s="233"/>
      <c r="AK224" s="234">
        <f>(AK216-AK214)</f>
        <v>494638.64105280594</v>
      </c>
      <c r="AL224" s="234">
        <f>(AL216-AL214)</f>
        <v>611241.35769985802</v>
      </c>
      <c r="AM224" s="234">
        <f>(AM216-AM214)</f>
        <v>667171.53825234401</v>
      </c>
      <c r="AN224" s="233"/>
      <c r="AO224" s="234">
        <f>(AO216-AO214)</f>
        <v>648552.86598945595</v>
      </c>
      <c r="AP224" s="234">
        <f>(AP216-AP214)</f>
        <v>779979.48491320771</v>
      </c>
      <c r="AQ224" s="234">
        <f>(AQ216-AQ214)</f>
        <v>912106.64106749394</v>
      </c>
      <c r="AR224" s="233"/>
      <c r="AS224" s="233"/>
      <c r="AT224" s="235"/>
      <c r="AU224" s="235"/>
      <c r="AV224" s="235"/>
      <c r="AW224" s="235"/>
      <c r="AX224" s="235"/>
      <c r="AY224" s="235"/>
      <c r="AZ224" s="235"/>
      <c r="BA224" s="235"/>
      <c r="BB224" s="235"/>
      <c r="BC224" s="235"/>
      <c r="BD224" s="235"/>
      <c r="BE224" s="233"/>
      <c r="BF224" s="233"/>
      <c r="BG224" s="233"/>
      <c r="BH224" s="233"/>
      <c r="BI224" s="233"/>
      <c r="BJ224" s="233"/>
      <c r="BK224" s="236"/>
    </row>
    <row r="225" spans="1:63" s="237" customFormat="1" ht="13" hidden="1" outlineLevel="1" x14ac:dyDescent="0.15">
      <c r="A225" s="231" t="s">
        <v>1197</v>
      </c>
      <c r="B225" s="232"/>
      <c r="C225" s="233"/>
      <c r="E225" s="235">
        <f t="shared" ref="E225:F228" si="7">E204/E$224</f>
        <v>4.7619047619047616E-2</v>
      </c>
      <c r="F225" s="235">
        <f t="shared" si="7"/>
        <v>4.761904761904763E-2</v>
      </c>
      <c r="G225" s="233"/>
      <c r="H225" s="235">
        <f>H204/H$224</f>
        <v>4.7619047619047623E-2</v>
      </c>
      <c r="I225" s="233"/>
      <c r="J225" s="235">
        <f>J204/J$224</f>
        <v>4.7619047619047623E-2</v>
      </c>
      <c r="K225" s="233"/>
      <c r="L225" s="235">
        <f>L204/L$224</f>
        <v>4.7619047619047616E-2</v>
      </c>
      <c r="M225" s="235"/>
      <c r="N225" s="235"/>
      <c r="O225" s="235"/>
      <c r="P225" s="235"/>
      <c r="Q225" s="235"/>
      <c r="R225" s="235"/>
      <c r="S225" s="235"/>
      <c r="T225" s="264"/>
      <c r="U225" s="233"/>
      <c r="V225" s="235">
        <f>V204/V$224</f>
        <v>4.7619047619047616E-2</v>
      </c>
      <c r="W225" s="233"/>
      <c r="X225" s="235">
        <f>X204/X$224</f>
        <v>4.7619047619047616E-2</v>
      </c>
      <c r="Y225" s="233"/>
      <c r="Z225" s="235">
        <f>Z204/Z$224</f>
        <v>4.4247787610619468E-2</v>
      </c>
      <c r="AA225" s="233"/>
      <c r="AB225" s="235"/>
      <c r="AC225" s="233"/>
      <c r="AD225" s="235">
        <f t="shared" ref="AD225:AF228" si="8">AD204/AD$224</f>
        <v>4.7619047619047616E-2</v>
      </c>
      <c r="AE225" s="235">
        <f t="shared" si="8"/>
        <v>4.7619047619047623E-2</v>
      </c>
      <c r="AF225" s="235">
        <f t="shared" si="8"/>
        <v>4.4247787610619468E-2</v>
      </c>
      <c r="AG225" s="233"/>
      <c r="AH225" s="235">
        <f t="shared" ref="AH225:AI228" si="9">AH204/AH$224</f>
        <v>4.4247787610619482E-2</v>
      </c>
      <c r="AI225" s="235">
        <f t="shared" si="9"/>
        <v>4.4247787610619482E-2</v>
      </c>
      <c r="AJ225" s="233"/>
      <c r="AK225" s="235">
        <f t="shared" ref="AK225:AM228" si="10">AK204/AK$224</f>
        <v>4.4247787610619482E-2</v>
      </c>
      <c r="AL225" s="235">
        <f t="shared" si="10"/>
        <v>4.4247787610619468E-2</v>
      </c>
      <c r="AM225" s="235">
        <f t="shared" si="10"/>
        <v>4.4247787610619461E-2</v>
      </c>
      <c r="AN225" s="233"/>
      <c r="AO225" s="235">
        <f t="shared" ref="AO225:AQ228" si="11">AO204/AO$224</f>
        <v>4.4247787610619468E-2</v>
      </c>
      <c r="AP225" s="235">
        <f t="shared" si="11"/>
        <v>4.4247787610619482E-2</v>
      </c>
      <c r="AQ225" s="235">
        <f t="shared" si="11"/>
        <v>4.4247787610619468E-2</v>
      </c>
      <c r="AR225" s="233"/>
      <c r="AS225" s="233"/>
      <c r="AT225" s="235"/>
      <c r="AU225" s="235"/>
      <c r="AV225" s="235"/>
      <c r="AW225" s="235"/>
      <c r="AX225" s="235"/>
      <c r="AY225" s="235"/>
      <c r="AZ225" s="235"/>
      <c r="BA225" s="235"/>
      <c r="BB225" s="235"/>
      <c r="BC225" s="235"/>
      <c r="BD225" s="235"/>
      <c r="BE225" s="233"/>
      <c r="BF225" s="233"/>
      <c r="BG225" s="233"/>
      <c r="BH225" s="233"/>
      <c r="BI225" s="233"/>
      <c r="BJ225" s="233"/>
      <c r="BK225" s="236"/>
    </row>
    <row r="226" spans="1:63" s="237" customFormat="1" ht="13" hidden="1" outlineLevel="1" x14ac:dyDescent="0.15">
      <c r="A226" s="231" t="s">
        <v>1205</v>
      </c>
      <c r="B226" s="232"/>
      <c r="C226" s="233"/>
      <c r="E226" s="235">
        <f t="shared" si="7"/>
        <v>0</v>
      </c>
      <c r="F226" s="235">
        <f t="shared" si="7"/>
        <v>0</v>
      </c>
      <c r="G226" s="233"/>
      <c r="H226" s="235">
        <f>H205/H$224</f>
        <v>0</v>
      </c>
      <c r="I226" s="233"/>
      <c r="J226" s="235">
        <f>J205/J$224</f>
        <v>0</v>
      </c>
      <c r="K226" s="233"/>
      <c r="L226" s="235">
        <f>L205/L$224</f>
        <v>0</v>
      </c>
      <c r="M226" s="235"/>
      <c r="N226" s="235"/>
      <c r="O226" s="235"/>
      <c r="P226" s="235"/>
      <c r="Q226" s="235"/>
      <c r="R226" s="235"/>
      <c r="S226" s="235"/>
      <c r="T226" s="264"/>
      <c r="U226" s="233"/>
      <c r="V226" s="235">
        <f>V205/V$224</f>
        <v>0</v>
      </c>
      <c r="W226" s="233"/>
      <c r="X226" s="235">
        <f>X205/X$224</f>
        <v>0</v>
      </c>
      <c r="Y226" s="233"/>
      <c r="Z226" s="235">
        <f>Z205/Z$224</f>
        <v>4.4247787610619468E-2</v>
      </c>
      <c r="AA226" s="233"/>
      <c r="AB226" s="235"/>
      <c r="AC226" s="233"/>
      <c r="AD226" s="235">
        <f t="shared" si="8"/>
        <v>0</v>
      </c>
      <c r="AE226" s="235">
        <f t="shared" si="8"/>
        <v>0</v>
      </c>
      <c r="AF226" s="235">
        <f t="shared" si="8"/>
        <v>4.4247787610619468E-2</v>
      </c>
      <c r="AG226" s="233"/>
      <c r="AH226" s="235">
        <f t="shared" si="9"/>
        <v>4.4247787610619482E-2</v>
      </c>
      <c r="AI226" s="235">
        <f t="shared" si="9"/>
        <v>4.4247787610619482E-2</v>
      </c>
      <c r="AJ226" s="233"/>
      <c r="AK226" s="235">
        <f t="shared" si="10"/>
        <v>4.4247787610619482E-2</v>
      </c>
      <c r="AL226" s="235">
        <f t="shared" si="10"/>
        <v>4.4247787610619468E-2</v>
      </c>
      <c r="AM226" s="235">
        <f t="shared" si="10"/>
        <v>4.4247787610619461E-2</v>
      </c>
      <c r="AN226" s="233"/>
      <c r="AO226" s="235">
        <f t="shared" si="11"/>
        <v>4.4247787610619468E-2</v>
      </c>
      <c r="AP226" s="235">
        <f t="shared" si="11"/>
        <v>4.4247787610619482E-2</v>
      </c>
      <c r="AQ226" s="235">
        <f t="shared" si="11"/>
        <v>4.4247787610619468E-2</v>
      </c>
      <c r="AR226" s="233"/>
      <c r="AS226" s="233"/>
      <c r="AT226" s="235"/>
      <c r="AU226" s="235"/>
      <c r="AV226" s="235"/>
      <c r="AW226" s="235"/>
      <c r="AX226" s="235"/>
      <c r="AY226" s="235"/>
      <c r="AZ226" s="235"/>
      <c r="BA226" s="235"/>
      <c r="BB226" s="235"/>
      <c r="BC226" s="235"/>
      <c r="BD226" s="235"/>
      <c r="BE226" s="233"/>
      <c r="BF226" s="233"/>
      <c r="BG226" s="233"/>
      <c r="BH226" s="233"/>
      <c r="BI226" s="233"/>
      <c r="BJ226" s="233"/>
      <c r="BK226" s="236"/>
    </row>
    <row r="227" spans="1:63" s="237" customFormat="1" ht="13" hidden="1" outlineLevel="1" x14ac:dyDescent="0.15">
      <c r="A227" s="231" t="s">
        <v>1206</v>
      </c>
      <c r="B227" s="232"/>
      <c r="C227" s="233"/>
      <c r="E227" s="235">
        <f t="shared" si="7"/>
        <v>0</v>
      </c>
      <c r="F227" s="235">
        <f t="shared" si="7"/>
        <v>0</v>
      </c>
      <c r="G227" s="233"/>
      <c r="H227" s="235">
        <f>H206/H$224</f>
        <v>0</v>
      </c>
      <c r="I227" s="233"/>
      <c r="J227" s="235">
        <f>J206/J$224</f>
        <v>0</v>
      </c>
      <c r="K227" s="233"/>
      <c r="L227" s="235">
        <f>L206/L$224</f>
        <v>0</v>
      </c>
      <c r="M227" s="235"/>
      <c r="N227" s="235"/>
      <c r="O227" s="235"/>
      <c r="P227" s="235"/>
      <c r="Q227" s="235"/>
      <c r="R227" s="235"/>
      <c r="S227" s="235"/>
      <c r="T227" s="264"/>
      <c r="U227" s="233"/>
      <c r="V227" s="235">
        <f>V206/V$224</f>
        <v>0</v>
      </c>
      <c r="W227" s="233"/>
      <c r="X227" s="235">
        <f>X206/X$224</f>
        <v>0</v>
      </c>
      <c r="Y227" s="233"/>
      <c r="Z227" s="235">
        <f>Z206/Z$224</f>
        <v>8.8495575221238937E-3</v>
      </c>
      <c r="AA227" s="233"/>
      <c r="AB227" s="235"/>
      <c r="AC227" s="233"/>
      <c r="AD227" s="235">
        <f t="shared" si="8"/>
        <v>0</v>
      </c>
      <c r="AE227" s="235">
        <f t="shared" si="8"/>
        <v>0</v>
      </c>
      <c r="AF227" s="235">
        <f t="shared" si="8"/>
        <v>8.8495575221238937E-3</v>
      </c>
      <c r="AG227" s="233"/>
      <c r="AH227" s="235">
        <f t="shared" si="9"/>
        <v>8.8495575221238972E-3</v>
      </c>
      <c r="AI227" s="235">
        <f t="shared" si="9"/>
        <v>8.8495575221238954E-3</v>
      </c>
      <c r="AJ227" s="233"/>
      <c r="AK227" s="235">
        <f t="shared" si="10"/>
        <v>8.8495575221238954E-3</v>
      </c>
      <c r="AL227" s="235">
        <f t="shared" si="10"/>
        <v>8.8495575221238919E-3</v>
      </c>
      <c r="AM227" s="235">
        <f t="shared" si="10"/>
        <v>8.8495575221238937E-3</v>
      </c>
      <c r="AN227" s="233"/>
      <c r="AO227" s="235">
        <f t="shared" si="11"/>
        <v>8.8495575221238937E-3</v>
      </c>
      <c r="AP227" s="235">
        <f t="shared" si="11"/>
        <v>8.8495575221238972E-3</v>
      </c>
      <c r="AQ227" s="235">
        <f t="shared" si="11"/>
        <v>8.8495575221238937E-3</v>
      </c>
      <c r="AR227" s="233"/>
      <c r="AS227" s="233"/>
      <c r="AT227" s="235"/>
      <c r="AU227" s="235"/>
      <c r="AV227" s="235"/>
      <c r="AW227" s="235"/>
      <c r="AX227" s="235"/>
      <c r="AY227" s="235"/>
      <c r="AZ227" s="235"/>
      <c r="BA227" s="235"/>
      <c r="BB227" s="235"/>
      <c r="BC227" s="235"/>
      <c r="BD227" s="235"/>
      <c r="BE227" s="233"/>
      <c r="BF227" s="233"/>
      <c r="BG227" s="233"/>
      <c r="BH227" s="233"/>
      <c r="BI227" s="233"/>
      <c r="BJ227" s="233"/>
      <c r="BK227" s="236"/>
    </row>
    <row r="228" spans="1:63" s="237" customFormat="1" ht="13" hidden="1" outlineLevel="1" x14ac:dyDescent="0.15">
      <c r="A228" s="231" t="s">
        <v>1210</v>
      </c>
      <c r="B228" s="232"/>
      <c r="C228" s="233"/>
      <c r="E228" s="235">
        <f t="shared" si="7"/>
        <v>0</v>
      </c>
      <c r="F228" s="235">
        <f t="shared" si="7"/>
        <v>0</v>
      </c>
      <c r="G228" s="233"/>
      <c r="H228" s="235">
        <f>H207/H$224</f>
        <v>0</v>
      </c>
      <c r="I228" s="233"/>
      <c r="J228" s="235">
        <f>J207/J$224</f>
        <v>0</v>
      </c>
      <c r="K228" s="233"/>
      <c r="L228" s="235">
        <f>L207/L$224</f>
        <v>0</v>
      </c>
      <c r="M228" s="235"/>
      <c r="N228" s="235"/>
      <c r="O228" s="235"/>
      <c r="P228" s="235"/>
      <c r="Q228" s="235"/>
      <c r="R228" s="235"/>
      <c r="S228" s="235"/>
      <c r="T228" s="264"/>
      <c r="U228" s="233"/>
      <c r="V228" s="235">
        <f>V207/V$224</f>
        <v>0</v>
      </c>
      <c r="W228" s="233"/>
      <c r="X228" s="235">
        <f>X207/X$224</f>
        <v>0</v>
      </c>
      <c r="Y228" s="233"/>
      <c r="Z228" s="235">
        <f>Z207/Z$224</f>
        <v>1.7699115044247787E-2</v>
      </c>
      <c r="AA228" s="233"/>
      <c r="AB228" s="235"/>
      <c r="AC228" s="233"/>
      <c r="AD228" s="235">
        <f t="shared" si="8"/>
        <v>0</v>
      </c>
      <c r="AE228" s="235">
        <f t="shared" si="8"/>
        <v>0</v>
      </c>
      <c r="AF228" s="235">
        <f t="shared" si="8"/>
        <v>1.7699115044247787E-2</v>
      </c>
      <c r="AG228" s="233"/>
      <c r="AH228" s="235">
        <f t="shared" si="9"/>
        <v>1.7699115044247794E-2</v>
      </c>
      <c r="AI228" s="235">
        <f t="shared" si="9"/>
        <v>1.7699115044247791E-2</v>
      </c>
      <c r="AJ228" s="233"/>
      <c r="AK228" s="235">
        <f t="shared" si="10"/>
        <v>1.7699115044247791E-2</v>
      </c>
      <c r="AL228" s="235">
        <f t="shared" si="10"/>
        <v>1.7699115044247784E-2</v>
      </c>
      <c r="AM228" s="235">
        <f t="shared" si="10"/>
        <v>1.7699115044247787E-2</v>
      </c>
      <c r="AN228" s="233"/>
      <c r="AO228" s="235">
        <f t="shared" si="11"/>
        <v>1.7699115044247787E-2</v>
      </c>
      <c r="AP228" s="235">
        <f t="shared" si="11"/>
        <v>1.7699115044247794E-2</v>
      </c>
      <c r="AQ228" s="235">
        <f t="shared" si="11"/>
        <v>1.7699115044247787E-2</v>
      </c>
      <c r="AR228" s="233"/>
      <c r="AS228" s="233"/>
      <c r="AT228" s="235"/>
      <c r="AU228" s="235"/>
      <c r="AV228" s="235"/>
      <c r="AW228" s="235"/>
      <c r="AX228" s="235"/>
      <c r="AY228" s="235"/>
      <c r="AZ228" s="235"/>
      <c r="BA228" s="235"/>
      <c r="BB228" s="235"/>
      <c r="BC228" s="235"/>
      <c r="BD228" s="235"/>
      <c r="BE228" s="233"/>
      <c r="BF228" s="233"/>
      <c r="BG228" s="233"/>
      <c r="BH228" s="233"/>
      <c r="BI228" s="233"/>
      <c r="BJ228" s="233"/>
      <c r="BK228" s="236"/>
    </row>
    <row r="229" spans="1:63" s="237" customFormat="1" ht="13" hidden="1" outlineLevel="1" x14ac:dyDescent="0.15">
      <c r="A229" s="231" t="s">
        <v>1188</v>
      </c>
      <c r="B229" s="232"/>
      <c r="C229" s="233"/>
      <c r="E229" s="235">
        <f>E200/E$224</f>
        <v>0.12109547269447724</v>
      </c>
      <c r="F229" s="235">
        <f>F200/F$224</f>
        <v>0.10802182862229361</v>
      </c>
      <c r="G229" s="233"/>
      <c r="H229" s="235">
        <f>H200/H$224</f>
        <v>8.7120395108925094E-2</v>
      </c>
      <c r="I229" s="233"/>
      <c r="J229" s="235">
        <f>J200/J$224</f>
        <v>6.7215891945808112E-2</v>
      </c>
      <c r="K229" s="233"/>
      <c r="L229" s="235">
        <f>L200/L$224</f>
        <v>0.10124585949755567</v>
      </c>
      <c r="M229" s="235"/>
      <c r="N229" s="235"/>
      <c r="O229" s="235"/>
      <c r="P229" s="235"/>
      <c r="Q229" s="235"/>
      <c r="R229" s="235"/>
      <c r="S229" s="235"/>
      <c r="T229" s="264"/>
      <c r="U229" s="233"/>
      <c r="V229" s="235">
        <f>V200/V$224</f>
        <v>0.16055211314125561</v>
      </c>
      <c r="W229" s="233"/>
      <c r="X229" s="235">
        <f>X200/X$224</f>
        <v>0.14999279515698957</v>
      </c>
      <c r="Y229" s="233"/>
      <c r="Z229" s="235">
        <f>Z200/Z$224</f>
        <v>0.21075626425482308</v>
      </c>
      <c r="AA229" s="233"/>
      <c r="AB229" s="235"/>
      <c r="AC229" s="233"/>
      <c r="AD229" s="235">
        <f>AD200/AD$224</f>
        <v>0.17397649454117406</v>
      </c>
      <c r="AE229" s="235">
        <f>AE200/AE$224</f>
        <v>0.16931605117006557</v>
      </c>
      <c r="AF229" s="235">
        <f>AF200/AF$224</f>
        <v>0.15956752159568252</v>
      </c>
      <c r="AG229" s="233"/>
      <c r="AH229" s="235">
        <f>AH200/AH$224</f>
        <v>0.15937942405936445</v>
      </c>
      <c r="AI229" s="235">
        <f>AI200/AI$224</f>
        <v>0.15635371012040578</v>
      </c>
      <c r="AJ229" s="233"/>
      <c r="AK229" s="235">
        <f>AK200/AK$224</f>
        <v>0.15072155430744241</v>
      </c>
      <c r="AL229" s="235">
        <f>AL200/AL$224</f>
        <v>0.14643103525718904</v>
      </c>
      <c r="AM229" s="235">
        <f>AM200/AM$224</f>
        <v>0.16965349016011078</v>
      </c>
      <c r="AN229" s="233"/>
      <c r="AO229" s="235">
        <f>AO200/AO$224</f>
        <v>0.18269162471317538</v>
      </c>
      <c r="AP229" s="235">
        <f>AP200/AP$224</f>
        <v>0.1710778031743338</v>
      </c>
      <c r="AQ229" s="235">
        <f>AQ200/AQ$224</f>
        <v>0.15457474559662496</v>
      </c>
      <c r="AR229" s="233"/>
      <c r="AS229" s="233"/>
      <c r="AT229" s="235"/>
      <c r="AU229" s="235"/>
      <c r="AV229" s="235"/>
      <c r="AW229" s="235"/>
      <c r="AX229" s="235"/>
      <c r="AY229" s="235"/>
      <c r="AZ229" s="235"/>
      <c r="BA229" s="235"/>
      <c r="BB229" s="235"/>
      <c r="BC229" s="235"/>
      <c r="BD229" s="235"/>
      <c r="BE229" s="233"/>
      <c r="BF229" s="233"/>
      <c r="BG229" s="233"/>
      <c r="BH229" s="233"/>
      <c r="BI229" s="233"/>
      <c r="BJ229" s="233"/>
      <c r="BK229" s="236"/>
    </row>
    <row r="230" spans="1:63" s="237" customFormat="1" ht="13" hidden="1" outlineLevel="1" x14ac:dyDescent="0.15">
      <c r="A230" s="231" t="s">
        <v>1189</v>
      </c>
      <c r="B230" s="232"/>
      <c r="C230" s="233"/>
      <c r="E230" s="235">
        <f>SUM(E6:E26)/E$224</f>
        <v>0.64165830444107297</v>
      </c>
      <c r="F230" s="235">
        <f>SUM(F6:F26)/F$224</f>
        <v>0.57238393685684186</v>
      </c>
      <c r="G230" s="233"/>
      <c r="H230" s="235">
        <f>SUM(H6:H26)/H$224</f>
        <v>0.46163183283381909</v>
      </c>
      <c r="I230" s="233"/>
      <c r="J230" s="235">
        <f>SUM(J6:J26)/J$224</f>
        <v>0.35616224370548749</v>
      </c>
      <c r="K230" s="233"/>
      <c r="L230" s="235">
        <f>SUM(L6:L26)/L$224</f>
        <v>0.77209619051224165</v>
      </c>
      <c r="M230" s="235"/>
      <c r="N230" s="235"/>
      <c r="O230" s="235"/>
      <c r="P230" s="235"/>
      <c r="Q230" s="235"/>
      <c r="R230" s="235"/>
      <c r="S230" s="235"/>
      <c r="T230" s="264"/>
      <c r="U230" s="233"/>
      <c r="V230" s="235">
        <f>SUM(V6:V26)/V$224</f>
        <v>0.34651150491951488</v>
      </c>
      <c r="W230" s="233"/>
      <c r="X230" s="235">
        <f>SUM(X6:X26)/X$224</f>
        <v>0.22325399694424325</v>
      </c>
      <c r="Y230" s="233"/>
      <c r="Z230" s="235">
        <f>SUM(Z6:Z26)/Z$224</f>
        <v>0.10355537169869526</v>
      </c>
      <c r="AA230" s="233"/>
      <c r="AB230" s="235"/>
      <c r="AC230" s="233"/>
      <c r="AD230" s="235">
        <f>SUM(AD6:AD26)/AD$224</f>
        <v>0.25918066977982729</v>
      </c>
      <c r="AE230" s="235">
        <f>SUM(AE6:AE26)/AE$224</f>
        <v>0.25223779604518615</v>
      </c>
      <c r="AF230" s="235">
        <f>SUM(AF6:AF26)/AF$224</f>
        <v>0.1892653402877586</v>
      </c>
      <c r="AG230" s="233"/>
      <c r="AH230" s="235">
        <f>SUM(AH6:AH26)/AH$224</f>
        <v>0.16931835259015013</v>
      </c>
      <c r="AI230" s="235">
        <f>SUM(AI6:AI26)/AI$224</f>
        <v>0.16610395460510838</v>
      </c>
      <c r="AJ230" s="233"/>
      <c r="AK230" s="235">
        <f>SUM(AK6:AK26)/AK$224</f>
        <v>0.11035312684795423</v>
      </c>
      <c r="AL230" s="235">
        <f>SUM(AL6:AL26)/AL$224</f>
        <v>9.9139676883179706E-2</v>
      </c>
      <c r="AM230" s="235">
        <f>SUM(AM6:AM26)/AM$224</f>
        <v>0.16487631455044843</v>
      </c>
      <c r="AN230" s="233"/>
      <c r="AO230" s="235">
        <f>SUM(AO6:AO26)/AO$224</f>
        <v>8.4164180843952094E-2</v>
      </c>
      <c r="AP230" s="235">
        <f>SUM(AP6:AP26)/AP$224</f>
        <v>6.9982508201576532E-2</v>
      </c>
      <c r="AQ230" s="235">
        <f>SUM(AQ6:AQ26)/AQ$224</f>
        <v>0.12060079320468425</v>
      </c>
      <c r="AR230" s="233"/>
      <c r="AS230" s="233"/>
      <c r="AT230" s="235"/>
      <c r="AU230" s="235"/>
      <c r="AV230" s="235"/>
      <c r="AW230" s="235"/>
      <c r="AX230" s="235"/>
      <c r="AY230" s="235"/>
      <c r="AZ230" s="235"/>
      <c r="BA230" s="235"/>
      <c r="BB230" s="235"/>
      <c r="BC230" s="235"/>
      <c r="BD230" s="235"/>
      <c r="BE230" s="233"/>
      <c r="BF230" s="233"/>
      <c r="BG230" s="233"/>
      <c r="BH230" s="233"/>
      <c r="BI230" s="233"/>
      <c r="BJ230" s="233"/>
      <c r="BK230" s="236"/>
    </row>
    <row r="231" spans="1:63" s="237" customFormat="1" ht="13" hidden="1" outlineLevel="1" x14ac:dyDescent="0.15">
      <c r="A231" s="231" t="s">
        <v>1190</v>
      </c>
      <c r="B231" s="232"/>
      <c r="C231" s="233"/>
      <c r="E231" s="235">
        <f>SUM(E106:E125)/E$224</f>
        <v>3.87252506841251E-2</v>
      </c>
      <c r="F231" s="235">
        <f>SUM(F106:F125)/F$224</f>
        <v>3.454441606838618E-2</v>
      </c>
      <c r="G231" s="233"/>
      <c r="H231" s="235">
        <f>SUM(H106:H125)/H$224</f>
        <v>2.7860324298044678E-2</v>
      </c>
      <c r="I231" s="233"/>
      <c r="J231" s="235">
        <f>SUM(J106:J125)/J$224</f>
        <v>2.1495041950294121E-2</v>
      </c>
      <c r="K231" s="233"/>
      <c r="L231" s="235">
        <f>SUM(L106:L125)/L$224</f>
        <v>5.5004641456024086E-2</v>
      </c>
      <c r="M231" s="235"/>
      <c r="N231" s="235"/>
      <c r="O231" s="235"/>
      <c r="P231" s="235"/>
      <c r="Q231" s="235"/>
      <c r="R231" s="235"/>
      <c r="S231" s="235"/>
      <c r="T231" s="264"/>
      <c r="U231" s="233"/>
      <c r="V231" s="235">
        <f>SUM(V106:V125)/V$224</f>
        <v>0.19200644470533246</v>
      </c>
      <c r="W231" s="233"/>
      <c r="X231" s="235">
        <f>SUM(X106:X125)/X$224</f>
        <v>0.13850960747261459</v>
      </c>
      <c r="Y231" s="233"/>
      <c r="Z231" s="235">
        <f>SUM(Z106:Z125)/Z$224</f>
        <v>8.3821650926393793E-2</v>
      </c>
      <c r="AA231" s="233"/>
      <c r="AB231" s="235"/>
      <c r="AC231" s="233"/>
      <c r="AD231" s="235">
        <f>SUM(AD106:AD125)/AD$224</f>
        <v>0.16726345594792216</v>
      </c>
      <c r="AE231" s="235">
        <f>SUM(AE106:AE125)/AE$224</f>
        <v>0.16278283995116347</v>
      </c>
      <c r="AF231" s="235">
        <f>SUM(AF106:AF125)/AF$224</f>
        <v>0.13774637247594312</v>
      </c>
      <c r="AG231" s="233"/>
      <c r="AH231" s="235">
        <f>SUM(AH106:AH125)/AH$224</f>
        <v>0.12405146065167567</v>
      </c>
      <c r="AI231" s="235">
        <f>SUM(AI106:AI125)/AI$224</f>
        <v>0.12169642495081787</v>
      </c>
      <c r="AJ231" s="233"/>
      <c r="AK231" s="235">
        <f>SUM(AK106:AK125)/AK$224</f>
        <v>9.5652927346104685E-2</v>
      </c>
      <c r="AL231" s="235">
        <f>SUM(AL106:AL125)/AL$224</f>
        <v>8.4591568915056106E-2</v>
      </c>
      <c r="AM231" s="235">
        <f>SUM(AM106:AM125)/AM$224</f>
        <v>7.4933195315491793E-2</v>
      </c>
      <c r="AN231" s="233"/>
      <c r="AO231" s="235">
        <f>SUM(AO106:AO125)/AO$224</f>
        <v>8.7337361448219838E-2</v>
      </c>
      <c r="AP231" s="235">
        <f>SUM(AP106:AP125)/AP$224</f>
        <v>7.8892112348887253E-2</v>
      </c>
      <c r="AQ231" s="235">
        <f>SUM(AQ106:AQ125)/AQ$224</f>
        <v>6.7319263669582644E-2</v>
      </c>
      <c r="AR231" s="233"/>
      <c r="AS231" s="233"/>
      <c r="AT231" s="235"/>
      <c r="AU231" s="235"/>
      <c r="AV231" s="235"/>
      <c r="AW231" s="235"/>
      <c r="AX231" s="235"/>
      <c r="AY231" s="235"/>
      <c r="AZ231" s="235"/>
      <c r="BA231" s="235"/>
      <c r="BB231" s="235"/>
      <c r="BC231" s="235"/>
      <c r="BD231" s="235"/>
      <c r="BE231" s="233"/>
      <c r="BF231" s="233"/>
      <c r="BG231" s="233"/>
      <c r="BH231" s="233"/>
      <c r="BI231" s="233"/>
      <c r="BJ231" s="233"/>
      <c r="BK231" s="236"/>
    </row>
    <row r="232" spans="1:63" s="237" customFormat="1" ht="13" hidden="1" outlineLevel="1" x14ac:dyDescent="0.15">
      <c r="A232" s="231" t="s">
        <v>1191</v>
      </c>
      <c r="B232" s="232"/>
      <c r="C232" s="233"/>
      <c r="E232" s="235">
        <f>SUM(E42,E48:E49)/E$224</f>
        <v>0</v>
      </c>
      <c r="F232" s="235">
        <f>SUM(F42,F48:F49)/F$224</f>
        <v>0</v>
      </c>
      <c r="G232" s="233"/>
      <c r="H232" s="235">
        <f>SUM(H42,H48:H49)/H$224</f>
        <v>0</v>
      </c>
      <c r="I232" s="233"/>
      <c r="J232" s="235">
        <f>SUM(J42,J48:J49)/J$224</f>
        <v>0</v>
      </c>
      <c r="K232" s="233"/>
      <c r="L232" s="235">
        <f>SUM(L42,L48:L49)/L$224</f>
        <v>1.071831762286281E-2</v>
      </c>
      <c r="M232" s="235"/>
      <c r="N232" s="235"/>
      <c r="O232" s="235"/>
      <c r="P232" s="235"/>
      <c r="Q232" s="235"/>
      <c r="R232" s="235"/>
      <c r="S232" s="235"/>
      <c r="T232" s="264"/>
      <c r="U232" s="233"/>
      <c r="V232" s="235">
        <f>SUM(V42,V48:V49)/V$224</f>
        <v>1.2610250716210794E-2</v>
      </c>
      <c r="W232" s="233"/>
      <c r="X232" s="235">
        <f>SUM(X42,X48:X49)/X$224</f>
        <v>4.2385030895531741E-3</v>
      </c>
      <c r="Y232" s="233"/>
      <c r="Z232" s="235">
        <f>SUM(Z42,Z48:Z49)/Z$224</f>
        <v>3.1960465463315428E-2</v>
      </c>
      <c r="AA232" s="233"/>
      <c r="AB232" s="235"/>
      <c r="AC232" s="233"/>
      <c r="AD232" s="235">
        <f>SUM(AD42,AD48:AD49)/AD$224</f>
        <v>5.7132628667101856E-3</v>
      </c>
      <c r="AE232" s="235">
        <f>SUM(AE42,AE48:AE49)/AE$224</f>
        <v>5.5602172606081602E-3</v>
      </c>
      <c r="AF232" s="235">
        <f>SUM(AF42,AF48:AF49)/AF$224</f>
        <v>4.1720805858704545E-3</v>
      </c>
      <c r="AG232" s="233"/>
      <c r="AH232" s="235">
        <f>SUM(AH42,AH48:AH49)/AH$224</f>
        <v>9.920701927261787E-3</v>
      </c>
      <c r="AI232" s="235">
        <f>SUM(AI42,AI48:AI49)/AI$224</f>
        <v>9.732363901304374E-3</v>
      </c>
      <c r="AJ232" s="233"/>
      <c r="AK232" s="235">
        <f>SUM(AK42,AK48:AK49)/AK$224</f>
        <v>3.9357826874511559E-2</v>
      </c>
      <c r="AL232" s="235">
        <f>SUM(AL42,AL48:AL49)/AL$224</f>
        <v>3.184977874085454E-2</v>
      </c>
      <c r="AM232" s="235">
        <f>SUM(AM42,AM48:AM49)/AM$224</f>
        <v>2.9179754956268331E-2</v>
      </c>
      <c r="AN232" s="233"/>
      <c r="AO232" s="235">
        <f>SUM(AO42,AO48:AO49)/AO$224</f>
        <v>8.8770447282143384E-3</v>
      </c>
      <c r="AP232" s="235">
        <f>SUM(AP42,AP48:AP49)/AP$224</f>
        <v>2.4959505187711822E-2</v>
      </c>
      <c r="AQ232" s="235">
        <f>SUM(AQ42,AQ48:AQ49)/AQ$224</f>
        <v>2.1343888009866401E-2</v>
      </c>
      <c r="AR232" s="233"/>
      <c r="AS232" s="233"/>
      <c r="AT232" s="235"/>
      <c r="AU232" s="235"/>
      <c r="AV232" s="235"/>
      <c r="AW232" s="235"/>
      <c r="AX232" s="235"/>
      <c r="AY232" s="235"/>
      <c r="AZ232" s="235"/>
      <c r="BA232" s="235"/>
      <c r="BB232" s="235"/>
      <c r="BC232" s="235"/>
      <c r="BD232" s="235"/>
      <c r="BE232" s="233"/>
      <c r="BF232" s="233"/>
      <c r="BG232" s="233"/>
      <c r="BH232" s="233"/>
      <c r="BI232" s="233"/>
      <c r="BJ232" s="233"/>
      <c r="BK232" s="236"/>
    </row>
    <row r="233" spans="1:63" s="237" customFormat="1" ht="13" hidden="1" outlineLevel="1" x14ac:dyDescent="0.15">
      <c r="A233" s="231" t="s">
        <v>1192</v>
      </c>
      <c r="B233" s="232"/>
      <c r="C233" s="233"/>
      <c r="E233" s="235">
        <f>SUM(E43:E44)/E$224</f>
        <v>0</v>
      </c>
      <c r="F233" s="235">
        <f>SUM(F43:F44)/F$224</f>
        <v>0</v>
      </c>
      <c r="G233" s="233"/>
      <c r="H233" s="235">
        <f>SUM(H43:H44)/H$224</f>
        <v>0</v>
      </c>
      <c r="I233" s="233"/>
      <c r="J233" s="235">
        <f>SUM(J43:J44)/J$224</f>
        <v>0</v>
      </c>
      <c r="K233" s="233"/>
      <c r="L233" s="235">
        <f>SUM(L43:L44)/L$224</f>
        <v>0</v>
      </c>
      <c r="M233" s="235"/>
      <c r="N233" s="235"/>
      <c r="O233" s="235"/>
      <c r="P233" s="235"/>
      <c r="Q233" s="235"/>
      <c r="R233" s="235"/>
      <c r="S233" s="235"/>
      <c r="T233" s="264"/>
      <c r="U233" s="233"/>
      <c r="V233" s="235">
        <f>SUM(V43:V44)/V$224</f>
        <v>0</v>
      </c>
      <c r="W233" s="233"/>
      <c r="X233" s="235">
        <f>SUM(X43:X44)/X$224</f>
        <v>0</v>
      </c>
      <c r="Y233" s="233"/>
      <c r="Z233" s="235">
        <f>SUM(Z43:Z44)/Z$224</f>
        <v>2.7403310745898003E-2</v>
      </c>
      <c r="AA233" s="233"/>
      <c r="AB233" s="235"/>
      <c r="AC233" s="233"/>
      <c r="AD233" s="235">
        <f>SUM(AD43:AD44)/AD$224</f>
        <v>0</v>
      </c>
      <c r="AE233" s="235">
        <f>SUM(AE43:AE44)/AE$224</f>
        <v>0</v>
      </c>
      <c r="AF233" s="235">
        <f>SUM(AF43:AF44)/AF$224</f>
        <v>0</v>
      </c>
      <c r="AG233" s="233"/>
      <c r="AH233" s="235">
        <f>SUM(AH43:AH44)/AH$224</f>
        <v>4.88780015426429E-2</v>
      </c>
      <c r="AI233" s="235">
        <f>SUM(AI43:AI44)/AI$224</f>
        <v>4.7950084708654764E-2</v>
      </c>
      <c r="AJ233" s="233"/>
      <c r="AK233" s="235">
        <f>SUM(AK43:AK44)/AK$224</f>
        <v>3.1856205909149352E-2</v>
      </c>
      <c r="AL233" s="235">
        <f>SUM(AL43:AL44)/AL$224</f>
        <v>2.5779195405389144E-2</v>
      </c>
      <c r="AM233" s="235">
        <f>SUM(AM43:AM44)/AM$224</f>
        <v>2.3618079454162989E-2</v>
      </c>
      <c r="AN233" s="233"/>
      <c r="AO233" s="235">
        <f>SUM(AO43:AO44)/AO$224</f>
        <v>2.4296107883140836E-2</v>
      </c>
      <c r="AP233" s="235">
        <f>SUM(AP43:AP44)/AP$224</f>
        <v>2.0202211346306627E-2</v>
      </c>
      <c r="AQ233" s="235">
        <f>SUM(AQ43:AQ44)/AQ$224</f>
        <v>1.7275732562979984E-2</v>
      </c>
      <c r="AR233" s="233"/>
      <c r="AS233" s="233"/>
      <c r="AT233" s="235"/>
      <c r="AU233" s="235"/>
      <c r="AV233" s="235"/>
      <c r="AW233" s="235"/>
      <c r="AX233" s="235"/>
      <c r="AY233" s="235"/>
      <c r="AZ233" s="235"/>
      <c r="BA233" s="235"/>
      <c r="BB233" s="235"/>
      <c r="BC233" s="235"/>
      <c r="BD233" s="235"/>
      <c r="BE233" s="233"/>
      <c r="BF233" s="233"/>
      <c r="BG233" s="233"/>
      <c r="BH233" s="233"/>
      <c r="BI233" s="233"/>
      <c r="BJ233" s="233"/>
      <c r="BK233" s="236"/>
    </row>
    <row r="234" spans="1:63" s="237" customFormat="1" ht="13" hidden="1" outlineLevel="1" x14ac:dyDescent="0.15">
      <c r="A234" s="231" t="s">
        <v>1193</v>
      </c>
      <c r="B234" s="232"/>
      <c r="C234" s="233"/>
      <c r="E234" s="235">
        <f>SUM(E50)/E$224</f>
        <v>0</v>
      </c>
      <c r="F234" s="235">
        <f>SUM(F50)/F$224</f>
        <v>0</v>
      </c>
      <c r="G234" s="233"/>
      <c r="H234" s="235">
        <f>SUM(H50)/H$224</f>
        <v>0</v>
      </c>
      <c r="I234" s="233"/>
      <c r="J234" s="235">
        <f>SUM(J50)/J$224</f>
        <v>0</v>
      </c>
      <c r="K234" s="233"/>
      <c r="L234" s="235">
        <f>SUM(L50)/L$224</f>
        <v>0</v>
      </c>
      <c r="M234" s="235"/>
      <c r="N234" s="235"/>
      <c r="O234" s="235"/>
      <c r="P234" s="235"/>
      <c r="Q234" s="235"/>
      <c r="R234" s="235"/>
      <c r="S234" s="235"/>
      <c r="T234" s="264"/>
      <c r="U234" s="233"/>
      <c r="V234" s="235">
        <f>SUM(V50)/V$224</f>
        <v>0</v>
      </c>
      <c r="W234" s="233"/>
      <c r="X234" s="235">
        <f>SUM(X50)/X$224</f>
        <v>0</v>
      </c>
      <c r="Y234" s="233"/>
      <c r="Z234" s="235">
        <f>SUM(Z50)/Z$224</f>
        <v>0</v>
      </c>
      <c r="AA234" s="233"/>
      <c r="AB234" s="235"/>
      <c r="AC234" s="233"/>
      <c r="AD234" s="235">
        <f>SUM(AD50)/AD$224</f>
        <v>0</v>
      </c>
      <c r="AE234" s="235">
        <f>SUM(AE50)/AE$224</f>
        <v>0</v>
      </c>
      <c r="AF234" s="235">
        <f>SUM(AF50)/AF$224</f>
        <v>0</v>
      </c>
      <c r="AG234" s="233"/>
      <c r="AH234" s="235">
        <f>SUM(AH50)/AH$224</f>
        <v>0</v>
      </c>
      <c r="AI234" s="235">
        <f>SUM(AI50)/AI$224</f>
        <v>0</v>
      </c>
      <c r="AJ234" s="233"/>
      <c r="AK234" s="235">
        <f>SUM(AK50)/AK$224</f>
        <v>0</v>
      </c>
      <c r="AL234" s="235">
        <f>SUM(AL50)/AL$224</f>
        <v>0</v>
      </c>
      <c r="AM234" s="235">
        <f>SUM(AM50)/AM$224</f>
        <v>0</v>
      </c>
      <c r="AN234" s="233"/>
      <c r="AO234" s="235">
        <f>SUM(AO50)/AO$224</f>
        <v>0</v>
      </c>
      <c r="AP234" s="235">
        <f>SUM(AP50)/AP$224</f>
        <v>0</v>
      </c>
      <c r="AQ234" s="235">
        <f>SUM(AQ50)/AQ$224</f>
        <v>0</v>
      </c>
      <c r="AR234" s="233"/>
      <c r="AS234" s="233"/>
      <c r="AT234" s="235"/>
      <c r="AU234" s="235"/>
      <c r="AV234" s="235"/>
      <c r="AW234" s="235"/>
      <c r="AX234" s="235"/>
      <c r="AY234" s="235"/>
      <c r="AZ234" s="235"/>
      <c r="BA234" s="235"/>
      <c r="BB234" s="235"/>
      <c r="BC234" s="235"/>
      <c r="BD234" s="235"/>
      <c r="BE234" s="233"/>
      <c r="BF234" s="233"/>
      <c r="BG234" s="233"/>
      <c r="BH234" s="233"/>
      <c r="BI234" s="233"/>
      <c r="BJ234" s="233"/>
      <c r="BK234" s="236"/>
    </row>
    <row r="235" spans="1:63" s="237" customFormat="1" ht="13" hidden="1" outlineLevel="1" x14ac:dyDescent="0.15">
      <c r="A235" s="231" t="s">
        <v>1194</v>
      </c>
      <c r="B235" s="232"/>
      <c r="C235" s="233"/>
      <c r="E235" s="235">
        <f>SUM(E46:E47,E60:E72)/E$224</f>
        <v>0</v>
      </c>
      <c r="F235" s="235">
        <f>SUM(F46:F47,F60:F72)/F$224</f>
        <v>0</v>
      </c>
      <c r="G235" s="233"/>
      <c r="H235" s="235">
        <f>SUM(H46:H47,H60:H72)/H$224</f>
        <v>0</v>
      </c>
      <c r="I235" s="233"/>
      <c r="J235" s="235">
        <f>SUM(J46:J47,J60:J72)/J$224</f>
        <v>0</v>
      </c>
      <c r="K235" s="233"/>
      <c r="L235" s="235">
        <f>SUM(L46:L47,L60:L72)/L$224</f>
        <v>0</v>
      </c>
      <c r="M235" s="235"/>
      <c r="N235" s="235"/>
      <c r="O235" s="235"/>
      <c r="P235" s="235"/>
      <c r="Q235" s="235"/>
      <c r="R235" s="235"/>
      <c r="S235" s="235"/>
      <c r="T235" s="264"/>
      <c r="U235" s="233"/>
      <c r="V235" s="235">
        <f>SUM(V46:V47,V60:V90)/V$224</f>
        <v>7.8548575144401792E-2</v>
      </c>
      <c r="W235" s="233"/>
      <c r="X235" s="235">
        <f>SUM(X46:X47,X56,X60:X90)/X$224</f>
        <v>0.13929457908908671</v>
      </c>
      <c r="Y235" s="233"/>
      <c r="Z235" s="235">
        <f>SUM(Z46:Z47,Z60:Z85)/Z$224</f>
        <v>7.3389089314785202E-2</v>
      </c>
      <c r="AA235" s="233"/>
      <c r="AB235" s="235"/>
      <c r="AC235" s="233"/>
      <c r="AD235" s="235">
        <f>SUM(AD46:AD47,AD60:AD72)/AD$224</f>
        <v>6.6997332311848914E-2</v>
      </c>
      <c r="AE235" s="235">
        <f>SUM(AE46:AE47,AE60:AE72)/AE$224</f>
        <v>6.5202622778942371E-2</v>
      </c>
      <c r="AF235" s="235">
        <f>SUM(AF46:AF47,AF60:AF72)/AF$224</f>
        <v>4.8924454548041563E-2</v>
      </c>
      <c r="AG235" s="233"/>
      <c r="AH235" s="235">
        <f>SUM(AH46:AH47,AH60:AH72)/AH$224</f>
        <v>7.3014053389060127E-2</v>
      </c>
      <c r="AI235" s="235">
        <f>SUM(AI46:AI47,AI60:AI72)/AI$224</f>
        <v>7.162792942492241E-2</v>
      </c>
      <c r="AJ235" s="233"/>
      <c r="AK235" s="235">
        <f>SUM(AK46:AK47,AK60:AK72)/AK$224</f>
        <v>8.3197678435330047E-2</v>
      </c>
      <c r="AL235" s="235">
        <f>SUM(AL46:AL47,AL60:AL72)/AL$224</f>
        <v>0.12558566568346238</v>
      </c>
      <c r="AM235" s="235">
        <f>SUM(AM46:AM47,AM60:AM72)/AM$224</f>
        <v>6.1682467312379252E-2</v>
      </c>
      <c r="AN235" s="233"/>
      <c r="AO235" s="235">
        <f>SUM(AO46:AO47,AO60:AO72)/AO$224</f>
        <v>7.7324114085119647E-2</v>
      </c>
      <c r="AP235" s="235">
        <f>SUM(AP46:AP47,AP60:AP72)/AP$224</f>
        <v>9.8416886962792147E-2</v>
      </c>
      <c r="AQ235" s="235">
        <f>SUM(AQ46:AQ47,AQ60:AQ72)/AQ$224</f>
        <v>4.511839377886382E-2</v>
      </c>
      <c r="AR235" s="233"/>
      <c r="AS235" s="233"/>
      <c r="AT235" s="235"/>
      <c r="AU235" s="235"/>
      <c r="AV235" s="235"/>
      <c r="AW235" s="235"/>
      <c r="AX235" s="235"/>
      <c r="AY235" s="235"/>
      <c r="AZ235" s="235"/>
      <c r="BA235" s="235"/>
      <c r="BB235" s="235"/>
      <c r="BC235" s="235"/>
      <c r="BD235" s="235"/>
      <c r="BE235" s="233"/>
      <c r="BF235" s="233"/>
      <c r="BG235" s="233"/>
      <c r="BH235" s="233"/>
      <c r="BI235" s="233"/>
      <c r="BJ235" s="233"/>
      <c r="BK235" s="236"/>
    </row>
    <row r="236" spans="1:63" s="237" customFormat="1" ht="13" hidden="1" outlineLevel="1" x14ac:dyDescent="0.15">
      <c r="A236" s="231" t="s">
        <v>1195</v>
      </c>
      <c r="B236" s="232"/>
      <c r="C236" s="233"/>
      <c r="E236" s="235">
        <f>SUM(E133:E140)/E$224</f>
        <v>0</v>
      </c>
      <c r="F236" s="235">
        <f>SUM(F133:F140)/F$224</f>
        <v>0</v>
      </c>
      <c r="G236" s="233"/>
      <c r="H236" s="235">
        <f>SUM(H133:H140)/H$224</f>
        <v>0</v>
      </c>
      <c r="I236" s="233"/>
      <c r="J236" s="235">
        <f>SUM(J133:J140)/J$224</f>
        <v>0</v>
      </c>
      <c r="K236" s="233"/>
      <c r="L236" s="235">
        <f>SUM(L133:L140)/L$224</f>
        <v>0</v>
      </c>
      <c r="M236" s="235"/>
      <c r="N236" s="235"/>
      <c r="O236" s="235"/>
      <c r="P236" s="235"/>
      <c r="Q236" s="235"/>
      <c r="R236" s="235"/>
      <c r="S236" s="235"/>
      <c r="T236" s="264"/>
      <c r="U236" s="233"/>
      <c r="V236" s="235">
        <f>SUM(V133:V140)/V$224</f>
        <v>2.0720346086229822E-2</v>
      </c>
      <c r="W236" s="233"/>
      <c r="X236" s="235">
        <f>SUM(X133:X140)/X$224</f>
        <v>1.1154118454237161E-2</v>
      </c>
      <c r="Y236" s="233"/>
      <c r="Z236" s="235">
        <f>SUM(Z133:Z140)/Z$224</f>
        <v>2.0209277179208427E-2</v>
      </c>
      <c r="AA236" s="233"/>
      <c r="AB236" s="235"/>
      <c r="AC236" s="233"/>
      <c r="AD236" s="235">
        <f>SUM(AD133:AD140)/AD$224</f>
        <v>2.1002757573615201E-2</v>
      </c>
      <c r="AE236" s="235">
        <f>SUM(AE133:AE140)/AE$224</f>
        <v>2.0440140407617591E-2</v>
      </c>
      <c r="AF236" s="235">
        <f>SUM(AF133:AF140)/AF$224</f>
        <v>1.5337154821493452E-2</v>
      </c>
      <c r="AG236" s="233"/>
      <c r="AH236" s="235">
        <f>SUM(AH133:AH140)/AH$224</f>
        <v>2.0112751138819364E-2</v>
      </c>
      <c r="AI236" s="235">
        <f>SUM(AI133:AI140)/AI$224</f>
        <v>1.9730923736501323E-2</v>
      </c>
      <c r="AJ236" s="233"/>
      <c r="AK236" s="235">
        <f>SUM(AK133:AK140)/AK$224</f>
        <v>2.3493179384987475E-2</v>
      </c>
      <c r="AL236" s="235">
        <f>SUM(AL133:AL140)/AL$224</f>
        <v>1.9011531498341703E-2</v>
      </c>
      <c r="AM236" s="235">
        <f>SUM(AM133:AM140)/AM$224</f>
        <v>1.7417760888661787E-2</v>
      </c>
      <c r="AN236" s="233"/>
      <c r="AO236" s="235">
        <f>SUM(AO133:AO140)/AO$224</f>
        <v>2.3900492716737151E-2</v>
      </c>
      <c r="AP236" s="235">
        <f>SUM(AP133:AP140)/AP$224</f>
        <v>1.9873257373845984E-2</v>
      </c>
      <c r="AQ236" s="235">
        <f>SUM(AQ133:AQ140)/AQ$224</f>
        <v>1.6994430642296984E-2</v>
      </c>
      <c r="AR236" s="233"/>
      <c r="AS236" s="233"/>
      <c r="AT236" s="235"/>
      <c r="AU236" s="235"/>
      <c r="AV236" s="235"/>
      <c r="AW236" s="235"/>
      <c r="AX236" s="235"/>
      <c r="AY236" s="235"/>
      <c r="AZ236" s="235"/>
      <c r="BA236" s="235"/>
      <c r="BB236" s="235"/>
      <c r="BC236" s="235"/>
      <c r="BD236" s="235"/>
      <c r="BE236" s="233"/>
      <c r="BF236" s="233"/>
      <c r="BG236" s="233"/>
      <c r="BH236" s="233"/>
      <c r="BI236" s="233"/>
      <c r="BJ236" s="233"/>
      <c r="BK236" s="236"/>
    </row>
    <row r="237" spans="1:63" s="237" customFormat="1" ht="13" hidden="1" outlineLevel="1" x14ac:dyDescent="0.15">
      <c r="A237" s="231" t="s">
        <v>1200</v>
      </c>
      <c r="B237" s="232"/>
      <c r="C237" s="233"/>
      <c r="E237" s="235">
        <f>SUM(E33)/E$224</f>
        <v>0.15090192456127705</v>
      </c>
      <c r="F237" s="235">
        <f>SUM(F33)/F$224</f>
        <v>0.23743077083343081</v>
      </c>
      <c r="G237" s="233"/>
      <c r="H237" s="235">
        <f>SUM(H33)/H$224</f>
        <v>0.37576840014016344</v>
      </c>
      <c r="I237" s="233"/>
      <c r="J237" s="235">
        <f>SUM(J33)/J$224</f>
        <v>0.50750777477936271</v>
      </c>
      <c r="K237" s="233"/>
      <c r="L237" s="235">
        <f>SUM(L33)/L$224</f>
        <v>0</v>
      </c>
      <c r="M237" s="235"/>
      <c r="N237" s="235"/>
      <c r="O237" s="235"/>
      <c r="P237" s="235"/>
      <c r="Q237" s="235"/>
      <c r="R237" s="235"/>
      <c r="S237" s="235"/>
      <c r="T237" s="264"/>
      <c r="U237" s="233"/>
      <c r="V237" s="235">
        <f>SUM(V144:V182)/V$224</f>
        <v>0.13706724609356619</v>
      </c>
      <c r="W237" s="233"/>
      <c r="X237" s="235">
        <f>SUM(X144:X182)/X$224</f>
        <v>0.28189936951196792</v>
      </c>
      <c r="Y237" s="233"/>
      <c r="Z237" s="235">
        <f>SUM(Z144:Z182)/Z$224</f>
        <v>0.24913548229657337</v>
      </c>
      <c r="AA237" s="233"/>
      <c r="AB237" s="235"/>
      <c r="AC237" s="233"/>
      <c r="AD237" s="235">
        <f>SUM(AD144:AD182)/AD$224</f>
        <v>0.2549945494999501</v>
      </c>
      <c r="AE237" s="235">
        <f>SUM(AE144:AE182)/AE$224</f>
        <v>0.27367598027012091</v>
      </c>
      <c r="AF237" s="235">
        <f>SUM(AF144:AF182)/AF$224</f>
        <v>0.32756775785584147</v>
      </c>
      <c r="AG237" s="233"/>
      <c r="AH237" s="235">
        <f>SUM(AH144:AH182)/AH$224</f>
        <v>0.27518548272265136</v>
      </c>
      <c r="AI237" s="235">
        <f>SUM(AI144:AI182)/AI$224</f>
        <v>0.28676157176204009</v>
      </c>
      <c r="AJ237" s="233"/>
      <c r="AK237" s="235">
        <f>SUM(AK144:AK182)/AK$224</f>
        <v>0.20602355243233159</v>
      </c>
      <c r="AL237" s="235">
        <f>SUM(AL144:AL182)/AL$224</f>
        <v>0.19663379855755453</v>
      </c>
      <c r="AM237" s="235">
        <f>SUM(AM144:AM182)/AM$224</f>
        <v>0.23572541540361105</v>
      </c>
      <c r="AN237" s="233"/>
      <c r="AO237" s="235">
        <f>SUM(AO144:AO182)/AO$224</f>
        <v>0.24443640343511694</v>
      </c>
      <c r="AP237" s="235">
        <f>SUM(AP144:AP182)/AP$224</f>
        <v>0.23331767504147902</v>
      </c>
      <c r="AQ237" s="235">
        <f>SUM(AQ144:AQ182)/AQ$224</f>
        <v>0.30418541813847982</v>
      </c>
      <c r="AR237" s="233"/>
      <c r="AS237" s="233"/>
      <c r="AT237" s="235"/>
      <c r="AU237" s="235"/>
      <c r="AV237" s="235"/>
      <c r="AW237" s="235"/>
      <c r="AX237" s="235"/>
      <c r="AY237" s="235"/>
      <c r="AZ237" s="235"/>
      <c r="BA237" s="235"/>
      <c r="BB237" s="235"/>
      <c r="BC237" s="235"/>
      <c r="BD237" s="235"/>
      <c r="BE237" s="233"/>
      <c r="BF237" s="233"/>
      <c r="BG237" s="233"/>
      <c r="BH237" s="233"/>
      <c r="BI237" s="233"/>
      <c r="BJ237" s="233"/>
      <c r="BK237" s="236"/>
    </row>
    <row r="238" spans="1:63" s="237" customFormat="1" ht="13" hidden="1" outlineLevel="1" x14ac:dyDescent="0.15">
      <c r="A238" s="231" t="s">
        <v>1196</v>
      </c>
      <c r="B238" s="232"/>
      <c r="C238" s="233"/>
      <c r="E238" s="235"/>
      <c r="F238" s="235"/>
      <c r="G238" s="233"/>
      <c r="H238" s="235"/>
      <c r="I238" s="233"/>
      <c r="J238" s="235"/>
      <c r="K238" s="233"/>
      <c r="L238" s="235"/>
      <c r="M238" s="235"/>
      <c r="N238" s="235"/>
      <c r="O238" s="235"/>
      <c r="P238" s="235"/>
      <c r="Q238" s="235"/>
      <c r="R238" s="235"/>
      <c r="S238" s="235"/>
      <c r="T238" s="264"/>
      <c r="U238" s="233"/>
      <c r="V238" s="235"/>
      <c r="W238" s="233"/>
      <c r="X238" s="235"/>
      <c r="Y238" s="233"/>
      <c r="Z238" s="235">
        <f>SUM(Z104)/Z$224</f>
        <v>6.7502692386358545E-2</v>
      </c>
      <c r="AA238" s="233"/>
      <c r="AB238" s="235"/>
      <c r="AC238" s="233"/>
      <c r="AD238" s="235"/>
      <c r="AE238" s="235"/>
      <c r="AF238" s="235"/>
      <c r="AG238" s="233"/>
      <c r="AH238" s="235"/>
      <c r="AI238" s="235"/>
      <c r="AJ238" s="233"/>
      <c r="AK238" s="235">
        <f>SUM(AK104)/AK$224</f>
        <v>0.12250528966161177</v>
      </c>
      <c r="AL238" s="235">
        <f>SUM(AL104)/AL$224</f>
        <v>9.9135716581787298E-2</v>
      </c>
      <c r="AM238" s="235">
        <f>SUM(AM104)/AM$224</f>
        <v>9.0824992562978393E-2</v>
      </c>
      <c r="AN238" s="233"/>
      <c r="AO238" s="235">
        <f>SUM(AO104)/AO$224</f>
        <v>8.0112898615800288E-2</v>
      </c>
      <c r="AP238" s="235">
        <f>SUM(AP104)/AP$224</f>
        <v>7.7689030509235521E-2</v>
      </c>
      <c r="AQ238" s="235">
        <f>SUM(AQ104)/AQ$224</f>
        <v>6.6435049665991897E-2</v>
      </c>
      <c r="AR238" s="233"/>
      <c r="AS238" s="233"/>
      <c r="AT238" s="235"/>
      <c r="AU238" s="235"/>
      <c r="AV238" s="235"/>
      <c r="AW238" s="235"/>
      <c r="AX238" s="235"/>
      <c r="AY238" s="235"/>
      <c r="AZ238" s="235"/>
      <c r="BA238" s="235"/>
      <c r="BB238" s="235"/>
      <c r="BC238" s="235"/>
      <c r="BD238" s="235"/>
      <c r="BE238" s="233"/>
      <c r="BF238" s="233"/>
      <c r="BG238" s="233"/>
      <c r="BH238" s="233"/>
      <c r="BI238" s="233"/>
      <c r="BJ238" s="233"/>
      <c r="BK238" s="236"/>
    </row>
    <row r="239" spans="1:63" s="237" customFormat="1" ht="13" hidden="1" outlineLevel="1" x14ac:dyDescent="0.15">
      <c r="A239" s="231" t="s">
        <v>1199</v>
      </c>
      <c r="B239" s="232"/>
      <c r="C239" s="233"/>
      <c r="E239" s="235"/>
      <c r="F239" s="235"/>
      <c r="G239" s="233"/>
      <c r="H239" s="235"/>
      <c r="I239" s="233"/>
      <c r="J239" s="235"/>
      <c r="K239" s="233"/>
      <c r="L239" s="235"/>
      <c r="M239" s="235"/>
      <c r="N239" s="235"/>
      <c r="O239" s="235"/>
      <c r="P239" s="235"/>
      <c r="Q239" s="235"/>
      <c r="R239" s="235"/>
      <c r="S239" s="235"/>
      <c r="T239" s="264"/>
      <c r="U239" s="233"/>
      <c r="V239" s="235"/>
      <c r="W239" s="233"/>
      <c r="X239" s="235"/>
      <c r="Y239" s="233"/>
      <c r="Z239" s="235"/>
      <c r="AA239" s="233"/>
      <c r="AB239" s="235"/>
      <c r="AC239" s="233"/>
      <c r="AD239" s="235"/>
      <c r="AE239" s="235"/>
      <c r="AF239" s="235"/>
      <c r="AG239" s="233"/>
      <c r="AH239" s="235"/>
      <c r="AI239" s="235"/>
      <c r="AJ239" s="233"/>
      <c r="AK239" s="235"/>
      <c r="AL239" s="235"/>
      <c r="AM239" s="235"/>
      <c r="AN239" s="233"/>
      <c r="AO239" s="235">
        <f>SUM(AO94:AO97)/AO$224</f>
        <v>5.468195710752833E-2</v>
      </c>
      <c r="AP239" s="235">
        <f>SUM(AP94:AP97)/AP$224</f>
        <v>4.5468042026703147E-2</v>
      </c>
      <c r="AQ239" s="235">
        <f>SUM(AQ94:AQ97)/AQ$224</f>
        <v>5.7774176425605693E-2</v>
      </c>
      <c r="AR239" s="233"/>
      <c r="AS239" s="233"/>
      <c r="AT239" s="235"/>
      <c r="AU239" s="235"/>
      <c r="AV239" s="235"/>
      <c r="AW239" s="235"/>
      <c r="AX239" s="235"/>
      <c r="AY239" s="235"/>
      <c r="AZ239" s="235"/>
      <c r="BA239" s="235"/>
      <c r="BB239" s="235"/>
      <c r="BC239" s="235"/>
      <c r="BD239" s="235"/>
      <c r="BE239" s="233"/>
      <c r="BF239" s="233"/>
      <c r="BG239" s="233"/>
      <c r="BH239" s="233"/>
      <c r="BI239" s="233"/>
      <c r="BJ239" s="233"/>
      <c r="BK239" s="236"/>
    </row>
    <row r="240" spans="1:63" collapsed="1" x14ac:dyDescent="0.2">
      <c r="E240" s="210"/>
      <c r="F240" s="210"/>
      <c r="G240" s="103"/>
      <c r="H240" s="210"/>
      <c r="I240" s="103"/>
      <c r="J240" s="210"/>
      <c r="L240" s="210"/>
      <c r="M240" s="210"/>
      <c r="N240" s="210"/>
      <c r="O240" s="210"/>
      <c r="P240" s="210"/>
      <c r="Q240" s="210"/>
      <c r="R240" s="210"/>
      <c r="S240" s="210"/>
      <c r="T240" s="264"/>
      <c r="U240" s="103"/>
      <c r="V240" s="210"/>
      <c r="W240" s="103"/>
      <c r="X240" s="210"/>
      <c r="Y240" s="103"/>
      <c r="Z240" s="210"/>
      <c r="AA240" s="103"/>
      <c r="AB240" s="210"/>
      <c r="AC240" s="103"/>
      <c r="AD240" s="210"/>
      <c r="AE240" s="210"/>
      <c r="AF240" s="210"/>
      <c r="AG240" s="103"/>
      <c r="AH240" s="210"/>
      <c r="AI240" s="210"/>
      <c r="AJ240" s="103"/>
      <c r="AK240" s="210"/>
      <c r="AL240" s="210"/>
      <c r="AM240" s="210"/>
      <c r="AN240" s="103"/>
      <c r="AO240" s="210"/>
      <c r="AP240" s="210"/>
      <c r="AQ240" s="210"/>
      <c r="AR240" s="103"/>
      <c r="AS240" s="103"/>
      <c r="AT240" s="210"/>
      <c r="AU240" s="210"/>
      <c r="AV240" s="210"/>
      <c r="AW240" s="210"/>
      <c r="AX240" s="210"/>
      <c r="AY240" s="210"/>
      <c r="AZ240" s="210"/>
      <c r="BA240" s="210"/>
      <c r="BB240" s="210"/>
      <c r="BC240" s="210"/>
      <c r="BD240" s="210"/>
      <c r="BE240" s="103"/>
      <c r="BF240" s="103"/>
      <c r="BG240" s="103"/>
      <c r="BH240" s="103"/>
      <c r="BI240" s="103"/>
      <c r="BJ240" s="103"/>
      <c r="BK240" s="186"/>
    </row>
    <row r="241" spans="1:43" x14ac:dyDescent="0.2">
      <c r="AE241" s="238"/>
      <c r="AF241" s="238"/>
    </row>
    <row r="242" spans="1:43" x14ac:dyDescent="0.2">
      <c r="A242" s="175" t="s">
        <v>90</v>
      </c>
      <c r="B242" s="195" t="s">
        <v>98</v>
      </c>
      <c r="AD242" s="211">
        <f>AD218/(AD202/7.45)</f>
        <v>1.3658138113107272</v>
      </c>
      <c r="AE242" s="211">
        <f>AE218/(AE202/7.45)</f>
        <v>1.3656625380473526</v>
      </c>
      <c r="AF242" s="211">
        <f>AF218/(AF202/7.45)</f>
        <v>1.4486848334996272</v>
      </c>
      <c r="AH242" s="211">
        <f>AH218/(AH202/7.45)</f>
        <v>1.4630568449860331</v>
      </c>
      <c r="AI242" s="211">
        <f>AI218/(AI202/7.45)</f>
        <v>1.4636184418364979</v>
      </c>
      <c r="AK242" s="211">
        <f>AK218/(AK202/7.45)</f>
        <v>1.6187258720953697</v>
      </c>
      <c r="AL242" s="211">
        <f>AL218/(AL202/7.45)</f>
        <v>1.616181122621829</v>
      </c>
      <c r="AM242" s="211">
        <f>AM218/(AM202/7.45)</f>
        <v>1.641218384066619</v>
      </c>
      <c r="AO242" s="211">
        <f>AO218/(AO202/7.45)</f>
        <v>1.5644427186893259</v>
      </c>
      <c r="AP242" s="211">
        <f>AP218/(AP202/7.45)</f>
        <v>1.605083825309765</v>
      </c>
    </row>
    <row r="243" spans="1:43" outlineLevel="1" x14ac:dyDescent="0.2">
      <c r="B243" s="94" t="s">
        <v>91</v>
      </c>
      <c r="E243" s="101">
        <f>E218</f>
        <v>15576.843210061505</v>
      </c>
      <c r="F243" s="101">
        <f>F218</f>
        <v>17462.074246175682</v>
      </c>
      <c r="H243" s="202">
        <f>H218</f>
        <v>21720.486982491027</v>
      </c>
      <c r="J243" s="202">
        <f>J218</f>
        <v>30103.337417775758</v>
      </c>
      <c r="L243" s="101">
        <f>L218+SUM('External Prices'!I66:I70)</f>
        <v>16842.069064928139</v>
      </c>
      <c r="M243" s="202"/>
      <c r="N243" s="202">
        <f>N218</f>
        <v>20037.653024216997</v>
      </c>
      <c r="O243" s="202"/>
      <c r="P243" s="202">
        <f>P218</f>
        <v>21846.523183966256</v>
      </c>
      <c r="Q243" s="202"/>
      <c r="R243" s="101">
        <f>R218</f>
        <v>25024.161831254532</v>
      </c>
      <c r="V243" s="101">
        <f>V218</f>
        <v>29780.701064129473</v>
      </c>
      <c r="X243" s="101">
        <f>X218</f>
        <v>52304.243705433939</v>
      </c>
      <c r="Z243" s="101">
        <f>Z218</f>
        <v>104330.02444551932</v>
      </c>
      <c r="AB243" s="101">
        <f>AB218</f>
        <v>15431.100281501342</v>
      </c>
      <c r="AD243" s="101">
        <f>AD218</f>
        <v>36771.894386697866</v>
      </c>
      <c r="AE243" s="101">
        <f>AE218</f>
        <v>37779.860077131234</v>
      </c>
      <c r="AF243" s="101">
        <f>AF218</f>
        <v>49629.601836543632</v>
      </c>
      <c r="AH243" s="239">
        <f>AH218</f>
        <v>56026.711671438999</v>
      </c>
      <c r="AI243" s="239">
        <f>AI218</f>
        <v>57132.847291587597</v>
      </c>
      <c r="AK243" s="101">
        <f>AK218</f>
        <v>95110.098664877587</v>
      </c>
      <c r="AL243" s="239">
        <f>AL218</f>
        <v>117345.93379821196</v>
      </c>
      <c r="AM243" s="239">
        <f>AM218</f>
        <v>130067.61227127782</v>
      </c>
      <c r="AO243" s="101">
        <f>AO218</f>
        <v>120523.11087275625</v>
      </c>
      <c r="AP243" s="101">
        <f>AP218</f>
        <v>148712.05741018374</v>
      </c>
      <c r="AQ243" s="101">
        <f>AQ218</f>
        <v>170601.76908078205</v>
      </c>
    </row>
    <row r="244" spans="1:43" outlineLevel="1" x14ac:dyDescent="0.2">
      <c r="B244" s="94" t="s">
        <v>108</v>
      </c>
      <c r="E244" s="101">
        <f>$AT$218</f>
        <v>5760.3559028544396</v>
      </c>
      <c r="F244" s="101">
        <f>$AT$218</f>
        <v>5760.3559028544396</v>
      </c>
      <c r="H244" s="101">
        <f>$AT$218</f>
        <v>5760.3559028544396</v>
      </c>
      <c r="J244" s="101">
        <f>$AT$218</f>
        <v>5760.3559028544396</v>
      </c>
      <c r="L244" s="101">
        <f>$AT$218</f>
        <v>5760.3559028544396</v>
      </c>
      <c r="R244" s="101">
        <f>$AT$218</f>
        <v>5760.3559028544396</v>
      </c>
      <c r="V244" s="101">
        <f>$AT$218</f>
        <v>5760.3559028544396</v>
      </c>
      <c r="X244" s="101">
        <f>$AT$218</f>
        <v>5760.3559028544396</v>
      </c>
      <c r="Z244" s="101">
        <f>$BC$218</f>
        <v>23575.046560479419</v>
      </c>
      <c r="AD244" s="240"/>
      <c r="AE244" s="240"/>
      <c r="AF244" s="240"/>
      <c r="AH244" s="101">
        <f>$BB$218</f>
        <v>23262.155303579879</v>
      </c>
      <c r="AI244" s="101">
        <f>$BB$218</f>
        <v>23262.155303579879</v>
      </c>
      <c r="AK244" s="101">
        <f>$BC$218</f>
        <v>23575.046560479419</v>
      </c>
      <c r="AL244" s="101">
        <f>$BC$218</f>
        <v>23575.046560479419</v>
      </c>
      <c r="AM244" s="101">
        <f>$BC$218</f>
        <v>23575.046560479419</v>
      </c>
      <c r="AO244" s="101">
        <f>$BD$218</f>
        <v>30274.191417757451</v>
      </c>
      <c r="AP244" s="101">
        <f>$BD$218</f>
        <v>30274.191417757451</v>
      </c>
      <c r="AQ244" s="101">
        <f>$BD$218</f>
        <v>30274.191417757451</v>
      </c>
    </row>
    <row r="245" spans="1:43" outlineLevel="1" x14ac:dyDescent="0.2">
      <c r="B245" s="94" t="s">
        <v>10</v>
      </c>
      <c r="H245" s="101">
        <f>$BE$218</f>
        <v>2430.0960911133893</v>
      </c>
      <c r="J245" s="101">
        <f>$BE$218</f>
        <v>2430.0960911133893</v>
      </c>
      <c r="R245" s="101">
        <f>$BL$218</f>
        <v>1084.6243999369185</v>
      </c>
      <c r="V245" s="101">
        <f>$BL$218</f>
        <v>1084.6243999369185</v>
      </c>
    </row>
    <row r="246" spans="1:43" outlineLevel="1" x14ac:dyDescent="0.2">
      <c r="B246" s="94" t="s">
        <v>27</v>
      </c>
      <c r="H246" s="101">
        <f>$BG$218</f>
        <v>903.36023892130584</v>
      </c>
    </row>
    <row r="247" spans="1:43" outlineLevel="1" x14ac:dyDescent="0.2">
      <c r="B247" s="94" t="s">
        <v>103</v>
      </c>
      <c r="E247" s="101">
        <f>$BH$218</f>
        <v>769.73191689008058</v>
      </c>
      <c r="F247" s="101">
        <f>$BH$218</f>
        <v>769.73191689008058</v>
      </c>
      <c r="H247" s="101">
        <f>$BH$218</f>
        <v>769.73191689008058</v>
      </c>
      <c r="J247" s="202">
        <f>$BH$218</f>
        <v>769.73191689008058</v>
      </c>
      <c r="L247" s="101">
        <f>$BH$218</f>
        <v>769.73191689008058</v>
      </c>
      <c r="M247" s="202"/>
      <c r="N247" s="202"/>
      <c r="O247" s="202"/>
      <c r="P247" s="202"/>
      <c r="Q247" s="202"/>
      <c r="R247" s="101">
        <f>$BH$218</f>
        <v>769.73191689008058</v>
      </c>
      <c r="V247" s="101">
        <f>$BH$218</f>
        <v>769.73191689008058</v>
      </c>
      <c r="X247" s="101">
        <f>$BH$218</f>
        <v>769.73191689008058</v>
      </c>
    </row>
    <row r="248" spans="1:43" outlineLevel="1" x14ac:dyDescent="0.2">
      <c r="B248" s="94" t="s">
        <v>262</v>
      </c>
      <c r="E248" s="101">
        <f>$BI$218</f>
        <v>225.10759738211638</v>
      </c>
      <c r="F248" s="101">
        <f>$BI$218</f>
        <v>225.10759738211638</v>
      </c>
      <c r="H248" s="101">
        <f>$BI$218</f>
        <v>225.10759738211638</v>
      </c>
      <c r="J248" s="202">
        <f>$BI$218</f>
        <v>225.10759738211638</v>
      </c>
      <c r="L248" s="101">
        <f>$BI$218</f>
        <v>225.10759738211638</v>
      </c>
      <c r="M248" s="202"/>
      <c r="N248" s="202"/>
      <c r="O248" s="202"/>
      <c r="P248" s="202"/>
      <c r="Q248" s="202"/>
      <c r="R248" s="101">
        <f>$BI$218</f>
        <v>225.10759738211638</v>
      </c>
      <c r="V248" s="101">
        <f>$BI$218</f>
        <v>225.10759738211638</v>
      </c>
      <c r="X248" s="101">
        <f>$BI$218</f>
        <v>225.10759738211638</v>
      </c>
    </row>
    <row r="249" spans="1:43" outlineLevel="1" x14ac:dyDescent="0.2">
      <c r="B249" s="94" t="s">
        <v>92</v>
      </c>
      <c r="E249" s="101">
        <f>SUM(E243:E248)</f>
        <v>22332.03862718814</v>
      </c>
      <c r="F249" s="101">
        <f>SUM(F243:F248)</f>
        <v>24217.269663302319</v>
      </c>
      <c r="H249" s="196">
        <f>SUM(H243:H248)</f>
        <v>31809.138729652357</v>
      </c>
      <c r="J249" s="196">
        <f>SUM(J243:J248)</f>
        <v>39288.628926015779</v>
      </c>
      <c r="L249" s="101">
        <f>SUM(L243:L248)</f>
        <v>23597.264482054776</v>
      </c>
      <c r="M249" s="196"/>
      <c r="N249" s="196"/>
      <c r="O249" s="196"/>
      <c r="P249" s="196"/>
      <c r="Q249" s="196"/>
      <c r="R249" s="196">
        <f>SUM(R243:R248)</f>
        <v>32863.981648318084</v>
      </c>
      <c r="S249" s="196"/>
      <c r="U249" s="196"/>
      <c r="V249" s="196">
        <f>SUM(V243:V248)</f>
        <v>37620.520881193021</v>
      </c>
      <c r="W249" s="196"/>
      <c r="X249" s="196">
        <f>SUM(X243:X248)</f>
        <v>59059.439122560572</v>
      </c>
      <c r="Y249" s="196"/>
      <c r="Z249" s="196">
        <f>SUM(Z243:Z248)</f>
        <v>127905.07100599873</v>
      </c>
      <c r="AB249" s="196">
        <f>SUM(AB243:AB247)</f>
        <v>15431.100281501342</v>
      </c>
      <c r="AD249" s="196">
        <f t="shared" ref="AD249:AI249" si="12">SUM(AD243:AD246)</f>
        <v>36771.894386697866</v>
      </c>
      <c r="AE249" s="196">
        <f>SUM(AE243:AE246)</f>
        <v>37779.860077131234</v>
      </c>
      <c r="AF249" s="196">
        <f t="shared" si="12"/>
        <v>49629.601836543632</v>
      </c>
      <c r="AH249" s="101">
        <f t="shared" si="12"/>
        <v>79288.866975018871</v>
      </c>
      <c r="AI249" s="101">
        <f t="shared" si="12"/>
        <v>80395.002595167476</v>
      </c>
      <c r="AK249" s="101">
        <f t="shared" ref="AK249:AQ249" si="13">SUM(AK243:AK246)</f>
        <v>118685.145225357</v>
      </c>
      <c r="AL249" s="101">
        <f t="shared" si="13"/>
        <v>140920.98035869139</v>
      </c>
      <c r="AM249" s="101">
        <f t="shared" si="13"/>
        <v>153642.65883175723</v>
      </c>
      <c r="AO249" s="101">
        <f t="shared" si="13"/>
        <v>150797.3022905137</v>
      </c>
      <c r="AP249" s="101">
        <f t="shared" si="13"/>
        <v>178986.24882794119</v>
      </c>
      <c r="AQ249" s="101">
        <f t="shared" si="13"/>
        <v>200875.9604985395</v>
      </c>
    </row>
    <row r="250" spans="1:43" outlineLevel="1" x14ac:dyDescent="0.2">
      <c r="B250" s="94" t="s">
        <v>208</v>
      </c>
      <c r="H250" s="101">
        <f>H249-H244+AY218</f>
        <v>29373.609002479985</v>
      </c>
      <c r="J250" s="101">
        <f>J249-J244+AY218</f>
        <v>36853.099198843411</v>
      </c>
      <c r="R250" s="101">
        <f>R249-R244+AW218</f>
        <v>32528.498286072383</v>
      </c>
      <c r="V250" s="101">
        <f>V249-V244+AY218</f>
        <v>35184.991154020652</v>
      </c>
      <c r="X250" s="101">
        <f>X249-X244+BA218</f>
        <v>57218.539579901684</v>
      </c>
    </row>
    <row r="251" spans="1:43" outlineLevel="1" x14ac:dyDescent="0.2">
      <c r="B251" s="94"/>
    </row>
    <row r="252" spans="1:43" outlineLevel="1" x14ac:dyDescent="0.2">
      <c r="B252" s="94" t="s">
        <v>189</v>
      </c>
      <c r="E252" s="101">
        <f>30500*K252</f>
        <v>24400</v>
      </c>
      <c r="K252" s="211">
        <v>0.8</v>
      </c>
    </row>
    <row r="253" spans="1:43" outlineLevel="1" x14ac:dyDescent="0.2">
      <c r="A253" s="101"/>
      <c r="B253" s="94" t="s">
        <v>99</v>
      </c>
      <c r="H253" s="101">
        <f>18000*0.65</f>
        <v>11700</v>
      </c>
    </row>
    <row r="254" spans="1:43" outlineLevel="1" x14ac:dyDescent="0.2">
      <c r="A254" s="101"/>
      <c r="B254" s="94" t="s">
        <v>100</v>
      </c>
      <c r="H254" s="101">
        <v>10500</v>
      </c>
    </row>
    <row r="255" spans="1:43" outlineLevel="1" x14ac:dyDescent="0.2">
      <c r="A255" s="101"/>
      <c r="B255" s="94" t="s">
        <v>102</v>
      </c>
      <c r="H255" s="202">
        <v>15350</v>
      </c>
    </row>
    <row r="256" spans="1:43" outlineLevel="1" x14ac:dyDescent="0.2">
      <c r="A256" s="334" t="s">
        <v>1589</v>
      </c>
      <c r="B256" s="94" t="s">
        <v>110</v>
      </c>
      <c r="H256" s="202">
        <v>18128</v>
      </c>
      <c r="R256" s="101">
        <f>H256</f>
        <v>18128</v>
      </c>
    </row>
    <row r="257" spans="1:39" outlineLevel="1" x14ac:dyDescent="0.2">
      <c r="A257" s="334" t="s">
        <v>1589</v>
      </c>
      <c r="B257" s="94" t="s">
        <v>111</v>
      </c>
      <c r="H257" s="196">
        <v>22695</v>
      </c>
      <c r="R257" s="101">
        <f>H257</f>
        <v>22695</v>
      </c>
    </row>
    <row r="258" spans="1:39" outlineLevel="1" x14ac:dyDescent="0.2">
      <c r="A258" s="101"/>
      <c r="B258" s="94" t="s">
        <v>97</v>
      </c>
      <c r="H258" s="202">
        <f>23300+1610</f>
        <v>24910</v>
      </c>
    </row>
    <row r="259" spans="1:39" outlineLevel="1" x14ac:dyDescent="0.2">
      <c r="A259" s="101"/>
      <c r="B259" s="94" t="s">
        <v>97</v>
      </c>
      <c r="H259" s="196">
        <f>23300+6900+1610+765+2300</f>
        <v>34875</v>
      </c>
    </row>
    <row r="260" spans="1:39" outlineLevel="1" x14ac:dyDescent="0.2">
      <c r="A260" s="101"/>
      <c r="B260" s="94" t="s">
        <v>191</v>
      </c>
      <c r="F260" s="101" t="s">
        <v>190</v>
      </c>
      <c r="G260" s="211">
        <v>0.8</v>
      </c>
      <c r="H260" s="196">
        <f>42519*G260</f>
        <v>34015.200000000004</v>
      </c>
    </row>
    <row r="261" spans="1:39" outlineLevel="1" x14ac:dyDescent="0.2">
      <c r="A261" s="101"/>
      <c r="B261" s="94" t="s">
        <v>796</v>
      </c>
      <c r="F261" s="101" t="s">
        <v>797</v>
      </c>
      <c r="G261" s="211"/>
      <c r="H261" s="196">
        <f>24500+4000</f>
        <v>28500</v>
      </c>
    </row>
    <row r="262" spans="1:39" outlineLevel="1" x14ac:dyDescent="0.2">
      <c r="A262" s="101"/>
      <c r="B262" s="94" t="s">
        <v>798</v>
      </c>
      <c r="F262" s="101" t="s">
        <v>797</v>
      </c>
      <c r="G262" s="211"/>
      <c r="AL262" s="196">
        <v>186000</v>
      </c>
    </row>
    <row r="263" spans="1:39" outlineLevel="1" x14ac:dyDescent="0.2">
      <c r="A263" s="101"/>
      <c r="B263" s="94" t="s">
        <v>799</v>
      </c>
      <c r="F263" s="101" t="s">
        <v>797</v>
      </c>
      <c r="G263" s="211"/>
      <c r="J263" s="202">
        <v>60000</v>
      </c>
      <c r="M263" s="202"/>
      <c r="N263" s="202"/>
      <c r="O263" s="202"/>
      <c r="P263" s="202"/>
      <c r="Q263" s="202"/>
      <c r="R263" s="202"/>
      <c r="S263" s="202"/>
    </row>
    <row r="264" spans="1:39" outlineLevel="1" x14ac:dyDescent="0.2">
      <c r="B264" s="94" t="s">
        <v>93</v>
      </c>
      <c r="J264" s="196">
        <v>43400</v>
      </c>
      <c r="M264" s="196"/>
      <c r="N264" s="196"/>
      <c r="O264" s="196"/>
      <c r="P264" s="196"/>
      <c r="Q264" s="196"/>
      <c r="R264" s="196"/>
      <c r="S264" s="196"/>
      <c r="U264" s="196"/>
      <c r="V264" s="196">
        <v>43400</v>
      </c>
      <c r="W264" s="196"/>
      <c r="X264" s="196"/>
      <c r="Y264" s="196"/>
    </row>
    <row r="265" spans="1:39" outlineLevel="1" x14ac:dyDescent="0.2">
      <c r="B265" s="94" t="s">
        <v>94</v>
      </c>
      <c r="J265" s="101">
        <v>51380</v>
      </c>
    </row>
    <row r="266" spans="1:39" outlineLevel="1" x14ac:dyDescent="0.2">
      <c r="B266" s="94" t="s">
        <v>510</v>
      </c>
      <c r="AL266" s="196">
        <v>98000</v>
      </c>
      <c r="AM266" s="196"/>
    </row>
    <row r="267" spans="1:39" outlineLevel="1" x14ac:dyDescent="0.2">
      <c r="B267" s="94" t="s">
        <v>1354</v>
      </c>
      <c r="AL267" s="196"/>
      <c r="AM267" s="196">
        <f>250000-64000</f>
        <v>186000</v>
      </c>
    </row>
    <row r="268" spans="1:39" outlineLevel="1" x14ac:dyDescent="0.2">
      <c r="B268" s="94" t="s">
        <v>1355</v>
      </c>
      <c r="AL268" s="196">
        <f>125000*0.85</f>
        <v>106250</v>
      </c>
      <c r="AM268" s="196"/>
    </row>
    <row r="269" spans="1:39" outlineLevel="1" x14ac:dyDescent="0.2">
      <c r="B269" s="94" t="s">
        <v>1356</v>
      </c>
      <c r="AL269" s="196"/>
      <c r="AM269" s="196">
        <f>132000*0.85</f>
        <v>112200</v>
      </c>
    </row>
    <row r="270" spans="1:39" outlineLevel="1" x14ac:dyDescent="0.2">
      <c r="B270" s="94" t="s">
        <v>101</v>
      </c>
      <c r="AE270" s="101">
        <v>54000</v>
      </c>
    </row>
    <row r="271" spans="1:39" outlineLevel="1" x14ac:dyDescent="0.2">
      <c r="B271" s="94" t="s">
        <v>731</v>
      </c>
      <c r="AF271" s="101">
        <v>43500</v>
      </c>
    </row>
    <row r="272" spans="1:39" outlineLevel="1" x14ac:dyDescent="0.2">
      <c r="B272" s="94" t="s">
        <v>1425</v>
      </c>
      <c r="AF272" s="101">
        <v>93000</v>
      </c>
    </row>
    <row r="273" spans="1:63" outlineLevel="1" x14ac:dyDescent="0.2">
      <c r="B273" s="94" t="s">
        <v>95</v>
      </c>
      <c r="AH273" s="196">
        <v>60893</v>
      </c>
    </row>
    <row r="274" spans="1:63" outlineLevel="1" x14ac:dyDescent="0.2">
      <c r="B274" s="94" t="s">
        <v>96</v>
      </c>
      <c r="AI274" s="196">
        <v>63478</v>
      </c>
    </row>
    <row r="275" spans="1:63" x14ac:dyDescent="0.2">
      <c r="C275" s="101"/>
      <c r="K275" s="101"/>
    </row>
    <row r="277" spans="1:63" x14ac:dyDescent="0.2">
      <c r="Z277" s="238"/>
      <c r="AL277" s="238"/>
      <c r="AM277" s="238"/>
    </row>
    <row r="285" spans="1:63" x14ac:dyDescent="0.2">
      <c r="B285" s="241"/>
      <c r="C285" s="210"/>
      <c r="E285" s="103"/>
      <c r="F285" s="103"/>
      <c r="G285" s="211"/>
      <c r="H285" s="103"/>
      <c r="I285" s="211"/>
      <c r="J285" s="103"/>
      <c r="L285" s="103"/>
      <c r="M285" s="103"/>
      <c r="N285" s="103"/>
      <c r="O285" s="103"/>
      <c r="P285" s="103"/>
      <c r="Q285" s="103"/>
      <c r="R285" s="103"/>
      <c r="S285" s="103"/>
      <c r="T285" s="263"/>
      <c r="U285" s="103"/>
      <c r="V285" s="103"/>
      <c r="W285" s="103"/>
      <c r="X285" s="103"/>
      <c r="Y285" s="103"/>
      <c r="Z285" s="103"/>
      <c r="AA285" s="211"/>
      <c r="AB285" s="103"/>
      <c r="AC285" s="211"/>
      <c r="AD285" s="103"/>
      <c r="AE285" s="103"/>
      <c r="AF285" s="103"/>
      <c r="AG285" s="211"/>
      <c r="AH285" s="211"/>
      <c r="AI285" s="211"/>
      <c r="AJ285" s="211"/>
      <c r="AK285" s="103"/>
      <c r="AL285" s="103"/>
      <c r="AM285" s="103"/>
      <c r="AN285" s="211"/>
      <c r="AO285" s="103"/>
      <c r="AP285" s="103"/>
      <c r="AQ285" s="103"/>
      <c r="AR285" s="211"/>
      <c r="AS285" s="211"/>
      <c r="AT285" s="103"/>
      <c r="AU285" s="103"/>
      <c r="AV285" s="103"/>
      <c r="AW285" s="103"/>
      <c r="AX285" s="103"/>
      <c r="AY285" s="103"/>
      <c r="AZ285" s="103"/>
      <c r="BA285" s="103"/>
      <c r="BB285" s="103"/>
      <c r="BC285" s="103"/>
      <c r="BD285" s="103"/>
      <c r="BE285" s="103"/>
      <c r="BF285" s="103"/>
      <c r="BG285" s="103"/>
      <c r="BH285" s="103"/>
      <c r="BI285" s="103"/>
      <c r="BJ285" s="103"/>
      <c r="BK285" s="186"/>
    </row>
    <row r="286" spans="1:63" x14ac:dyDescent="0.2">
      <c r="A286" s="183"/>
      <c r="E286" s="147"/>
      <c r="F286" s="147"/>
      <c r="G286" s="210"/>
      <c r="H286" s="147"/>
      <c r="I286" s="210"/>
      <c r="J286" s="147"/>
      <c r="L286" s="147"/>
      <c r="M286" s="147"/>
      <c r="N286" s="147"/>
      <c r="O286" s="147"/>
      <c r="P286" s="147"/>
      <c r="Q286" s="147"/>
      <c r="R286" s="147"/>
      <c r="S286" s="147"/>
      <c r="T286" s="311"/>
      <c r="U286" s="147"/>
      <c r="V286" s="147"/>
      <c r="W286" s="147"/>
      <c r="X286" s="147"/>
      <c r="Y286" s="147"/>
      <c r="Z286" s="147"/>
      <c r="AA286" s="210"/>
      <c r="AB286" s="147"/>
      <c r="AC286" s="210"/>
      <c r="AD286" s="147"/>
      <c r="AE286" s="147"/>
      <c r="AF286" s="147"/>
      <c r="AK286" s="147"/>
      <c r="AL286" s="147"/>
      <c r="AM286" s="147"/>
      <c r="AO286" s="147"/>
      <c r="AP286" s="147"/>
      <c r="AQ286" s="147"/>
      <c r="AR286" s="107"/>
      <c r="AS286" s="107"/>
      <c r="AT286" s="147"/>
      <c r="AU286" s="147"/>
      <c r="AV286" s="147"/>
      <c r="AW286" s="147"/>
      <c r="AX286" s="147"/>
      <c r="AY286" s="147"/>
      <c r="AZ286" s="147"/>
      <c r="BA286" s="147"/>
      <c r="BB286" s="147"/>
      <c r="BC286" s="147"/>
      <c r="BD286" s="147"/>
      <c r="BE286" s="147"/>
      <c r="BF286" s="147"/>
      <c r="BG286" s="147"/>
      <c r="BH286" s="147"/>
      <c r="BI286" s="147"/>
      <c r="BJ286" s="147"/>
      <c r="BK286" s="242"/>
    </row>
    <row r="287" spans="1:63" x14ac:dyDescent="0.2">
      <c r="A287" s="183"/>
      <c r="E287" s="103"/>
      <c r="F287" s="103"/>
      <c r="G287" s="210"/>
      <c r="H287" s="103"/>
      <c r="I287" s="210"/>
      <c r="J287" s="103"/>
      <c r="L287" s="103"/>
      <c r="M287" s="103"/>
      <c r="N287" s="103"/>
      <c r="O287" s="103"/>
      <c r="P287" s="103"/>
      <c r="Q287" s="103"/>
      <c r="R287" s="103"/>
      <c r="S287" s="103"/>
      <c r="T287" s="263"/>
      <c r="U287" s="103"/>
      <c r="V287" s="103"/>
      <c r="W287" s="103"/>
      <c r="X287" s="103"/>
      <c r="Y287" s="103"/>
      <c r="Z287" s="103"/>
      <c r="AA287" s="210"/>
      <c r="AB287" s="103"/>
      <c r="AC287" s="210"/>
      <c r="AD287" s="103"/>
      <c r="AE287" s="103"/>
      <c r="AF287" s="103"/>
      <c r="AK287" s="103"/>
      <c r="AL287" s="103"/>
      <c r="AM287" s="103"/>
      <c r="AO287" s="103"/>
      <c r="AP287" s="103"/>
      <c r="AQ287" s="103"/>
      <c r="AR287" s="107"/>
      <c r="AS287" s="107"/>
      <c r="AT287" s="103"/>
      <c r="AU287" s="103"/>
      <c r="AV287" s="103"/>
      <c r="AW287" s="103"/>
      <c r="AX287" s="103"/>
      <c r="AY287" s="103"/>
      <c r="AZ287" s="103"/>
      <c r="BA287" s="103"/>
      <c r="BB287" s="103"/>
      <c r="BC287" s="103"/>
      <c r="BD287" s="103"/>
      <c r="BE287" s="103"/>
      <c r="BF287" s="103"/>
      <c r="BG287" s="103"/>
      <c r="BH287" s="103"/>
      <c r="BI287" s="103"/>
      <c r="BJ287" s="103"/>
      <c r="BK287" s="186"/>
    </row>
  </sheetData>
  <dataConsolidate/>
  <phoneticPr fontId="4"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F6F3-1526-454A-A88A-BEE3FB72D751}">
  <sheetPr>
    <tabColor rgb="FFFF0000"/>
  </sheetPr>
  <dimension ref="A3:BB201"/>
  <sheetViews>
    <sheetView topLeftCell="AI1" zoomScale="87" workbookViewId="0">
      <selection activeCell="AT19" sqref="AT19"/>
    </sheetView>
  </sheetViews>
  <sheetFormatPr baseColWidth="10" defaultRowHeight="15" x14ac:dyDescent="0.2"/>
  <cols>
    <col min="1" max="1" width="27.83203125" bestFit="1" customWidth="1"/>
    <col min="2" max="2" width="10.1640625" bestFit="1" customWidth="1"/>
    <col min="3" max="3" width="5.5" bestFit="1" customWidth="1"/>
    <col min="4" max="4" width="7.33203125" bestFit="1" customWidth="1"/>
    <col min="5" max="5" width="4" customWidth="1"/>
    <col min="7" max="7" width="5" bestFit="1" customWidth="1"/>
    <col min="8" max="8" width="8.1640625" bestFit="1" customWidth="1"/>
    <col min="9" max="9" width="26.6640625" bestFit="1" customWidth="1"/>
    <col min="10" max="10" width="8" bestFit="1" customWidth="1"/>
    <col min="11" max="11" width="10" bestFit="1" customWidth="1"/>
    <col min="12" max="12" width="6" bestFit="1" customWidth="1"/>
    <col min="14" max="14" width="6" bestFit="1" customWidth="1"/>
    <col min="16" max="16" width="24.6640625" bestFit="1" customWidth="1"/>
    <col min="17" max="17" width="8.1640625" bestFit="1" customWidth="1"/>
    <col min="18" max="18" width="6.33203125" bestFit="1" customWidth="1"/>
    <col min="19" max="19" width="11" bestFit="1" customWidth="1"/>
    <col min="20" max="20" width="10.5" bestFit="1" customWidth="1"/>
    <col min="21" max="21" width="11.6640625" bestFit="1" customWidth="1"/>
    <col min="22" max="22" width="6.5" bestFit="1" customWidth="1"/>
    <col min="23" max="23" width="11.5" bestFit="1" customWidth="1"/>
    <col min="24" max="24" width="6" bestFit="1" customWidth="1"/>
    <col min="26" max="26" width="24.6640625" bestFit="1" customWidth="1"/>
    <col min="34" max="34" width="6" bestFit="1" customWidth="1"/>
    <col min="37" max="37" width="13.33203125" bestFit="1" customWidth="1"/>
    <col min="38" max="38" width="27" bestFit="1" customWidth="1"/>
    <col min="47" max="47" width="5" bestFit="1" customWidth="1"/>
    <col min="48" max="48" width="18.33203125" bestFit="1" customWidth="1"/>
    <col min="49" max="49" width="25" bestFit="1" customWidth="1"/>
    <col min="50" max="50" width="20.83203125" bestFit="1" customWidth="1"/>
    <col min="51" max="51" width="17.6640625" bestFit="1" customWidth="1"/>
    <col min="52" max="52" width="20.83203125" bestFit="1" customWidth="1"/>
    <col min="53" max="53" width="11.33203125" bestFit="1" customWidth="1"/>
    <col min="54" max="54" width="15" bestFit="1" customWidth="1"/>
  </cols>
  <sheetData>
    <row r="3" spans="1:54" x14ac:dyDescent="0.2">
      <c r="AL3">
        <v>1</v>
      </c>
      <c r="AM3">
        <v>2</v>
      </c>
      <c r="AN3">
        <v>3</v>
      </c>
      <c r="AO3">
        <v>4</v>
      </c>
      <c r="AP3">
        <v>5</v>
      </c>
      <c r="AQ3">
        <v>6</v>
      </c>
      <c r="AR3">
        <v>7</v>
      </c>
      <c r="AS3">
        <v>8</v>
      </c>
      <c r="AT3">
        <v>9</v>
      </c>
      <c r="AU3">
        <v>10</v>
      </c>
      <c r="AV3">
        <v>11</v>
      </c>
      <c r="AW3">
        <v>12</v>
      </c>
      <c r="AX3">
        <v>13</v>
      </c>
      <c r="AY3">
        <v>14</v>
      </c>
      <c r="AZ3">
        <v>15</v>
      </c>
      <c r="BA3">
        <v>16</v>
      </c>
      <c r="BB3">
        <v>17</v>
      </c>
    </row>
    <row r="5" spans="1:54" x14ac:dyDescent="0.2">
      <c r="A5" t="s">
        <v>163</v>
      </c>
      <c r="B5" t="s">
        <v>20</v>
      </c>
      <c r="C5" t="s">
        <v>164</v>
      </c>
      <c r="D5" t="s">
        <v>163</v>
      </c>
      <c r="F5" t="s">
        <v>188</v>
      </c>
      <c r="H5" t="s">
        <v>431</v>
      </c>
      <c r="I5" t="s">
        <v>435</v>
      </c>
      <c r="J5" t="s">
        <v>161</v>
      </c>
      <c r="K5" t="s">
        <v>425</v>
      </c>
      <c r="L5" t="s">
        <v>161</v>
      </c>
      <c r="M5" t="s">
        <v>429</v>
      </c>
      <c r="N5" t="s">
        <v>161</v>
      </c>
      <c r="O5" t="s">
        <v>464</v>
      </c>
      <c r="P5" t="s">
        <v>476</v>
      </c>
      <c r="Q5" t="s">
        <v>491</v>
      </c>
      <c r="R5" t="s">
        <v>492</v>
      </c>
      <c r="S5" t="s">
        <v>493</v>
      </c>
      <c r="T5" t="s">
        <v>494</v>
      </c>
      <c r="U5" t="s">
        <v>495</v>
      </c>
      <c r="V5" t="s">
        <v>496</v>
      </c>
      <c r="W5" s="1" t="s">
        <v>497</v>
      </c>
      <c r="X5" s="5" t="s">
        <v>536</v>
      </c>
      <c r="Z5" t="s">
        <v>476</v>
      </c>
      <c r="AA5" t="s">
        <v>491</v>
      </c>
      <c r="AB5" t="s">
        <v>492</v>
      </c>
      <c r="AC5" t="s">
        <v>493</v>
      </c>
      <c r="AD5" t="s">
        <v>494</v>
      </c>
      <c r="AE5" t="s">
        <v>495</v>
      </c>
      <c r="AF5" t="s">
        <v>496</v>
      </c>
      <c r="AG5" s="1" t="s">
        <v>497</v>
      </c>
      <c r="AH5" s="5" t="s">
        <v>473</v>
      </c>
      <c r="AM5" s="339" t="s">
        <v>19</v>
      </c>
      <c r="AN5" s="339"/>
      <c r="AO5" s="339"/>
      <c r="AP5" s="339"/>
      <c r="AQ5" s="340" t="s">
        <v>17</v>
      </c>
      <c r="AR5" s="340"/>
      <c r="AS5" s="340"/>
      <c r="AT5" s="340"/>
      <c r="AV5" s="341" t="s">
        <v>592</v>
      </c>
      <c r="AW5" s="341"/>
      <c r="AX5" s="341"/>
      <c r="AY5" s="341"/>
      <c r="AZ5" s="341"/>
      <c r="BA5" s="341"/>
      <c r="BB5" s="341"/>
    </row>
    <row r="6" spans="1:54" x14ac:dyDescent="0.2">
      <c r="A6" t="s">
        <v>268</v>
      </c>
      <c r="B6" s="27">
        <v>0.05</v>
      </c>
      <c r="C6" s="27">
        <v>0.1</v>
      </c>
      <c r="D6" s="27">
        <v>0.02</v>
      </c>
      <c r="E6" s="27"/>
      <c r="F6" s="22">
        <v>2025</v>
      </c>
      <c r="G6" s="21">
        <v>0.01</v>
      </c>
      <c r="H6" s="22" t="s">
        <v>432</v>
      </c>
      <c r="I6" s="22" t="s">
        <v>436</v>
      </c>
      <c r="J6" s="28">
        <v>0.02</v>
      </c>
      <c r="K6" s="22" t="s">
        <v>426</v>
      </c>
      <c r="L6" s="28">
        <v>0</v>
      </c>
      <c r="M6" s="22" t="s">
        <v>426</v>
      </c>
      <c r="N6" s="28">
        <v>0</v>
      </c>
      <c r="O6" s="30" t="s">
        <v>452</v>
      </c>
      <c r="P6" s="29" t="s">
        <v>477</v>
      </c>
      <c r="Q6" s="24"/>
      <c r="R6" s="24"/>
      <c r="S6" s="24"/>
      <c r="T6" s="24"/>
      <c r="U6" s="24"/>
      <c r="V6" s="24"/>
      <c r="W6" s="25"/>
      <c r="X6" s="24"/>
      <c r="Z6" s="29" t="s">
        <v>477</v>
      </c>
      <c r="AA6" s="24"/>
      <c r="AB6" s="24"/>
      <c r="AC6" s="24"/>
      <c r="AD6" s="24"/>
      <c r="AE6" s="24"/>
      <c r="AF6" s="24"/>
      <c r="AG6" s="25"/>
      <c r="AH6" s="24"/>
      <c r="AM6" s="60" t="s">
        <v>37</v>
      </c>
      <c r="AN6" s="60" t="s">
        <v>725</v>
      </c>
      <c r="AO6" s="60" t="s">
        <v>159</v>
      </c>
      <c r="AP6" s="60" t="s">
        <v>583</v>
      </c>
      <c r="AQ6" s="61" t="s">
        <v>793</v>
      </c>
      <c r="AR6" s="61" t="s">
        <v>583</v>
      </c>
      <c r="AS6" s="61" t="s">
        <v>3</v>
      </c>
      <c r="AT6" s="61" t="s">
        <v>586</v>
      </c>
      <c r="AU6" t="s">
        <v>92</v>
      </c>
      <c r="AV6" s="35" t="s">
        <v>588</v>
      </c>
      <c r="AW6" s="35" t="s">
        <v>1541</v>
      </c>
      <c r="AX6" s="35" t="s">
        <v>589</v>
      </c>
      <c r="AY6" s="35" t="s">
        <v>1473</v>
      </c>
      <c r="AZ6" s="35" t="s">
        <v>590</v>
      </c>
      <c r="BA6" s="35" t="s">
        <v>591</v>
      </c>
      <c r="BB6" s="36" t="s">
        <v>53</v>
      </c>
    </row>
    <row r="7" spans="1:54" x14ac:dyDescent="0.2">
      <c r="A7" t="s">
        <v>269</v>
      </c>
      <c r="B7" s="27">
        <v>0.05</v>
      </c>
      <c r="C7" s="27">
        <v>0.1</v>
      </c>
      <c r="D7" s="27">
        <v>0.02</v>
      </c>
      <c r="E7" s="27"/>
      <c r="F7" s="22">
        <v>2026</v>
      </c>
      <c r="G7" s="21">
        <v>0.05</v>
      </c>
      <c r="H7" s="22" t="s">
        <v>433</v>
      </c>
      <c r="I7" s="22" t="s">
        <v>164</v>
      </c>
      <c r="J7" s="28">
        <v>0.02</v>
      </c>
      <c r="K7" s="22" t="s">
        <v>427</v>
      </c>
      <c r="L7" s="28">
        <v>0.05</v>
      </c>
      <c r="M7" s="22" t="s">
        <v>427</v>
      </c>
      <c r="N7" s="28">
        <v>7.4999999999999997E-2</v>
      </c>
      <c r="O7" s="30" t="s">
        <v>38</v>
      </c>
      <c r="P7" s="29" t="s">
        <v>543</v>
      </c>
      <c r="Q7" s="24">
        <v>1E-3</v>
      </c>
      <c r="R7" s="24">
        <v>0</v>
      </c>
      <c r="S7" s="24">
        <v>0</v>
      </c>
      <c r="T7" s="24">
        <v>0</v>
      </c>
      <c r="U7" s="24">
        <v>0</v>
      </c>
      <c r="V7" s="24">
        <v>0</v>
      </c>
      <c r="W7" s="24">
        <v>0</v>
      </c>
      <c r="X7" s="24">
        <f>SUM(Q7:W7)</f>
        <v>1E-3</v>
      </c>
      <c r="Z7" s="29" t="s">
        <v>543</v>
      </c>
      <c r="AA7" s="24">
        <v>1E-3</v>
      </c>
      <c r="AB7" s="24">
        <v>0</v>
      </c>
      <c r="AC7" s="24">
        <v>0</v>
      </c>
      <c r="AD7" s="24">
        <v>0</v>
      </c>
      <c r="AE7" s="24">
        <v>0</v>
      </c>
      <c r="AF7" s="24">
        <v>0</v>
      </c>
      <c r="AG7" s="24">
        <v>0</v>
      </c>
      <c r="AH7" s="24">
        <f>SUM(AA7:AG7)</f>
        <v>1E-3</v>
      </c>
      <c r="AJ7" s="28"/>
      <c r="AL7" s="32" t="s">
        <v>0</v>
      </c>
      <c r="AM7" s="64">
        <v>0.15</v>
      </c>
      <c r="AN7" s="64">
        <v>0.15</v>
      </c>
      <c r="AO7" s="64">
        <v>0.15</v>
      </c>
      <c r="AP7" s="64">
        <v>0.15</v>
      </c>
      <c r="AQ7" s="6">
        <v>4</v>
      </c>
      <c r="AR7" s="6">
        <v>4</v>
      </c>
      <c r="AS7" s="6">
        <v>4</v>
      </c>
      <c r="AT7" s="6">
        <v>12</v>
      </c>
      <c r="AU7">
        <f>SUM(AQ7:AT7)</f>
        <v>24</v>
      </c>
      <c r="AV7" s="36">
        <v>0</v>
      </c>
      <c r="AW7" s="36">
        <v>0</v>
      </c>
      <c r="AX7" s="36">
        <v>0</v>
      </c>
      <c r="AY7" s="36">
        <v>0</v>
      </c>
      <c r="AZ7" s="36">
        <v>0</v>
      </c>
      <c r="BA7" s="36">
        <v>1</v>
      </c>
      <c r="BB7" s="36">
        <v>0</v>
      </c>
    </row>
    <row r="8" spans="1:54" x14ac:dyDescent="0.2">
      <c r="A8" t="s">
        <v>124</v>
      </c>
      <c r="B8" s="27">
        <v>0.05</v>
      </c>
      <c r="C8" s="27">
        <v>0.1</v>
      </c>
      <c r="D8" s="27">
        <v>0.02</v>
      </c>
      <c r="E8" s="27"/>
      <c r="G8" s="27"/>
      <c r="I8" s="22" t="s">
        <v>439</v>
      </c>
      <c r="J8" s="28">
        <v>7.4999999999999997E-2</v>
      </c>
      <c r="O8" t="s">
        <v>453</v>
      </c>
      <c r="P8" s="31" t="s">
        <v>575</v>
      </c>
      <c r="Q8" s="24"/>
      <c r="R8" s="24"/>
      <c r="S8" s="24"/>
      <c r="T8" s="24"/>
      <c r="U8" s="24"/>
      <c r="V8" s="24"/>
      <c r="W8" s="25"/>
      <c r="X8" s="24"/>
      <c r="Z8" s="31" t="s">
        <v>575</v>
      </c>
      <c r="AA8" s="24"/>
      <c r="AB8" s="24"/>
      <c r="AC8" s="24"/>
      <c r="AD8" s="24"/>
      <c r="AE8" s="24"/>
      <c r="AF8" s="24"/>
      <c r="AG8" s="25"/>
      <c r="AH8" s="24"/>
      <c r="AJ8" s="28"/>
      <c r="AL8" s="32" t="s">
        <v>67</v>
      </c>
      <c r="AM8" s="64">
        <v>0.15</v>
      </c>
      <c r="AN8" s="64">
        <v>0.15</v>
      </c>
      <c r="AO8" s="64">
        <v>0.15</v>
      </c>
      <c r="AP8" s="64">
        <v>0.15</v>
      </c>
      <c r="AQ8" s="6">
        <v>4</v>
      </c>
      <c r="AR8" s="6">
        <v>4</v>
      </c>
      <c r="AS8" s="6">
        <v>4</v>
      </c>
      <c r="AT8" s="6">
        <v>12</v>
      </c>
      <c r="AU8">
        <f t="shared" ref="AU8:AU54" si="0">SUM(AQ8:AT8)</f>
        <v>24</v>
      </c>
      <c r="AV8" s="36">
        <v>0</v>
      </c>
      <c r="AW8" s="36">
        <v>0</v>
      </c>
      <c r="AX8" s="36">
        <v>0</v>
      </c>
      <c r="AY8" s="36">
        <v>0</v>
      </c>
      <c r="AZ8" s="36">
        <v>0</v>
      </c>
      <c r="BA8" s="36">
        <v>1</v>
      </c>
      <c r="BB8" s="36">
        <v>0</v>
      </c>
    </row>
    <row r="9" spans="1:54" x14ac:dyDescent="0.2">
      <c r="A9" t="s">
        <v>270</v>
      </c>
      <c r="B9" s="27">
        <v>0.05</v>
      </c>
      <c r="C9" s="27">
        <v>0.1</v>
      </c>
      <c r="D9" s="27">
        <v>0.02</v>
      </c>
      <c r="E9" s="27"/>
      <c r="G9" s="27"/>
      <c r="I9" s="22" t="s">
        <v>440</v>
      </c>
      <c r="J9" s="28">
        <v>0.05</v>
      </c>
      <c r="O9" t="s">
        <v>454</v>
      </c>
      <c r="P9" s="29" t="s">
        <v>484</v>
      </c>
      <c r="Q9" s="24">
        <v>0.01</v>
      </c>
      <c r="R9" s="24">
        <v>0</v>
      </c>
      <c r="S9" s="24">
        <v>0.02</v>
      </c>
      <c r="T9" s="24">
        <v>0.02</v>
      </c>
      <c r="U9" s="24">
        <v>0</v>
      </c>
      <c r="V9" s="24">
        <v>0</v>
      </c>
      <c r="W9" s="24">
        <v>0</v>
      </c>
      <c r="X9" s="24">
        <f t="shared" ref="X9:X15" si="1">SUM(Q9:W9)</f>
        <v>0.05</v>
      </c>
      <c r="Z9" s="29" t="s">
        <v>484</v>
      </c>
      <c r="AA9" s="24">
        <v>0.01</v>
      </c>
      <c r="AB9" s="24">
        <v>0</v>
      </c>
      <c r="AC9" s="24">
        <v>0.02</v>
      </c>
      <c r="AD9" s="24">
        <v>0.02</v>
      </c>
      <c r="AE9" s="24">
        <v>0.05</v>
      </c>
      <c r="AF9" s="24">
        <v>0</v>
      </c>
      <c r="AG9" s="24">
        <v>0</v>
      </c>
      <c r="AH9" s="24">
        <f t="shared" ref="AH9:AH15" si="2">SUM(AA9:AG9)</f>
        <v>0.1</v>
      </c>
      <c r="AJ9" s="28"/>
      <c r="AL9" s="32" t="s">
        <v>1</v>
      </c>
      <c r="AM9" s="64">
        <v>0.15</v>
      </c>
      <c r="AN9" s="34">
        <v>0.18</v>
      </c>
      <c r="AO9" s="34">
        <v>0.18</v>
      </c>
      <c r="AP9" s="34">
        <v>0.18</v>
      </c>
      <c r="AQ9" s="6">
        <v>4</v>
      </c>
      <c r="AR9" s="6">
        <v>4</v>
      </c>
      <c r="AS9" s="6">
        <v>4</v>
      </c>
      <c r="AT9" s="6">
        <v>12</v>
      </c>
      <c r="AU9">
        <f t="shared" si="0"/>
        <v>24</v>
      </c>
      <c r="AV9" s="36">
        <v>0</v>
      </c>
      <c r="AW9" s="36">
        <v>0</v>
      </c>
      <c r="AX9" s="36">
        <v>0</v>
      </c>
      <c r="AY9" s="36">
        <v>0</v>
      </c>
      <c r="AZ9" s="36">
        <v>0</v>
      </c>
      <c r="BA9" s="36">
        <v>1</v>
      </c>
      <c r="BB9" s="36">
        <v>0</v>
      </c>
    </row>
    <row r="10" spans="1:54" x14ac:dyDescent="0.2">
      <c r="A10" t="s">
        <v>271</v>
      </c>
      <c r="B10" s="27">
        <v>0.05</v>
      </c>
      <c r="C10" s="27">
        <v>0.1</v>
      </c>
      <c r="D10" s="27">
        <v>0.02</v>
      </c>
      <c r="E10" s="27"/>
      <c r="I10" s="22" t="s">
        <v>441</v>
      </c>
      <c r="J10" s="28">
        <v>0.05</v>
      </c>
      <c r="O10" t="s">
        <v>455</v>
      </c>
      <c r="P10" s="29" t="s">
        <v>475</v>
      </c>
      <c r="Q10" s="24">
        <v>0.01</v>
      </c>
      <c r="R10" s="24">
        <v>0</v>
      </c>
      <c r="S10" s="24">
        <v>0.02</v>
      </c>
      <c r="T10" s="24">
        <v>0.02</v>
      </c>
      <c r="U10" s="24">
        <v>0</v>
      </c>
      <c r="V10" s="24">
        <v>0</v>
      </c>
      <c r="W10" s="25">
        <v>0</v>
      </c>
      <c r="X10" s="24">
        <f t="shared" si="1"/>
        <v>0.05</v>
      </c>
      <c r="Z10" s="29" t="s">
        <v>475</v>
      </c>
      <c r="AA10" s="24">
        <v>0.01</v>
      </c>
      <c r="AB10" s="24">
        <v>0</v>
      </c>
      <c r="AC10" s="24">
        <v>0.02</v>
      </c>
      <c r="AD10" s="24">
        <v>0.02</v>
      </c>
      <c r="AE10" s="24">
        <v>0.05</v>
      </c>
      <c r="AF10" s="24">
        <v>0</v>
      </c>
      <c r="AG10" s="24">
        <v>0</v>
      </c>
      <c r="AH10" s="24">
        <f t="shared" si="2"/>
        <v>0.1</v>
      </c>
      <c r="AJ10" s="28"/>
      <c r="AL10" s="32" t="s">
        <v>2</v>
      </c>
      <c r="AM10" s="64">
        <v>0.2</v>
      </c>
      <c r="AN10" s="34">
        <v>0.25</v>
      </c>
      <c r="AO10" s="34">
        <v>0.25</v>
      </c>
      <c r="AP10" s="34">
        <v>0.3</v>
      </c>
      <c r="AQ10" s="6">
        <v>4</v>
      </c>
      <c r="AR10" s="6">
        <v>4</v>
      </c>
      <c r="AS10" s="6">
        <v>4</v>
      </c>
      <c r="AT10" s="6">
        <v>12</v>
      </c>
      <c r="AU10">
        <f t="shared" si="0"/>
        <v>24</v>
      </c>
      <c r="AV10" s="36">
        <v>0</v>
      </c>
      <c r="AW10" s="36">
        <v>0</v>
      </c>
      <c r="AX10" s="36">
        <v>0</v>
      </c>
      <c r="AY10" s="36">
        <v>0</v>
      </c>
      <c r="AZ10" s="36">
        <v>0</v>
      </c>
      <c r="BA10" s="36">
        <v>1</v>
      </c>
      <c r="BB10" s="36">
        <v>0</v>
      </c>
    </row>
    <row r="11" spans="1:54" x14ac:dyDescent="0.2">
      <c r="B11" s="27"/>
      <c r="C11" s="27"/>
      <c r="D11" s="27"/>
      <c r="E11" s="27"/>
      <c r="I11" s="22"/>
      <c r="J11" s="28"/>
      <c r="P11" s="29"/>
      <c r="Q11" s="24"/>
      <c r="R11" s="24"/>
      <c r="S11" s="24"/>
      <c r="T11" s="24"/>
      <c r="U11" s="24"/>
      <c r="V11" s="24"/>
      <c r="W11" s="25"/>
      <c r="X11" s="24"/>
      <c r="Z11" s="29"/>
      <c r="AA11" s="24"/>
      <c r="AB11" s="24"/>
      <c r="AC11" s="24"/>
      <c r="AD11" s="24"/>
      <c r="AE11" s="24"/>
      <c r="AF11" s="24"/>
      <c r="AG11" s="24"/>
      <c r="AH11" s="24"/>
      <c r="AJ11" s="28"/>
      <c r="AL11" s="32" t="s">
        <v>1437</v>
      </c>
      <c r="AM11" s="64">
        <v>0.15</v>
      </c>
      <c r="AN11" s="64">
        <v>0.15</v>
      </c>
      <c r="AO11" s="64">
        <v>0.15</v>
      </c>
      <c r="AP11" s="64">
        <v>0.15</v>
      </c>
      <c r="AQ11" s="6">
        <v>4</v>
      </c>
      <c r="AR11" s="6">
        <v>4</v>
      </c>
      <c r="AS11" s="6">
        <v>4</v>
      </c>
      <c r="AT11" s="6">
        <v>12</v>
      </c>
      <c r="AU11">
        <f t="shared" si="0"/>
        <v>24</v>
      </c>
      <c r="AV11" s="36">
        <v>0</v>
      </c>
      <c r="AW11" s="36">
        <v>0</v>
      </c>
      <c r="AX11" s="36">
        <v>0</v>
      </c>
      <c r="AY11" s="36">
        <v>0</v>
      </c>
      <c r="AZ11" s="36">
        <v>0</v>
      </c>
      <c r="BA11" s="36">
        <v>0</v>
      </c>
      <c r="BB11" s="36">
        <v>0</v>
      </c>
    </row>
    <row r="12" spans="1:54" x14ac:dyDescent="0.2">
      <c r="A12" t="s">
        <v>272</v>
      </c>
      <c r="B12" s="27">
        <v>0.05</v>
      </c>
      <c r="C12" s="27">
        <v>0.1</v>
      </c>
      <c r="D12" s="27">
        <v>0.02</v>
      </c>
      <c r="E12" s="27"/>
      <c r="O12" s="53" t="s">
        <v>659</v>
      </c>
      <c r="P12" s="29" t="s">
        <v>478</v>
      </c>
      <c r="Q12" s="24">
        <v>0.01</v>
      </c>
      <c r="R12" s="24">
        <v>0</v>
      </c>
      <c r="S12" s="24">
        <v>0.02</v>
      </c>
      <c r="T12" s="24">
        <v>0.02</v>
      </c>
      <c r="U12" s="24">
        <v>0</v>
      </c>
      <c r="V12" s="24">
        <v>0</v>
      </c>
      <c r="W12" s="25">
        <v>0</v>
      </c>
      <c r="X12" s="24">
        <f t="shared" si="1"/>
        <v>0.05</v>
      </c>
      <c r="Z12" s="29" t="s">
        <v>478</v>
      </c>
      <c r="AA12" s="24">
        <v>0.01</v>
      </c>
      <c r="AB12" s="24">
        <v>0</v>
      </c>
      <c r="AC12" s="24">
        <v>0.02</v>
      </c>
      <c r="AD12" s="24">
        <v>0.02</v>
      </c>
      <c r="AE12" s="24">
        <v>0.05</v>
      </c>
      <c r="AF12" s="24">
        <v>0</v>
      </c>
      <c r="AG12" s="24">
        <v>0</v>
      </c>
      <c r="AH12" s="24">
        <f t="shared" si="2"/>
        <v>0.1</v>
      </c>
      <c r="AJ12" s="28"/>
      <c r="AL12" s="32" t="s">
        <v>1436</v>
      </c>
      <c r="AM12" s="64">
        <v>0.15</v>
      </c>
      <c r="AN12" s="64">
        <v>0.15</v>
      </c>
      <c r="AO12" s="64">
        <v>0.15</v>
      </c>
      <c r="AP12" s="64">
        <v>0.15</v>
      </c>
      <c r="AQ12" s="6">
        <v>4</v>
      </c>
      <c r="AR12" s="6">
        <v>4</v>
      </c>
      <c r="AS12" s="6">
        <v>4</v>
      </c>
      <c r="AT12" s="6">
        <v>12</v>
      </c>
      <c r="AU12">
        <f t="shared" si="0"/>
        <v>24</v>
      </c>
      <c r="AV12" s="36">
        <v>0</v>
      </c>
      <c r="AW12" s="36">
        <v>1</v>
      </c>
      <c r="AX12" s="36">
        <v>0</v>
      </c>
      <c r="AY12" s="36">
        <v>0</v>
      </c>
      <c r="AZ12" s="36">
        <v>0.5</v>
      </c>
      <c r="BA12" s="36">
        <v>0</v>
      </c>
      <c r="BB12" s="36">
        <v>0</v>
      </c>
    </row>
    <row r="13" spans="1:54" x14ac:dyDescent="0.2">
      <c r="A13" t="s">
        <v>149</v>
      </c>
      <c r="B13" s="27">
        <v>0.05</v>
      </c>
      <c r="C13" s="27">
        <v>0.1</v>
      </c>
      <c r="D13" s="27">
        <v>0.02</v>
      </c>
      <c r="E13" s="27"/>
      <c r="O13" s="53" t="s">
        <v>660</v>
      </c>
      <c r="P13" s="29" t="s">
        <v>760</v>
      </c>
      <c r="Q13" s="24">
        <v>0.01</v>
      </c>
      <c r="R13" s="24">
        <v>0</v>
      </c>
      <c r="S13" s="24">
        <v>0.02</v>
      </c>
      <c r="T13" s="24">
        <v>0.02</v>
      </c>
      <c r="U13" s="24">
        <v>0</v>
      </c>
      <c r="V13" s="24">
        <v>0</v>
      </c>
      <c r="W13" s="25">
        <v>0</v>
      </c>
      <c r="X13" s="24">
        <f t="shared" si="1"/>
        <v>0.05</v>
      </c>
      <c r="Z13" s="29" t="s">
        <v>760</v>
      </c>
      <c r="AA13" s="24">
        <v>0.01</v>
      </c>
      <c r="AB13" s="24">
        <v>0</v>
      </c>
      <c r="AC13" s="24">
        <v>0.02</v>
      </c>
      <c r="AD13" s="24">
        <v>0.02</v>
      </c>
      <c r="AE13" s="24">
        <v>0.05</v>
      </c>
      <c r="AF13" s="24">
        <v>0</v>
      </c>
      <c r="AG13" s="24">
        <v>0</v>
      </c>
      <c r="AH13" s="24">
        <f t="shared" si="2"/>
        <v>0.1</v>
      </c>
      <c r="AJ13" s="28"/>
      <c r="AL13" s="32" t="s">
        <v>1474</v>
      </c>
      <c r="AM13" s="64">
        <v>0.15</v>
      </c>
      <c r="AN13" s="64">
        <v>0.15</v>
      </c>
      <c r="AO13" s="64">
        <v>0.15</v>
      </c>
      <c r="AP13" s="64">
        <v>0.15</v>
      </c>
      <c r="AQ13" s="6">
        <v>4</v>
      </c>
      <c r="AR13" s="6">
        <v>4</v>
      </c>
      <c r="AS13" s="6">
        <v>4</v>
      </c>
      <c r="AT13" s="6">
        <v>12</v>
      </c>
      <c r="AU13">
        <f>SUM(AQ13:AT13)</f>
        <v>24</v>
      </c>
      <c r="AV13" s="36">
        <v>0</v>
      </c>
      <c r="AW13" s="36">
        <v>1</v>
      </c>
      <c r="AX13" s="36">
        <v>0</v>
      </c>
      <c r="AY13" s="36">
        <v>0</v>
      </c>
      <c r="AZ13" s="36">
        <v>0.5</v>
      </c>
      <c r="BA13" s="36">
        <v>0</v>
      </c>
      <c r="BB13" s="36">
        <v>0</v>
      </c>
    </row>
    <row r="14" spans="1:54" x14ac:dyDescent="0.2">
      <c r="A14" t="s">
        <v>273</v>
      </c>
      <c r="B14" s="27">
        <v>0.05</v>
      </c>
      <c r="C14" s="27">
        <v>0.1</v>
      </c>
      <c r="D14" s="27">
        <v>0.02</v>
      </c>
      <c r="E14" s="27"/>
      <c r="H14" t="s">
        <v>431</v>
      </c>
      <c r="O14" s="53" t="s">
        <v>661</v>
      </c>
      <c r="P14" s="29" t="s">
        <v>1177</v>
      </c>
      <c r="Q14" s="24">
        <v>0.01</v>
      </c>
      <c r="R14" s="24">
        <v>0</v>
      </c>
      <c r="S14" s="24">
        <v>0.02</v>
      </c>
      <c r="T14" s="24">
        <v>0.02</v>
      </c>
      <c r="U14" s="24">
        <v>0</v>
      </c>
      <c r="V14" s="24">
        <v>0</v>
      </c>
      <c r="W14" s="25">
        <v>0</v>
      </c>
      <c r="X14" s="24">
        <f t="shared" si="1"/>
        <v>0.05</v>
      </c>
      <c r="Z14" s="29" t="s">
        <v>1177</v>
      </c>
      <c r="AA14" s="24">
        <v>0.01</v>
      </c>
      <c r="AB14" s="24">
        <v>0</v>
      </c>
      <c r="AC14" s="24">
        <v>0.02</v>
      </c>
      <c r="AD14" s="24">
        <v>0.02</v>
      </c>
      <c r="AE14" s="24">
        <v>0.05</v>
      </c>
      <c r="AF14" s="24">
        <v>0</v>
      </c>
      <c r="AG14" s="24">
        <v>0</v>
      </c>
      <c r="AH14" s="24">
        <f t="shared" si="2"/>
        <v>0.1</v>
      </c>
      <c r="AJ14" s="28"/>
      <c r="AL14" s="32" t="s">
        <v>1428</v>
      </c>
      <c r="AM14" s="64">
        <v>0.15</v>
      </c>
      <c r="AN14" s="64">
        <v>0.15</v>
      </c>
      <c r="AO14" s="64">
        <v>0.15</v>
      </c>
      <c r="AP14" s="64">
        <v>0.15</v>
      </c>
      <c r="AQ14" s="6">
        <v>4</v>
      </c>
      <c r="AR14" s="6">
        <v>4</v>
      </c>
      <c r="AS14" s="6">
        <v>4</v>
      </c>
      <c r="AT14" s="6">
        <v>12</v>
      </c>
      <c r="AU14">
        <f>SUM(AQ14:AT14)</f>
        <v>24</v>
      </c>
      <c r="AV14" s="36">
        <v>0</v>
      </c>
      <c r="AW14" s="36">
        <v>1</v>
      </c>
      <c r="AX14" s="36">
        <v>0</v>
      </c>
      <c r="AY14" s="36">
        <v>0</v>
      </c>
      <c r="AZ14" s="36">
        <v>0.5</v>
      </c>
      <c r="BA14" s="36">
        <v>0</v>
      </c>
      <c r="BB14" s="36">
        <v>0</v>
      </c>
    </row>
    <row r="15" spans="1:54" x14ac:dyDescent="0.2">
      <c r="A15" t="s">
        <v>155</v>
      </c>
      <c r="B15" s="27">
        <v>0.05</v>
      </c>
      <c r="C15" s="27">
        <v>0.1</v>
      </c>
      <c r="D15" s="27">
        <v>0.02</v>
      </c>
      <c r="E15" s="27"/>
      <c r="H15">
        <v>0</v>
      </c>
      <c r="O15" s="53" t="s">
        <v>456</v>
      </c>
      <c r="P15" s="29" t="s">
        <v>1423</v>
      </c>
      <c r="Q15" s="24">
        <v>0.01</v>
      </c>
      <c r="R15" s="24">
        <v>0</v>
      </c>
      <c r="S15" s="24">
        <v>0.02</v>
      </c>
      <c r="T15" s="24">
        <v>0.02</v>
      </c>
      <c r="U15" s="24">
        <v>0</v>
      </c>
      <c r="V15" s="24">
        <v>0</v>
      </c>
      <c r="W15" s="25">
        <v>0</v>
      </c>
      <c r="X15" s="24">
        <f t="shared" si="1"/>
        <v>0.05</v>
      </c>
      <c r="Z15" s="29" t="s">
        <v>1423</v>
      </c>
      <c r="AA15" s="24">
        <v>0.01</v>
      </c>
      <c r="AB15" s="24">
        <v>0</v>
      </c>
      <c r="AC15" s="24">
        <v>0.02</v>
      </c>
      <c r="AD15" s="24">
        <v>0.02</v>
      </c>
      <c r="AE15" s="24">
        <v>0.05</v>
      </c>
      <c r="AF15" s="24">
        <v>0</v>
      </c>
      <c r="AG15" s="24">
        <v>0</v>
      </c>
      <c r="AH15" s="24">
        <f t="shared" si="2"/>
        <v>0.1</v>
      </c>
      <c r="AJ15" s="28"/>
      <c r="AL15" s="32" t="s">
        <v>471</v>
      </c>
      <c r="AM15" s="64">
        <v>0.15</v>
      </c>
      <c r="AN15" s="64">
        <v>0.15</v>
      </c>
      <c r="AO15" s="64">
        <v>0.15</v>
      </c>
      <c r="AP15" s="64">
        <v>0.15</v>
      </c>
      <c r="AQ15" s="6">
        <v>8</v>
      </c>
      <c r="AR15" s="6">
        <v>8</v>
      </c>
      <c r="AS15" s="6">
        <v>8</v>
      </c>
      <c r="AT15" s="6">
        <v>24</v>
      </c>
      <c r="AU15">
        <f t="shared" si="0"/>
        <v>48</v>
      </c>
      <c r="AV15" s="36">
        <v>0</v>
      </c>
      <c r="AW15" s="36">
        <v>1</v>
      </c>
      <c r="AX15" s="36">
        <v>0</v>
      </c>
      <c r="AY15" s="36">
        <v>0</v>
      </c>
      <c r="AZ15" s="36">
        <v>0.5</v>
      </c>
      <c r="BA15" s="36">
        <v>0</v>
      </c>
      <c r="BB15" s="36">
        <v>0</v>
      </c>
    </row>
    <row r="16" spans="1:54" x14ac:dyDescent="0.2">
      <c r="A16" t="s">
        <v>274</v>
      </c>
      <c r="B16" s="27">
        <v>0.05</v>
      </c>
      <c r="C16" s="27">
        <v>0.1</v>
      </c>
      <c r="D16" s="27">
        <v>0.02</v>
      </c>
      <c r="E16" s="27"/>
      <c r="H16">
        <v>1</v>
      </c>
      <c r="O16" s="53" t="s">
        <v>662</v>
      </c>
      <c r="P16" s="31" t="s">
        <v>576</v>
      </c>
      <c r="Q16" s="24"/>
      <c r="R16" s="24"/>
      <c r="S16" s="24"/>
      <c r="T16" s="24"/>
      <c r="U16" s="24"/>
      <c r="V16" s="24"/>
      <c r="W16" s="25"/>
      <c r="X16" s="24"/>
      <c r="Z16" s="31" t="s">
        <v>576</v>
      </c>
      <c r="AA16" s="24"/>
      <c r="AB16" s="24"/>
      <c r="AC16" s="24"/>
      <c r="AD16" s="24"/>
      <c r="AE16" s="24"/>
      <c r="AF16" s="24"/>
      <c r="AG16" s="25"/>
      <c r="AH16" s="24"/>
      <c r="AJ16" s="28"/>
      <c r="AL16" s="32" t="s">
        <v>634</v>
      </c>
      <c r="AM16" s="34">
        <v>0.25</v>
      </c>
      <c r="AN16" s="34">
        <v>0.25</v>
      </c>
      <c r="AO16" s="34">
        <v>0.3</v>
      </c>
      <c r="AP16" s="34">
        <v>0.3</v>
      </c>
      <c r="AQ16" s="6">
        <v>40</v>
      </c>
      <c r="AR16" s="6">
        <v>16</v>
      </c>
      <c r="AS16" s="6">
        <v>16</v>
      </c>
      <c r="AT16" s="6">
        <v>24</v>
      </c>
      <c r="AU16">
        <f>SUM(AQ16:AT16)</f>
        <v>96</v>
      </c>
      <c r="AV16" s="36">
        <v>0</v>
      </c>
      <c r="AW16" s="36">
        <v>1</v>
      </c>
      <c r="AX16" s="36">
        <v>0</v>
      </c>
      <c r="AY16" s="36">
        <v>0</v>
      </c>
      <c r="AZ16" s="36">
        <v>0.5</v>
      </c>
      <c r="BA16" s="36">
        <v>0</v>
      </c>
      <c r="BB16" s="36">
        <v>0</v>
      </c>
    </row>
    <row r="17" spans="1:54" x14ac:dyDescent="0.2">
      <c r="A17" t="s">
        <v>275</v>
      </c>
      <c r="B17" s="27">
        <v>0.05</v>
      </c>
      <c r="C17" s="27">
        <v>0.1</v>
      </c>
      <c r="D17" s="27">
        <v>0.02</v>
      </c>
      <c r="E17" s="27"/>
      <c r="H17">
        <v>2</v>
      </c>
      <c r="P17" s="31" t="s">
        <v>1419</v>
      </c>
      <c r="Q17" s="24">
        <v>0</v>
      </c>
      <c r="R17" s="24">
        <v>0.06</v>
      </c>
      <c r="S17" s="24">
        <v>2.5000000000000001E-2</v>
      </c>
      <c r="T17" s="24">
        <v>0</v>
      </c>
      <c r="U17" s="24">
        <v>0</v>
      </c>
      <c r="V17" s="24">
        <v>0</v>
      </c>
      <c r="W17" s="25">
        <v>0</v>
      </c>
      <c r="X17" s="24">
        <f>SUM(Q17:W17)</f>
        <v>8.4999999999999992E-2</v>
      </c>
      <c r="Z17" s="31" t="s">
        <v>1419</v>
      </c>
      <c r="AA17" s="24">
        <v>0</v>
      </c>
      <c r="AB17" s="24">
        <v>0.1</v>
      </c>
      <c r="AC17" s="24">
        <v>2.5000000000000001E-2</v>
      </c>
      <c r="AD17" s="24">
        <v>0.01</v>
      </c>
      <c r="AE17" s="24">
        <v>0</v>
      </c>
      <c r="AF17" s="24">
        <v>0.01</v>
      </c>
      <c r="AG17" s="25">
        <v>0.01</v>
      </c>
      <c r="AH17" s="24">
        <f>SUM(AA17:AG17)</f>
        <v>0.15500000000000003</v>
      </c>
      <c r="AJ17" s="28"/>
      <c r="AL17" s="32" t="s">
        <v>656</v>
      </c>
      <c r="AM17" s="34">
        <v>0.25</v>
      </c>
      <c r="AN17" s="34">
        <v>0.25</v>
      </c>
      <c r="AO17" s="34">
        <v>0.3</v>
      </c>
      <c r="AP17" s="34">
        <v>0.3</v>
      </c>
      <c r="AQ17" s="6">
        <v>80</v>
      </c>
      <c r="AR17" s="6">
        <v>40</v>
      </c>
      <c r="AS17" s="6">
        <v>40</v>
      </c>
      <c r="AT17" s="6">
        <v>80</v>
      </c>
      <c r="AU17">
        <f>SUM(AQ17:AT17)</f>
        <v>240</v>
      </c>
      <c r="AV17" s="36">
        <v>0</v>
      </c>
      <c r="AW17" s="36">
        <v>0</v>
      </c>
      <c r="AX17" s="36">
        <v>1</v>
      </c>
      <c r="AY17" s="36">
        <v>1</v>
      </c>
      <c r="AZ17" s="36">
        <v>2</v>
      </c>
      <c r="BA17" s="36">
        <v>0</v>
      </c>
      <c r="BB17" s="36">
        <v>0</v>
      </c>
    </row>
    <row r="18" spans="1:54" x14ac:dyDescent="0.2">
      <c r="A18" t="s">
        <v>276</v>
      </c>
      <c r="B18" s="27">
        <v>0.05</v>
      </c>
      <c r="C18" s="27">
        <v>0.1</v>
      </c>
      <c r="D18" s="27">
        <v>0.02</v>
      </c>
      <c r="E18" s="27"/>
      <c r="H18">
        <v>3</v>
      </c>
      <c r="P18" s="29" t="s">
        <v>480</v>
      </c>
      <c r="Q18" s="24">
        <v>0.01</v>
      </c>
      <c r="R18" s="24">
        <v>0.1</v>
      </c>
      <c r="S18" s="24">
        <v>2.5000000000000001E-2</v>
      </c>
      <c r="T18" s="24">
        <v>0.02</v>
      </c>
      <c r="U18" s="24">
        <v>0</v>
      </c>
      <c r="V18" s="24">
        <v>0</v>
      </c>
      <c r="W18" s="25">
        <v>0</v>
      </c>
      <c r="X18" s="24">
        <f t="shared" ref="X18:X23" si="3">SUM(Q18:W18)</f>
        <v>0.155</v>
      </c>
      <c r="Z18" s="29" t="s">
        <v>480</v>
      </c>
      <c r="AA18" s="24">
        <v>0.01</v>
      </c>
      <c r="AB18" s="24">
        <v>0.1</v>
      </c>
      <c r="AC18" s="24">
        <v>2.5000000000000001E-2</v>
      </c>
      <c r="AD18" s="24">
        <v>0.02</v>
      </c>
      <c r="AE18" s="24">
        <v>0.02</v>
      </c>
      <c r="AF18" s="24">
        <v>0.02</v>
      </c>
      <c r="AG18" s="25">
        <v>0.01</v>
      </c>
      <c r="AH18" s="24">
        <f>SUM(AA18:AG18)</f>
        <v>0.20499999999999999</v>
      </c>
      <c r="AJ18" s="28"/>
      <c r="AL18" s="32" t="s">
        <v>40</v>
      </c>
      <c r="AM18" s="34">
        <v>0.3</v>
      </c>
      <c r="AN18" s="34">
        <v>0.3</v>
      </c>
      <c r="AO18" s="34">
        <v>0.3</v>
      </c>
      <c r="AP18" s="34">
        <v>0.3</v>
      </c>
      <c r="AQ18" s="6">
        <v>0</v>
      </c>
      <c r="AR18" s="6">
        <v>0</v>
      </c>
      <c r="AS18" s="6">
        <v>0</v>
      </c>
      <c r="AT18" s="6">
        <v>20</v>
      </c>
      <c r="AU18">
        <f t="shared" si="0"/>
        <v>20</v>
      </c>
      <c r="AV18" s="36">
        <v>0</v>
      </c>
      <c r="AW18" s="36">
        <v>0</v>
      </c>
      <c r="AX18" s="36">
        <v>0</v>
      </c>
      <c r="AY18" s="36">
        <v>0</v>
      </c>
      <c r="AZ18" s="36">
        <v>0</v>
      </c>
      <c r="BA18" s="36">
        <v>0</v>
      </c>
      <c r="BB18" s="36">
        <v>0</v>
      </c>
    </row>
    <row r="19" spans="1:54" x14ac:dyDescent="0.2">
      <c r="A19" t="s">
        <v>277</v>
      </c>
      <c r="B19" s="27">
        <v>0.05</v>
      </c>
      <c r="C19" s="27">
        <v>0.1</v>
      </c>
      <c r="D19" s="27">
        <v>0.02</v>
      </c>
      <c r="E19" s="27"/>
      <c r="H19">
        <v>4</v>
      </c>
      <c r="P19" s="29" t="s">
        <v>483</v>
      </c>
      <c r="Q19" s="24">
        <v>0.01</v>
      </c>
      <c r="R19" s="24">
        <v>0.1</v>
      </c>
      <c r="S19" s="24">
        <v>2.5000000000000001E-2</v>
      </c>
      <c r="T19" s="24">
        <v>0.02</v>
      </c>
      <c r="U19" s="24">
        <v>0</v>
      </c>
      <c r="V19" s="24">
        <v>0</v>
      </c>
      <c r="W19" s="25">
        <v>0</v>
      </c>
      <c r="X19" s="24">
        <f t="shared" si="3"/>
        <v>0.155</v>
      </c>
      <c r="Z19" s="29" t="s">
        <v>483</v>
      </c>
      <c r="AA19" s="24">
        <v>0.01</v>
      </c>
      <c r="AB19" s="24">
        <v>0.1</v>
      </c>
      <c r="AC19" s="24">
        <v>2.5000000000000001E-2</v>
      </c>
      <c r="AD19" s="24">
        <v>0.02</v>
      </c>
      <c r="AE19" s="24">
        <v>0.02</v>
      </c>
      <c r="AF19" s="24">
        <v>0.02</v>
      </c>
      <c r="AG19" s="25">
        <v>0.01</v>
      </c>
      <c r="AH19" s="24">
        <f t="shared" ref="AH19:AH50" si="4">SUM(AA19:AG19)</f>
        <v>0.20499999999999999</v>
      </c>
      <c r="AJ19" s="28"/>
      <c r="AL19" s="32" t="s">
        <v>1433</v>
      </c>
      <c r="AM19" s="64">
        <v>0.15</v>
      </c>
      <c r="AN19" s="64">
        <v>0.15</v>
      </c>
      <c r="AO19" s="64">
        <v>0.15</v>
      </c>
      <c r="AP19" s="64">
        <v>0.15</v>
      </c>
      <c r="AQ19" s="6"/>
      <c r="AR19" s="6"/>
      <c r="AS19" s="6"/>
      <c r="AT19" s="6"/>
      <c r="AV19" s="36"/>
      <c r="AW19" s="36"/>
      <c r="AX19" s="36"/>
      <c r="AY19" s="36"/>
      <c r="AZ19" s="36"/>
      <c r="BA19" s="36"/>
      <c r="BB19" s="36"/>
    </row>
    <row r="20" spans="1:54" x14ac:dyDescent="0.2">
      <c r="A20" t="s">
        <v>278</v>
      </c>
      <c r="B20" s="27">
        <v>0.05</v>
      </c>
      <c r="C20" s="27">
        <v>0.1</v>
      </c>
      <c r="D20" s="27">
        <v>0.02</v>
      </c>
      <c r="E20" s="27"/>
      <c r="P20" s="29" t="s">
        <v>485</v>
      </c>
      <c r="Q20" s="24">
        <v>0.01</v>
      </c>
      <c r="R20" s="24">
        <v>0.1</v>
      </c>
      <c r="S20" s="24">
        <v>2.5000000000000001E-2</v>
      </c>
      <c r="T20" s="24">
        <v>0.02</v>
      </c>
      <c r="U20" s="24">
        <v>0</v>
      </c>
      <c r="V20" s="24">
        <v>0</v>
      </c>
      <c r="W20" s="24">
        <v>0</v>
      </c>
      <c r="X20" s="24">
        <f t="shared" si="3"/>
        <v>0.155</v>
      </c>
      <c r="Z20" s="29" t="s">
        <v>485</v>
      </c>
      <c r="AA20" s="24">
        <v>0.01</v>
      </c>
      <c r="AB20" s="24">
        <v>0.1</v>
      </c>
      <c r="AC20" s="24">
        <v>2.5000000000000001E-2</v>
      </c>
      <c r="AD20" s="24">
        <v>0.02</v>
      </c>
      <c r="AE20" s="24">
        <v>0.02</v>
      </c>
      <c r="AF20" s="24">
        <v>0.02</v>
      </c>
      <c r="AG20" s="25">
        <v>0.01</v>
      </c>
      <c r="AH20" s="24">
        <f t="shared" si="4"/>
        <v>0.20499999999999999</v>
      </c>
      <c r="AJ20" s="28"/>
      <c r="AL20" s="32" t="s">
        <v>1279</v>
      </c>
      <c r="AM20" s="34">
        <v>0.21</v>
      </c>
      <c r="AN20" s="34">
        <v>0.21</v>
      </c>
      <c r="AO20" s="34">
        <v>0.23</v>
      </c>
      <c r="AP20" s="34">
        <v>0.3</v>
      </c>
      <c r="AQ20" s="6">
        <v>16</v>
      </c>
      <c r="AR20" s="6">
        <v>16</v>
      </c>
      <c r="AS20" s="6">
        <v>16</v>
      </c>
      <c r="AT20" s="6">
        <v>24</v>
      </c>
      <c r="AU20">
        <f t="shared" si="0"/>
        <v>72</v>
      </c>
      <c r="AV20" s="36">
        <v>0</v>
      </c>
      <c r="AW20" s="36">
        <v>1</v>
      </c>
      <c r="AX20" s="36">
        <v>0</v>
      </c>
      <c r="AY20" s="36">
        <v>0</v>
      </c>
      <c r="AZ20" s="36">
        <v>0.5</v>
      </c>
      <c r="BA20" s="36">
        <v>0</v>
      </c>
      <c r="BB20" s="36">
        <v>0</v>
      </c>
    </row>
    <row r="21" spans="1:54" x14ac:dyDescent="0.2">
      <c r="A21" t="s">
        <v>279</v>
      </c>
      <c r="B21" s="27">
        <v>0.05</v>
      </c>
      <c r="C21" s="27">
        <v>0.1</v>
      </c>
      <c r="D21" s="27">
        <v>0.02</v>
      </c>
      <c r="E21" s="27"/>
      <c r="P21" s="29" t="s">
        <v>502</v>
      </c>
      <c r="Q21" s="24">
        <v>0.01</v>
      </c>
      <c r="R21" s="24">
        <v>0.1</v>
      </c>
      <c r="S21" s="24">
        <v>2.5000000000000001E-2</v>
      </c>
      <c r="T21" s="24">
        <v>0.02</v>
      </c>
      <c r="U21" s="24">
        <v>0</v>
      </c>
      <c r="V21" s="24">
        <v>0</v>
      </c>
      <c r="W21" s="25">
        <v>0</v>
      </c>
      <c r="X21" s="24">
        <f t="shared" si="3"/>
        <v>0.155</v>
      </c>
      <c r="Z21" s="29" t="s">
        <v>502</v>
      </c>
      <c r="AA21" s="24">
        <v>0.01</v>
      </c>
      <c r="AB21" s="24">
        <v>0.1</v>
      </c>
      <c r="AC21" s="24">
        <v>2.5000000000000001E-2</v>
      </c>
      <c r="AD21" s="24">
        <v>0.02</v>
      </c>
      <c r="AE21" s="24">
        <v>0.02</v>
      </c>
      <c r="AF21" s="24">
        <v>0.02</v>
      </c>
      <c r="AG21" s="25">
        <v>0.01</v>
      </c>
      <c r="AH21" s="24">
        <f t="shared" si="4"/>
        <v>0.20499999999999999</v>
      </c>
      <c r="AJ21" s="28"/>
      <c r="AL21" s="32" t="s">
        <v>1280</v>
      </c>
      <c r="AM21" s="34">
        <v>0.21</v>
      </c>
      <c r="AN21" s="34">
        <v>0.21</v>
      </c>
      <c r="AO21" s="34">
        <v>0.23</v>
      </c>
      <c r="AP21" s="34">
        <v>0.3</v>
      </c>
      <c r="AQ21" s="6">
        <v>16</v>
      </c>
      <c r="AR21" s="6">
        <v>16</v>
      </c>
      <c r="AS21" s="6">
        <v>16</v>
      </c>
      <c r="AT21" s="6">
        <v>24</v>
      </c>
      <c r="AU21">
        <f t="shared" si="0"/>
        <v>72</v>
      </c>
      <c r="AV21" s="36">
        <v>0</v>
      </c>
      <c r="AW21" s="36">
        <v>1</v>
      </c>
      <c r="AX21" s="36">
        <v>0</v>
      </c>
      <c r="AY21" s="36">
        <v>0</v>
      </c>
      <c r="AZ21" s="36">
        <v>0.5</v>
      </c>
      <c r="BA21" s="36">
        <v>0</v>
      </c>
      <c r="BB21" s="36">
        <v>0</v>
      </c>
    </row>
    <row r="22" spans="1:54" x14ac:dyDescent="0.2">
      <c r="A22" t="s">
        <v>280</v>
      </c>
      <c r="B22" s="27">
        <v>0.05</v>
      </c>
      <c r="C22" s="27">
        <v>0.1</v>
      </c>
      <c r="D22" s="27">
        <v>0.02</v>
      </c>
      <c r="E22" s="27"/>
      <c r="I22" t="s">
        <v>550</v>
      </c>
      <c r="P22" s="29" t="s">
        <v>829</v>
      </c>
      <c r="Q22" s="24">
        <v>0.01</v>
      </c>
      <c r="R22" s="24">
        <v>0.1</v>
      </c>
      <c r="S22" s="24">
        <v>0.01</v>
      </c>
      <c r="T22" s="24">
        <v>0.02</v>
      </c>
      <c r="U22" s="24">
        <v>0</v>
      </c>
      <c r="V22" s="24">
        <v>0</v>
      </c>
      <c r="W22" s="25">
        <v>0</v>
      </c>
      <c r="X22" s="24">
        <f t="shared" si="3"/>
        <v>0.13999999999999999</v>
      </c>
      <c r="Z22" s="29" t="s">
        <v>829</v>
      </c>
      <c r="AA22" s="24">
        <v>0.01</v>
      </c>
      <c r="AB22" s="24">
        <v>0.1</v>
      </c>
      <c r="AC22" s="24">
        <v>0.01</v>
      </c>
      <c r="AD22" s="24">
        <v>0.02</v>
      </c>
      <c r="AE22" s="24">
        <v>0</v>
      </c>
      <c r="AF22" s="24">
        <v>0</v>
      </c>
      <c r="AG22" s="25">
        <v>0</v>
      </c>
      <c r="AH22" s="24">
        <f>SUM(AA22:AG22)</f>
        <v>0.13999999999999999</v>
      </c>
      <c r="AJ22" s="28"/>
      <c r="AL22" s="32" t="s">
        <v>1281</v>
      </c>
      <c r="AM22" s="34">
        <v>0.21</v>
      </c>
      <c r="AN22" s="34">
        <v>0.21</v>
      </c>
      <c r="AO22" s="34">
        <v>0.23</v>
      </c>
      <c r="AP22" s="34">
        <v>0.3</v>
      </c>
      <c r="AQ22" s="6">
        <v>24</v>
      </c>
      <c r="AR22" s="6">
        <v>16</v>
      </c>
      <c r="AS22" s="6">
        <v>16</v>
      </c>
      <c r="AT22" s="6">
        <v>24</v>
      </c>
      <c r="AU22">
        <f t="shared" si="0"/>
        <v>80</v>
      </c>
      <c r="AV22" s="36">
        <v>0</v>
      </c>
      <c r="AW22" s="36"/>
      <c r="AX22" s="36">
        <v>1</v>
      </c>
      <c r="AY22" s="36">
        <v>0</v>
      </c>
      <c r="AZ22" s="36">
        <v>1</v>
      </c>
      <c r="BA22" s="36">
        <v>0</v>
      </c>
      <c r="BB22" s="36">
        <v>0</v>
      </c>
    </row>
    <row r="23" spans="1:54" x14ac:dyDescent="0.2">
      <c r="A23" t="s">
        <v>135</v>
      </c>
      <c r="B23" s="27">
        <v>0.05</v>
      </c>
      <c r="C23" s="27">
        <v>0.1</v>
      </c>
      <c r="D23" s="27">
        <v>0.02</v>
      </c>
      <c r="E23" s="27"/>
      <c r="I23" t="s">
        <v>552</v>
      </c>
      <c r="J23" s="33">
        <v>0.85</v>
      </c>
      <c r="P23" s="29" t="s">
        <v>852</v>
      </c>
      <c r="Q23" s="24">
        <v>0</v>
      </c>
      <c r="R23" s="24">
        <v>0.1</v>
      </c>
      <c r="S23" s="24">
        <v>0</v>
      </c>
      <c r="T23" s="24">
        <v>0</v>
      </c>
      <c r="U23" s="24">
        <v>0</v>
      </c>
      <c r="V23" s="24">
        <v>0</v>
      </c>
      <c r="W23" s="25">
        <v>0</v>
      </c>
      <c r="X23" s="24">
        <f t="shared" si="3"/>
        <v>0.1</v>
      </c>
      <c r="Z23" s="29" t="s">
        <v>852</v>
      </c>
      <c r="AA23" s="24">
        <v>0.01</v>
      </c>
      <c r="AB23" s="24">
        <v>0.1</v>
      </c>
      <c r="AC23" s="24">
        <v>2.5000000000000001E-2</v>
      </c>
      <c r="AD23" s="24">
        <v>0.02</v>
      </c>
      <c r="AE23" s="24">
        <v>0.01</v>
      </c>
      <c r="AF23" s="24">
        <v>0.01</v>
      </c>
      <c r="AG23" s="25">
        <v>0.01</v>
      </c>
      <c r="AH23" s="24">
        <f>SUM(AA23:AG23)</f>
        <v>0.18500000000000003</v>
      </c>
      <c r="AJ23" s="28"/>
      <c r="AL23" s="32" t="s">
        <v>121</v>
      </c>
      <c r="AM23" s="34">
        <v>0.21</v>
      </c>
      <c r="AN23" s="34">
        <v>0.21</v>
      </c>
      <c r="AO23" s="34">
        <v>0.26</v>
      </c>
      <c r="AP23" s="34">
        <v>0.3</v>
      </c>
      <c r="AQ23" s="6">
        <v>24</v>
      </c>
      <c r="AR23" s="6">
        <v>16</v>
      </c>
      <c r="AS23" s="6">
        <v>24</v>
      </c>
      <c r="AT23" s="6">
        <v>40</v>
      </c>
      <c r="AU23">
        <f t="shared" si="0"/>
        <v>104</v>
      </c>
      <c r="AV23" s="36">
        <v>0</v>
      </c>
      <c r="AW23" s="36">
        <v>1</v>
      </c>
      <c r="AX23" s="36"/>
      <c r="AY23" s="36">
        <v>0</v>
      </c>
      <c r="AZ23" s="36">
        <v>1</v>
      </c>
      <c r="BA23" s="36">
        <v>0</v>
      </c>
      <c r="BB23" s="36">
        <v>0</v>
      </c>
    </row>
    <row r="24" spans="1:54" x14ac:dyDescent="0.2">
      <c r="A24" t="s">
        <v>281</v>
      </c>
      <c r="B24" s="27">
        <v>0.05</v>
      </c>
      <c r="C24" s="27">
        <v>0.1</v>
      </c>
      <c r="D24" s="27">
        <v>0.02</v>
      </c>
      <c r="E24" s="27"/>
      <c r="I24" t="s">
        <v>426</v>
      </c>
      <c r="J24" s="33">
        <v>0.7</v>
      </c>
      <c r="P24" s="29"/>
      <c r="Q24" s="24"/>
      <c r="R24" s="24"/>
      <c r="S24" s="24"/>
      <c r="T24" s="24"/>
      <c r="U24" s="24"/>
      <c r="V24" s="24"/>
      <c r="W24" s="25"/>
      <c r="X24" s="24"/>
      <c r="Z24" s="29"/>
      <c r="AA24" s="24"/>
      <c r="AB24" s="24"/>
      <c r="AC24" s="24"/>
      <c r="AD24" s="24"/>
      <c r="AE24" s="24"/>
      <c r="AF24" s="24"/>
      <c r="AG24" s="25"/>
      <c r="AH24" s="24"/>
      <c r="AJ24" s="28"/>
      <c r="AL24" s="32" t="s">
        <v>122</v>
      </c>
      <c r="AM24" s="34">
        <v>0.21</v>
      </c>
      <c r="AN24" s="34">
        <v>0.21</v>
      </c>
      <c r="AO24" s="34">
        <v>0.26</v>
      </c>
      <c r="AP24" s="34">
        <v>0.3</v>
      </c>
      <c r="AQ24" s="6">
        <v>24</v>
      </c>
      <c r="AR24" s="6">
        <v>16</v>
      </c>
      <c r="AS24" s="6">
        <v>24</v>
      </c>
      <c r="AT24" s="6">
        <v>40</v>
      </c>
      <c r="AU24">
        <f t="shared" si="0"/>
        <v>104</v>
      </c>
      <c r="AV24" s="36">
        <v>0</v>
      </c>
      <c r="AW24" s="36">
        <v>1</v>
      </c>
      <c r="AX24" s="36"/>
      <c r="AY24" s="36">
        <v>0</v>
      </c>
      <c r="AZ24" s="36">
        <v>1</v>
      </c>
      <c r="BA24" s="36">
        <v>0</v>
      </c>
      <c r="BB24" s="36">
        <v>0</v>
      </c>
    </row>
    <row r="25" spans="1:54" x14ac:dyDescent="0.2">
      <c r="A25" t="s">
        <v>282</v>
      </c>
      <c r="B25" s="27">
        <v>0.05</v>
      </c>
      <c r="C25" s="27">
        <v>0.1</v>
      </c>
      <c r="D25" s="27">
        <v>0.02</v>
      </c>
      <c r="E25" s="27"/>
      <c r="I25" t="s">
        <v>553</v>
      </c>
      <c r="J25" s="33">
        <v>0.55000000000000004</v>
      </c>
      <c r="P25" s="31" t="s">
        <v>577</v>
      </c>
      <c r="Q25" s="24"/>
      <c r="R25" s="24"/>
      <c r="S25" s="24"/>
      <c r="T25" s="24"/>
      <c r="U25" s="24"/>
      <c r="V25" s="24"/>
      <c r="W25" s="24"/>
      <c r="X25" s="24"/>
      <c r="Z25" s="31" t="s">
        <v>577</v>
      </c>
      <c r="AA25" s="24"/>
      <c r="AB25" s="24"/>
      <c r="AC25" s="24"/>
      <c r="AD25" s="24"/>
      <c r="AE25" s="24"/>
      <c r="AF25" s="24"/>
      <c r="AG25" s="24"/>
      <c r="AH25" s="24"/>
      <c r="AJ25" s="28"/>
      <c r="AL25" s="32" t="s">
        <v>75</v>
      </c>
      <c r="AM25" s="34">
        <v>0.28999999999999998</v>
      </c>
      <c r="AN25" s="34">
        <v>0.26</v>
      </c>
      <c r="AO25" s="34">
        <v>0.4</v>
      </c>
      <c r="AP25" s="34">
        <v>0.3</v>
      </c>
      <c r="AQ25" s="6">
        <v>24</v>
      </c>
      <c r="AR25" s="6">
        <v>16</v>
      </c>
      <c r="AS25" s="6">
        <v>24</v>
      </c>
      <c r="AT25" s="6">
        <v>40</v>
      </c>
      <c r="AU25">
        <f t="shared" si="0"/>
        <v>104</v>
      </c>
      <c r="AV25" s="36">
        <v>0</v>
      </c>
      <c r="AW25" s="36"/>
      <c r="AX25" s="36">
        <v>1</v>
      </c>
      <c r="AY25" s="36">
        <v>1</v>
      </c>
      <c r="AZ25" s="36">
        <v>1</v>
      </c>
      <c r="BA25" s="36">
        <v>0</v>
      </c>
      <c r="BB25" s="36">
        <v>0</v>
      </c>
    </row>
    <row r="26" spans="1:54" x14ac:dyDescent="0.2">
      <c r="A26" t="s">
        <v>283</v>
      </c>
      <c r="B26" s="27">
        <v>0.05</v>
      </c>
      <c r="C26" s="27">
        <v>0.1</v>
      </c>
      <c r="D26" s="27">
        <v>0.02</v>
      </c>
      <c r="E26" s="27"/>
      <c r="I26" t="s">
        <v>1272</v>
      </c>
      <c r="J26" s="33">
        <v>0.4</v>
      </c>
      <c r="P26" s="29" t="s">
        <v>486</v>
      </c>
      <c r="Q26" s="24">
        <v>0.02</v>
      </c>
      <c r="R26" s="24">
        <v>0.05</v>
      </c>
      <c r="S26" s="24">
        <v>0.02</v>
      </c>
      <c r="T26" s="24">
        <v>0.02</v>
      </c>
      <c r="U26" s="24">
        <v>0.02</v>
      </c>
      <c r="V26" s="24">
        <v>0.03</v>
      </c>
      <c r="W26" s="24">
        <v>0</v>
      </c>
      <c r="X26" s="24">
        <f>SUM(Q26:W26)</f>
        <v>0.16</v>
      </c>
      <c r="Z26" s="29" t="s">
        <v>486</v>
      </c>
      <c r="AA26" s="24">
        <v>0.01</v>
      </c>
      <c r="AB26" s="24">
        <v>0.1</v>
      </c>
      <c r="AC26" s="24">
        <v>2.5000000000000001E-2</v>
      </c>
      <c r="AD26" s="24">
        <v>0.02</v>
      </c>
      <c r="AE26" s="24">
        <v>0.02</v>
      </c>
      <c r="AF26" s="24">
        <v>0.02</v>
      </c>
      <c r="AG26" s="24">
        <v>0.02</v>
      </c>
      <c r="AH26" s="24">
        <f t="shared" si="4"/>
        <v>0.21499999999999997</v>
      </c>
      <c r="AJ26" s="28"/>
      <c r="AL26" s="32" t="s">
        <v>41</v>
      </c>
      <c r="AM26" s="34">
        <v>0.28999999999999998</v>
      </c>
      <c r="AN26" s="34">
        <v>0.26</v>
      </c>
      <c r="AO26" s="34">
        <v>0.4</v>
      </c>
      <c r="AP26" s="34">
        <v>0.3</v>
      </c>
      <c r="AQ26" s="6">
        <v>24</v>
      </c>
      <c r="AR26" s="6">
        <v>16</v>
      </c>
      <c r="AS26" s="6">
        <v>24</v>
      </c>
      <c r="AT26" s="6">
        <v>40</v>
      </c>
      <c r="AU26">
        <f t="shared" si="0"/>
        <v>104</v>
      </c>
      <c r="AV26" s="36">
        <v>0</v>
      </c>
      <c r="AW26" s="36"/>
      <c r="AX26" s="36">
        <v>1</v>
      </c>
      <c r="AY26" s="36">
        <v>1</v>
      </c>
      <c r="AZ26" s="36">
        <v>1</v>
      </c>
      <c r="BA26" s="36">
        <v>0</v>
      </c>
      <c r="BB26" s="36">
        <v>0</v>
      </c>
    </row>
    <row r="27" spans="1:54" x14ac:dyDescent="0.2">
      <c r="A27" t="s">
        <v>284</v>
      </c>
      <c r="B27" s="27">
        <v>0.05</v>
      </c>
      <c r="C27" s="27">
        <v>0.1</v>
      </c>
      <c r="D27" s="27">
        <v>0.02</v>
      </c>
      <c r="E27" s="27"/>
      <c r="I27" t="s">
        <v>554</v>
      </c>
      <c r="J27" s="33">
        <v>0.2</v>
      </c>
      <c r="P27" s="29" t="s">
        <v>481</v>
      </c>
      <c r="Q27" s="24">
        <v>0.02</v>
      </c>
      <c r="R27" s="24">
        <v>0.05</v>
      </c>
      <c r="S27" s="24">
        <v>0.02</v>
      </c>
      <c r="T27" s="24">
        <v>0.02</v>
      </c>
      <c r="U27" s="24">
        <v>0.02</v>
      </c>
      <c r="V27" s="24">
        <v>0.03</v>
      </c>
      <c r="W27" s="24">
        <v>0</v>
      </c>
      <c r="X27" s="24">
        <f>SUM(Q27:W27)</f>
        <v>0.16</v>
      </c>
      <c r="Z27" s="29" t="s">
        <v>481</v>
      </c>
      <c r="AA27" s="24">
        <v>0.01</v>
      </c>
      <c r="AB27" s="24">
        <v>0.1</v>
      </c>
      <c r="AC27" s="24">
        <v>0.05</v>
      </c>
      <c r="AD27" s="24">
        <v>0.02</v>
      </c>
      <c r="AE27" s="24">
        <v>0.02</v>
      </c>
      <c r="AF27" s="24">
        <v>0.02</v>
      </c>
      <c r="AG27" s="24">
        <v>0.02</v>
      </c>
      <c r="AH27" s="24">
        <f t="shared" si="4"/>
        <v>0.23999999999999996</v>
      </c>
      <c r="AJ27" s="28"/>
      <c r="AL27" s="32" t="s">
        <v>263</v>
      </c>
      <c r="AM27" s="34">
        <v>0.3</v>
      </c>
      <c r="AN27" s="34">
        <v>0.3</v>
      </c>
      <c r="AO27" s="34">
        <v>0.4</v>
      </c>
      <c r="AP27" s="34">
        <v>0.3</v>
      </c>
      <c r="AQ27" s="6">
        <v>80</v>
      </c>
      <c r="AR27" s="6">
        <v>40</v>
      </c>
      <c r="AS27" s="6">
        <v>40</v>
      </c>
      <c r="AT27" s="6">
        <v>60</v>
      </c>
      <c r="AU27">
        <f t="shared" si="0"/>
        <v>220</v>
      </c>
      <c r="AV27" s="36">
        <v>0</v>
      </c>
      <c r="AW27" s="36"/>
      <c r="AX27" s="36">
        <v>1</v>
      </c>
      <c r="AY27" s="36">
        <v>1</v>
      </c>
      <c r="AZ27" s="36">
        <v>2</v>
      </c>
      <c r="BA27" s="36">
        <v>0</v>
      </c>
      <c r="BB27" s="36">
        <v>0</v>
      </c>
    </row>
    <row r="28" spans="1:54" x14ac:dyDescent="0.2">
      <c r="A28" t="s">
        <v>285</v>
      </c>
      <c r="B28" s="27">
        <v>0.05</v>
      </c>
      <c r="C28" s="27">
        <v>0.1</v>
      </c>
      <c r="D28" s="27">
        <v>0.02</v>
      </c>
      <c r="E28" s="27"/>
      <c r="P28" s="29" t="s">
        <v>482</v>
      </c>
      <c r="Q28" s="24">
        <v>0.02</v>
      </c>
      <c r="R28" s="24">
        <v>0.05</v>
      </c>
      <c r="S28" s="24">
        <v>0.02</v>
      </c>
      <c r="T28" s="24">
        <v>0.02</v>
      </c>
      <c r="U28" s="24">
        <v>0.02</v>
      </c>
      <c r="V28" s="24">
        <v>0.03</v>
      </c>
      <c r="W28" s="24">
        <v>0</v>
      </c>
      <c r="X28" s="24">
        <f>SUM(Q28:W28)</f>
        <v>0.16</v>
      </c>
      <c r="Z28" s="29" t="s">
        <v>482</v>
      </c>
      <c r="AA28" s="24">
        <v>0.01</v>
      </c>
      <c r="AB28" s="24">
        <v>0.1</v>
      </c>
      <c r="AC28" s="24">
        <v>2.5000000000000001E-2</v>
      </c>
      <c r="AD28" s="24">
        <v>0.02</v>
      </c>
      <c r="AE28" s="24">
        <v>0.05</v>
      </c>
      <c r="AF28" s="24">
        <v>0.05</v>
      </c>
      <c r="AG28" s="24">
        <v>0.02</v>
      </c>
      <c r="AH28" s="24">
        <f t="shared" si="4"/>
        <v>0.27500000000000002</v>
      </c>
      <c r="AJ28" s="28"/>
      <c r="AL28" s="32" t="s">
        <v>66</v>
      </c>
      <c r="AM28" s="34">
        <v>0.26</v>
      </c>
      <c r="AN28" s="34">
        <v>0.26</v>
      </c>
      <c r="AO28" s="34">
        <v>0.35</v>
      </c>
      <c r="AP28" s="34">
        <v>0.3</v>
      </c>
      <c r="AQ28" s="6">
        <v>80</v>
      </c>
      <c r="AR28" s="6">
        <v>24</v>
      </c>
      <c r="AS28" s="6">
        <v>40</v>
      </c>
      <c r="AT28" s="6">
        <v>80</v>
      </c>
      <c r="AU28">
        <f t="shared" si="0"/>
        <v>224</v>
      </c>
      <c r="AV28" s="36">
        <v>0</v>
      </c>
      <c r="AW28" s="36"/>
      <c r="AX28" s="36">
        <v>1</v>
      </c>
      <c r="AY28" s="36">
        <v>1</v>
      </c>
      <c r="AZ28" s="36">
        <v>2</v>
      </c>
      <c r="BA28" s="36">
        <v>0</v>
      </c>
      <c r="BB28" s="36">
        <v>0</v>
      </c>
    </row>
    <row r="29" spans="1:54" x14ac:dyDescent="0.2">
      <c r="A29" t="s">
        <v>286</v>
      </c>
      <c r="B29" s="27">
        <v>0.05</v>
      </c>
      <c r="C29" s="27">
        <v>0.1</v>
      </c>
      <c r="D29" s="27">
        <v>0.02</v>
      </c>
      <c r="E29" s="27"/>
      <c r="P29" s="29" t="s">
        <v>500</v>
      </c>
      <c r="Q29" s="24">
        <v>0.02</v>
      </c>
      <c r="R29" s="24">
        <v>0.05</v>
      </c>
      <c r="S29" s="24">
        <v>0.02</v>
      </c>
      <c r="T29" s="24">
        <v>0.02</v>
      </c>
      <c r="U29" s="24">
        <v>0.02</v>
      </c>
      <c r="V29" s="24">
        <v>0.03</v>
      </c>
      <c r="W29" s="24">
        <v>0</v>
      </c>
      <c r="X29" s="24">
        <f>SUM(Q29:W29)</f>
        <v>0.16</v>
      </c>
      <c r="Z29" s="29" t="s">
        <v>500</v>
      </c>
      <c r="AA29" s="24">
        <v>0.01</v>
      </c>
      <c r="AB29" s="24">
        <v>0.1</v>
      </c>
      <c r="AC29" s="24">
        <v>2.5000000000000001E-2</v>
      </c>
      <c r="AD29" s="24">
        <v>0.02</v>
      </c>
      <c r="AE29" s="24">
        <v>0.02</v>
      </c>
      <c r="AF29" s="24">
        <v>0.02</v>
      </c>
      <c r="AG29" s="24">
        <v>0.02</v>
      </c>
      <c r="AH29" s="24">
        <f t="shared" si="4"/>
        <v>0.21499999999999997</v>
      </c>
      <c r="AJ29" s="28"/>
      <c r="AL29" s="32" t="s">
        <v>62</v>
      </c>
      <c r="AM29" s="34">
        <v>0.3</v>
      </c>
      <c r="AN29" s="34">
        <v>0.26</v>
      </c>
      <c r="AO29" s="34">
        <v>0.35</v>
      </c>
      <c r="AP29" s="34">
        <v>0.3</v>
      </c>
      <c r="AQ29" s="6">
        <v>80</v>
      </c>
      <c r="AR29" s="6">
        <v>24</v>
      </c>
      <c r="AS29" s="6">
        <v>40</v>
      </c>
      <c r="AT29" s="6">
        <v>80</v>
      </c>
      <c r="AU29">
        <f t="shared" si="0"/>
        <v>224</v>
      </c>
      <c r="AV29" s="36">
        <v>0</v>
      </c>
      <c r="AW29" s="36"/>
      <c r="AX29" s="36">
        <v>1</v>
      </c>
      <c r="AY29" s="36">
        <v>1</v>
      </c>
      <c r="AZ29" s="36">
        <v>2</v>
      </c>
      <c r="BA29" s="36">
        <v>0</v>
      </c>
      <c r="BB29" s="36">
        <v>0</v>
      </c>
    </row>
    <row r="30" spans="1:54" x14ac:dyDescent="0.2">
      <c r="A30" t="s">
        <v>287</v>
      </c>
      <c r="B30" s="27">
        <v>0.05</v>
      </c>
      <c r="C30" s="27">
        <v>0.1</v>
      </c>
      <c r="D30" s="27">
        <v>0.02</v>
      </c>
      <c r="E30" s="27"/>
      <c r="I30" t="s">
        <v>1211</v>
      </c>
      <c r="J30" s="33">
        <v>0.05</v>
      </c>
      <c r="P30" s="29" t="s">
        <v>140</v>
      </c>
      <c r="Q30" s="24">
        <v>0.02</v>
      </c>
      <c r="R30" s="24">
        <v>0.05</v>
      </c>
      <c r="S30" s="24">
        <v>0.02</v>
      </c>
      <c r="T30" s="24">
        <v>0.02</v>
      </c>
      <c r="U30" s="24">
        <v>0.02</v>
      </c>
      <c r="V30" s="24">
        <v>0.03</v>
      </c>
      <c r="W30" s="24">
        <v>0</v>
      </c>
      <c r="X30" s="24">
        <f>SUM(Q30:W30)</f>
        <v>0.16</v>
      </c>
      <c r="Z30" s="29" t="s">
        <v>140</v>
      </c>
      <c r="AA30" s="24">
        <v>0.01</v>
      </c>
      <c r="AB30" s="24">
        <v>0.1</v>
      </c>
      <c r="AC30" s="24">
        <v>2.5000000000000001E-2</v>
      </c>
      <c r="AD30" s="24">
        <v>0.02</v>
      </c>
      <c r="AE30" s="24">
        <v>0.02</v>
      </c>
      <c r="AF30" s="24">
        <v>0.02</v>
      </c>
      <c r="AG30" s="24">
        <v>0.02</v>
      </c>
      <c r="AH30" s="24">
        <f t="shared" si="4"/>
        <v>0.21499999999999997</v>
      </c>
      <c r="AJ30" s="28"/>
      <c r="AL30" s="32" t="s">
        <v>104</v>
      </c>
      <c r="AM30" s="34">
        <v>0.26</v>
      </c>
      <c r="AN30" s="34">
        <v>0.26</v>
      </c>
      <c r="AO30" s="34">
        <v>0.35</v>
      </c>
      <c r="AP30" s="34">
        <v>0.3</v>
      </c>
      <c r="AQ30" s="6">
        <v>160</v>
      </c>
      <c r="AR30" s="6">
        <v>40</v>
      </c>
      <c r="AS30" s="6">
        <v>40</v>
      </c>
      <c r="AT30" s="6">
        <v>80</v>
      </c>
      <c r="AU30">
        <f t="shared" si="0"/>
        <v>320</v>
      </c>
      <c r="AV30" s="36">
        <v>0</v>
      </c>
      <c r="AW30" s="36"/>
      <c r="AX30" s="36">
        <v>1</v>
      </c>
      <c r="AY30" s="36">
        <v>1</v>
      </c>
      <c r="AZ30" s="36">
        <v>2</v>
      </c>
      <c r="BA30" s="36">
        <v>0</v>
      </c>
      <c r="BB30" s="36">
        <v>0</v>
      </c>
    </row>
    <row r="31" spans="1:54" x14ac:dyDescent="0.2">
      <c r="A31" t="s">
        <v>288</v>
      </c>
      <c r="B31" s="27">
        <v>0.05</v>
      </c>
      <c r="C31" s="27">
        <v>0.1</v>
      </c>
      <c r="D31" s="27">
        <v>0.02</v>
      </c>
      <c r="E31" s="27"/>
      <c r="I31" t="s">
        <v>1202</v>
      </c>
      <c r="J31" s="27">
        <v>0.05</v>
      </c>
      <c r="P31" s="29"/>
      <c r="Q31" s="24"/>
      <c r="R31" s="24"/>
      <c r="S31" s="24"/>
      <c r="T31" s="24"/>
      <c r="U31" s="24"/>
      <c r="V31" s="24"/>
      <c r="W31" s="24"/>
      <c r="X31" s="24"/>
      <c r="Z31" s="29"/>
      <c r="AA31" s="24"/>
      <c r="AB31" s="24"/>
      <c r="AC31" s="24"/>
      <c r="AD31" s="24"/>
      <c r="AE31" s="24"/>
      <c r="AF31" s="24"/>
      <c r="AG31" s="24"/>
      <c r="AH31" s="24"/>
      <c r="AJ31" s="28"/>
      <c r="AL31" s="32" t="s">
        <v>1418</v>
      </c>
      <c r="AM31" s="34"/>
      <c r="AN31" s="34"/>
      <c r="AO31" s="34"/>
      <c r="AP31" s="34"/>
      <c r="AQ31" s="6">
        <v>0</v>
      </c>
      <c r="AR31" s="6">
        <v>0</v>
      </c>
      <c r="AS31" s="6">
        <v>40</v>
      </c>
      <c r="AT31" s="6">
        <v>0</v>
      </c>
      <c r="AU31">
        <f t="shared" si="0"/>
        <v>40</v>
      </c>
      <c r="AV31" s="36">
        <v>0</v>
      </c>
      <c r="AW31" s="36"/>
      <c r="AX31" s="36">
        <v>0</v>
      </c>
      <c r="AY31" s="36">
        <v>0</v>
      </c>
      <c r="AZ31" s="36">
        <v>0</v>
      </c>
      <c r="BA31" s="36">
        <v>0</v>
      </c>
      <c r="BB31" s="36">
        <v>0</v>
      </c>
    </row>
    <row r="32" spans="1:54" x14ac:dyDescent="0.2">
      <c r="A32" t="s">
        <v>136</v>
      </c>
      <c r="B32" s="27">
        <v>0.05</v>
      </c>
      <c r="C32" s="27">
        <v>0.1</v>
      </c>
      <c r="D32" s="27">
        <v>0.02</v>
      </c>
      <c r="E32" s="27"/>
      <c r="I32" t="s">
        <v>1204</v>
      </c>
      <c r="J32" s="27">
        <v>0.01</v>
      </c>
      <c r="P32" s="31" t="s">
        <v>578</v>
      </c>
      <c r="Q32" s="24"/>
      <c r="R32" s="24"/>
      <c r="S32" s="24"/>
      <c r="T32" s="24"/>
      <c r="U32" s="24"/>
      <c r="V32" s="24"/>
      <c r="W32" s="24"/>
      <c r="X32" s="24"/>
      <c r="Z32" s="31" t="s">
        <v>578</v>
      </c>
      <c r="AA32" s="24"/>
      <c r="AB32" s="24"/>
      <c r="AC32" s="24"/>
      <c r="AD32" s="24"/>
      <c r="AE32" s="24"/>
      <c r="AF32" s="24"/>
      <c r="AG32" s="24"/>
      <c r="AH32" s="24"/>
      <c r="AJ32" s="28"/>
      <c r="AL32" s="32" t="s">
        <v>1380</v>
      </c>
      <c r="AM32" s="34">
        <v>0.25</v>
      </c>
      <c r="AN32" s="34">
        <v>0.25</v>
      </c>
      <c r="AO32" s="34">
        <v>0.35</v>
      </c>
      <c r="AP32" s="34">
        <v>0.3</v>
      </c>
      <c r="AQ32" s="6">
        <v>40</v>
      </c>
      <c r="AR32" s="6">
        <v>20</v>
      </c>
      <c r="AS32" s="6">
        <v>16</v>
      </c>
      <c r="AT32" s="6">
        <v>16</v>
      </c>
      <c r="AU32">
        <f t="shared" si="0"/>
        <v>92</v>
      </c>
      <c r="AV32" s="36">
        <v>0</v>
      </c>
      <c r="AW32" s="36"/>
      <c r="AX32" s="36">
        <v>0.5</v>
      </c>
      <c r="AY32" s="36">
        <v>0.5</v>
      </c>
      <c r="AZ32" s="36">
        <v>0.5</v>
      </c>
      <c r="BA32" s="36">
        <v>0</v>
      </c>
      <c r="BB32" s="36">
        <v>0</v>
      </c>
    </row>
    <row r="33" spans="1:54" x14ac:dyDescent="0.2">
      <c r="A33" t="s">
        <v>289</v>
      </c>
      <c r="B33" s="27">
        <v>0.05</v>
      </c>
      <c r="C33" s="27">
        <v>0.1</v>
      </c>
      <c r="D33" s="27">
        <v>0.02</v>
      </c>
      <c r="E33" s="27"/>
      <c r="I33" t="s">
        <v>1209</v>
      </c>
      <c r="J33" s="27">
        <v>0.02</v>
      </c>
      <c r="P33" s="29" t="s">
        <v>487</v>
      </c>
      <c r="Q33" s="24">
        <v>0.01</v>
      </c>
      <c r="R33" s="24">
        <v>0</v>
      </c>
      <c r="S33" s="24">
        <v>0.02</v>
      </c>
      <c r="T33" s="24">
        <v>0.02</v>
      </c>
      <c r="U33" s="24">
        <v>0.02</v>
      </c>
      <c r="V33" s="24">
        <v>0.02</v>
      </c>
      <c r="W33" s="24">
        <v>0</v>
      </c>
      <c r="X33" s="24">
        <f t="shared" ref="X33:X46" si="5">SUM(Q33:W33)</f>
        <v>9.0000000000000011E-2</v>
      </c>
      <c r="Z33" s="29" t="s">
        <v>487</v>
      </c>
      <c r="AA33" s="24">
        <v>0.01</v>
      </c>
      <c r="AB33" s="24">
        <v>0</v>
      </c>
      <c r="AC33" s="24">
        <v>0.03</v>
      </c>
      <c r="AD33" s="24">
        <v>0.02</v>
      </c>
      <c r="AE33" s="24">
        <v>0.02</v>
      </c>
      <c r="AF33" s="24">
        <v>0.02</v>
      </c>
      <c r="AG33" s="24">
        <v>0.02</v>
      </c>
      <c r="AH33" s="24">
        <f t="shared" si="4"/>
        <v>0.12000000000000001</v>
      </c>
      <c r="AJ33" s="28"/>
      <c r="AL33" s="32" t="s">
        <v>1393</v>
      </c>
      <c r="AM33" s="342" t="s">
        <v>1394</v>
      </c>
      <c r="AN33" s="342"/>
      <c r="AO33" s="342"/>
      <c r="AP33" s="342"/>
      <c r="AQ33" s="6">
        <v>40</v>
      </c>
      <c r="AR33" s="6">
        <v>5</v>
      </c>
      <c r="AS33" s="6">
        <v>5</v>
      </c>
      <c r="AT33" s="6">
        <v>5</v>
      </c>
      <c r="AU33">
        <f t="shared" si="0"/>
        <v>55</v>
      </c>
      <c r="AV33" s="36">
        <v>0</v>
      </c>
      <c r="AW33" s="36"/>
      <c r="AX33" s="36">
        <v>0</v>
      </c>
      <c r="AY33" s="36">
        <v>0</v>
      </c>
      <c r="AZ33" s="36">
        <v>0</v>
      </c>
      <c r="BA33" s="36">
        <v>0</v>
      </c>
      <c r="BB33" s="36">
        <v>0</v>
      </c>
    </row>
    <row r="34" spans="1:54" x14ac:dyDescent="0.2">
      <c r="A34" t="s">
        <v>290</v>
      </c>
      <c r="B34" s="27">
        <v>0.05</v>
      </c>
      <c r="C34" s="27">
        <v>0.1</v>
      </c>
      <c r="D34" s="27">
        <v>0.02</v>
      </c>
      <c r="E34" s="27"/>
      <c r="P34" s="29" t="s">
        <v>503</v>
      </c>
      <c r="Q34" s="24">
        <v>0.01</v>
      </c>
      <c r="R34" s="24">
        <v>0</v>
      </c>
      <c r="S34" s="24">
        <v>0.01</v>
      </c>
      <c r="T34" s="24">
        <v>0.01</v>
      </c>
      <c r="U34" s="24">
        <v>0.01</v>
      </c>
      <c r="V34" s="24">
        <v>0.01</v>
      </c>
      <c r="W34" s="24">
        <v>0</v>
      </c>
      <c r="X34" s="24">
        <f t="shared" si="5"/>
        <v>0.05</v>
      </c>
      <c r="Z34" s="29" t="s">
        <v>503</v>
      </c>
      <c r="AA34" s="24">
        <v>0.01</v>
      </c>
      <c r="AB34" s="24">
        <v>0</v>
      </c>
      <c r="AC34" s="24">
        <v>0.01</v>
      </c>
      <c r="AD34" s="24">
        <v>0.01</v>
      </c>
      <c r="AE34" s="24">
        <v>0.01</v>
      </c>
      <c r="AF34" s="24">
        <v>0.01</v>
      </c>
      <c r="AG34" s="24">
        <v>0.02</v>
      </c>
      <c r="AH34" s="24">
        <f t="shared" si="4"/>
        <v>7.0000000000000007E-2</v>
      </c>
      <c r="AJ34" s="28"/>
      <c r="AL34" s="32" t="s">
        <v>1387</v>
      </c>
      <c r="AM34" s="342"/>
      <c r="AN34" s="342"/>
      <c r="AO34" s="342"/>
      <c r="AP34" s="342"/>
      <c r="AQ34" s="6">
        <v>40</v>
      </c>
      <c r="AR34" s="6">
        <v>5</v>
      </c>
      <c r="AS34" s="6">
        <v>5</v>
      </c>
      <c r="AT34" s="6">
        <v>5</v>
      </c>
      <c r="AU34">
        <f t="shared" si="0"/>
        <v>55</v>
      </c>
      <c r="AV34" s="36"/>
      <c r="AW34" s="36"/>
      <c r="AX34" s="36">
        <v>0.25</v>
      </c>
      <c r="AY34" s="36">
        <v>0.25</v>
      </c>
      <c r="AZ34" s="36">
        <v>0.25</v>
      </c>
      <c r="BA34" s="36">
        <v>0</v>
      </c>
      <c r="BB34" s="36">
        <v>0</v>
      </c>
    </row>
    <row r="35" spans="1:54" x14ac:dyDescent="0.2">
      <c r="A35" t="s">
        <v>291</v>
      </c>
      <c r="B35" s="27">
        <v>0.05</v>
      </c>
      <c r="C35" s="27">
        <v>0.1</v>
      </c>
      <c r="D35" s="27">
        <v>0.02</v>
      </c>
      <c r="E35" s="27"/>
      <c r="I35" t="s">
        <v>643</v>
      </c>
      <c r="J35" t="s">
        <v>433</v>
      </c>
      <c r="P35" s="29" t="s">
        <v>498</v>
      </c>
      <c r="Q35" s="24">
        <v>0.01</v>
      </c>
      <c r="R35" s="24">
        <v>0</v>
      </c>
      <c r="S35" s="24">
        <v>0.02</v>
      </c>
      <c r="T35" s="24">
        <v>0.02</v>
      </c>
      <c r="U35" s="24">
        <v>0.02</v>
      </c>
      <c r="V35" s="24">
        <v>0.02</v>
      </c>
      <c r="W35" s="24">
        <v>0</v>
      </c>
      <c r="X35" s="24">
        <f t="shared" si="5"/>
        <v>9.0000000000000011E-2</v>
      </c>
      <c r="Z35" s="29" t="s">
        <v>498</v>
      </c>
      <c r="AA35" s="24">
        <v>0.01</v>
      </c>
      <c r="AB35" s="24">
        <v>0</v>
      </c>
      <c r="AC35" s="24">
        <v>0.03</v>
      </c>
      <c r="AD35" s="24">
        <v>0.02</v>
      </c>
      <c r="AE35" s="24">
        <v>0.02</v>
      </c>
      <c r="AF35" s="24">
        <v>0.02</v>
      </c>
      <c r="AG35" s="24">
        <v>0.02</v>
      </c>
      <c r="AH35" s="24">
        <f t="shared" si="4"/>
        <v>0.12000000000000001</v>
      </c>
      <c r="AJ35" s="28"/>
      <c r="AL35" s="32" t="s">
        <v>205</v>
      </c>
      <c r="AM35" s="34">
        <v>0.15</v>
      </c>
      <c r="AN35" s="34">
        <v>0.15</v>
      </c>
      <c r="AO35" s="34">
        <v>0.15</v>
      </c>
      <c r="AP35" s="34">
        <v>0.3</v>
      </c>
      <c r="AQ35" s="6">
        <v>1</v>
      </c>
      <c r="AR35" s="6">
        <v>1</v>
      </c>
      <c r="AS35" s="6">
        <v>2</v>
      </c>
      <c r="AT35" s="6">
        <v>2</v>
      </c>
      <c r="AU35">
        <f t="shared" si="0"/>
        <v>6</v>
      </c>
      <c r="AV35" s="36">
        <v>0</v>
      </c>
      <c r="AW35" s="36"/>
      <c r="AX35" s="36">
        <v>0</v>
      </c>
      <c r="AY35" s="36">
        <v>0</v>
      </c>
      <c r="AZ35" s="36">
        <v>0</v>
      </c>
      <c r="BA35" s="36">
        <v>0</v>
      </c>
      <c r="BB35" s="36">
        <v>0</v>
      </c>
    </row>
    <row r="36" spans="1:54" x14ac:dyDescent="0.2">
      <c r="A36" t="s">
        <v>292</v>
      </c>
      <c r="B36" s="27">
        <v>0.05</v>
      </c>
      <c r="C36" s="27">
        <v>0.1</v>
      </c>
      <c r="D36" s="27">
        <v>0.02</v>
      </c>
      <c r="E36" s="27"/>
      <c r="I36" t="s">
        <v>644</v>
      </c>
      <c r="J36" t="s">
        <v>649</v>
      </c>
      <c r="P36" s="29" t="s">
        <v>501</v>
      </c>
      <c r="Q36" s="24">
        <v>0.01</v>
      </c>
      <c r="R36" s="24">
        <v>0</v>
      </c>
      <c r="S36" s="24">
        <v>0.02</v>
      </c>
      <c r="T36" s="24">
        <v>0.02</v>
      </c>
      <c r="U36" s="24">
        <v>0.02</v>
      </c>
      <c r="V36" s="24">
        <v>0.02</v>
      </c>
      <c r="W36" s="24">
        <v>0</v>
      </c>
      <c r="X36" s="24">
        <f t="shared" si="5"/>
        <v>9.0000000000000011E-2</v>
      </c>
      <c r="Z36" s="29" t="s">
        <v>501</v>
      </c>
      <c r="AA36" s="24">
        <v>0.01</v>
      </c>
      <c r="AB36" s="24">
        <v>0</v>
      </c>
      <c r="AC36" s="24">
        <v>0.03</v>
      </c>
      <c r="AD36" s="24">
        <v>0.02</v>
      </c>
      <c r="AE36" s="24">
        <v>0.02</v>
      </c>
      <c r="AF36" s="24">
        <v>0.02</v>
      </c>
      <c r="AG36" s="24">
        <v>0.02</v>
      </c>
      <c r="AH36" s="24">
        <f t="shared" si="4"/>
        <v>0.12000000000000001</v>
      </c>
      <c r="AI36" t="s">
        <v>1424</v>
      </c>
      <c r="AJ36" s="28"/>
      <c r="AL36" s="32" t="s">
        <v>68</v>
      </c>
      <c r="AM36" s="34">
        <v>0.15</v>
      </c>
      <c r="AN36" s="34">
        <v>0.15</v>
      </c>
      <c r="AO36" s="34">
        <v>0.15</v>
      </c>
      <c r="AP36" s="34">
        <v>0.3</v>
      </c>
      <c r="AQ36" s="6">
        <v>1</v>
      </c>
      <c r="AR36" s="6">
        <v>1</v>
      </c>
      <c r="AS36" s="6">
        <v>2</v>
      </c>
      <c r="AT36" s="6">
        <v>2</v>
      </c>
      <c r="AU36">
        <f t="shared" si="0"/>
        <v>6</v>
      </c>
      <c r="AV36" s="36">
        <v>0</v>
      </c>
      <c r="AW36" s="36"/>
      <c r="AX36" s="36">
        <v>0</v>
      </c>
      <c r="AY36" s="36">
        <v>0</v>
      </c>
      <c r="AZ36" s="36">
        <v>0</v>
      </c>
      <c r="BA36" s="36">
        <v>0</v>
      </c>
      <c r="BB36" s="36">
        <v>0</v>
      </c>
    </row>
    <row r="37" spans="1:54" x14ac:dyDescent="0.2">
      <c r="B37" s="27"/>
      <c r="C37" s="27"/>
      <c r="D37" s="27"/>
      <c r="E37" s="27"/>
      <c r="I37" t="s">
        <v>645</v>
      </c>
      <c r="J37" t="s">
        <v>650</v>
      </c>
      <c r="P37" s="29" t="s">
        <v>563</v>
      </c>
      <c r="Q37" s="24">
        <v>0.01</v>
      </c>
      <c r="R37" s="24">
        <v>0</v>
      </c>
      <c r="S37" s="24">
        <v>0.02</v>
      </c>
      <c r="T37" s="24">
        <v>0.02</v>
      </c>
      <c r="U37" s="24">
        <v>0.02</v>
      </c>
      <c r="V37" s="24">
        <v>0.02</v>
      </c>
      <c r="W37" s="24">
        <v>0</v>
      </c>
      <c r="X37" s="24">
        <f t="shared" si="5"/>
        <v>9.0000000000000011E-2</v>
      </c>
      <c r="Z37" s="29" t="s">
        <v>563</v>
      </c>
      <c r="AA37" s="24">
        <v>0.01</v>
      </c>
      <c r="AB37" s="24">
        <v>0</v>
      </c>
      <c r="AC37" s="24">
        <v>0.03</v>
      </c>
      <c r="AD37" s="24">
        <v>0.02</v>
      </c>
      <c r="AE37" s="24">
        <v>0.02</v>
      </c>
      <c r="AF37" s="24">
        <v>0.02</v>
      </c>
      <c r="AG37" s="24">
        <v>0.02</v>
      </c>
      <c r="AH37" s="24">
        <f t="shared" si="4"/>
        <v>0.12000000000000001</v>
      </c>
      <c r="AI37" t="s">
        <v>564</v>
      </c>
      <c r="AL37" s="32" t="s">
        <v>206</v>
      </c>
      <c r="AM37" s="34">
        <v>0.15</v>
      </c>
      <c r="AN37" s="34">
        <v>0.15</v>
      </c>
      <c r="AO37" s="34">
        <v>0.15</v>
      </c>
      <c r="AP37" s="34">
        <v>0.3</v>
      </c>
      <c r="AQ37" s="6">
        <v>1</v>
      </c>
      <c r="AR37" s="6">
        <v>1</v>
      </c>
      <c r="AS37" s="6">
        <v>2</v>
      </c>
      <c r="AT37" s="6">
        <v>2</v>
      </c>
      <c r="AU37">
        <f t="shared" si="0"/>
        <v>6</v>
      </c>
      <c r="AV37" s="36">
        <v>0</v>
      </c>
      <c r="AW37" s="36"/>
      <c r="AX37" s="36">
        <v>0</v>
      </c>
      <c r="AY37" s="36">
        <v>0</v>
      </c>
      <c r="AZ37" s="36">
        <v>0</v>
      </c>
      <c r="BA37" s="36">
        <v>0</v>
      </c>
      <c r="BB37" s="36">
        <v>0</v>
      </c>
    </row>
    <row r="38" spans="1:54" x14ac:dyDescent="0.2">
      <c r="A38" t="s">
        <v>293</v>
      </c>
      <c r="B38" s="27">
        <v>0.05</v>
      </c>
      <c r="C38" s="27">
        <v>0.1</v>
      </c>
      <c r="D38" s="27">
        <v>0.02</v>
      </c>
      <c r="E38" s="27"/>
      <c r="I38" t="s">
        <v>1515</v>
      </c>
      <c r="J38" t="s">
        <v>1513</v>
      </c>
      <c r="P38" s="29" t="s">
        <v>574</v>
      </c>
      <c r="Q38" s="24">
        <v>0.01</v>
      </c>
      <c r="R38" s="24">
        <v>0</v>
      </c>
      <c r="S38" s="24">
        <v>0.02</v>
      </c>
      <c r="T38" s="24">
        <v>0.02</v>
      </c>
      <c r="U38" s="24">
        <v>0.02</v>
      </c>
      <c r="V38" s="24">
        <v>0.02</v>
      </c>
      <c r="W38" s="24">
        <v>0</v>
      </c>
      <c r="X38" s="24">
        <f t="shared" si="5"/>
        <v>9.0000000000000011E-2</v>
      </c>
      <c r="Z38" s="29" t="s">
        <v>574</v>
      </c>
      <c r="AA38" s="24">
        <v>0.01</v>
      </c>
      <c r="AB38" s="24">
        <v>0</v>
      </c>
      <c r="AC38" s="24">
        <v>0.03</v>
      </c>
      <c r="AD38" s="24">
        <v>0.02</v>
      </c>
      <c r="AE38" s="24">
        <v>0.02</v>
      </c>
      <c r="AF38" s="24">
        <v>0.02</v>
      </c>
      <c r="AG38" s="24">
        <v>0.02</v>
      </c>
      <c r="AH38" s="24">
        <f t="shared" si="4"/>
        <v>0.12000000000000001</v>
      </c>
      <c r="AI38" t="s">
        <v>564</v>
      </c>
      <c r="AL38" s="32" t="s">
        <v>69</v>
      </c>
      <c r="AM38" s="34">
        <v>0.15</v>
      </c>
      <c r="AN38" s="34">
        <v>0.15</v>
      </c>
      <c r="AO38" s="34">
        <v>0.15</v>
      </c>
      <c r="AP38" s="34">
        <v>0.3</v>
      </c>
      <c r="AQ38" s="6">
        <v>1</v>
      </c>
      <c r="AR38" s="6">
        <v>1</v>
      </c>
      <c r="AS38" s="6">
        <v>2</v>
      </c>
      <c r="AT38" s="6">
        <v>2</v>
      </c>
      <c r="AU38">
        <f t="shared" si="0"/>
        <v>6</v>
      </c>
      <c r="AV38" s="36">
        <v>0</v>
      </c>
      <c r="AW38" s="36"/>
      <c r="AX38" s="36">
        <v>0</v>
      </c>
      <c r="AY38" s="36">
        <v>0</v>
      </c>
      <c r="AZ38" s="36">
        <v>0</v>
      </c>
      <c r="BA38" s="36">
        <v>0</v>
      </c>
      <c r="BB38" s="36">
        <v>0</v>
      </c>
    </row>
    <row r="39" spans="1:54" x14ac:dyDescent="0.2">
      <c r="A39" t="s">
        <v>294</v>
      </c>
      <c r="B39" s="27">
        <v>0.05</v>
      </c>
      <c r="C39" s="27">
        <v>0.1</v>
      </c>
      <c r="D39" s="27">
        <v>0.02</v>
      </c>
      <c r="E39" s="27"/>
      <c r="I39" t="s">
        <v>646</v>
      </c>
      <c r="J39" t="s">
        <v>651</v>
      </c>
      <c r="P39" s="29" t="s">
        <v>657</v>
      </c>
      <c r="Q39" s="24">
        <v>0.01</v>
      </c>
      <c r="R39" s="24">
        <v>0</v>
      </c>
      <c r="S39" s="24">
        <v>0.02</v>
      </c>
      <c r="T39" s="24">
        <v>0.02</v>
      </c>
      <c r="U39" s="24">
        <v>0.02</v>
      </c>
      <c r="V39" s="24">
        <v>0.02</v>
      </c>
      <c r="W39" s="24">
        <v>0</v>
      </c>
      <c r="X39" s="24">
        <f t="shared" si="5"/>
        <v>9.0000000000000011E-2</v>
      </c>
      <c r="Z39" s="29" t="s">
        <v>657</v>
      </c>
      <c r="AA39" s="24">
        <v>0.01</v>
      </c>
      <c r="AB39" s="24">
        <v>0</v>
      </c>
      <c r="AC39" s="24">
        <v>0.03</v>
      </c>
      <c r="AD39" s="24">
        <v>0.02</v>
      </c>
      <c r="AE39" s="24">
        <v>0.02</v>
      </c>
      <c r="AF39" s="24">
        <v>0.02</v>
      </c>
      <c r="AG39" s="24">
        <v>0.02</v>
      </c>
      <c r="AH39" s="24">
        <f t="shared" ref="AH39:AH46" si="6">SUM(AA39:AG39)</f>
        <v>0.12000000000000001</v>
      </c>
      <c r="AL39" s="32" t="s">
        <v>162</v>
      </c>
      <c r="AM39" s="34">
        <v>0.15</v>
      </c>
      <c r="AN39" s="34">
        <v>0.15</v>
      </c>
      <c r="AO39" s="34">
        <v>0.15</v>
      </c>
      <c r="AP39" s="34">
        <v>0.3</v>
      </c>
      <c r="AQ39" s="6">
        <v>1</v>
      </c>
      <c r="AR39" s="6">
        <v>1</v>
      </c>
      <c r="AS39" s="6">
        <v>2</v>
      </c>
      <c r="AT39" s="6">
        <v>2</v>
      </c>
      <c r="AU39">
        <f t="shared" si="0"/>
        <v>6</v>
      </c>
      <c r="AV39" s="36">
        <v>0</v>
      </c>
      <c r="AW39" s="36"/>
      <c r="AX39" s="36">
        <v>0</v>
      </c>
      <c r="AY39" s="36">
        <v>0</v>
      </c>
      <c r="AZ39" s="36">
        <v>0</v>
      </c>
      <c r="BA39" s="36">
        <v>0</v>
      </c>
      <c r="BB39" s="36">
        <v>0</v>
      </c>
    </row>
    <row r="40" spans="1:54" x14ac:dyDescent="0.2">
      <c r="A40" t="s">
        <v>295</v>
      </c>
      <c r="B40" s="27">
        <v>0.05</v>
      </c>
      <c r="C40" s="27">
        <v>0.1</v>
      </c>
      <c r="D40" s="27">
        <v>0.02</v>
      </c>
      <c r="E40" s="27"/>
      <c r="I40" t="s">
        <v>647</v>
      </c>
      <c r="J40" t="s">
        <v>652</v>
      </c>
      <c r="P40" s="29" t="s">
        <v>783</v>
      </c>
      <c r="Q40" s="24">
        <v>0.01</v>
      </c>
      <c r="R40" s="24">
        <v>0.05</v>
      </c>
      <c r="S40" s="24">
        <v>0.02</v>
      </c>
      <c r="T40" s="24">
        <v>0.02</v>
      </c>
      <c r="U40" s="24">
        <v>0</v>
      </c>
      <c r="V40" s="24">
        <v>0</v>
      </c>
      <c r="W40" s="24">
        <v>0</v>
      </c>
      <c r="X40" s="24">
        <f t="shared" si="5"/>
        <v>0.1</v>
      </c>
      <c r="Z40" s="29" t="s">
        <v>783</v>
      </c>
      <c r="AA40" s="24">
        <v>0.01</v>
      </c>
      <c r="AB40" s="24">
        <v>0.05</v>
      </c>
      <c r="AC40" s="24">
        <v>0.02</v>
      </c>
      <c r="AD40" s="24">
        <v>0</v>
      </c>
      <c r="AE40" s="24">
        <v>0.02</v>
      </c>
      <c r="AF40" s="24">
        <v>0.02</v>
      </c>
      <c r="AG40" s="24">
        <v>0.02</v>
      </c>
      <c r="AH40" s="24">
        <f t="shared" si="6"/>
        <v>0.14000000000000001</v>
      </c>
      <c r="AL40" s="32" t="s">
        <v>201</v>
      </c>
      <c r="AM40" s="34">
        <v>0.15</v>
      </c>
      <c r="AN40" s="34">
        <v>0.15</v>
      </c>
      <c r="AO40" s="34">
        <v>0.15</v>
      </c>
      <c r="AP40" s="34">
        <v>0.3</v>
      </c>
      <c r="AQ40" s="6">
        <v>1</v>
      </c>
      <c r="AR40" s="6">
        <v>1</v>
      </c>
      <c r="AS40" s="6">
        <v>2</v>
      </c>
      <c r="AT40" s="6">
        <v>2</v>
      </c>
      <c r="AU40">
        <f t="shared" si="0"/>
        <v>6</v>
      </c>
      <c r="AV40" s="36">
        <v>0</v>
      </c>
      <c r="AW40" s="36"/>
      <c r="AX40" s="36">
        <v>0</v>
      </c>
      <c r="AY40" s="36">
        <v>0</v>
      </c>
      <c r="AZ40" s="36">
        <v>0</v>
      </c>
      <c r="BA40" s="36">
        <v>0</v>
      </c>
      <c r="BB40" s="36">
        <v>0</v>
      </c>
    </row>
    <row r="41" spans="1:54" x14ac:dyDescent="0.2">
      <c r="A41" t="s">
        <v>296</v>
      </c>
      <c r="B41" s="27">
        <v>0.05</v>
      </c>
      <c r="C41" s="27">
        <v>0.1</v>
      </c>
      <c r="D41" s="27">
        <v>0.02</v>
      </c>
      <c r="E41" s="27"/>
      <c r="P41" s="29" t="s">
        <v>819</v>
      </c>
      <c r="Q41" s="24">
        <v>0.01</v>
      </c>
      <c r="R41" s="24">
        <v>0</v>
      </c>
      <c r="S41" s="24">
        <v>0.02</v>
      </c>
      <c r="T41" s="24">
        <v>0.02</v>
      </c>
      <c r="U41" s="24">
        <v>0</v>
      </c>
      <c r="V41" s="24">
        <v>0</v>
      </c>
      <c r="W41" s="24">
        <v>0</v>
      </c>
      <c r="X41" s="24">
        <f t="shared" si="5"/>
        <v>0.05</v>
      </c>
      <c r="Z41" s="29" t="s">
        <v>819</v>
      </c>
      <c r="AA41" s="24">
        <v>0.01</v>
      </c>
      <c r="AB41" s="24">
        <v>0.05</v>
      </c>
      <c r="AC41" s="24">
        <v>0.02</v>
      </c>
      <c r="AD41" s="24">
        <v>0</v>
      </c>
      <c r="AE41" s="24">
        <v>0.02</v>
      </c>
      <c r="AF41" s="24">
        <v>0.02</v>
      </c>
      <c r="AG41" s="24">
        <v>0.02</v>
      </c>
      <c r="AH41" s="24">
        <f t="shared" si="6"/>
        <v>0.14000000000000001</v>
      </c>
      <c r="AK41" s="5" t="s">
        <v>1264</v>
      </c>
      <c r="AL41" s="32" t="s">
        <v>202</v>
      </c>
      <c r="AM41" s="34">
        <v>0.15</v>
      </c>
      <c r="AN41" s="34">
        <v>0.15</v>
      </c>
      <c r="AO41" s="34">
        <v>0.15</v>
      </c>
      <c r="AP41" s="34">
        <v>0.3</v>
      </c>
      <c r="AQ41" s="6">
        <v>1</v>
      </c>
      <c r="AR41" s="6">
        <v>1</v>
      </c>
      <c r="AS41" s="6">
        <v>2</v>
      </c>
      <c r="AT41" s="6">
        <v>2</v>
      </c>
      <c r="AU41">
        <f t="shared" si="0"/>
        <v>6</v>
      </c>
      <c r="AV41" s="36">
        <v>0</v>
      </c>
      <c r="AW41" s="36"/>
      <c r="AX41" s="36">
        <v>0</v>
      </c>
      <c r="AY41" s="36">
        <v>0</v>
      </c>
      <c r="AZ41" s="36">
        <v>0</v>
      </c>
      <c r="BA41" s="36">
        <v>0</v>
      </c>
      <c r="BB41" s="36">
        <v>0</v>
      </c>
    </row>
    <row r="42" spans="1:54" x14ac:dyDescent="0.2">
      <c r="A42" t="s">
        <v>24</v>
      </c>
      <c r="B42" s="27">
        <v>0.05</v>
      </c>
      <c r="C42" s="27">
        <v>0.1</v>
      </c>
      <c r="D42" s="27">
        <v>0.02</v>
      </c>
      <c r="E42" s="27"/>
      <c r="I42" t="s">
        <v>1457</v>
      </c>
      <c r="J42" s="2" t="s">
        <v>1451</v>
      </c>
      <c r="P42" s="29" t="s">
        <v>828</v>
      </c>
      <c r="Q42" s="24">
        <v>0.01</v>
      </c>
      <c r="R42" s="24">
        <v>0.05</v>
      </c>
      <c r="S42" s="24">
        <v>0.02</v>
      </c>
      <c r="T42" s="24">
        <v>0.02</v>
      </c>
      <c r="U42" s="24">
        <v>0</v>
      </c>
      <c r="V42" s="24">
        <v>0</v>
      </c>
      <c r="W42" s="24">
        <v>0</v>
      </c>
      <c r="X42" s="24">
        <f t="shared" si="5"/>
        <v>0.1</v>
      </c>
      <c r="Z42" s="29" t="s">
        <v>828</v>
      </c>
      <c r="AA42" s="24">
        <v>0.01</v>
      </c>
      <c r="AB42" s="24">
        <v>0.05</v>
      </c>
      <c r="AC42" s="24">
        <v>0.02</v>
      </c>
      <c r="AD42" s="24">
        <v>0</v>
      </c>
      <c r="AE42" s="24">
        <v>0.02</v>
      </c>
      <c r="AF42" s="24">
        <v>0.02</v>
      </c>
      <c r="AG42" s="24">
        <v>0.02</v>
      </c>
      <c r="AH42" s="24">
        <f t="shared" si="6"/>
        <v>0.14000000000000001</v>
      </c>
      <c r="AL42" s="32" t="s">
        <v>203</v>
      </c>
      <c r="AM42" s="34">
        <v>0.15</v>
      </c>
      <c r="AN42" s="34">
        <v>0.15</v>
      </c>
      <c r="AO42" s="34">
        <v>0.15</v>
      </c>
      <c r="AP42" s="34">
        <v>0.3</v>
      </c>
      <c r="AQ42" s="6">
        <v>1</v>
      </c>
      <c r="AR42" s="6">
        <v>1</v>
      </c>
      <c r="AS42" s="6">
        <v>2</v>
      </c>
      <c r="AT42" s="6">
        <v>2</v>
      </c>
      <c r="AU42">
        <f t="shared" si="0"/>
        <v>6</v>
      </c>
      <c r="AV42" s="36">
        <v>0</v>
      </c>
      <c r="AW42" s="36"/>
      <c r="AX42" s="36">
        <v>0</v>
      </c>
      <c r="AY42" s="36">
        <v>0</v>
      </c>
      <c r="AZ42" s="36">
        <v>0</v>
      </c>
      <c r="BA42" s="36">
        <v>0</v>
      </c>
      <c r="BB42" s="36">
        <v>0</v>
      </c>
    </row>
    <row r="43" spans="1:54" x14ac:dyDescent="0.2">
      <c r="A43" t="s">
        <v>297</v>
      </c>
      <c r="B43" s="27">
        <v>0.05</v>
      </c>
      <c r="C43" s="27">
        <v>0.1</v>
      </c>
      <c r="D43" s="27">
        <v>0.02</v>
      </c>
      <c r="E43" s="27"/>
      <c r="I43" t="s">
        <v>1458</v>
      </c>
      <c r="J43" s="2" t="s">
        <v>1452</v>
      </c>
      <c r="P43" s="29" t="s">
        <v>827</v>
      </c>
      <c r="Q43" s="24">
        <v>0.01</v>
      </c>
      <c r="R43" s="24">
        <v>0.01</v>
      </c>
      <c r="S43" s="24">
        <v>0.01</v>
      </c>
      <c r="T43" s="24">
        <v>0.01</v>
      </c>
      <c r="U43" s="24">
        <v>0</v>
      </c>
      <c r="V43" s="24">
        <v>0</v>
      </c>
      <c r="W43" s="24">
        <v>0</v>
      </c>
      <c r="X43" s="24">
        <f t="shared" si="5"/>
        <v>0.04</v>
      </c>
      <c r="Z43" s="29" t="s">
        <v>827</v>
      </c>
      <c r="AA43" s="24">
        <v>0.01</v>
      </c>
      <c r="AB43" s="24">
        <v>0.05</v>
      </c>
      <c r="AC43" s="24">
        <v>0.02</v>
      </c>
      <c r="AD43" s="24">
        <v>0</v>
      </c>
      <c r="AE43" s="24">
        <v>0.02</v>
      </c>
      <c r="AF43" s="24">
        <v>0.02</v>
      </c>
      <c r="AG43" s="24">
        <v>0.02</v>
      </c>
      <c r="AH43" s="24">
        <f t="shared" si="6"/>
        <v>0.14000000000000001</v>
      </c>
      <c r="AL43" s="32" t="s">
        <v>204</v>
      </c>
      <c r="AM43" s="34">
        <v>0.15</v>
      </c>
      <c r="AN43" s="34">
        <v>0.15</v>
      </c>
      <c r="AO43" s="34">
        <v>0.15</v>
      </c>
      <c r="AP43" s="34">
        <v>0.3</v>
      </c>
      <c r="AQ43" s="6">
        <v>1</v>
      </c>
      <c r="AR43" s="6">
        <v>1</v>
      </c>
      <c r="AS43" s="6">
        <v>2</v>
      </c>
      <c r="AT43" s="6">
        <v>2</v>
      </c>
      <c r="AU43">
        <f t="shared" si="0"/>
        <v>6</v>
      </c>
      <c r="AV43" s="36">
        <v>0</v>
      </c>
      <c r="AW43" s="36"/>
      <c r="AX43" s="36">
        <v>0</v>
      </c>
      <c r="AY43" s="36">
        <v>0</v>
      </c>
      <c r="AZ43" s="36">
        <v>0</v>
      </c>
      <c r="BA43" s="36">
        <v>0</v>
      </c>
      <c r="BB43" s="36">
        <v>0</v>
      </c>
    </row>
    <row r="44" spans="1:54" x14ac:dyDescent="0.2">
      <c r="A44" t="s">
        <v>298</v>
      </c>
      <c r="B44" s="27">
        <v>0.05</v>
      </c>
      <c r="C44" s="27">
        <v>0.1</v>
      </c>
      <c r="D44" s="27">
        <v>0.02</v>
      </c>
      <c r="E44" s="27"/>
      <c r="I44" t="s">
        <v>1459</v>
      </c>
      <c r="J44" s="2" t="s">
        <v>1453</v>
      </c>
      <c r="P44" s="29" t="s">
        <v>1379</v>
      </c>
      <c r="Q44" s="24">
        <v>0.01</v>
      </c>
      <c r="R44" s="24">
        <v>0</v>
      </c>
      <c r="S44" s="24">
        <v>0.02</v>
      </c>
      <c r="T44" s="24">
        <v>0.02</v>
      </c>
      <c r="U44" s="24">
        <v>0.02</v>
      </c>
      <c r="V44" s="24">
        <v>0.02</v>
      </c>
      <c r="W44" s="24">
        <v>0</v>
      </c>
      <c r="X44" s="24">
        <f>SUM(Q44:W44)</f>
        <v>9.0000000000000011E-2</v>
      </c>
      <c r="Z44" s="29" t="s">
        <v>1379</v>
      </c>
      <c r="AA44" s="24">
        <v>0.01</v>
      </c>
      <c r="AB44" s="24">
        <v>0.05</v>
      </c>
      <c r="AC44" s="24">
        <v>0.02</v>
      </c>
      <c r="AD44" s="24">
        <v>0</v>
      </c>
      <c r="AE44" s="24">
        <v>0.02</v>
      </c>
      <c r="AF44" s="24">
        <v>0.02</v>
      </c>
      <c r="AG44" s="24">
        <v>0.02</v>
      </c>
      <c r="AH44" s="24">
        <f>SUM(AA44:AG44)</f>
        <v>0.14000000000000001</v>
      </c>
      <c r="AL44" s="32" t="s">
        <v>824</v>
      </c>
      <c r="AM44" s="34">
        <v>0.15</v>
      </c>
      <c r="AN44" s="34">
        <v>0.15</v>
      </c>
      <c r="AO44" s="34">
        <v>0.15</v>
      </c>
      <c r="AP44" s="34">
        <v>0.3</v>
      </c>
      <c r="AQ44" s="6">
        <v>1</v>
      </c>
      <c r="AR44" s="6">
        <v>1</v>
      </c>
      <c r="AS44" s="6">
        <v>2</v>
      </c>
      <c r="AT44" s="6">
        <v>2</v>
      </c>
      <c r="AU44">
        <f t="shared" si="0"/>
        <v>6</v>
      </c>
      <c r="AV44" s="36">
        <v>0</v>
      </c>
      <c r="AW44" s="36"/>
      <c r="AX44" s="36">
        <v>0</v>
      </c>
      <c r="AY44" s="36">
        <v>0</v>
      </c>
      <c r="AZ44" s="36">
        <v>0</v>
      </c>
      <c r="BA44" s="36">
        <v>0</v>
      </c>
      <c r="BB44" s="36">
        <v>0</v>
      </c>
    </row>
    <row r="45" spans="1:54" x14ac:dyDescent="0.2">
      <c r="A45" t="s">
        <v>299</v>
      </c>
      <c r="B45" s="27">
        <v>0.05</v>
      </c>
      <c r="C45" s="27">
        <v>0.1</v>
      </c>
      <c r="D45" s="27">
        <v>0.02</v>
      </c>
      <c r="E45" s="27"/>
      <c r="I45" t="s">
        <v>648</v>
      </c>
      <c r="J45" s="2" t="s">
        <v>653</v>
      </c>
      <c r="P45" s="29" t="s">
        <v>1476</v>
      </c>
      <c r="Q45" s="24">
        <v>0.01</v>
      </c>
      <c r="R45" s="24">
        <v>0</v>
      </c>
      <c r="S45" s="24">
        <v>0.02</v>
      </c>
      <c r="T45" s="24">
        <v>0.02</v>
      </c>
      <c r="U45" s="24">
        <v>0.02</v>
      </c>
      <c r="V45" s="24">
        <v>0.02</v>
      </c>
      <c r="W45" s="24">
        <v>0</v>
      </c>
      <c r="X45" s="24">
        <f>SUM(Q45:W45)</f>
        <v>9.0000000000000011E-2</v>
      </c>
      <c r="Z45" s="29" t="s">
        <v>1476</v>
      </c>
      <c r="AA45" s="24">
        <v>0.01</v>
      </c>
      <c r="AB45" s="24">
        <v>0.05</v>
      </c>
      <c r="AC45" s="24">
        <v>0.02</v>
      </c>
      <c r="AD45" s="24">
        <v>0</v>
      </c>
      <c r="AE45" s="24">
        <v>0.02</v>
      </c>
      <c r="AF45" s="24">
        <v>0.02</v>
      </c>
      <c r="AG45" s="24">
        <v>0.02</v>
      </c>
      <c r="AH45" s="24">
        <f>SUM(AA45:AG45)</f>
        <v>0.14000000000000001</v>
      </c>
      <c r="AL45" s="26"/>
      <c r="AM45" s="34"/>
      <c r="AN45" s="34"/>
      <c r="AO45" s="34"/>
      <c r="AP45" s="34"/>
      <c r="AQ45" s="6"/>
      <c r="AR45" s="6"/>
      <c r="AS45" s="6"/>
      <c r="AT45" s="6"/>
      <c r="AV45" s="36"/>
      <c r="AW45" s="36"/>
      <c r="AX45" s="36"/>
      <c r="AY45" s="36"/>
      <c r="AZ45" s="36"/>
      <c r="BA45" s="36"/>
      <c r="BB45" s="36"/>
    </row>
    <row r="46" spans="1:54" x14ac:dyDescent="0.2">
      <c r="A46" t="s">
        <v>300</v>
      </c>
      <c r="B46" s="27">
        <v>0.05</v>
      </c>
      <c r="C46" s="27">
        <v>0.1</v>
      </c>
      <c r="D46" s="27">
        <v>0.02</v>
      </c>
      <c r="E46" s="27"/>
      <c r="I46" t="s">
        <v>1460</v>
      </c>
      <c r="J46" s="2" t="s">
        <v>1461</v>
      </c>
      <c r="P46" s="29" t="s">
        <v>809</v>
      </c>
      <c r="Q46" s="24">
        <v>0.01</v>
      </c>
      <c r="R46" s="24">
        <v>0.05</v>
      </c>
      <c r="S46" s="24">
        <v>0.02</v>
      </c>
      <c r="T46" s="24">
        <v>0.02</v>
      </c>
      <c r="U46" s="24">
        <v>0</v>
      </c>
      <c r="V46" s="24">
        <v>0</v>
      </c>
      <c r="W46" s="24">
        <v>0</v>
      </c>
      <c r="X46" s="24">
        <f t="shared" si="5"/>
        <v>0.1</v>
      </c>
      <c r="Z46" s="29" t="s">
        <v>809</v>
      </c>
      <c r="AA46" s="24">
        <v>0.01</v>
      </c>
      <c r="AB46" s="24">
        <v>0.05</v>
      </c>
      <c r="AC46" s="24">
        <v>0.02</v>
      </c>
      <c r="AD46" s="24">
        <v>0</v>
      </c>
      <c r="AE46" s="24">
        <v>0.02</v>
      </c>
      <c r="AF46" s="24">
        <v>0.02</v>
      </c>
      <c r="AG46" s="24">
        <v>0.02</v>
      </c>
      <c r="AH46" s="24">
        <f t="shared" si="6"/>
        <v>0.14000000000000001</v>
      </c>
      <c r="AL46" s="32" t="s">
        <v>825</v>
      </c>
      <c r="AM46" s="34">
        <v>0.15</v>
      </c>
      <c r="AN46" s="34">
        <v>0.15</v>
      </c>
      <c r="AO46" s="34">
        <v>0.15</v>
      </c>
      <c r="AP46" s="34">
        <v>0.3</v>
      </c>
      <c r="AQ46" s="6">
        <v>8</v>
      </c>
      <c r="AR46" s="6">
        <v>8</v>
      </c>
      <c r="AS46" s="6">
        <v>16</v>
      </c>
      <c r="AT46" s="6">
        <v>16</v>
      </c>
      <c r="AU46">
        <f t="shared" si="0"/>
        <v>48</v>
      </c>
      <c r="AV46" s="36">
        <v>0</v>
      </c>
      <c r="AW46" s="36"/>
      <c r="AX46" s="36">
        <v>0</v>
      </c>
      <c r="AY46" s="36">
        <v>0</v>
      </c>
      <c r="AZ46" s="36">
        <v>0</v>
      </c>
      <c r="BA46" s="36">
        <v>0</v>
      </c>
      <c r="BB46" s="36">
        <v>0</v>
      </c>
    </row>
    <row r="47" spans="1:54" x14ac:dyDescent="0.2">
      <c r="A47" t="s">
        <v>301</v>
      </c>
      <c r="B47" s="27">
        <v>0.05</v>
      </c>
      <c r="C47" s="27">
        <v>0.1</v>
      </c>
      <c r="D47" s="27">
        <v>0.02</v>
      </c>
      <c r="E47" s="27"/>
      <c r="P47" s="29"/>
      <c r="Q47" s="24"/>
      <c r="R47" s="24"/>
      <c r="S47" s="24"/>
      <c r="T47" s="24"/>
      <c r="U47" s="24"/>
      <c r="V47" s="24"/>
      <c r="W47" s="25"/>
      <c r="X47" s="24"/>
      <c r="Z47" s="29"/>
      <c r="AA47" s="24"/>
      <c r="AB47" s="24"/>
      <c r="AC47" s="24"/>
      <c r="AD47" s="24"/>
      <c r="AE47" s="24"/>
      <c r="AF47" s="24"/>
      <c r="AG47" s="25"/>
      <c r="AH47" s="24"/>
      <c r="AL47" s="32" t="s">
        <v>826</v>
      </c>
      <c r="AM47" s="34">
        <v>0.15</v>
      </c>
      <c r="AN47" s="34">
        <v>0.15</v>
      </c>
      <c r="AO47" s="34">
        <v>0.15</v>
      </c>
      <c r="AP47" s="34">
        <v>0.3</v>
      </c>
      <c r="AQ47" s="6">
        <v>1</v>
      </c>
      <c r="AR47" s="6">
        <v>1</v>
      </c>
      <c r="AS47" s="6">
        <v>2</v>
      </c>
      <c r="AT47" s="6">
        <v>2</v>
      </c>
      <c r="AU47">
        <f t="shared" si="0"/>
        <v>6</v>
      </c>
      <c r="AV47" s="36">
        <v>0</v>
      </c>
      <c r="AW47" s="36"/>
      <c r="AX47" s="36">
        <v>0</v>
      </c>
      <c r="AY47" s="36">
        <v>0</v>
      </c>
      <c r="AZ47" s="36">
        <v>0</v>
      </c>
      <c r="BA47" s="36">
        <v>0</v>
      </c>
      <c r="BB47" s="36">
        <v>0</v>
      </c>
    </row>
    <row r="48" spans="1:54" x14ac:dyDescent="0.2">
      <c r="A48" t="s">
        <v>133</v>
      </c>
      <c r="B48" s="27">
        <v>0.05</v>
      </c>
      <c r="C48" s="27">
        <v>0.1</v>
      </c>
      <c r="D48" s="27">
        <v>0.02</v>
      </c>
      <c r="E48" s="27"/>
      <c r="I48" t="s">
        <v>1534</v>
      </c>
      <c r="P48" s="31" t="s">
        <v>579</v>
      </c>
      <c r="Q48" s="24"/>
      <c r="R48" s="24"/>
      <c r="S48" s="24"/>
      <c r="T48" s="24"/>
      <c r="U48" s="24"/>
      <c r="V48" s="24"/>
      <c r="W48" s="24"/>
      <c r="X48" s="24"/>
      <c r="Z48" s="31" t="s">
        <v>579</v>
      </c>
      <c r="AA48" s="24"/>
      <c r="AB48" s="24"/>
      <c r="AC48" s="24"/>
      <c r="AD48" s="24"/>
      <c r="AE48" s="24"/>
      <c r="AF48" s="24"/>
      <c r="AG48" s="24"/>
      <c r="AH48" s="24"/>
      <c r="AL48" s="32" t="s">
        <v>10</v>
      </c>
      <c r="AM48" s="34">
        <v>0.15</v>
      </c>
      <c r="AN48" s="34">
        <v>0.15</v>
      </c>
      <c r="AO48" s="34">
        <v>0.2</v>
      </c>
      <c r="AP48" s="34">
        <v>0.3</v>
      </c>
      <c r="AQ48" s="6">
        <v>0.5</v>
      </c>
      <c r="AR48" s="6">
        <v>0.25</v>
      </c>
      <c r="AS48" s="6">
        <v>0.25</v>
      </c>
      <c r="AT48" s="6">
        <v>1</v>
      </c>
      <c r="AU48">
        <f t="shared" si="0"/>
        <v>2</v>
      </c>
      <c r="AV48" s="36">
        <v>0</v>
      </c>
      <c r="AW48" s="36"/>
      <c r="AX48" s="36">
        <v>0</v>
      </c>
      <c r="AY48" s="36">
        <v>0</v>
      </c>
      <c r="AZ48" s="36">
        <v>0</v>
      </c>
      <c r="BA48" s="36">
        <v>0</v>
      </c>
      <c r="BB48" s="36">
        <v>0</v>
      </c>
    </row>
    <row r="49" spans="1:54" x14ac:dyDescent="0.2">
      <c r="A49" t="s">
        <v>137</v>
      </c>
      <c r="B49" s="27">
        <v>0.05</v>
      </c>
      <c r="C49" s="27">
        <v>0.1</v>
      </c>
      <c r="D49" s="27">
        <v>0.02</v>
      </c>
      <c r="E49" s="27"/>
      <c r="I49" t="s">
        <v>1533</v>
      </c>
      <c r="P49" s="29" t="s">
        <v>479</v>
      </c>
      <c r="Q49" s="24">
        <v>0.01</v>
      </c>
      <c r="R49" s="24">
        <v>0</v>
      </c>
      <c r="S49" s="24">
        <v>0.03</v>
      </c>
      <c r="T49" s="24">
        <v>0.02</v>
      </c>
      <c r="U49" s="24">
        <v>0.02</v>
      </c>
      <c r="V49" s="24">
        <v>0.02</v>
      </c>
      <c r="W49" s="24">
        <v>0.02</v>
      </c>
      <c r="X49" s="24">
        <f>SUM(Q49:W49)</f>
        <v>0.12000000000000001</v>
      </c>
      <c r="Z49" s="29" t="s">
        <v>479</v>
      </c>
      <c r="AA49" s="24">
        <v>0.01</v>
      </c>
      <c r="AB49" s="24">
        <v>0</v>
      </c>
      <c r="AC49" s="24">
        <v>0.03</v>
      </c>
      <c r="AD49" s="24">
        <v>0.02</v>
      </c>
      <c r="AE49" s="24">
        <v>0.05</v>
      </c>
      <c r="AF49" s="24">
        <v>0.08</v>
      </c>
      <c r="AG49" s="25">
        <v>0.03</v>
      </c>
      <c r="AH49" s="24">
        <f t="shared" si="4"/>
        <v>0.22</v>
      </c>
      <c r="AL49" s="32" t="s">
        <v>468</v>
      </c>
      <c r="AM49" s="34">
        <v>0.3</v>
      </c>
      <c r="AN49" s="34">
        <v>0.3</v>
      </c>
      <c r="AO49" s="34">
        <v>0.3</v>
      </c>
      <c r="AP49" s="34">
        <v>0.3</v>
      </c>
      <c r="AQ49" s="6">
        <v>0.5</v>
      </c>
      <c r="AR49" s="6">
        <v>0.25</v>
      </c>
      <c r="AS49" s="6">
        <v>0.25</v>
      </c>
      <c r="AT49" s="6">
        <v>1</v>
      </c>
      <c r="AU49">
        <f t="shared" si="0"/>
        <v>2</v>
      </c>
      <c r="AV49" s="36">
        <v>0</v>
      </c>
      <c r="AW49" s="36"/>
      <c r="AX49" s="36">
        <v>0</v>
      </c>
      <c r="AY49" s="36">
        <v>0</v>
      </c>
      <c r="AZ49" s="36">
        <v>0</v>
      </c>
      <c r="BA49" s="36">
        <v>0</v>
      </c>
      <c r="BB49" s="36">
        <v>0</v>
      </c>
    </row>
    <row r="50" spans="1:54" x14ac:dyDescent="0.2">
      <c r="A50" t="s">
        <v>302</v>
      </c>
      <c r="B50" s="27">
        <v>0.05</v>
      </c>
      <c r="C50" s="27">
        <v>0.1</v>
      </c>
      <c r="D50" s="27">
        <v>0.02</v>
      </c>
      <c r="E50" s="27"/>
      <c r="I50" t="s">
        <v>1555</v>
      </c>
      <c r="P50" s="29" t="s">
        <v>515</v>
      </c>
      <c r="Q50" s="24">
        <v>0.01</v>
      </c>
      <c r="R50" s="24">
        <v>0</v>
      </c>
      <c r="S50" s="24">
        <v>0.03</v>
      </c>
      <c r="T50" s="24">
        <v>0.02</v>
      </c>
      <c r="U50" s="24">
        <v>0.02</v>
      </c>
      <c r="V50" s="24">
        <v>0.02</v>
      </c>
      <c r="W50" s="24">
        <v>0.02</v>
      </c>
      <c r="X50" s="24">
        <f>SUM(Q50:W50)</f>
        <v>0.12000000000000001</v>
      </c>
      <c r="Z50" s="29" t="s">
        <v>515</v>
      </c>
      <c r="AA50" s="24">
        <v>0.01</v>
      </c>
      <c r="AB50" s="24">
        <v>0</v>
      </c>
      <c r="AC50" s="24">
        <v>0.03</v>
      </c>
      <c r="AD50" s="24">
        <v>0.02</v>
      </c>
      <c r="AE50" s="24">
        <v>0.05</v>
      </c>
      <c r="AF50" s="24">
        <v>0.03</v>
      </c>
      <c r="AG50" s="24">
        <v>0.03</v>
      </c>
      <c r="AH50" s="24">
        <f t="shared" si="4"/>
        <v>0.17</v>
      </c>
      <c r="AL50" s="32" t="s">
        <v>27</v>
      </c>
      <c r="AM50" s="34">
        <v>0.15</v>
      </c>
      <c r="AN50" s="34">
        <v>0.15</v>
      </c>
      <c r="AO50" s="34">
        <v>0.15</v>
      </c>
      <c r="AP50" s="34">
        <v>0.3</v>
      </c>
      <c r="AQ50" s="6">
        <v>0.5</v>
      </c>
      <c r="AR50" s="6">
        <v>0.25</v>
      </c>
      <c r="AS50" s="6">
        <v>0.25</v>
      </c>
      <c r="AT50" s="6">
        <v>1</v>
      </c>
      <c r="AU50">
        <f t="shared" si="0"/>
        <v>2</v>
      </c>
      <c r="AV50" s="36">
        <v>0</v>
      </c>
      <c r="AW50" s="36"/>
      <c r="AX50" s="36">
        <v>0</v>
      </c>
      <c r="AY50" s="36">
        <v>0</v>
      </c>
      <c r="AZ50" s="36">
        <v>0</v>
      </c>
      <c r="BA50" s="36">
        <v>0</v>
      </c>
      <c r="BB50" s="36">
        <v>0</v>
      </c>
    </row>
    <row r="51" spans="1:54" x14ac:dyDescent="0.2">
      <c r="A51" t="s">
        <v>303</v>
      </c>
      <c r="B51" s="27">
        <v>0.05</v>
      </c>
      <c r="C51" s="27">
        <v>0.1</v>
      </c>
      <c r="D51" s="27">
        <v>0.02</v>
      </c>
      <c r="E51" s="27"/>
      <c r="I51" t="s">
        <v>73</v>
      </c>
      <c r="P51" s="29" t="s">
        <v>789</v>
      </c>
      <c r="Q51" s="24">
        <v>0.01</v>
      </c>
      <c r="R51" s="24">
        <v>0</v>
      </c>
      <c r="S51" s="24">
        <v>0.03</v>
      </c>
      <c r="T51" s="24">
        <v>0.02</v>
      </c>
      <c r="U51" s="24">
        <v>0.02</v>
      </c>
      <c r="V51" s="24">
        <v>0.02</v>
      </c>
      <c r="W51" s="24">
        <v>0.02</v>
      </c>
      <c r="X51" s="24">
        <f>SUM(Q51:W51)</f>
        <v>0.12000000000000001</v>
      </c>
      <c r="Z51" s="29" t="s">
        <v>789</v>
      </c>
      <c r="AA51" s="24">
        <v>0.01</v>
      </c>
      <c r="AB51" s="24">
        <v>0</v>
      </c>
      <c r="AC51" s="24">
        <v>0.03</v>
      </c>
      <c r="AD51" s="24">
        <v>0.02</v>
      </c>
      <c r="AE51" s="24">
        <v>0.05</v>
      </c>
      <c r="AF51" s="24">
        <v>0.08</v>
      </c>
      <c r="AG51" s="24">
        <v>0.03</v>
      </c>
      <c r="AH51" s="24">
        <f>SUM(AA51:AG51)</f>
        <v>0.22</v>
      </c>
      <c r="AL51" s="32" t="s">
        <v>117</v>
      </c>
      <c r="AM51" s="34">
        <v>0.15</v>
      </c>
      <c r="AN51" s="34">
        <v>0.15</v>
      </c>
      <c r="AO51" s="34">
        <v>0.15</v>
      </c>
      <c r="AP51" s="34">
        <v>0.3</v>
      </c>
      <c r="AQ51" s="6">
        <v>0.5</v>
      </c>
      <c r="AR51" s="6">
        <v>0.25</v>
      </c>
      <c r="AS51" s="6">
        <v>0.25</v>
      </c>
      <c r="AT51" s="6">
        <v>1</v>
      </c>
      <c r="AU51">
        <f t="shared" si="0"/>
        <v>2</v>
      </c>
      <c r="AV51" s="36">
        <v>0</v>
      </c>
      <c r="AW51" s="36"/>
      <c r="AX51" s="36">
        <v>0</v>
      </c>
      <c r="AY51" s="36">
        <v>0</v>
      </c>
      <c r="AZ51" s="36">
        <v>0</v>
      </c>
      <c r="BA51" s="36">
        <v>0</v>
      </c>
      <c r="BB51" s="36">
        <v>0</v>
      </c>
    </row>
    <row r="52" spans="1:54" x14ac:dyDescent="0.2">
      <c r="A52" t="s">
        <v>304</v>
      </c>
      <c r="B52" s="27">
        <v>0.05</v>
      </c>
      <c r="C52" s="27">
        <v>0.1</v>
      </c>
      <c r="D52" s="27">
        <v>0.02</v>
      </c>
      <c r="E52" s="27"/>
      <c r="P52" s="29"/>
      <c r="Q52" s="24"/>
      <c r="R52" s="24"/>
      <c r="S52" s="24"/>
      <c r="T52" s="24"/>
      <c r="U52" s="24"/>
      <c r="V52" s="24"/>
      <c r="W52" s="24"/>
      <c r="X52" s="24"/>
      <c r="Z52" s="29"/>
      <c r="AA52" s="24"/>
      <c r="AB52" s="24"/>
      <c r="AC52" s="24"/>
      <c r="AD52" s="24"/>
      <c r="AE52" s="24"/>
      <c r="AF52" s="24"/>
      <c r="AG52" s="24"/>
      <c r="AH52" s="24"/>
      <c r="AL52" s="32" t="s">
        <v>181</v>
      </c>
      <c r="AM52" s="34">
        <v>0.15</v>
      </c>
      <c r="AN52" s="34">
        <v>0.15</v>
      </c>
      <c r="AO52" s="34">
        <v>0.15</v>
      </c>
      <c r="AP52" s="34">
        <v>0.3</v>
      </c>
      <c r="AQ52" s="6">
        <v>0.5</v>
      </c>
      <c r="AR52" s="6">
        <v>0.25</v>
      </c>
      <c r="AS52" s="6">
        <v>0.25</v>
      </c>
      <c r="AT52" s="6">
        <v>0.25</v>
      </c>
      <c r="AU52">
        <f t="shared" si="0"/>
        <v>1.25</v>
      </c>
      <c r="AV52" s="36">
        <v>0</v>
      </c>
      <c r="AW52" s="36"/>
      <c r="AX52" s="36">
        <v>0</v>
      </c>
      <c r="AY52" s="36">
        <v>0</v>
      </c>
      <c r="AZ52" s="36">
        <v>0</v>
      </c>
      <c r="BA52" s="36">
        <v>0</v>
      </c>
      <c r="BB52" s="36">
        <v>0</v>
      </c>
    </row>
    <row r="53" spans="1:54" x14ac:dyDescent="0.2">
      <c r="A53" t="s">
        <v>138</v>
      </c>
      <c r="B53" s="27">
        <v>0.05</v>
      </c>
      <c r="C53" s="27">
        <v>0.1</v>
      </c>
      <c r="D53" s="27">
        <v>0.02</v>
      </c>
      <c r="E53" s="27"/>
      <c r="I53" t="s">
        <v>1557</v>
      </c>
      <c r="P53" s="31" t="s">
        <v>580</v>
      </c>
      <c r="Q53" s="24"/>
      <c r="R53" s="24"/>
      <c r="S53" s="24"/>
      <c r="T53" s="24"/>
      <c r="U53" s="24"/>
      <c r="V53" s="24"/>
      <c r="W53" s="24"/>
      <c r="X53" s="24"/>
      <c r="Z53" s="31" t="s">
        <v>580</v>
      </c>
      <c r="AA53" s="24"/>
      <c r="AB53" s="24"/>
      <c r="AC53" s="24"/>
      <c r="AD53" s="24"/>
      <c r="AE53" s="24"/>
      <c r="AF53" s="24"/>
      <c r="AG53" s="24"/>
      <c r="AH53" s="24"/>
      <c r="AL53" s="32" t="s">
        <v>185</v>
      </c>
      <c r="AM53" s="34">
        <v>0.15</v>
      </c>
      <c r="AN53" s="34">
        <v>0.15</v>
      </c>
      <c r="AO53" s="34">
        <v>0.15</v>
      </c>
      <c r="AP53" s="34">
        <v>0.3</v>
      </c>
      <c r="AQ53" s="6">
        <v>0.5</v>
      </c>
      <c r="AR53" s="6">
        <v>0.25</v>
      </c>
      <c r="AS53" s="6">
        <v>0.25</v>
      </c>
      <c r="AT53" s="6">
        <v>1</v>
      </c>
      <c r="AU53">
        <f t="shared" si="0"/>
        <v>2</v>
      </c>
      <c r="AV53" s="36">
        <v>0</v>
      </c>
      <c r="AW53" s="36"/>
      <c r="AX53" s="36">
        <v>0</v>
      </c>
      <c r="AY53" s="36">
        <v>0</v>
      </c>
      <c r="AZ53" s="36">
        <v>0</v>
      </c>
      <c r="BA53" s="36">
        <v>0</v>
      </c>
      <c r="BB53" s="36">
        <v>0</v>
      </c>
    </row>
    <row r="54" spans="1:54" x14ac:dyDescent="0.2">
      <c r="A54" t="s">
        <v>305</v>
      </c>
      <c r="B54" s="27">
        <v>0.05</v>
      </c>
      <c r="C54" s="27">
        <v>0.1</v>
      </c>
      <c r="D54" s="27">
        <v>0.02</v>
      </c>
      <c r="E54" s="27"/>
      <c r="I54" t="s">
        <v>1564</v>
      </c>
      <c r="P54" s="29" t="s">
        <v>429</v>
      </c>
      <c r="Q54" s="24">
        <v>0.02</v>
      </c>
      <c r="R54" s="24">
        <v>0.05</v>
      </c>
      <c r="S54" s="24">
        <v>0.03</v>
      </c>
      <c r="T54" s="24">
        <v>0.05</v>
      </c>
      <c r="U54" s="24">
        <v>0.05</v>
      </c>
      <c r="V54" s="24">
        <v>0.05</v>
      </c>
      <c r="W54" s="24">
        <v>0.05</v>
      </c>
      <c r="X54" s="24">
        <f>SUM(Q54:W54)</f>
        <v>0.3</v>
      </c>
      <c r="Z54" s="29" t="s">
        <v>429</v>
      </c>
      <c r="AA54" s="24">
        <v>0.02</v>
      </c>
      <c r="AB54" s="24">
        <v>0.05</v>
      </c>
      <c r="AC54" s="24">
        <v>0.03</v>
      </c>
      <c r="AD54" s="24">
        <v>0.05</v>
      </c>
      <c r="AE54" s="24">
        <v>0.05</v>
      </c>
      <c r="AF54" s="24">
        <v>0.05</v>
      </c>
      <c r="AG54" s="24">
        <v>0.05</v>
      </c>
      <c r="AH54" s="24">
        <f>SUM(AA54:AG54)</f>
        <v>0.3</v>
      </c>
      <c r="AL54" s="32" t="s">
        <v>177</v>
      </c>
      <c r="AM54" s="34">
        <v>0.15</v>
      </c>
      <c r="AN54" s="34">
        <v>0.15</v>
      </c>
      <c r="AO54" s="34">
        <v>0.15</v>
      </c>
      <c r="AP54" s="34">
        <v>0.3</v>
      </c>
      <c r="AQ54" s="6">
        <v>8</v>
      </c>
      <c r="AR54" s="6">
        <v>8</v>
      </c>
      <c r="AS54" s="6">
        <v>8</v>
      </c>
      <c r="AT54" s="6">
        <v>24</v>
      </c>
      <c r="AU54">
        <f t="shared" si="0"/>
        <v>48</v>
      </c>
      <c r="AV54" s="36">
        <v>0</v>
      </c>
      <c r="AW54" s="36"/>
      <c r="AX54" s="36">
        <v>0</v>
      </c>
      <c r="AY54" s="36">
        <v>0</v>
      </c>
      <c r="AZ54" s="36">
        <v>0</v>
      </c>
      <c r="BA54" s="36">
        <v>0</v>
      </c>
      <c r="BB54" s="36">
        <v>0</v>
      </c>
    </row>
    <row r="55" spans="1:54" x14ac:dyDescent="0.2">
      <c r="A55" t="s">
        <v>306</v>
      </c>
      <c r="B55" s="27">
        <v>0.05</v>
      </c>
      <c r="C55" s="27">
        <v>0.1</v>
      </c>
      <c r="D55" s="27">
        <v>0.02</v>
      </c>
      <c r="E55" s="27"/>
      <c r="I55" t="s">
        <v>1558</v>
      </c>
      <c r="P55" s="29" t="s">
        <v>499</v>
      </c>
      <c r="Q55" s="24">
        <v>0.02</v>
      </c>
      <c r="R55" s="24">
        <v>0.1</v>
      </c>
      <c r="S55" s="24">
        <v>0.03</v>
      </c>
      <c r="T55" s="24">
        <v>0.05</v>
      </c>
      <c r="U55" s="24">
        <v>0.05</v>
      </c>
      <c r="V55" s="24">
        <v>7.4999999999999997E-2</v>
      </c>
      <c r="W55" s="24">
        <v>0.05</v>
      </c>
      <c r="X55" s="24">
        <f>SUM(Q55:W55)</f>
        <v>0.375</v>
      </c>
      <c r="Z55" s="29" t="s">
        <v>499</v>
      </c>
      <c r="AA55" s="24">
        <v>0.02</v>
      </c>
      <c r="AB55" s="24">
        <v>0.1</v>
      </c>
      <c r="AC55" s="24">
        <v>0.05</v>
      </c>
      <c r="AD55" s="24">
        <v>0.05</v>
      </c>
      <c r="AE55" s="24">
        <v>0.05</v>
      </c>
      <c r="AF55" s="24">
        <v>7.4999999999999997E-2</v>
      </c>
      <c r="AG55" s="24">
        <v>0.05</v>
      </c>
      <c r="AH55" s="24">
        <f>SUM(AA55:AG55)</f>
        <v>0.39500000000000002</v>
      </c>
    </row>
    <row r="56" spans="1:54" x14ac:dyDescent="0.2">
      <c r="A56" t="s">
        <v>134</v>
      </c>
      <c r="B56" s="27">
        <v>0.05</v>
      </c>
      <c r="C56" s="27">
        <v>0.1</v>
      </c>
      <c r="D56" s="27">
        <v>0.02</v>
      </c>
      <c r="E56" s="27"/>
      <c r="I56" t="s">
        <v>1559</v>
      </c>
      <c r="P56" s="31" t="s">
        <v>1545</v>
      </c>
      <c r="Q56" s="24">
        <v>0.01</v>
      </c>
      <c r="R56" s="24">
        <v>0.05</v>
      </c>
      <c r="S56" s="24">
        <v>0.01</v>
      </c>
      <c r="T56" s="24">
        <v>0.01</v>
      </c>
      <c r="U56" s="24">
        <v>0.01</v>
      </c>
      <c r="V56" s="24">
        <v>0.01</v>
      </c>
      <c r="W56" s="24">
        <v>0.01</v>
      </c>
      <c r="X56" s="24">
        <f>SUM(Q56:W56)</f>
        <v>0.10999999999999999</v>
      </c>
      <c r="Z56" s="31" t="s">
        <v>1545</v>
      </c>
      <c r="AA56" s="24">
        <v>0.01</v>
      </c>
      <c r="AB56" s="24">
        <v>0.1</v>
      </c>
      <c r="AC56" s="24">
        <v>2.5000000000000001E-2</v>
      </c>
      <c r="AD56" s="24">
        <v>0.02</v>
      </c>
      <c r="AE56" s="24">
        <v>0.01</v>
      </c>
      <c r="AF56" s="24">
        <v>0.01</v>
      </c>
      <c r="AG56" s="25">
        <v>0.01</v>
      </c>
      <c r="AH56" s="24">
        <f>SUM(AA56:AG56)</f>
        <v>0.18500000000000003</v>
      </c>
    </row>
    <row r="57" spans="1:54" x14ac:dyDescent="0.2">
      <c r="A57" t="s">
        <v>307</v>
      </c>
      <c r="B57" s="27">
        <v>0.05</v>
      </c>
      <c r="C57" s="27">
        <v>0.1</v>
      </c>
      <c r="D57" s="27">
        <v>0.02</v>
      </c>
      <c r="E57" s="27"/>
      <c r="P57" s="29"/>
      <c r="Q57" s="24"/>
      <c r="R57" s="24"/>
      <c r="S57" s="24"/>
      <c r="T57" s="24"/>
      <c r="U57" s="24"/>
      <c r="V57" s="24"/>
      <c r="W57" s="24"/>
      <c r="X57" s="24"/>
      <c r="Z57" s="29"/>
      <c r="AA57" s="24"/>
      <c r="AB57" s="24"/>
      <c r="AC57" s="24"/>
      <c r="AD57" s="24"/>
      <c r="AE57" s="24"/>
      <c r="AF57" s="24"/>
      <c r="AG57" s="24"/>
      <c r="AH57" s="24"/>
      <c r="AL57" s="1"/>
    </row>
    <row r="58" spans="1:54" x14ac:dyDescent="0.2">
      <c r="A58" t="s">
        <v>308</v>
      </c>
      <c r="B58" s="27">
        <v>0.05</v>
      </c>
      <c r="C58" s="27">
        <v>0.1</v>
      </c>
      <c r="D58" s="27">
        <v>0.02</v>
      </c>
      <c r="E58" s="27"/>
    </row>
    <row r="59" spans="1:54" x14ac:dyDescent="0.2">
      <c r="A59" t="s">
        <v>125</v>
      </c>
      <c r="B59" s="27">
        <v>0.05</v>
      </c>
      <c r="C59" s="27">
        <v>0.1</v>
      </c>
      <c r="D59" s="27">
        <v>0.02</v>
      </c>
      <c r="E59" s="27"/>
    </row>
    <row r="60" spans="1:54" x14ac:dyDescent="0.2">
      <c r="A60" t="s">
        <v>132</v>
      </c>
      <c r="B60" s="27">
        <v>0.05</v>
      </c>
      <c r="C60" s="27">
        <v>0.1</v>
      </c>
      <c r="D60" s="27">
        <v>0.02</v>
      </c>
      <c r="E60" s="27"/>
    </row>
    <row r="61" spans="1:54" x14ac:dyDescent="0.2">
      <c r="A61" t="s">
        <v>309</v>
      </c>
      <c r="B61" s="27">
        <v>0.05</v>
      </c>
      <c r="C61" s="27">
        <v>0.1</v>
      </c>
      <c r="D61" s="27">
        <v>0.02</v>
      </c>
      <c r="E61" s="27"/>
    </row>
    <row r="62" spans="1:54" x14ac:dyDescent="0.2">
      <c r="A62" t="s">
        <v>310</v>
      </c>
      <c r="B62" s="27">
        <v>0.05</v>
      </c>
      <c r="C62" s="27">
        <v>0.1</v>
      </c>
      <c r="D62" s="27">
        <v>0.02</v>
      </c>
      <c r="E62" s="27"/>
    </row>
    <row r="63" spans="1:54" x14ac:dyDescent="0.2">
      <c r="A63" t="s">
        <v>311</v>
      </c>
      <c r="B63" s="27">
        <v>0.05</v>
      </c>
      <c r="C63" s="27">
        <v>0.1</v>
      </c>
      <c r="D63" s="27">
        <v>0.02</v>
      </c>
      <c r="E63" s="27"/>
    </row>
    <row r="64" spans="1:54" x14ac:dyDescent="0.2">
      <c r="A64" t="s">
        <v>312</v>
      </c>
      <c r="B64" s="27">
        <v>0.05</v>
      </c>
      <c r="C64" s="27">
        <v>0.1</v>
      </c>
      <c r="D64" s="27">
        <v>0.02</v>
      </c>
      <c r="E64" s="27"/>
    </row>
    <row r="65" spans="1:5" x14ac:dyDescent="0.2">
      <c r="A65" t="s">
        <v>313</v>
      </c>
      <c r="B65" s="27">
        <v>0.05</v>
      </c>
      <c r="C65" s="27">
        <v>0.1</v>
      </c>
      <c r="D65" s="27">
        <v>0.02</v>
      </c>
      <c r="E65" s="27"/>
    </row>
    <row r="66" spans="1:5" x14ac:dyDescent="0.2">
      <c r="A66" t="s">
        <v>314</v>
      </c>
      <c r="B66" s="27">
        <v>0.05</v>
      </c>
      <c r="C66" s="27">
        <v>0.1</v>
      </c>
      <c r="D66" s="27">
        <v>0.02</v>
      </c>
      <c r="E66" s="27"/>
    </row>
    <row r="67" spans="1:5" x14ac:dyDescent="0.2">
      <c r="A67" t="s">
        <v>139</v>
      </c>
      <c r="B67" s="27">
        <v>0.05</v>
      </c>
      <c r="C67" s="27">
        <v>0.1</v>
      </c>
      <c r="D67" s="27">
        <v>0.02</v>
      </c>
      <c r="E67" s="27"/>
    </row>
    <row r="68" spans="1:5" x14ac:dyDescent="0.2">
      <c r="A68" t="s">
        <v>315</v>
      </c>
      <c r="B68" s="27">
        <v>0.05</v>
      </c>
      <c r="C68" s="27">
        <v>0.1</v>
      </c>
      <c r="D68" s="27">
        <v>0.02</v>
      </c>
      <c r="E68" s="27"/>
    </row>
    <row r="69" spans="1:5" x14ac:dyDescent="0.2">
      <c r="A69" t="s">
        <v>316</v>
      </c>
      <c r="B69" s="27">
        <v>0.05</v>
      </c>
      <c r="C69" s="27">
        <v>0.1</v>
      </c>
      <c r="D69" s="27">
        <v>0.02</v>
      </c>
      <c r="E69" s="27"/>
    </row>
    <row r="70" spans="1:5" x14ac:dyDescent="0.2">
      <c r="A70" t="s">
        <v>317</v>
      </c>
      <c r="B70" s="27">
        <v>0.05</v>
      </c>
      <c r="C70" s="27">
        <v>0.1</v>
      </c>
      <c r="D70" s="27">
        <v>0.02</v>
      </c>
      <c r="E70" s="27"/>
    </row>
    <row r="71" spans="1:5" x14ac:dyDescent="0.2">
      <c r="A71" t="s">
        <v>318</v>
      </c>
      <c r="B71" s="27">
        <v>0.05</v>
      </c>
      <c r="C71" s="27">
        <v>0.1</v>
      </c>
      <c r="D71" s="27">
        <v>0.02</v>
      </c>
      <c r="E71" s="27"/>
    </row>
    <row r="72" spans="1:5" x14ac:dyDescent="0.2">
      <c r="A72" t="s">
        <v>140</v>
      </c>
      <c r="B72" s="27">
        <v>0.05</v>
      </c>
      <c r="C72" s="27">
        <v>0.1</v>
      </c>
      <c r="D72" s="27">
        <v>0.05</v>
      </c>
      <c r="E72" s="27"/>
    </row>
    <row r="73" spans="1:5" x14ac:dyDescent="0.2">
      <c r="A73" t="s">
        <v>319</v>
      </c>
      <c r="B73" s="27">
        <v>0.05</v>
      </c>
      <c r="C73" s="27">
        <v>0.1</v>
      </c>
      <c r="D73" s="27">
        <v>0.02</v>
      </c>
      <c r="E73" s="27"/>
    </row>
    <row r="74" spans="1:5" x14ac:dyDescent="0.2">
      <c r="A74" t="s">
        <v>141</v>
      </c>
      <c r="B74" s="27">
        <v>0.05</v>
      </c>
      <c r="C74" s="27">
        <v>0.1</v>
      </c>
      <c r="D74" s="27">
        <v>0.02</v>
      </c>
      <c r="E74" s="27"/>
    </row>
    <row r="75" spans="1:5" x14ac:dyDescent="0.2">
      <c r="A75" t="s">
        <v>320</v>
      </c>
      <c r="B75" s="27">
        <v>0.05</v>
      </c>
      <c r="C75" s="27">
        <v>0.1</v>
      </c>
      <c r="D75" s="27">
        <v>0.02</v>
      </c>
      <c r="E75" s="27"/>
    </row>
    <row r="76" spans="1:5" x14ac:dyDescent="0.2">
      <c r="A76" t="s">
        <v>130</v>
      </c>
      <c r="B76" s="27">
        <v>0.05</v>
      </c>
      <c r="C76" s="27">
        <v>0.1</v>
      </c>
      <c r="D76" s="27">
        <v>0.02</v>
      </c>
      <c r="E76" s="27"/>
    </row>
    <row r="77" spans="1:5" x14ac:dyDescent="0.2">
      <c r="A77" t="s">
        <v>321</v>
      </c>
      <c r="B77" s="27">
        <v>0.05</v>
      </c>
      <c r="C77" s="27">
        <v>0.1</v>
      </c>
      <c r="D77" s="27">
        <v>0.02</v>
      </c>
      <c r="E77" s="27"/>
    </row>
    <row r="78" spans="1:5" x14ac:dyDescent="0.2">
      <c r="A78" t="s">
        <v>322</v>
      </c>
      <c r="B78" s="27">
        <v>0.05</v>
      </c>
      <c r="C78" s="27">
        <v>0.1</v>
      </c>
      <c r="D78" s="27">
        <v>0.02</v>
      </c>
      <c r="E78" s="27"/>
    </row>
    <row r="79" spans="1:5" x14ac:dyDescent="0.2">
      <c r="A79" t="s">
        <v>323</v>
      </c>
      <c r="B79" s="27">
        <v>0.05</v>
      </c>
      <c r="C79" s="27">
        <v>0.1</v>
      </c>
      <c r="D79" s="27">
        <v>0.02</v>
      </c>
      <c r="E79" s="27"/>
    </row>
    <row r="80" spans="1:5" x14ac:dyDescent="0.2">
      <c r="A80" t="s">
        <v>324</v>
      </c>
      <c r="B80" s="27">
        <v>0.05</v>
      </c>
      <c r="C80" s="27">
        <v>0.1</v>
      </c>
      <c r="D80" s="27">
        <v>0.02</v>
      </c>
      <c r="E80" s="27"/>
    </row>
    <row r="81" spans="1:5" x14ac:dyDescent="0.2">
      <c r="A81" t="s">
        <v>131</v>
      </c>
      <c r="B81" s="27">
        <v>0.05</v>
      </c>
      <c r="C81" s="27">
        <v>0.1</v>
      </c>
      <c r="D81" s="27">
        <v>0.02</v>
      </c>
      <c r="E81" s="27"/>
    </row>
    <row r="82" spans="1:5" x14ac:dyDescent="0.2">
      <c r="A82" t="s">
        <v>142</v>
      </c>
      <c r="B82" s="27">
        <v>0.05</v>
      </c>
      <c r="C82" s="27">
        <v>0.1</v>
      </c>
      <c r="D82" s="27">
        <v>0.02</v>
      </c>
      <c r="E82" s="27"/>
    </row>
    <row r="83" spans="1:5" x14ac:dyDescent="0.2">
      <c r="A83" t="s">
        <v>325</v>
      </c>
      <c r="B83" s="27">
        <v>0.05</v>
      </c>
      <c r="C83" s="27">
        <v>0.1</v>
      </c>
      <c r="D83" s="27">
        <v>0.02</v>
      </c>
      <c r="E83" s="27"/>
    </row>
    <row r="84" spans="1:5" x14ac:dyDescent="0.2">
      <c r="A84" t="s">
        <v>326</v>
      </c>
      <c r="B84" s="27">
        <v>0.05</v>
      </c>
      <c r="C84" s="27">
        <v>0.1</v>
      </c>
      <c r="D84" s="27">
        <v>0.02</v>
      </c>
      <c r="E84" s="27"/>
    </row>
    <row r="85" spans="1:5" x14ac:dyDescent="0.2">
      <c r="A85" t="s">
        <v>327</v>
      </c>
      <c r="B85" s="27">
        <v>0.05</v>
      </c>
      <c r="C85" s="27">
        <v>0.1</v>
      </c>
      <c r="D85" s="27">
        <v>0.02</v>
      </c>
      <c r="E85" s="27"/>
    </row>
    <row r="86" spans="1:5" x14ac:dyDescent="0.2">
      <c r="A86" t="s">
        <v>328</v>
      </c>
      <c r="B86" s="27">
        <v>0.05</v>
      </c>
      <c r="C86" s="27">
        <v>0.1</v>
      </c>
      <c r="D86" s="27">
        <v>0.02</v>
      </c>
      <c r="E86" s="27"/>
    </row>
    <row r="87" spans="1:5" x14ac:dyDescent="0.2">
      <c r="A87" t="s">
        <v>329</v>
      </c>
      <c r="B87" s="27">
        <v>0.05</v>
      </c>
      <c r="C87" s="27">
        <v>0.1</v>
      </c>
      <c r="D87" s="27">
        <v>0.02</v>
      </c>
      <c r="E87" s="27"/>
    </row>
    <row r="88" spans="1:5" x14ac:dyDescent="0.2">
      <c r="A88" t="s">
        <v>330</v>
      </c>
      <c r="B88" s="27">
        <v>0.05</v>
      </c>
      <c r="C88" s="27">
        <v>0.1</v>
      </c>
      <c r="D88" s="27">
        <v>0.02</v>
      </c>
      <c r="E88" s="27"/>
    </row>
    <row r="89" spans="1:5" x14ac:dyDescent="0.2">
      <c r="A89" t="s">
        <v>153</v>
      </c>
      <c r="B89" s="27">
        <v>0.05</v>
      </c>
      <c r="C89" s="27">
        <v>0.1</v>
      </c>
      <c r="D89" s="27">
        <v>0.02</v>
      </c>
      <c r="E89" s="27"/>
    </row>
    <row r="90" spans="1:5" x14ac:dyDescent="0.2">
      <c r="A90" t="s">
        <v>331</v>
      </c>
      <c r="B90" s="27">
        <v>0.05</v>
      </c>
      <c r="C90" s="27">
        <v>0.1</v>
      </c>
      <c r="D90" s="27">
        <v>0.02</v>
      </c>
      <c r="E90" s="27"/>
    </row>
    <row r="91" spans="1:5" x14ac:dyDescent="0.2">
      <c r="A91" t="s">
        <v>332</v>
      </c>
      <c r="B91" s="27">
        <v>0.05</v>
      </c>
      <c r="C91" s="27">
        <v>0.1</v>
      </c>
      <c r="D91" s="27">
        <v>0.02</v>
      </c>
      <c r="E91" s="27"/>
    </row>
    <row r="92" spans="1:5" x14ac:dyDescent="0.2">
      <c r="A92" t="s">
        <v>333</v>
      </c>
      <c r="B92" s="27">
        <v>0.05</v>
      </c>
      <c r="C92" s="27">
        <v>0.1</v>
      </c>
      <c r="D92" s="27">
        <v>0.02</v>
      </c>
      <c r="E92" s="27"/>
    </row>
    <row r="93" spans="1:5" x14ac:dyDescent="0.2">
      <c r="A93" t="s">
        <v>334</v>
      </c>
      <c r="B93" s="27">
        <v>0.05</v>
      </c>
      <c r="C93" s="27">
        <v>0.1</v>
      </c>
      <c r="D93" s="27">
        <v>0.02</v>
      </c>
      <c r="E93" s="27"/>
    </row>
    <row r="94" spans="1:5" x14ac:dyDescent="0.2">
      <c r="A94" t="s">
        <v>335</v>
      </c>
      <c r="B94" s="27">
        <v>0.05</v>
      </c>
      <c r="C94" s="27">
        <v>0.1</v>
      </c>
      <c r="D94" s="27">
        <v>0.02</v>
      </c>
      <c r="E94" s="27"/>
    </row>
    <row r="95" spans="1:5" x14ac:dyDescent="0.2">
      <c r="A95" t="s">
        <v>336</v>
      </c>
      <c r="B95" s="27">
        <v>0.05</v>
      </c>
      <c r="C95" s="27">
        <v>0.1</v>
      </c>
      <c r="D95" s="27">
        <v>0.02</v>
      </c>
      <c r="E95" s="27"/>
    </row>
    <row r="96" spans="1:5" x14ac:dyDescent="0.2">
      <c r="A96" t="s">
        <v>337</v>
      </c>
      <c r="B96" s="27">
        <v>0.05</v>
      </c>
      <c r="C96" s="27">
        <v>0.1</v>
      </c>
      <c r="D96" s="27">
        <v>0.02</v>
      </c>
      <c r="E96" s="27"/>
    </row>
    <row r="97" spans="1:5" x14ac:dyDescent="0.2">
      <c r="A97" t="s">
        <v>338</v>
      </c>
      <c r="B97" s="27">
        <v>0.05</v>
      </c>
      <c r="C97" s="27">
        <v>0.1</v>
      </c>
      <c r="D97" s="27">
        <v>0.02</v>
      </c>
      <c r="E97" s="27"/>
    </row>
    <row r="98" spans="1:5" x14ac:dyDescent="0.2">
      <c r="A98" t="s">
        <v>339</v>
      </c>
      <c r="B98" s="27">
        <v>0.05</v>
      </c>
      <c r="C98" s="27">
        <v>0.1</v>
      </c>
      <c r="D98" s="27">
        <v>0.02</v>
      </c>
      <c r="E98" s="27"/>
    </row>
    <row r="99" spans="1:5" x14ac:dyDescent="0.2">
      <c r="A99" t="s">
        <v>340</v>
      </c>
      <c r="B99" s="27">
        <v>0.05</v>
      </c>
      <c r="C99" s="27">
        <v>0.1</v>
      </c>
      <c r="D99" s="27">
        <v>0.02</v>
      </c>
      <c r="E99" s="27"/>
    </row>
    <row r="100" spans="1:5" x14ac:dyDescent="0.2">
      <c r="A100" t="s">
        <v>341</v>
      </c>
      <c r="B100" s="27">
        <v>0.05</v>
      </c>
      <c r="C100" s="27">
        <v>0.1</v>
      </c>
      <c r="D100" s="27">
        <v>0.02</v>
      </c>
      <c r="E100" s="27"/>
    </row>
    <row r="101" spans="1:5" x14ac:dyDescent="0.2">
      <c r="A101" t="s">
        <v>342</v>
      </c>
      <c r="B101" s="27">
        <v>0.05</v>
      </c>
      <c r="C101" s="27">
        <v>0.1</v>
      </c>
      <c r="D101" s="27">
        <v>0.02</v>
      </c>
      <c r="E101" s="27"/>
    </row>
    <row r="102" spans="1:5" x14ac:dyDescent="0.2">
      <c r="A102" t="s">
        <v>343</v>
      </c>
      <c r="B102" s="27">
        <v>0.05</v>
      </c>
      <c r="C102" s="27">
        <v>0.1</v>
      </c>
      <c r="D102" s="27">
        <v>0.02</v>
      </c>
      <c r="E102" s="27"/>
    </row>
    <row r="103" spans="1:5" x14ac:dyDescent="0.2">
      <c r="A103" t="s">
        <v>344</v>
      </c>
      <c r="B103" s="27">
        <v>0.05</v>
      </c>
      <c r="C103" s="27">
        <v>0.1</v>
      </c>
      <c r="D103" s="27">
        <v>0.02</v>
      </c>
      <c r="E103" s="27"/>
    </row>
    <row r="104" spans="1:5" x14ac:dyDescent="0.2">
      <c r="A104" t="s">
        <v>345</v>
      </c>
      <c r="B104" s="27">
        <v>0.05</v>
      </c>
      <c r="C104" s="27">
        <v>0.1</v>
      </c>
      <c r="D104" s="27">
        <v>0.02</v>
      </c>
      <c r="E104" s="27"/>
    </row>
    <row r="105" spans="1:5" x14ac:dyDescent="0.2">
      <c r="A105" t="s">
        <v>346</v>
      </c>
      <c r="B105" s="27">
        <v>0.05</v>
      </c>
      <c r="C105" s="27">
        <v>0.1</v>
      </c>
      <c r="D105" s="27">
        <v>0.02</v>
      </c>
      <c r="E105" s="27"/>
    </row>
    <row r="106" spans="1:5" x14ac:dyDescent="0.2">
      <c r="A106" t="s">
        <v>126</v>
      </c>
      <c r="B106" s="27">
        <v>0.05</v>
      </c>
      <c r="C106" s="27">
        <v>0.1</v>
      </c>
      <c r="D106" s="27">
        <v>0.02</v>
      </c>
      <c r="E106" s="27"/>
    </row>
    <row r="107" spans="1:5" x14ac:dyDescent="0.2">
      <c r="A107" t="s">
        <v>347</v>
      </c>
      <c r="B107" s="27">
        <v>0.05</v>
      </c>
      <c r="C107" s="27">
        <v>0.1</v>
      </c>
      <c r="D107" s="27">
        <v>0.02</v>
      </c>
      <c r="E107" s="27"/>
    </row>
    <row r="108" spans="1:5" x14ac:dyDescent="0.2">
      <c r="A108" t="s">
        <v>348</v>
      </c>
      <c r="B108" s="27">
        <v>0.05</v>
      </c>
      <c r="C108" s="27">
        <v>0.1</v>
      </c>
      <c r="D108" s="27">
        <v>0.02</v>
      </c>
      <c r="E108" s="27"/>
    </row>
    <row r="109" spans="1:5" x14ac:dyDescent="0.2">
      <c r="A109" t="s">
        <v>349</v>
      </c>
      <c r="B109" s="27">
        <v>0.05</v>
      </c>
      <c r="C109" s="27">
        <v>0.1</v>
      </c>
      <c r="D109" s="27">
        <v>0.02</v>
      </c>
      <c r="E109" s="27"/>
    </row>
    <row r="110" spans="1:5" x14ac:dyDescent="0.2">
      <c r="A110" t="s">
        <v>350</v>
      </c>
      <c r="B110" s="27">
        <v>0.05</v>
      </c>
      <c r="C110" s="27">
        <v>0.1</v>
      </c>
      <c r="D110" s="27">
        <v>0.02</v>
      </c>
      <c r="E110" s="27"/>
    </row>
    <row r="111" spans="1:5" x14ac:dyDescent="0.2">
      <c r="A111" t="s">
        <v>351</v>
      </c>
      <c r="B111" s="27">
        <v>0.05</v>
      </c>
      <c r="C111" s="27">
        <v>0.1</v>
      </c>
      <c r="D111" s="27">
        <v>0.02</v>
      </c>
      <c r="E111" s="27"/>
    </row>
    <row r="112" spans="1:5" x14ac:dyDescent="0.2">
      <c r="A112" t="s">
        <v>157</v>
      </c>
      <c r="B112" s="27">
        <v>0.05</v>
      </c>
      <c r="C112" s="27">
        <v>0.1</v>
      </c>
      <c r="D112" s="27">
        <v>0.02</v>
      </c>
      <c r="E112" s="27"/>
    </row>
    <row r="113" spans="1:5" x14ac:dyDescent="0.2">
      <c r="A113" t="s">
        <v>352</v>
      </c>
      <c r="B113" s="27">
        <v>0.05</v>
      </c>
      <c r="C113" s="27">
        <v>0.1</v>
      </c>
      <c r="D113" s="27">
        <v>0.02</v>
      </c>
      <c r="E113" s="27"/>
    </row>
    <row r="114" spans="1:5" x14ac:dyDescent="0.2">
      <c r="A114" t="s">
        <v>353</v>
      </c>
      <c r="B114" s="27">
        <v>0.05</v>
      </c>
      <c r="C114" s="27">
        <v>0.1</v>
      </c>
      <c r="D114" s="27">
        <v>0.02</v>
      </c>
      <c r="E114" s="27"/>
    </row>
    <row r="115" spans="1:5" x14ac:dyDescent="0.2">
      <c r="A115" t="s">
        <v>354</v>
      </c>
      <c r="B115" s="27">
        <v>0.05</v>
      </c>
      <c r="C115" s="27">
        <v>0.1</v>
      </c>
      <c r="D115" s="27">
        <v>0.02</v>
      </c>
      <c r="E115" s="27"/>
    </row>
    <row r="116" spans="1:5" x14ac:dyDescent="0.2">
      <c r="A116" t="s">
        <v>355</v>
      </c>
      <c r="B116" s="27">
        <v>0.05</v>
      </c>
      <c r="C116" s="27">
        <v>0.1</v>
      </c>
      <c r="D116" s="27">
        <v>0.02</v>
      </c>
      <c r="E116" s="27"/>
    </row>
    <row r="117" spans="1:5" x14ac:dyDescent="0.2">
      <c r="A117" t="s">
        <v>356</v>
      </c>
      <c r="B117" s="27">
        <v>0.05</v>
      </c>
      <c r="C117" s="27">
        <v>0.1</v>
      </c>
      <c r="D117" s="27">
        <v>0.02</v>
      </c>
      <c r="E117" s="27"/>
    </row>
    <row r="118" spans="1:5" x14ac:dyDescent="0.2">
      <c r="A118" t="s">
        <v>357</v>
      </c>
      <c r="B118" s="27">
        <v>0.05</v>
      </c>
      <c r="C118" s="27">
        <v>0.1</v>
      </c>
      <c r="D118" s="27">
        <v>0.02</v>
      </c>
      <c r="E118" s="27"/>
    </row>
    <row r="119" spans="1:5" x14ac:dyDescent="0.2">
      <c r="A119" t="s">
        <v>358</v>
      </c>
      <c r="B119" s="27">
        <v>0.05</v>
      </c>
      <c r="C119" s="27">
        <v>0.1</v>
      </c>
      <c r="D119" s="27">
        <v>0.02</v>
      </c>
      <c r="E119" s="27"/>
    </row>
    <row r="120" spans="1:5" x14ac:dyDescent="0.2">
      <c r="A120" t="s">
        <v>359</v>
      </c>
      <c r="B120" s="27">
        <v>0.05</v>
      </c>
      <c r="C120" s="27">
        <v>0.1</v>
      </c>
      <c r="D120" s="27">
        <v>0.02</v>
      </c>
      <c r="E120" s="27"/>
    </row>
    <row r="121" spans="1:5" x14ac:dyDescent="0.2">
      <c r="A121" t="s">
        <v>360</v>
      </c>
      <c r="B121" s="27">
        <v>0.05</v>
      </c>
      <c r="C121" s="27">
        <v>0.1</v>
      </c>
      <c r="D121" s="27">
        <v>0.02</v>
      </c>
      <c r="E121" s="27"/>
    </row>
    <row r="122" spans="1:5" x14ac:dyDescent="0.2">
      <c r="A122" t="s">
        <v>361</v>
      </c>
      <c r="B122" s="27">
        <v>0.05</v>
      </c>
      <c r="C122" s="27">
        <v>0.1</v>
      </c>
      <c r="D122" s="27">
        <v>0.02</v>
      </c>
      <c r="E122" s="27"/>
    </row>
    <row r="123" spans="1:5" x14ac:dyDescent="0.2">
      <c r="A123" t="s">
        <v>362</v>
      </c>
      <c r="B123" s="27">
        <v>0.05</v>
      </c>
      <c r="C123" s="27">
        <v>0.1</v>
      </c>
      <c r="D123" s="27">
        <v>0.02</v>
      </c>
      <c r="E123" s="27"/>
    </row>
    <row r="124" spans="1:5" x14ac:dyDescent="0.2">
      <c r="A124" t="s">
        <v>363</v>
      </c>
      <c r="B124" s="27">
        <v>0.05</v>
      </c>
      <c r="C124" s="27">
        <v>0.1</v>
      </c>
      <c r="D124" s="27">
        <v>0.02</v>
      </c>
      <c r="E124" s="27"/>
    </row>
    <row r="125" spans="1:5" x14ac:dyDescent="0.2">
      <c r="A125" t="s">
        <v>364</v>
      </c>
      <c r="B125" s="27">
        <v>0.05</v>
      </c>
      <c r="C125" s="27">
        <v>0.1</v>
      </c>
      <c r="D125" s="27">
        <v>0.02</v>
      </c>
      <c r="E125" s="27"/>
    </row>
    <row r="126" spans="1:5" x14ac:dyDescent="0.2">
      <c r="A126" t="s">
        <v>365</v>
      </c>
      <c r="B126" s="27">
        <v>0.05</v>
      </c>
      <c r="C126" s="27">
        <v>0.1</v>
      </c>
      <c r="D126" s="27">
        <v>0.02</v>
      </c>
      <c r="E126" s="27"/>
    </row>
    <row r="127" spans="1:5" x14ac:dyDescent="0.2">
      <c r="A127" t="s">
        <v>366</v>
      </c>
      <c r="B127" s="27">
        <v>0.05</v>
      </c>
      <c r="C127" s="27">
        <v>0.1</v>
      </c>
      <c r="D127" s="27">
        <v>0.02</v>
      </c>
      <c r="E127" s="27"/>
    </row>
    <row r="128" spans="1:5" x14ac:dyDescent="0.2">
      <c r="A128" t="s">
        <v>367</v>
      </c>
      <c r="B128" s="27">
        <v>0.05</v>
      </c>
      <c r="C128" s="27">
        <v>0.1</v>
      </c>
      <c r="D128" s="27">
        <v>0.02</v>
      </c>
      <c r="E128" s="27"/>
    </row>
    <row r="129" spans="1:5" x14ac:dyDescent="0.2">
      <c r="A129" t="s">
        <v>368</v>
      </c>
      <c r="B129" s="27">
        <v>0.05</v>
      </c>
      <c r="C129" s="27">
        <v>0.1</v>
      </c>
      <c r="D129" s="27">
        <v>0.02</v>
      </c>
      <c r="E129" s="27"/>
    </row>
    <row r="130" spans="1:5" x14ac:dyDescent="0.2">
      <c r="A130" t="s">
        <v>369</v>
      </c>
      <c r="B130" s="27">
        <v>0.05</v>
      </c>
      <c r="C130" s="27">
        <v>0.1</v>
      </c>
      <c r="D130" s="27">
        <v>0.02</v>
      </c>
      <c r="E130" s="27"/>
    </row>
    <row r="131" spans="1:5" x14ac:dyDescent="0.2">
      <c r="A131" t="s">
        <v>370</v>
      </c>
      <c r="B131" s="27">
        <v>0.05</v>
      </c>
      <c r="C131" s="27">
        <v>0.1</v>
      </c>
      <c r="D131" s="27">
        <v>0.02</v>
      </c>
      <c r="E131" s="27"/>
    </row>
    <row r="132" spans="1:5" x14ac:dyDescent="0.2">
      <c r="A132" t="s">
        <v>156</v>
      </c>
      <c r="B132" s="27">
        <v>0.05</v>
      </c>
      <c r="C132" s="27">
        <v>0.1</v>
      </c>
      <c r="D132" s="27">
        <v>0.02</v>
      </c>
      <c r="E132" s="27"/>
    </row>
    <row r="133" spans="1:5" x14ac:dyDescent="0.2">
      <c r="A133" t="s">
        <v>129</v>
      </c>
      <c r="B133" s="27">
        <v>0.05</v>
      </c>
      <c r="C133" s="27">
        <v>0.1</v>
      </c>
      <c r="D133" s="27">
        <v>0.02</v>
      </c>
      <c r="E133" s="27"/>
    </row>
    <row r="134" spans="1:5" x14ac:dyDescent="0.2">
      <c r="A134" t="s">
        <v>371</v>
      </c>
      <c r="B134" s="27">
        <v>0.05</v>
      </c>
      <c r="C134" s="27">
        <v>0.1</v>
      </c>
      <c r="D134" s="27">
        <v>0.02</v>
      </c>
      <c r="E134" s="27"/>
    </row>
    <row r="135" spans="1:5" x14ac:dyDescent="0.2">
      <c r="A135" t="s">
        <v>372</v>
      </c>
      <c r="B135" s="27">
        <v>0.05</v>
      </c>
      <c r="C135" s="27">
        <v>0.1</v>
      </c>
      <c r="D135" s="27">
        <v>0.02</v>
      </c>
      <c r="E135" s="27"/>
    </row>
    <row r="136" spans="1:5" x14ac:dyDescent="0.2">
      <c r="A136" t="s">
        <v>143</v>
      </c>
      <c r="B136" s="27">
        <v>0.05</v>
      </c>
      <c r="C136" s="27">
        <v>0.1</v>
      </c>
      <c r="D136" s="27">
        <v>0.02</v>
      </c>
      <c r="E136" s="27"/>
    </row>
    <row r="137" spans="1:5" x14ac:dyDescent="0.2">
      <c r="A137" t="s">
        <v>144</v>
      </c>
      <c r="B137" s="27">
        <v>0.05</v>
      </c>
      <c r="C137" s="27">
        <v>0.1</v>
      </c>
      <c r="D137" s="27">
        <v>0.02</v>
      </c>
      <c r="E137" s="27"/>
    </row>
    <row r="138" spans="1:5" x14ac:dyDescent="0.2">
      <c r="A138" t="s">
        <v>373</v>
      </c>
      <c r="B138" s="27">
        <v>0.05</v>
      </c>
      <c r="C138" s="27">
        <v>0.1</v>
      </c>
      <c r="D138" s="27">
        <v>0.02</v>
      </c>
      <c r="E138" s="27"/>
    </row>
    <row r="139" spans="1:5" x14ac:dyDescent="0.2">
      <c r="A139" t="s">
        <v>374</v>
      </c>
      <c r="B139" s="27">
        <v>0.05</v>
      </c>
      <c r="C139" s="27">
        <v>0.1</v>
      </c>
      <c r="D139" s="27">
        <v>0.02</v>
      </c>
      <c r="E139" s="27"/>
    </row>
    <row r="140" spans="1:5" x14ac:dyDescent="0.2">
      <c r="A140" t="s">
        <v>375</v>
      </c>
      <c r="B140" s="27">
        <v>0.05</v>
      </c>
      <c r="C140" s="27">
        <v>0.1</v>
      </c>
      <c r="D140" s="27">
        <v>0.02</v>
      </c>
      <c r="E140" s="27"/>
    </row>
    <row r="141" spans="1:5" x14ac:dyDescent="0.2">
      <c r="A141" t="s">
        <v>128</v>
      </c>
      <c r="B141" s="27">
        <v>0.05</v>
      </c>
      <c r="C141" s="27">
        <v>0.1</v>
      </c>
      <c r="D141" s="27">
        <v>0.02</v>
      </c>
      <c r="E141" s="27"/>
    </row>
    <row r="142" spans="1:5" x14ac:dyDescent="0.2">
      <c r="A142" t="s">
        <v>376</v>
      </c>
      <c r="B142" s="27">
        <v>0.05</v>
      </c>
      <c r="C142" s="27">
        <v>0.1</v>
      </c>
      <c r="D142" s="27">
        <v>0.02</v>
      </c>
      <c r="E142" s="27"/>
    </row>
    <row r="143" spans="1:5" x14ac:dyDescent="0.2">
      <c r="A143" t="s">
        <v>150</v>
      </c>
      <c r="B143" s="27">
        <v>0.05</v>
      </c>
      <c r="C143" s="27">
        <v>0.1</v>
      </c>
      <c r="D143" s="27">
        <v>0.02</v>
      </c>
      <c r="E143" s="27"/>
    </row>
    <row r="144" spans="1:5" x14ac:dyDescent="0.2">
      <c r="A144" t="s">
        <v>151</v>
      </c>
      <c r="B144" s="27">
        <v>0.05</v>
      </c>
      <c r="C144" s="27">
        <v>0.1</v>
      </c>
      <c r="D144" s="27">
        <v>0.02</v>
      </c>
      <c r="E144" s="27"/>
    </row>
    <row r="145" spans="1:5" x14ac:dyDescent="0.2">
      <c r="A145" t="s">
        <v>158</v>
      </c>
      <c r="B145" s="27">
        <v>0.05</v>
      </c>
      <c r="C145" s="27">
        <v>0.1</v>
      </c>
      <c r="D145" s="27">
        <v>0.02</v>
      </c>
      <c r="E145" s="27"/>
    </row>
    <row r="146" spans="1:5" x14ac:dyDescent="0.2">
      <c r="A146" t="s">
        <v>26</v>
      </c>
      <c r="B146" s="27">
        <v>0.05</v>
      </c>
      <c r="C146" s="27">
        <v>0.1</v>
      </c>
      <c r="D146" s="27">
        <v>0.02</v>
      </c>
      <c r="E146" s="27"/>
    </row>
    <row r="147" spans="1:5" x14ac:dyDescent="0.2">
      <c r="A147" t="s">
        <v>377</v>
      </c>
      <c r="B147" s="27">
        <v>0.05</v>
      </c>
      <c r="C147" s="27">
        <v>0.1</v>
      </c>
      <c r="D147" s="27">
        <v>0.02</v>
      </c>
      <c r="E147" s="27"/>
    </row>
    <row r="148" spans="1:5" x14ac:dyDescent="0.2">
      <c r="A148" t="s">
        <v>378</v>
      </c>
      <c r="B148" s="27">
        <v>0.05</v>
      </c>
      <c r="C148" s="27">
        <v>0.1</v>
      </c>
      <c r="D148" s="27">
        <v>0.02</v>
      </c>
      <c r="E148" s="27"/>
    </row>
    <row r="149" spans="1:5" x14ac:dyDescent="0.2">
      <c r="A149" t="s">
        <v>145</v>
      </c>
      <c r="B149" s="27">
        <v>0.05</v>
      </c>
      <c r="C149" s="27">
        <v>0.1</v>
      </c>
      <c r="D149" s="27">
        <v>0.02</v>
      </c>
      <c r="E149" s="27"/>
    </row>
    <row r="150" spans="1:5" x14ac:dyDescent="0.2">
      <c r="A150" t="s">
        <v>379</v>
      </c>
      <c r="B150" s="27">
        <v>0.05</v>
      </c>
      <c r="C150" s="27">
        <v>0.1</v>
      </c>
      <c r="D150" s="27">
        <v>0.02</v>
      </c>
      <c r="E150" s="27"/>
    </row>
    <row r="151" spans="1:5" x14ac:dyDescent="0.2">
      <c r="A151" t="s">
        <v>380</v>
      </c>
      <c r="B151" s="27">
        <v>0.05</v>
      </c>
      <c r="C151" s="27">
        <v>0.1</v>
      </c>
      <c r="D151" s="27">
        <v>0.02</v>
      </c>
      <c r="E151" s="27"/>
    </row>
    <row r="152" spans="1:5" x14ac:dyDescent="0.2">
      <c r="A152" t="s">
        <v>381</v>
      </c>
      <c r="B152" s="27">
        <v>0.05</v>
      </c>
      <c r="C152" s="27">
        <v>0.1</v>
      </c>
      <c r="D152" s="27">
        <v>0.02</v>
      </c>
      <c r="E152" s="27"/>
    </row>
    <row r="153" spans="1:5" x14ac:dyDescent="0.2">
      <c r="A153" t="s">
        <v>382</v>
      </c>
      <c r="B153" s="27">
        <v>0.05</v>
      </c>
      <c r="C153" s="27">
        <v>0.1</v>
      </c>
      <c r="D153" s="27">
        <v>0.02</v>
      </c>
      <c r="E153" s="27"/>
    </row>
    <row r="154" spans="1:5" x14ac:dyDescent="0.2">
      <c r="A154" t="s">
        <v>383</v>
      </c>
      <c r="B154" s="27">
        <v>0.05</v>
      </c>
      <c r="C154" s="27">
        <v>0.1</v>
      </c>
      <c r="D154" s="27">
        <v>0.02</v>
      </c>
      <c r="E154" s="27"/>
    </row>
    <row r="155" spans="1:5" x14ac:dyDescent="0.2">
      <c r="A155" t="s">
        <v>384</v>
      </c>
      <c r="B155" s="27">
        <v>0.05</v>
      </c>
      <c r="C155" s="27">
        <v>0.1</v>
      </c>
      <c r="D155" s="27">
        <v>0.02</v>
      </c>
      <c r="E155" s="27"/>
    </row>
    <row r="156" spans="1:5" x14ac:dyDescent="0.2">
      <c r="A156" t="s">
        <v>385</v>
      </c>
      <c r="B156" s="27">
        <v>0.05</v>
      </c>
      <c r="C156" s="27">
        <v>0.1</v>
      </c>
      <c r="D156" s="27">
        <v>0.02</v>
      </c>
      <c r="E156" s="27"/>
    </row>
    <row r="157" spans="1:5" x14ac:dyDescent="0.2">
      <c r="A157" t="s">
        <v>386</v>
      </c>
      <c r="B157" s="27">
        <v>0.05</v>
      </c>
      <c r="C157" s="27">
        <v>0.1</v>
      </c>
      <c r="D157" s="27">
        <v>0.02</v>
      </c>
      <c r="E157" s="27"/>
    </row>
    <row r="158" spans="1:5" x14ac:dyDescent="0.2">
      <c r="A158" t="s">
        <v>387</v>
      </c>
      <c r="B158" s="27">
        <v>0.05</v>
      </c>
      <c r="C158" s="27">
        <v>0.1</v>
      </c>
      <c r="D158" s="27">
        <v>0.02</v>
      </c>
      <c r="E158" s="27"/>
    </row>
    <row r="159" spans="1:5" x14ac:dyDescent="0.2">
      <c r="A159" t="s">
        <v>388</v>
      </c>
      <c r="B159" s="27">
        <v>0.05</v>
      </c>
      <c r="C159" s="27">
        <v>0.1</v>
      </c>
      <c r="D159" s="27">
        <v>0.02</v>
      </c>
      <c r="E159" s="27"/>
    </row>
    <row r="160" spans="1:5" x14ac:dyDescent="0.2">
      <c r="A160" t="s">
        <v>146</v>
      </c>
      <c r="B160" s="27">
        <v>0.05</v>
      </c>
      <c r="C160" s="27">
        <v>0.1</v>
      </c>
      <c r="D160" s="27">
        <v>0.02</v>
      </c>
      <c r="E160" s="27"/>
    </row>
    <row r="161" spans="1:5" x14ac:dyDescent="0.2">
      <c r="A161" t="s">
        <v>389</v>
      </c>
      <c r="B161" s="27">
        <v>0.05</v>
      </c>
      <c r="C161" s="27">
        <v>0.1</v>
      </c>
      <c r="D161" s="27">
        <v>0.02</v>
      </c>
      <c r="E161" s="27"/>
    </row>
    <row r="162" spans="1:5" x14ac:dyDescent="0.2">
      <c r="A162" t="s">
        <v>390</v>
      </c>
      <c r="B162" s="27">
        <v>0.05</v>
      </c>
      <c r="C162" s="27">
        <v>0.1</v>
      </c>
      <c r="D162" s="27">
        <v>0.02</v>
      </c>
      <c r="E162" s="27"/>
    </row>
    <row r="163" spans="1:5" x14ac:dyDescent="0.2">
      <c r="A163" t="s">
        <v>391</v>
      </c>
      <c r="B163" s="27">
        <v>0.05</v>
      </c>
      <c r="C163" s="27">
        <v>0.1</v>
      </c>
      <c r="D163" s="27">
        <v>0.02</v>
      </c>
      <c r="E163" s="27"/>
    </row>
    <row r="164" spans="1:5" x14ac:dyDescent="0.2">
      <c r="A164" t="s">
        <v>392</v>
      </c>
      <c r="B164" s="27">
        <v>0.05</v>
      </c>
      <c r="C164" s="27">
        <v>0.1</v>
      </c>
      <c r="D164" s="27">
        <v>0.02</v>
      </c>
      <c r="E164" s="27"/>
    </row>
    <row r="165" spans="1:5" x14ac:dyDescent="0.2">
      <c r="A165" t="s">
        <v>147</v>
      </c>
      <c r="B165" s="27">
        <v>0.05</v>
      </c>
      <c r="C165" s="27">
        <v>0.1</v>
      </c>
      <c r="D165" s="27">
        <v>0.02</v>
      </c>
      <c r="E165" s="27"/>
    </row>
    <row r="166" spans="1:5" x14ac:dyDescent="0.2">
      <c r="A166" t="s">
        <v>393</v>
      </c>
      <c r="B166" s="27">
        <v>0.05</v>
      </c>
      <c r="C166" s="27">
        <v>0.1</v>
      </c>
      <c r="D166" s="27">
        <v>0.02</v>
      </c>
      <c r="E166" s="27"/>
    </row>
    <row r="167" spans="1:5" x14ac:dyDescent="0.2">
      <c r="A167" t="s">
        <v>394</v>
      </c>
      <c r="B167" s="27">
        <v>0.05</v>
      </c>
      <c r="C167" s="27">
        <v>0.1</v>
      </c>
      <c r="D167" s="27">
        <v>0.02</v>
      </c>
      <c r="E167" s="27"/>
    </row>
    <row r="168" spans="1:5" x14ac:dyDescent="0.2">
      <c r="A168" t="s">
        <v>29</v>
      </c>
      <c r="B168" s="27">
        <v>0.05</v>
      </c>
      <c r="C168" s="27">
        <v>0.1</v>
      </c>
      <c r="D168" s="27">
        <v>0.02</v>
      </c>
      <c r="E168" s="27"/>
    </row>
    <row r="169" spans="1:5" x14ac:dyDescent="0.2">
      <c r="A169" t="s">
        <v>395</v>
      </c>
      <c r="B169" s="27">
        <v>0.05</v>
      </c>
      <c r="C169" s="27">
        <v>0.1</v>
      </c>
      <c r="D169" s="27">
        <v>0.02</v>
      </c>
      <c r="E169" s="27"/>
    </row>
    <row r="170" spans="1:5" x14ac:dyDescent="0.2">
      <c r="A170" t="s">
        <v>396</v>
      </c>
      <c r="B170" s="27">
        <v>0.05</v>
      </c>
      <c r="C170" s="27">
        <v>0.1</v>
      </c>
      <c r="D170" s="27">
        <v>0.02</v>
      </c>
      <c r="E170" s="27"/>
    </row>
    <row r="171" spans="1:5" x14ac:dyDescent="0.2">
      <c r="A171" t="s">
        <v>397</v>
      </c>
      <c r="B171" s="27">
        <v>0.05</v>
      </c>
      <c r="C171" s="27">
        <v>0.1</v>
      </c>
      <c r="D171" s="27">
        <v>0.02</v>
      </c>
      <c r="E171" s="27"/>
    </row>
    <row r="172" spans="1:5" x14ac:dyDescent="0.2">
      <c r="A172" t="s">
        <v>398</v>
      </c>
      <c r="B172" s="27">
        <v>0.05</v>
      </c>
      <c r="C172" s="27">
        <v>0.1</v>
      </c>
      <c r="D172" s="27">
        <v>0.02</v>
      </c>
      <c r="E172" s="27"/>
    </row>
    <row r="173" spans="1:5" x14ac:dyDescent="0.2">
      <c r="A173" t="s">
        <v>399</v>
      </c>
      <c r="B173" s="27">
        <v>0.05</v>
      </c>
      <c r="C173" s="27">
        <v>0.1</v>
      </c>
      <c r="D173" s="27">
        <v>0.02</v>
      </c>
      <c r="E173" s="27"/>
    </row>
    <row r="174" spans="1:5" x14ac:dyDescent="0.2">
      <c r="A174" t="s">
        <v>400</v>
      </c>
      <c r="B174" s="27">
        <v>0.05</v>
      </c>
      <c r="C174" s="27">
        <v>0.1</v>
      </c>
      <c r="D174" s="27">
        <v>0.02</v>
      </c>
      <c r="E174" s="27"/>
    </row>
    <row r="175" spans="1:5" x14ac:dyDescent="0.2">
      <c r="A175" t="s">
        <v>401</v>
      </c>
      <c r="B175" s="27">
        <v>0.05</v>
      </c>
      <c r="C175" s="27">
        <v>0.1</v>
      </c>
      <c r="D175" s="27">
        <v>0.02</v>
      </c>
      <c r="E175" s="27"/>
    </row>
    <row r="176" spans="1:5" x14ac:dyDescent="0.2">
      <c r="A176" t="s">
        <v>402</v>
      </c>
      <c r="B176" s="27">
        <v>0.05</v>
      </c>
      <c r="C176" s="27">
        <v>0.1</v>
      </c>
      <c r="D176" s="27">
        <v>0.02</v>
      </c>
      <c r="E176" s="27"/>
    </row>
    <row r="177" spans="1:5" x14ac:dyDescent="0.2">
      <c r="A177" t="s">
        <v>403</v>
      </c>
      <c r="B177" s="27">
        <v>0.05</v>
      </c>
      <c r="C177" s="27">
        <v>0.1</v>
      </c>
      <c r="D177" s="27">
        <v>0.02</v>
      </c>
      <c r="E177" s="27"/>
    </row>
    <row r="178" spans="1:5" x14ac:dyDescent="0.2">
      <c r="A178" t="s">
        <v>404</v>
      </c>
      <c r="B178" s="27">
        <v>0.05</v>
      </c>
      <c r="C178" s="27">
        <v>0.1</v>
      </c>
      <c r="D178" s="27">
        <v>0.02</v>
      </c>
      <c r="E178" s="27"/>
    </row>
    <row r="179" spans="1:5" x14ac:dyDescent="0.2">
      <c r="A179" t="s">
        <v>405</v>
      </c>
      <c r="B179" s="27">
        <v>0.05</v>
      </c>
      <c r="C179" s="27">
        <v>0.1</v>
      </c>
      <c r="D179" s="27">
        <v>0.02</v>
      </c>
      <c r="E179" s="27"/>
    </row>
    <row r="180" spans="1:5" x14ac:dyDescent="0.2">
      <c r="A180" t="s">
        <v>25</v>
      </c>
      <c r="B180" s="27">
        <v>0.05</v>
      </c>
      <c r="C180" s="27">
        <v>0.1</v>
      </c>
      <c r="D180" s="27">
        <v>0.02</v>
      </c>
      <c r="E180" s="27"/>
    </row>
    <row r="181" spans="1:5" x14ac:dyDescent="0.2">
      <c r="A181" t="s">
        <v>406</v>
      </c>
      <c r="B181" s="27">
        <v>0.05</v>
      </c>
      <c r="C181" s="27">
        <v>0.1</v>
      </c>
      <c r="D181" s="27">
        <v>0.02</v>
      </c>
      <c r="E181" s="27"/>
    </row>
    <row r="182" spans="1:5" x14ac:dyDescent="0.2">
      <c r="A182" t="s">
        <v>407</v>
      </c>
      <c r="B182" s="27">
        <v>0.05</v>
      </c>
      <c r="C182" s="27">
        <v>0.1</v>
      </c>
      <c r="D182" s="27">
        <v>0.02</v>
      </c>
      <c r="E182" s="27"/>
    </row>
    <row r="183" spans="1:5" x14ac:dyDescent="0.2">
      <c r="A183" t="s">
        <v>408</v>
      </c>
      <c r="B183" s="27">
        <v>0.05</v>
      </c>
      <c r="C183" s="27">
        <v>0.1</v>
      </c>
      <c r="D183" s="27">
        <v>0.02</v>
      </c>
      <c r="E183" s="27"/>
    </row>
    <row r="184" spans="1:5" x14ac:dyDescent="0.2">
      <c r="A184" t="s">
        <v>127</v>
      </c>
      <c r="B184" s="27">
        <v>0.05</v>
      </c>
      <c r="C184" s="27">
        <v>0.1</v>
      </c>
      <c r="D184" s="27">
        <v>0.02</v>
      </c>
      <c r="E184" s="27"/>
    </row>
    <row r="185" spans="1:5" x14ac:dyDescent="0.2">
      <c r="A185" t="s">
        <v>154</v>
      </c>
      <c r="B185" s="27">
        <v>0.05</v>
      </c>
      <c r="C185" s="27">
        <v>0.1</v>
      </c>
      <c r="D185" s="27">
        <v>0.02</v>
      </c>
      <c r="E185" s="27"/>
    </row>
    <row r="186" spans="1:5" x14ac:dyDescent="0.2">
      <c r="A186" t="s">
        <v>409</v>
      </c>
      <c r="B186" s="27">
        <v>0.05</v>
      </c>
      <c r="C186" s="27">
        <v>0.1</v>
      </c>
      <c r="D186" s="27">
        <v>0.02</v>
      </c>
      <c r="E186" s="27"/>
    </row>
    <row r="187" spans="1:5" x14ac:dyDescent="0.2">
      <c r="A187" t="s">
        <v>410</v>
      </c>
      <c r="B187" s="27">
        <v>0.05</v>
      </c>
      <c r="C187" s="27">
        <v>0.1</v>
      </c>
      <c r="D187" s="27">
        <v>0.02</v>
      </c>
      <c r="E187" s="27"/>
    </row>
    <row r="188" spans="1:5" x14ac:dyDescent="0.2">
      <c r="A188" t="s">
        <v>411</v>
      </c>
      <c r="B188" s="27">
        <v>0.05</v>
      </c>
      <c r="C188" s="27">
        <v>0.1</v>
      </c>
      <c r="D188" s="27">
        <v>0.02</v>
      </c>
      <c r="E188" s="27"/>
    </row>
    <row r="189" spans="1:5" x14ac:dyDescent="0.2">
      <c r="A189" t="s">
        <v>148</v>
      </c>
      <c r="B189" s="27">
        <v>0.05</v>
      </c>
      <c r="C189" s="27">
        <v>0.1</v>
      </c>
      <c r="D189" s="27">
        <v>0.02</v>
      </c>
      <c r="E189" s="27"/>
    </row>
    <row r="190" spans="1:5" x14ac:dyDescent="0.2">
      <c r="A190" t="s">
        <v>412</v>
      </c>
      <c r="B190" s="27">
        <v>0.05</v>
      </c>
      <c r="C190" s="27">
        <v>0.1</v>
      </c>
      <c r="D190" s="27">
        <v>0.02</v>
      </c>
      <c r="E190" s="27"/>
    </row>
    <row r="191" spans="1:5" x14ac:dyDescent="0.2">
      <c r="A191" t="s">
        <v>413</v>
      </c>
      <c r="B191" s="27">
        <v>0.05</v>
      </c>
      <c r="C191" s="27">
        <v>0.1</v>
      </c>
      <c r="D191" s="27">
        <v>0.02</v>
      </c>
      <c r="E191" s="27"/>
    </row>
    <row r="192" spans="1:5" x14ac:dyDescent="0.2">
      <c r="A192" t="s">
        <v>414</v>
      </c>
      <c r="B192" s="27">
        <v>0.05</v>
      </c>
      <c r="C192" s="27">
        <v>0.1</v>
      </c>
      <c r="D192" s="27">
        <v>0.05</v>
      </c>
      <c r="E192" s="27"/>
    </row>
    <row r="193" spans="1:5" x14ac:dyDescent="0.2">
      <c r="A193" t="s">
        <v>152</v>
      </c>
      <c r="B193" s="27">
        <v>0.05</v>
      </c>
      <c r="C193" s="27">
        <v>0.1</v>
      </c>
      <c r="D193" s="27">
        <v>0.02</v>
      </c>
      <c r="E193" s="27"/>
    </row>
    <row r="194" spans="1:5" x14ac:dyDescent="0.2">
      <c r="A194" t="s">
        <v>415</v>
      </c>
      <c r="B194" s="27">
        <v>0.05</v>
      </c>
      <c r="C194" s="27">
        <v>0.1</v>
      </c>
      <c r="D194" s="27">
        <v>0.02</v>
      </c>
      <c r="E194" s="27"/>
    </row>
    <row r="195" spans="1:5" x14ac:dyDescent="0.2">
      <c r="A195" t="s">
        <v>416</v>
      </c>
      <c r="B195" s="27">
        <v>0.05</v>
      </c>
      <c r="C195" s="27">
        <v>0.1</v>
      </c>
      <c r="D195" s="27">
        <v>0.02</v>
      </c>
      <c r="E195" s="27"/>
    </row>
    <row r="196" spans="1:5" x14ac:dyDescent="0.2">
      <c r="A196" t="s">
        <v>417</v>
      </c>
      <c r="B196" s="27">
        <v>0.05</v>
      </c>
      <c r="C196" s="27">
        <v>0.1</v>
      </c>
      <c r="D196" s="27">
        <v>0.02</v>
      </c>
      <c r="E196" s="27"/>
    </row>
    <row r="197" spans="1:5" x14ac:dyDescent="0.2">
      <c r="A197" t="s">
        <v>418</v>
      </c>
      <c r="B197" s="27">
        <v>0.05</v>
      </c>
      <c r="C197" s="27">
        <v>0.1</v>
      </c>
      <c r="D197" s="27">
        <v>0.02</v>
      </c>
      <c r="E197" s="27"/>
    </row>
    <row r="198" spans="1:5" x14ac:dyDescent="0.2">
      <c r="A198" t="s">
        <v>419</v>
      </c>
      <c r="B198" s="27">
        <v>0.05</v>
      </c>
      <c r="C198" s="27">
        <v>0.1</v>
      </c>
      <c r="D198" s="27">
        <v>0.02</v>
      </c>
      <c r="E198" s="27"/>
    </row>
    <row r="199" spans="1:5" x14ac:dyDescent="0.2">
      <c r="A199" t="s">
        <v>420</v>
      </c>
      <c r="B199" s="27">
        <v>0.05</v>
      </c>
      <c r="C199" s="27">
        <v>0.1</v>
      </c>
      <c r="D199" s="27">
        <v>0.02</v>
      </c>
      <c r="E199" s="27"/>
    </row>
    <row r="200" spans="1:5" x14ac:dyDescent="0.2">
      <c r="A200" t="s">
        <v>421</v>
      </c>
      <c r="B200" s="27">
        <v>0.05</v>
      </c>
      <c r="C200" s="27">
        <v>0.1</v>
      </c>
      <c r="D200" s="27">
        <v>0.02</v>
      </c>
      <c r="E200" s="27"/>
    </row>
    <row r="201" spans="1:5" x14ac:dyDescent="0.2">
      <c r="A201" t="s">
        <v>422</v>
      </c>
      <c r="B201" s="27">
        <v>0.05</v>
      </c>
      <c r="C201" s="27">
        <v>0.1</v>
      </c>
      <c r="D201" s="27">
        <v>0.02</v>
      </c>
      <c r="E201" s="27"/>
    </row>
  </sheetData>
  <mergeCells count="4">
    <mergeCell ref="AM5:AP5"/>
    <mergeCell ref="AQ5:AT5"/>
    <mergeCell ref="AV5:BB5"/>
    <mergeCell ref="AM33:AP34"/>
  </mergeCells>
  <conditionalFormatting sqref="Q7:W7 AA7:AG7 Q9:W57 AA9:AG57">
    <cfRule type="cellIs" dxfId="2" priority="4" operator="equal">
      <formula>0</formula>
    </cfRule>
  </conditionalFormatting>
  <conditionalFormatting sqref="AV7:BB54">
    <cfRule type="cellIs" dxfId="1" priority="1" operator="greaterThan">
      <formula>0</formula>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E77BD-CD03-144E-AC55-7741A6BC303A}">
  <sheetPr>
    <tabColor rgb="FFFF0000"/>
  </sheetPr>
  <dimension ref="A2:M486"/>
  <sheetViews>
    <sheetView zoomScale="120" zoomScaleNormal="120" workbookViewId="0">
      <pane ySplit="5" topLeftCell="A512" activePane="bottomLeft" state="frozen"/>
      <selection pane="bottomLeft" activeCell="B503" sqref="B503"/>
    </sheetView>
  </sheetViews>
  <sheetFormatPr baseColWidth="10" defaultRowHeight="13" x14ac:dyDescent="0.15"/>
  <cols>
    <col min="1" max="1" width="45.6640625" style="97" bestFit="1" customWidth="1"/>
    <col min="2" max="2" width="74.83203125" style="94" bestFit="1" customWidth="1"/>
    <col min="3" max="3" width="16.6640625" style="95" bestFit="1" customWidth="1"/>
    <col min="4" max="4" width="12.1640625" style="96" bestFit="1" customWidth="1"/>
    <col min="5" max="5" width="9.1640625" style="96" bestFit="1" customWidth="1"/>
    <col min="6" max="6" width="5.1640625" style="96" bestFit="1" customWidth="1"/>
    <col min="7" max="7" width="7.6640625" style="96" bestFit="1" customWidth="1"/>
    <col min="8" max="8" width="12.1640625" style="95" bestFit="1" customWidth="1"/>
    <col min="9" max="9" width="58" style="96" bestFit="1" customWidth="1"/>
    <col min="10" max="10" width="22.5" style="96" bestFit="1" customWidth="1"/>
    <col min="11" max="11" width="10.83203125" style="96"/>
    <col min="12" max="12" width="9.1640625" style="96" bestFit="1" customWidth="1"/>
    <col min="13" max="16384" width="10.83203125" style="96"/>
  </cols>
  <sheetData>
    <row r="2" spans="1:9" x14ac:dyDescent="0.15">
      <c r="A2" s="93" t="s">
        <v>23</v>
      </c>
      <c r="B2" s="94">
        <v>7.17</v>
      </c>
    </row>
    <row r="3" spans="1:9" x14ac:dyDescent="0.15">
      <c r="A3" s="93" t="s">
        <v>22</v>
      </c>
      <c r="B3" s="94">
        <v>7.46</v>
      </c>
    </row>
    <row r="4" spans="1:9" x14ac:dyDescent="0.15">
      <c r="A4" s="93" t="s">
        <v>64</v>
      </c>
      <c r="B4" s="94">
        <v>5.34</v>
      </c>
    </row>
    <row r="5" spans="1:9" x14ac:dyDescent="0.15">
      <c r="D5" s="96" t="s">
        <v>160</v>
      </c>
      <c r="E5" s="96" t="s">
        <v>1595</v>
      </c>
      <c r="F5" s="96" t="s">
        <v>449</v>
      </c>
      <c r="G5" s="96" t="s">
        <v>448</v>
      </c>
      <c r="H5" s="95" t="s">
        <v>739</v>
      </c>
    </row>
    <row r="6" spans="1:9" x14ac:dyDescent="0.15">
      <c r="A6" s="98" t="s">
        <v>4</v>
      </c>
      <c r="B6" s="94" t="s">
        <v>450</v>
      </c>
      <c r="C6" s="99"/>
      <c r="D6" s="99" t="s">
        <v>6</v>
      </c>
      <c r="E6" s="99" t="s">
        <v>6</v>
      </c>
      <c r="F6" s="99"/>
      <c r="G6" s="99" t="s">
        <v>6</v>
      </c>
      <c r="H6" s="99" t="s">
        <v>6</v>
      </c>
    </row>
    <row r="7" spans="1:9" x14ac:dyDescent="0.15">
      <c r="A7" s="100"/>
      <c r="B7" s="94" t="s">
        <v>9</v>
      </c>
      <c r="C7" s="101"/>
      <c r="D7" s="102">
        <v>4441</v>
      </c>
      <c r="E7" s="103"/>
      <c r="F7" s="103"/>
      <c r="G7" s="103">
        <v>640</v>
      </c>
      <c r="H7" s="104">
        <f t="shared" ref="H7:H12" si="0">SUM(D7:G7)</f>
        <v>5081</v>
      </c>
      <c r="I7" s="96" t="s">
        <v>1265</v>
      </c>
    </row>
    <row r="8" spans="1:9" x14ac:dyDescent="0.15">
      <c r="A8" s="100"/>
      <c r="B8" s="94" t="s">
        <v>123</v>
      </c>
      <c r="C8" s="101"/>
      <c r="D8" s="102">
        <v>4080</v>
      </c>
      <c r="E8" s="103"/>
      <c r="F8" s="103"/>
      <c r="G8" s="103">
        <v>640</v>
      </c>
      <c r="H8" s="104">
        <f t="shared" si="0"/>
        <v>4720</v>
      </c>
      <c r="I8" s="96" t="s">
        <v>1265</v>
      </c>
    </row>
    <row r="9" spans="1:9" x14ac:dyDescent="0.15">
      <c r="A9" s="100"/>
      <c r="B9" s="94" t="s">
        <v>11</v>
      </c>
      <c r="C9" s="101"/>
      <c r="D9" s="102">
        <v>1180</v>
      </c>
      <c r="E9" s="102">
        <v>2487</v>
      </c>
      <c r="F9" s="103"/>
      <c r="G9" s="103">
        <v>640</v>
      </c>
      <c r="H9" s="104">
        <f t="shared" si="0"/>
        <v>4307</v>
      </c>
      <c r="I9" s="96" t="s">
        <v>1265</v>
      </c>
    </row>
    <row r="10" spans="1:9" x14ac:dyDescent="0.15">
      <c r="A10" s="100"/>
      <c r="B10" s="94" t="s">
        <v>12</v>
      </c>
      <c r="C10" s="101"/>
      <c r="D10" s="102">
        <v>3346</v>
      </c>
      <c r="E10" s="102">
        <v>4605</v>
      </c>
      <c r="F10" s="103"/>
      <c r="G10" s="103">
        <v>640</v>
      </c>
      <c r="H10" s="104">
        <f t="shared" si="0"/>
        <v>8591</v>
      </c>
      <c r="I10" s="96" t="s">
        <v>1265</v>
      </c>
    </row>
    <row r="11" spans="1:9" x14ac:dyDescent="0.15">
      <c r="A11" s="100"/>
      <c r="B11" s="94" t="s">
        <v>55</v>
      </c>
      <c r="C11" s="101"/>
      <c r="D11" s="103">
        <v>5200</v>
      </c>
      <c r="E11" s="103"/>
      <c r="F11" s="103"/>
      <c r="G11" s="103">
        <v>640</v>
      </c>
      <c r="H11" s="104">
        <f t="shared" si="0"/>
        <v>5840</v>
      </c>
    </row>
    <row r="12" spans="1:9" x14ac:dyDescent="0.15">
      <c r="A12" s="100"/>
      <c r="B12" s="94" t="s">
        <v>1502</v>
      </c>
      <c r="C12" s="101"/>
      <c r="D12" s="103">
        <v>990</v>
      </c>
      <c r="E12" s="103"/>
      <c r="F12" s="103"/>
      <c r="G12" s="103">
        <v>15</v>
      </c>
      <c r="H12" s="104">
        <f t="shared" si="0"/>
        <v>1005</v>
      </c>
    </row>
    <row r="13" spans="1:9" x14ac:dyDescent="0.15">
      <c r="A13" s="100"/>
      <c r="B13" s="94" t="s">
        <v>1503</v>
      </c>
      <c r="C13" s="101"/>
      <c r="D13" s="103" t="s">
        <v>254</v>
      </c>
      <c r="E13" s="103"/>
      <c r="F13" s="103"/>
      <c r="G13" s="103"/>
      <c r="H13" s="102" t="s">
        <v>254</v>
      </c>
    </row>
    <row r="14" spans="1:9" x14ac:dyDescent="0.15">
      <c r="A14" s="100"/>
      <c r="B14" s="94" t="s">
        <v>1497</v>
      </c>
      <c r="C14" s="101"/>
      <c r="D14" s="102">
        <f>665.9*7.45</f>
        <v>4960.9549999999999</v>
      </c>
      <c r="E14" s="103"/>
      <c r="F14" s="103"/>
      <c r="G14" s="103"/>
      <c r="H14" s="104">
        <f>SUM(D14:G14)</f>
        <v>4960.9549999999999</v>
      </c>
      <c r="I14" s="145" t="s">
        <v>1506</v>
      </c>
    </row>
    <row r="15" spans="1:9" x14ac:dyDescent="0.15">
      <c r="A15" s="100"/>
      <c r="B15" s="94" t="s">
        <v>264</v>
      </c>
      <c r="C15" s="101"/>
      <c r="D15" s="102">
        <f>1103.86*7.45</f>
        <v>8223.7569999999996</v>
      </c>
      <c r="E15" s="103"/>
      <c r="F15" s="103"/>
      <c r="G15" s="103"/>
      <c r="H15" s="104">
        <f>SUM(D15:G15)</f>
        <v>8223.7569999999996</v>
      </c>
      <c r="I15" s="145" t="s">
        <v>1505</v>
      </c>
    </row>
    <row r="16" spans="1:9" x14ac:dyDescent="0.15">
      <c r="A16" s="100"/>
      <c r="B16" s="94" t="s">
        <v>194</v>
      </c>
      <c r="C16" s="101"/>
      <c r="D16" s="102">
        <f>1948.87*7.45</f>
        <v>14519.0815</v>
      </c>
      <c r="E16" s="103"/>
      <c r="F16" s="103"/>
      <c r="G16" s="103"/>
      <c r="H16" s="104">
        <f>SUM(D16:G16)</f>
        <v>14519.0815</v>
      </c>
      <c r="I16" s="145" t="s">
        <v>1507</v>
      </c>
    </row>
    <row r="17" spans="1:10" x14ac:dyDescent="0.15">
      <c r="A17" s="100"/>
      <c r="B17" s="94" t="s">
        <v>195</v>
      </c>
      <c r="C17" s="101"/>
      <c r="D17" s="102">
        <f>2148.87*7.45</f>
        <v>16009.0815</v>
      </c>
      <c r="E17" s="103"/>
      <c r="F17" s="103"/>
      <c r="G17" s="103"/>
      <c r="H17" s="104">
        <f>SUM(D17:G17)</f>
        <v>16009.0815</v>
      </c>
      <c r="I17" s="145" t="s">
        <v>1507</v>
      </c>
    </row>
    <row r="18" spans="1:10" x14ac:dyDescent="0.15">
      <c r="A18" s="100"/>
      <c r="C18" s="101"/>
      <c r="D18" s="103"/>
      <c r="E18" s="103"/>
      <c r="F18" s="103"/>
      <c r="G18" s="103"/>
      <c r="H18" s="104"/>
    </row>
    <row r="19" spans="1:10" x14ac:dyDescent="0.15">
      <c r="A19" s="98" t="s">
        <v>74</v>
      </c>
      <c r="C19" s="101"/>
      <c r="D19" s="103"/>
      <c r="E19" s="103"/>
      <c r="F19" s="103"/>
      <c r="G19" s="103"/>
      <c r="H19" s="104"/>
    </row>
    <row r="20" spans="1:10" x14ac:dyDescent="0.15">
      <c r="A20" s="88" t="s">
        <v>1427</v>
      </c>
      <c r="B20" s="94" t="s">
        <v>32</v>
      </c>
      <c r="C20" s="101"/>
      <c r="D20" s="101">
        <f>423.67</f>
        <v>423.67</v>
      </c>
      <c r="G20" s="101">
        <v>50</v>
      </c>
      <c r="H20" s="104">
        <f>SUM(D20:G20)</f>
        <v>473.67</v>
      </c>
      <c r="I20" s="96" t="s">
        <v>702</v>
      </c>
    </row>
    <row r="21" spans="1:10" x14ac:dyDescent="0.15">
      <c r="A21" s="88" t="s">
        <v>1344</v>
      </c>
      <c r="B21" s="94" t="s">
        <v>679</v>
      </c>
      <c r="C21" s="101"/>
      <c r="D21" s="101">
        <v>491.88</v>
      </c>
      <c r="G21" s="101">
        <v>50</v>
      </c>
      <c r="H21" s="104">
        <f>SUM(D21:G21)</f>
        <v>541.88</v>
      </c>
      <c r="I21" s="96" t="s">
        <v>703</v>
      </c>
    </row>
    <row r="22" spans="1:10" x14ac:dyDescent="0.15">
      <c r="A22" s="98" t="s">
        <v>704</v>
      </c>
      <c r="C22" s="101"/>
      <c r="D22" s="101"/>
      <c r="G22" s="101"/>
      <c r="H22" s="104"/>
    </row>
    <row r="23" spans="1:10" x14ac:dyDescent="0.15">
      <c r="A23" s="88" t="s">
        <v>1445</v>
      </c>
      <c r="B23" s="94" t="s">
        <v>34</v>
      </c>
      <c r="C23" s="101">
        <f>261</f>
        <v>261</v>
      </c>
      <c r="D23" s="101">
        <f>C23*$B$4</f>
        <v>1393.74</v>
      </c>
      <c r="F23" s="96">
        <f>82.27*$B$4/2</f>
        <v>219.66089999999997</v>
      </c>
      <c r="G23" s="101">
        <f>88*$B$4</f>
        <v>469.91999999999996</v>
      </c>
      <c r="H23" s="104">
        <f>SUM(D23:G23)</f>
        <v>2083.3209000000002</v>
      </c>
    </row>
    <row r="24" spans="1:10" x14ac:dyDescent="0.15">
      <c r="A24" s="88" t="s">
        <v>1446</v>
      </c>
      <c r="B24" s="94" t="s">
        <v>33</v>
      </c>
      <c r="C24" s="101">
        <v>8.61</v>
      </c>
      <c r="D24" s="101">
        <f>C24*$B$4</f>
        <v>45.977399999999996</v>
      </c>
      <c r="F24" s="96">
        <f>27.17*$B$4/2</f>
        <v>72.543900000000008</v>
      </c>
      <c r="G24" s="101"/>
      <c r="H24" s="104">
        <f>SUM(D24:G24)</f>
        <v>118.5213</v>
      </c>
      <c r="I24" s="96" t="s">
        <v>745</v>
      </c>
    </row>
    <row r="25" spans="1:10" x14ac:dyDescent="0.15">
      <c r="A25" s="98" t="s">
        <v>707</v>
      </c>
      <c r="C25" s="101"/>
      <c r="D25" s="101"/>
      <c r="G25" s="101"/>
      <c r="H25" s="104"/>
    </row>
    <row r="26" spans="1:10" x14ac:dyDescent="0.15">
      <c r="A26" s="88" t="s">
        <v>708</v>
      </c>
      <c r="B26" s="94" t="s">
        <v>72</v>
      </c>
      <c r="C26" s="101"/>
      <c r="D26" s="101">
        <v>229</v>
      </c>
      <c r="F26" s="96">
        <v>95</v>
      </c>
      <c r="G26" s="101">
        <v>269</v>
      </c>
      <c r="H26" s="104">
        <f>SUM(D26:G26)</f>
        <v>593</v>
      </c>
      <c r="I26" s="96" t="s">
        <v>741</v>
      </c>
    </row>
    <row r="27" spans="1:10" x14ac:dyDescent="0.15">
      <c r="A27" s="88" t="s">
        <v>740</v>
      </c>
      <c r="B27" s="94" t="s">
        <v>742</v>
      </c>
      <c r="C27" s="101"/>
      <c r="D27" s="101">
        <v>141</v>
      </c>
      <c r="F27" s="96">
        <v>50</v>
      </c>
      <c r="G27" s="101">
        <v>100</v>
      </c>
      <c r="H27" s="104">
        <f>SUM(D27:G27)</f>
        <v>291</v>
      </c>
      <c r="I27" s="96" t="s">
        <v>743</v>
      </c>
    </row>
    <row r="28" spans="1:10" x14ac:dyDescent="0.15">
      <c r="A28" s="88">
        <v>1351510050</v>
      </c>
      <c r="B28" s="94" t="s">
        <v>114</v>
      </c>
      <c r="C28" s="101"/>
      <c r="D28" s="101">
        <v>1794</v>
      </c>
      <c r="F28" s="96">
        <v>95</v>
      </c>
      <c r="G28" s="101">
        <v>100</v>
      </c>
      <c r="H28" s="104">
        <f>SUM(D28:G28)</f>
        <v>1989</v>
      </c>
      <c r="I28" s="96" t="s">
        <v>709</v>
      </c>
    </row>
    <row r="29" spans="1:10" x14ac:dyDescent="0.15">
      <c r="A29" s="105" t="s">
        <v>451</v>
      </c>
      <c r="C29" s="101"/>
      <c r="D29" s="101"/>
      <c r="G29" s="101"/>
      <c r="H29" s="104"/>
    </row>
    <row r="30" spans="1:10" x14ac:dyDescent="0.15">
      <c r="B30" s="94" t="s">
        <v>452</v>
      </c>
      <c r="C30" s="101"/>
      <c r="D30" s="103">
        <f>6804+580</f>
        <v>7384</v>
      </c>
      <c r="F30" s="106">
        <v>562.95000000000005</v>
      </c>
      <c r="G30" s="102">
        <f t="shared" ref="G30:G39" si="1">757.97+540+57</f>
        <v>1354.97</v>
      </c>
      <c r="H30" s="104">
        <f t="shared" ref="H30:H39" si="2">SUM(D30:G30)</f>
        <v>9301.92</v>
      </c>
      <c r="J30" s="104" t="s">
        <v>1357</v>
      </c>
    </row>
    <row r="31" spans="1:10" x14ac:dyDescent="0.15">
      <c r="A31" s="100"/>
      <c r="B31" s="94" t="s">
        <v>38</v>
      </c>
      <c r="C31" s="101"/>
      <c r="D31" s="103">
        <f>7103+580</f>
        <v>7683</v>
      </c>
      <c r="F31" s="106">
        <v>562.95000000000005</v>
      </c>
      <c r="G31" s="102">
        <f t="shared" si="1"/>
        <v>1354.97</v>
      </c>
      <c r="H31" s="104">
        <f t="shared" si="2"/>
        <v>9600.92</v>
      </c>
      <c r="J31" s="104" t="s">
        <v>1358</v>
      </c>
    </row>
    <row r="32" spans="1:10" x14ac:dyDescent="0.15">
      <c r="A32" s="100"/>
      <c r="B32" s="94" t="s">
        <v>453</v>
      </c>
      <c r="C32" s="101"/>
      <c r="D32" s="103">
        <f>7605+580</f>
        <v>8185</v>
      </c>
      <c r="F32" s="106">
        <v>562.95000000000005</v>
      </c>
      <c r="G32" s="102">
        <f t="shared" si="1"/>
        <v>1354.97</v>
      </c>
      <c r="H32" s="104">
        <f t="shared" si="2"/>
        <v>10102.92</v>
      </c>
      <c r="J32" s="104" t="s">
        <v>1359</v>
      </c>
    </row>
    <row r="33" spans="1:10" x14ac:dyDescent="0.15">
      <c r="A33" s="100"/>
      <c r="B33" s="94" t="s">
        <v>454</v>
      </c>
      <c r="C33" s="101"/>
      <c r="D33" s="102">
        <f>10052.6</f>
        <v>10052.6</v>
      </c>
      <c r="F33" s="106">
        <v>563</v>
      </c>
      <c r="G33" s="102">
        <f>757.97+540+57</f>
        <v>1354.97</v>
      </c>
      <c r="H33" s="104">
        <f t="shared" si="2"/>
        <v>11970.57</v>
      </c>
      <c r="I33" s="108">
        <v>45809</v>
      </c>
      <c r="J33" s="104" t="s">
        <v>1444</v>
      </c>
    </row>
    <row r="34" spans="1:10" x14ac:dyDescent="0.15">
      <c r="A34" s="100"/>
      <c r="B34" s="94" t="s">
        <v>455</v>
      </c>
      <c r="C34" s="101"/>
      <c r="D34" s="102">
        <f>16066</f>
        <v>16066</v>
      </c>
      <c r="F34" s="106">
        <v>562.95000000000005</v>
      </c>
      <c r="G34" s="102">
        <f t="shared" si="1"/>
        <v>1354.97</v>
      </c>
      <c r="H34" s="104">
        <f t="shared" si="2"/>
        <v>17983.920000000002</v>
      </c>
      <c r="I34" s="108">
        <v>45809</v>
      </c>
      <c r="J34" s="104" t="s">
        <v>1443</v>
      </c>
    </row>
    <row r="35" spans="1:10" x14ac:dyDescent="0.15">
      <c r="A35" s="100"/>
      <c r="B35" s="94" t="s">
        <v>659</v>
      </c>
      <c r="C35" s="101"/>
      <c r="D35" s="103">
        <f>12000+580</f>
        <v>12580</v>
      </c>
      <c r="F35" s="106">
        <v>562.95000000000005</v>
      </c>
      <c r="G35" s="102">
        <f t="shared" si="1"/>
        <v>1354.97</v>
      </c>
      <c r="H35" s="104">
        <f t="shared" si="2"/>
        <v>14497.92</v>
      </c>
      <c r="I35" s="96" t="s">
        <v>658</v>
      </c>
      <c r="J35" s="104" t="s">
        <v>1360</v>
      </c>
    </row>
    <row r="36" spans="1:10" x14ac:dyDescent="0.15">
      <c r="A36" s="100"/>
      <c r="B36" s="94" t="s">
        <v>660</v>
      </c>
      <c r="C36" s="101"/>
      <c r="D36" s="103">
        <f>14000+580</f>
        <v>14580</v>
      </c>
      <c r="F36" s="106">
        <v>562.95000000000005</v>
      </c>
      <c r="G36" s="102">
        <f t="shared" si="1"/>
        <v>1354.97</v>
      </c>
      <c r="H36" s="104">
        <f t="shared" si="2"/>
        <v>16497.920000000002</v>
      </c>
      <c r="I36" s="96" t="s">
        <v>658</v>
      </c>
      <c r="J36" s="104" t="s">
        <v>1361</v>
      </c>
    </row>
    <row r="37" spans="1:10" x14ac:dyDescent="0.15">
      <c r="A37" s="100"/>
      <c r="B37" s="94" t="s">
        <v>661</v>
      </c>
      <c r="C37" s="101"/>
      <c r="D37" s="103">
        <f>21000+580</f>
        <v>21580</v>
      </c>
      <c r="F37" s="106">
        <v>562.95000000000005</v>
      </c>
      <c r="G37" s="102">
        <f t="shared" si="1"/>
        <v>1354.97</v>
      </c>
      <c r="H37" s="104">
        <f t="shared" si="2"/>
        <v>23497.920000000002</v>
      </c>
      <c r="I37" s="96" t="s">
        <v>658</v>
      </c>
      <c r="J37" s="104" t="s">
        <v>1362</v>
      </c>
    </row>
    <row r="38" spans="1:10" x14ac:dyDescent="0.15">
      <c r="A38" s="100"/>
      <c r="B38" s="94" t="s">
        <v>456</v>
      </c>
      <c r="C38" s="101"/>
      <c r="D38" s="103">
        <f>23000+580</f>
        <v>23580</v>
      </c>
      <c r="F38" s="106">
        <v>562.95000000000005</v>
      </c>
      <c r="G38" s="102">
        <f t="shared" si="1"/>
        <v>1354.97</v>
      </c>
      <c r="H38" s="104">
        <f t="shared" si="2"/>
        <v>25497.920000000002</v>
      </c>
      <c r="I38" s="96" t="s">
        <v>658</v>
      </c>
      <c r="J38" s="104" t="s">
        <v>1363</v>
      </c>
    </row>
    <row r="39" spans="1:10" x14ac:dyDescent="0.15">
      <c r="A39" s="100"/>
      <c r="B39" s="94" t="s">
        <v>662</v>
      </c>
      <c r="C39" s="101"/>
      <c r="D39" s="103">
        <f>36000+580</f>
        <v>36580</v>
      </c>
      <c r="F39" s="106">
        <v>562.95000000000005</v>
      </c>
      <c r="G39" s="102">
        <f t="shared" si="1"/>
        <v>1354.97</v>
      </c>
      <c r="H39" s="104">
        <f t="shared" si="2"/>
        <v>38497.919999999998</v>
      </c>
      <c r="I39" s="96" t="s">
        <v>658</v>
      </c>
      <c r="J39" s="104" t="s">
        <v>1364</v>
      </c>
    </row>
    <row r="40" spans="1:10" x14ac:dyDescent="0.15">
      <c r="A40" s="100"/>
      <c r="C40" s="101"/>
      <c r="H40" s="104"/>
    </row>
    <row r="41" spans="1:10" x14ac:dyDescent="0.15">
      <c r="A41" s="100"/>
      <c r="C41" s="101"/>
      <c r="E41" s="96" t="s">
        <v>1426</v>
      </c>
      <c r="H41" s="104"/>
    </row>
    <row r="42" spans="1:10" x14ac:dyDescent="0.15">
      <c r="A42" s="100"/>
      <c r="B42" s="94" t="s">
        <v>1591</v>
      </c>
      <c r="C42" s="101"/>
      <c r="D42" s="95">
        <v>10449.39</v>
      </c>
      <c r="E42" s="319">
        <f>D42/0.6-D42</f>
        <v>6966.260000000002</v>
      </c>
      <c r="F42" s="106">
        <v>562.95000000000005</v>
      </c>
      <c r="G42" s="102">
        <f t="shared" ref="G42:G45" si="3">757.97+540+57</f>
        <v>1354.97</v>
      </c>
      <c r="H42" s="104">
        <f>SUM(D42:G42)</f>
        <v>19333.570000000003</v>
      </c>
    </row>
    <row r="43" spans="1:10" x14ac:dyDescent="0.15">
      <c r="A43" s="100"/>
      <c r="B43" s="94" t="s">
        <v>1592</v>
      </c>
      <c r="C43" s="101"/>
      <c r="D43" s="95">
        <v>10910</v>
      </c>
      <c r="E43" s="319">
        <f t="shared" ref="E43:E45" si="4">D43/0.6-D43</f>
        <v>7273.3333333333358</v>
      </c>
      <c r="F43" s="106">
        <v>562.95000000000005</v>
      </c>
      <c r="G43" s="102">
        <f t="shared" si="3"/>
        <v>1354.97</v>
      </c>
      <c r="H43" s="104">
        <f>SUM(D43:G43)</f>
        <v>20101.253333333338</v>
      </c>
    </row>
    <row r="44" spans="1:10" x14ac:dyDescent="0.15">
      <c r="A44" s="100"/>
      <c r="B44" s="94" t="s">
        <v>1593</v>
      </c>
      <c r="C44" s="101"/>
      <c r="D44" s="95">
        <v>11525.75</v>
      </c>
      <c r="E44" s="319">
        <f t="shared" si="4"/>
        <v>7683.8333333333358</v>
      </c>
      <c r="F44" s="106">
        <v>562.95000000000005</v>
      </c>
      <c r="G44" s="102">
        <f t="shared" si="3"/>
        <v>1354.97</v>
      </c>
      <c r="H44" s="104">
        <f>SUM(D44:G44)</f>
        <v>21127.503333333338</v>
      </c>
    </row>
    <row r="45" spans="1:10" x14ac:dyDescent="0.15">
      <c r="A45" s="100"/>
      <c r="B45" s="94" t="s">
        <v>1594</v>
      </c>
      <c r="C45" s="101"/>
      <c r="D45" s="95">
        <v>12494.1</v>
      </c>
      <c r="E45" s="319">
        <f t="shared" si="4"/>
        <v>8329.4</v>
      </c>
      <c r="F45" s="106">
        <v>562.95000000000005</v>
      </c>
      <c r="G45" s="102">
        <f t="shared" si="3"/>
        <v>1354.97</v>
      </c>
      <c r="H45" s="104">
        <f>SUM(D45:G45)</f>
        <v>22741.420000000002</v>
      </c>
    </row>
    <row r="46" spans="1:10" x14ac:dyDescent="0.15">
      <c r="A46" s="100"/>
      <c r="C46" s="101"/>
      <c r="H46" s="104"/>
    </row>
    <row r="47" spans="1:10" x14ac:dyDescent="0.15">
      <c r="A47" s="100"/>
      <c r="B47" s="94" t="s">
        <v>205</v>
      </c>
      <c r="C47" s="103">
        <v>19665</v>
      </c>
      <c r="D47" s="103">
        <f>C47-D30</f>
        <v>12281</v>
      </c>
      <c r="F47" s="96">
        <v>233</v>
      </c>
      <c r="G47" s="103">
        <v>540</v>
      </c>
      <c r="H47" s="104">
        <f>SUM(D47:G47)</f>
        <v>13054</v>
      </c>
      <c r="I47" s="96" t="s">
        <v>466</v>
      </c>
    </row>
    <row r="48" spans="1:10" x14ac:dyDescent="0.15">
      <c r="A48" s="100"/>
      <c r="B48" s="94" t="s">
        <v>68</v>
      </c>
      <c r="C48" s="103">
        <v>20926</v>
      </c>
      <c r="D48" s="103">
        <f>C48-D31</f>
        <v>13243</v>
      </c>
      <c r="F48" s="96">
        <v>233</v>
      </c>
      <c r="G48" s="103">
        <v>540</v>
      </c>
      <c r="H48" s="104">
        <f>SUM(D48:G48)</f>
        <v>14016</v>
      </c>
      <c r="I48" s="96" t="s">
        <v>466</v>
      </c>
    </row>
    <row r="49" spans="1:9" x14ac:dyDescent="0.15">
      <c r="A49" s="100"/>
      <c r="B49" s="94" t="s">
        <v>206</v>
      </c>
      <c r="C49" s="103">
        <v>22390</v>
      </c>
      <c r="D49" s="103">
        <f>C49-D32</f>
        <v>14205</v>
      </c>
      <c r="F49" s="96">
        <v>233</v>
      </c>
      <c r="G49" s="103">
        <v>540</v>
      </c>
      <c r="H49" s="104">
        <f>SUM(D49:G49)</f>
        <v>14978</v>
      </c>
      <c r="I49" s="96" t="s">
        <v>466</v>
      </c>
    </row>
    <row r="50" spans="1:9" x14ac:dyDescent="0.15">
      <c r="A50" s="100"/>
      <c r="B50" s="94" t="s">
        <v>69</v>
      </c>
      <c r="C50" s="103"/>
      <c r="D50" s="102">
        <v>16890</v>
      </c>
      <c r="F50" s="96">
        <v>233</v>
      </c>
      <c r="G50" s="103">
        <v>540</v>
      </c>
      <c r="H50" s="104">
        <f>SUM(D50:G50)</f>
        <v>17663</v>
      </c>
      <c r="I50" s="96" t="s">
        <v>1504</v>
      </c>
    </row>
    <row r="51" spans="1:9" x14ac:dyDescent="0.15">
      <c r="A51" s="100"/>
      <c r="B51" s="94" t="s">
        <v>162</v>
      </c>
      <c r="C51" s="103">
        <v>27283</v>
      </c>
      <c r="D51" s="186">
        <f>C51-D34</f>
        <v>11217</v>
      </c>
      <c r="F51" s="96">
        <v>233</v>
      </c>
      <c r="G51" s="103">
        <v>540</v>
      </c>
      <c r="H51" s="104">
        <f>SUM(D51:G51)</f>
        <v>11990</v>
      </c>
      <c r="I51" s="96" t="s">
        <v>466</v>
      </c>
    </row>
    <row r="52" spans="1:9" x14ac:dyDescent="0.15">
      <c r="A52" s="100"/>
      <c r="C52" s="101"/>
      <c r="D52" s="103"/>
      <c r="G52" s="103"/>
      <c r="H52" s="104"/>
    </row>
    <row r="53" spans="1:9" x14ac:dyDescent="0.15">
      <c r="A53" s="105" t="s">
        <v>457</v>
      </c>
      <c r="B53" s="94" t="s">
        <v>201</v>
      </c>
      <c r="C53" s="101"/>
      <c r="D53" s="103">
        <v>9308.25</v>
      </c>
      <c r="G53" s="103">
        <v>375</v>
      </c>
      <c r="H53" s="104">
        <f>SUM(D53:G53)</f>
        <v>9683.25</v>
      </c>
      <c r="I53" s="96" t="s">
        <v>1573</v>
      </c>
    </row>
    <row r="54" spans="1:9" x14ac:dyDescent="0.15">
      <c r="A54" s="100"/>
      <c r="B54" s="94" t="s">
        <v>202</v>
      </c>
      <c r="C54" s="101"/>
      <c r="D54" s="103">
        <v>11544.75</v>
      </c>
      <c r="G54" s="103">
        <v>375</v>
      </c>
      <c r="H54" s="104">
        <f>SUM(D54:G54)</f>
        <v>11919.75</v>
      </c>
      <c r="I54" s="96" t="s">
        <v>1574</v>
      </c>
    </row>
    <row r="55" spans="1:9" x14ac:dyDescent="0.15">
      <c r="A55" s="100"/>
      <c r="B55" s="94" t="s">
        <v>203</v>
      </c>
      <c r="C55" s="101"/>
      <c r="D55" s="103">
        <v>13340.25</v>
      </c>
      <c r="G55" s="103">
        <v>375</v>
      </c>
      <c r="H55" s="104">
        <f>SUM(D55:G55)</f>
        <v>13715.25</v>
      </c>
      <c r="I55" s="96" t="s">
        <v>1575</v>
      </c>
    </row>
    <row r="56" spans="1:9" x14ac:dyDescent="0.15">
      <c r="A56" s="100"/>
      <c r="B56" s="94" t="s">
        <v>204</v>
      </c>
      <c r="C56" s="101"/>
      <c r="D56" s="103">
        <v>15135.75</v>
      </c>
      <c r="G56" s="103">
        <v>375</v>
      </c>
      <c r="H56" s="104">
        <f>SUM(D56:G56)</f>
        <v>15510.75</v>
      </c>
      <c r="I56" s="96" t="s">
        <v>1576</v>
      </c>
    </row>
    <row r="57" spans="1:9" x14ac:dyDescent="0.15">
      <c r="A57" s="100"/>
      <c r="C57" s="101"/>
      <c r="D57" s="103"/>
      <c r="G57" s="103"/>
    </row>
    <row r="58" spans="1:9" x14ac:dyDescent="0.15">
      <c r="A58" s="105" t="s">
        <v>116</v>
      </c>
      <c r="B58" s="94" t="s">
        <v>1463</v>
      </c>
      <c r="C58" s="101"/>
      <c r="D58" s="103">
        <v>15500</v>
      </c>
      <c r="G58" s="103"/>
      <c r="H58" s="104">
        <f>SUM(D58:G58)</f>
        <v>15500</v>
      </c>
    </row>
    <row r="59" spans="1:9" x14ac:dyDescent="0.15">
      <c r="A59" s="105" t="s">
        <v>823</v>
      </c>
      <c r="B59" s="94" t="s">
        <v>1498</v>
      </c>
      <c r="C59" s="101">
        <v>1759</v>
      </c>
      <c r="D59" s="103">
        <f>C59*$B$2</f>
        <v>12612.03</v>
      </c>
      <c r="G59" s="103"/>
      <c r="H59" s="104">
        <f>SUM(D59:G59)</f>
        <v>12612.03</v>
      </c>
      <c r="I59" s="96" t="s">
        <v>1499</v>
      </c>
    </row>
    <row r="60" spans="1:9" x14ac:dyDescent="0.15">
      <c r="A60" s="105" t="s">
        <v>109</v>
      </c>
      <c r="B60" s="94" t="s">
        <v>115</v>
      </c>
      <c r="C60" s="101"/>
      <c r="D60" s="107">
        <v>0</v>
      </c>
      <c r="G60" s="103"/>
    </row>
    <row r="61" spans="1:9" x14ac:dyDescent="0.15">
      <c r="A61" s="100"/>
      <c r="B61" s="94" t="s">
        <v>182</v>
      </c>
      <c r="C61" s="101"/>
      <c r="D61" s="107">
        <v>1000</v>
      </c>
      <c r="G61" s="103"/>
      <c r="H61" s="104">
        <f>SUM(D61:G61)</f>
        <v>1000</v>
      </c>
    </row>
    <row r="62" spans="1:9" x14ac:dyDescent="0.15">
      <c r="A62" s="100"/>
      <c r="C62" s="101"/>
      <c r="D62" s="107"/>
      <c r="G62" s="103"/>
    </row>
    <row r="63" spans="1:9" x14ac:dyDescent="0.15">
      <c r="A63" s="105" t="s">
        <v>106</v>
      </c>
      <c r="B63" s="94" t="s">
        <v>0</v>
      </c>
      <c r="C63" s="101"/>
      <c r="D63" s="101">
        <f>13550*1.1</f>
        <v>14905.000000000002</v>
      </c>
      <c r="G63" s="103"/>
      <c r="H63" s="104">
        <f t="shared" ref="H63:H70" si="5">SUM(D63:G63)</f>
        <v>14905.000000000002</v>
      </c>
      <c r="I63" s="145" t="s">
        <v>1365</v>
      </c>
    </row>
    <row r="64" spans="1:9" x14ac:dyDescent="0.15">
      <c r="A64" s="100"/>
      <c r="B64" s="94" t="s">
        <v>67</v>
      </c>
      <c r="C64" s="101"/>
      <c r="D64" s="107">
        <f>23900*1.1</f>
        <v>26290.000000000004</v>
      </c>
      <c r="G64" s="103"/>
      <c r="H64" s="104">
        <f t="shared" si="5"/>
        <v>26290.000000000004</v>
      </c>
      <c r="I64" s="145" t="s">
        <v>1365</v>
      </c>
    </row>
    <row r="65" spans="1:9" x14ac:dyDescent="0.15">
      <c r="A65" s="100"/>
      <c r="B65" s="94" t="s">
        <v>1</v>
      </c>
      <c r="C65" s="101"/>
      <c r="D65" s="107">
        <f>46900*1.1</f>
        <v>51590.000000000007</v>
      </c>
      <c r="G65" s="103"/>
      <c r="H65" s="104">
        <f t="shared" si="5"/>
        <v>51590.000000000007</v>
      </c>
      <c r="I65" s="145" t="s">
        <v>1365</v>
      </c>
    </row>
    <row r="66" spans="1:9" x14ac:dyDescent="0.15">
      <c r="A66" s="100"/>
      <c r="B66" s="94" t="s">
        <v>2</v>
      </c>
      <c r="C66" s="101"/>
      <c r="D66" s="107">
        <f>82100*1.1</f>
        <v>90310.000000000015</v>
      </c>
      <c r="G66" s="103"/>
      <c r="H66" s="104">
        <f t="shared" si="5"/>
        <v>90310.000000000015</v>
      </c>
      <c r="I66" s="145" t="s">
        <v>1365</v>
      </c>
    </row>
    <row r="67" spans="1:9" x14ac:dyDescent="0.15">
      <c r="A67" s="100"/>
      <c r="B67" s="94" t="s">
        <v>27</v>
      </c>
      <c r="C67" s="101"/>
      <c r="D67" s="107">
        <f>4360*1.1</f>
        <v>4796</v>
      </c>
      <c r="G67" s="103"/>
      <c r="H67" s="104">
        <f t="shared" si="5"/>
        <v>4796</v>
      </c>
      <c r="I67" s="145" t="s">
        <v>1365</v>
      </c>
    </row>
    <row r="68" spans="1:9" x14ac:dyDescent="0.15">
      <c r="A68" s="100"/>
      <c r="B68" s="94" t="s">
        <v>10</v>
      </c>
      <c r="C68" s="101"/>
      <c r="D68" s="107">
        <f>11940*1.1</f>
        <v>13134.000000000002</v>
      </c>
      <c r="G68" s="103"/>
      <c r="H68" s="104">
        <f t="shared" si="5"/>
        <v>13134.000000000002</v>
      </c>
      <c r="I68" s="145" t="s">
        <v>1365</v>
      </c>
    </row>
    <row r="69" spans="1:9" x14ac:dyDescent="0.15">
      <c r="A69" s="100"/>
      <c r="B69" s="94" t="s">
        <v>113</v>
      </c>
      <c r="C69" s="101"/>
      <c r="D69" s="107">
        <f>5200*1.1</f>
        <v>5720.0000000000009</v>
      </c>
      <c r="G69" s="103"/>
      <c r="H69" s="104">
        <f t="shared" si="5"/>
        <v>5720.0000000000009</v>
      </c>
      <c r="I69" s="145" t="s">
        <v>1365</v>
      </c>
    </row>
    <row r="70" spans="1:9" x14ac:dyDescent="0.15">
      <c r="A70" s="100"/>
      <c r="B70" s="94" t="s">
        <v>260</v>
      </c>
      <c r="C70" s="101"/>
      <c r="D70" s="103">
        <f>655*1.1</f>
        <v>720.50000000000011</v>
      </c>
      <c r="G70" s="103"/>
      <c r="H70" s="104">
        <f t="shared" si="5"/>
        <v>720.50000000000011</v>
      </c>
      <c r="I70" s="145" t="s">
        <v>1365</v>
      </c>
    </row>
    <row r="71" spans="1:9" x14ac:dyDescent="0.15">
      <c r="A71" s="100"/>
      <c r="C71" s="101" t="s">
        <v>474</v>
      </c>
      <c r="D71" s="103"/>
      <c r="G71" s="103"/>
      <c r="H71" s="104"/>
    </row>
    <row r="72" spans="1:9" ht="14" thickBot="1" x14ac:dyDescent="0.2">
      <c r="A72" s="105" t="s">
        <v>467</v>
      </c>
      <c r="B72" s="94" t="s">
        <v>468</v>
      </c>
      <c r="C72" s="101">
        <v>670</v>
      </c>
      <c r="D72" s="103">
        <f t="shared" ref="D72:D93" si="6">C72*$B$2</f>
        <v>4803.8999999999996</v>
      </c>
      <c r="G72" s="103"/>
      <c r="H72" s="104">
        <f t="shared" ref="H72:H83" si="7">SUM(D72:G72)</f>
        <v>4803.8999999999996</v>
      </c>
    </row>
    <row r="73" spans="1:9" x14ac:dyDescent="0.15">
      <c r="A73" s="100"/>
      <c r="B73" s="159" t="s">
        <v>1438</v>
      </c>
      <c r="C73" s="295"/>
      <c r="D73" s="296">
        <f>C73*$B$2</f>
        <v>0</v>
      </c>
      <c r="E73" s="130"/>
      <c r="F73" s="130"/>
      <c r="G73" s="129"/>
      <c r="H73" s="131">
        <f t="shared" si="7"/>
        <v>0</v>
      </c>
      <c r="I73" s="108"/>
    </row>
    <row r="74" spans="1:9" x14ac:dyDescent="0.15">
      <c r="A74" s="100"/>
      <c r="B74" s="281" t="s">
        <v>1439</v>
      </c>
      <c r="C74" s="279"/>
      <c r="D74" s="143">
        <f>C74*$B$2</f>
        <v>0</v>
      </c>
      <c r="G74" s="133"/>
      <c r="H74" s="134">
        <f t="shared" si="7"/>
        <v>0</v>
      </c>
      <c r="I74" s="108"/>
    </row>
    <row r="75" spans="1:9" x14ac:dyDescent="0.15">
      <c r="A75" s="100"/>
      <c r="B75" s="281" t="s">
        <v>1440</v>
      </c>
      <c r="C75" s="279">
        <v>3460</v>
      </c>
      <c r="D75" s="143">
        <f>C75*$B$2</f>
        <v>24808.2</v>
      </c>
      <c r="G75" s="133"/>
      <c r="H75" s="134">
        <f t="shared" si="7"/>
        <v>24808.2</v>
      </c>
      <c r="I75" s="108"/>
    </row>
    <row r="76" spans="1:9" ht="14" thickBot="1" x14ac:dyDescent="0.2">
      <c r="A76" s="100"/>
      <c r="B76" s="282" t="s">
        <v>1441</v>
      </c>
      <c r="C76" s="297">
        <v>150</v>
      </c>
      <c r="D76" s="298">
        <f>C76*$B$2</f>
        <v>1075.5</v>
      </c>
      <c r="E76" s="140"/>
      <c r="F76" s="140"/>
      <c r="G76" s="141"/>
      <c r="H76" s="142">
        <f t="shared" si="7"/>
        <v>1075.5</v>
      </c>
      <c r="I76" s="108"/>
    </row>
    <row r="77" spans="1:9" x14ac:dyDescent="0.15">
      <c r="A77" s="100"/>
      <c r="B77" s="159" t="s">
        <v>1429</v>
      </c>
      <c r="C77" s="295">
        <v>498</v>
      </c>
      <c r="D77" s="296">
        <f t="shared" si="6"/>
        <v>3570.66</v>
      </c>
      <c r="E77" s="130"/>
      <c r="F77" s="130"/>
      <c r="G77" s="129"/>
      <c r="H77" s="131">
        <f t="shared" si="7"/>
        <v>3570.66</v>
      </c>
      <c r="I77" s="108"/>
    </row>
    <row r="78" spans="1:9" x14ac:dyDescent="0.15">
      <c r="A78" s="100"/>
      <c r="B78" s="281" t="s">
        <v>1430</v>
      </c>
      <c r="C78" s="279">
        <v>346</v>
      </c>
      <c r="D78" s="143">
        <f t="shared" si="6"/>
        <v>2480.8200000000002</v>
      </c>
      <c r="G78" s="133"/>
      <c r="H78" s="134">
        <f t="shared" si="7"/>
        <v>2480.8200000000002</v>
      </c>
      <c r="I78" s="108"/>
    </row>
    <row r="79" spans="1:9" x14ac:dyDescent="0.15">
      <c r="A79" s="100"/>
      <c r="B79" s="281" t="s">
        <v>1435</v>
      </c>
      <c r="C79" s="279">
        <v>771</v>
      </c>
      <c r="D79" s="143">
        <f t="shared" si="6"/>
        <v>5528.07</v>
      </c>
      <c r="G79" s="133"/>
      <c r="H79" s="134">
        <f t="shared" si="7"/>
        <v>5528.07</v>
      </c>
      <c r="I79" s="108"/>
    </row>
    <row r="80" spans="1:9" x14ac:dyDescent="0.15">
      <c r="A80" s="100"/>
      <c r="B80" s="281" t="s">
        <v>1431</v>
      </c>
      <c r="C80" s="279">
        <v>369</v>
      </c>
      <c r="D80" s="143">
        <f t="shared" si="6"/>
        <v>2645.73</v>
      </c>
      <c r="G80" s="133"/>
      <c r="H80" s="134">
        <f t="shared" si="7"/>
        <v>2645.73</v>
      </c>
      <c r="I80" s="108"/>
    </row>
    <row r="81" spans="1:9" x14ac:dyDescent="0.15">
      <c r="A81" s="100"/>
      <c r="B81" s="281" t="s">
        <v>1432</v>
      </c>
      <c r="C81" s="279">
        <v>1100</v>
      </c>
      <c r="D81" s="143">
        <f t="shared" si="6"/>
        <v>7887</v>
      </c>
      <c r="G81" s="133"/>
      <c r="H81" s="134">
        <f t="shared" si="7"/>
        <v>7887</v>
      </c>
      <c r="I81" s="108"/>
    </row>
    <row r="82" spans="1:9" x14ac:dyDescent="0.15">
      <c r="A82" s="100"/>
      <c r="B82" s="281" t="s">
        <v>1433</v>
      </c>
      <c r="C82" s="279">
        <v>796</v>
      </c>
      <c r="D82" s="143">
        <f t="shared" si="6"/>
        <v>5707.32</v>
      </c>
      <c r="G82" s="133"/>
      <c r="H82" s="134">
        <f t="shared" si="7"/>
        <v>5707.32</v>
      </c>
      <c r="I82" s="108"/>
    </row>
    <row r="83" spans="1:9" ht="14" thickBot="1" x14ac:dyDescent="0.2">
      <c r="A83" s="100"/>
      <c r="B83" s="282" t="s">
        <v>1434</v>
      </c>
      <c r="C83" s="297">
        <v>150</v>
      </c>
      <c r="D83" s="298">
        <f t="shared" si="6"/>
        <v>1075.5</v>
      </c>
      <c r="E83" s="140"/>
      <c r="F83" s="140"/>
      <c r="G83" s="141"/>
      <c r="H83" s="142">
        <f t="shared" si="7"/>
        <v>1075.5</v>
      </c>
      <c r="I83" s="108"/>
    </row>
    <row r="84" spans="1:9" x14ac:dyDescent="0.15">
      <c r="A84" s="100"/>
      <c r="B84" s="159" t="s">
        <v>1508</v>
      </c>
      <c r="C84" s="295"/>
      <c r="D84" s="296"/>
      <c r="E84" s="130"/>
      <c r="F84" s="130"/>
      <c r="G84" s="129"/>
      <c r="H84" s="131">
        <f>SUM(D85:D88)</f>
        <v>14089.05</v>
      </c>
      <c r="I84" s="108"/>
    </row>
    <row r="85" spans="1:9" x14ac:dyDescent="0.15">
      <c r="A85" s="100"/>
      <c r="B85" s="281" t="s">
        <v>1509</v>
      </c>
      <c r="C85" s="279">
        <v>186</v>
      </c>
      <c r="D85" s="143">
        <f t="shared" si="6"/>
        <v>1333.62</v>
      </c>
      <c r="G85" s="133"/>
      <c r="H85" s="134"/>
      <c r="I85" s="108"/>
    </row>
    <row r="86" spans="1:9" x14ac:dyDescent="0.15">
      <c r="A86" s="100"/>
      <c r="B86" s="281" t="s">
        <v>1510</v>
      </c>
      <c r="C86" s="279">
        <v>906</v>
      </c>
      <c r="D86" s="143">
        <f t="shared" si="6"/>
        <v>6496.0199999999995</v>
      </c>
      <c r="G86" s="133"/>
      <c r="H86" s="134"/>
      <c r="I86" s="108"/>
    </row>
    <row r="87" spans="1:9" x14ac:dyDescent="0.15">
      <c r="A87" s="100"/>
      <c r="B87" s="281" t="s">
        <v>1511</v>
      </c>
      <c r="C87" s="279">
        <v>353</v>
      </c>
      <c r="D87" s="143">
        <f t="shared" si="6"/>
        <v>2531.0099999999998</v>
      </c>
      <c r="G87" s="133"/>
      <c r="H87" s="134"/>
      <c r="I87" s="108"/>
    </row>
    <row r="88" spans="1:9" ht="14" thickBot="1" x14ac:dyDescent="0.2">
      <c r="A88" s="100"/>
      <c r="B88" s="282" t="s">
        <v>1512</v>
      </c>
      <c r="C88" s="297">
        <v>520</v>
      </c>
      <c r="D88" s="298">
        <f t="shared" si="6"/>
        <v>3728.4</v>
      </c>
      <c r="E88" s="140"/>
      <c r="F88" s="140"/>
      <c r="G88" s="141"/>
      <c r="H88" s="142"/>
      <c r="I88" s="108"/>
    </row>
    <row r="89" spans="1:9" x14ac:dyDescent="0.15">
      <c r="A89" s="100"/>
      <c r="C89" s="279"/>
      <c r="D89" s="143"/>
      <c r="G89" s="133"/>
      <c r="H89" s="279"/>
      <c r="I89" s="108"/>
    </row>
    <row r="90" spans="1:9" x14ac:dyDescent="0.15">
      <c r="A90" s="100"/>
      <c r="B90" s="94" t="s">
        <v>831</v>
      </c>
      <c r="C90" s="109">
        <v>2240</v>
      </c>
      <c r="D90" s="102">
        <f t="shared" si="6"/>
        <v>16060.8</v>
      </c>
      <c r="G90" s="103"/>
      <c r="H90" s="104">
        <f t="shared" ref="H90:H121" si="8">SUM(D90:G90)</f>
        <v>16060.8</v>
      </c>
      <c r="I90" s="108" t="s">
        <v>854</v>
      </c>
    </row>
    <row r="91" spans="1:9" x14ac:dyDescent="0.15">
      <c r="A91" s="100"/>
      <c r="B91" s="94" t="s">
        <v>859</v>
      </c>
      <c r="C91" s="109">
        <v>3065</v>
      </c>
      <c r="D91" s="102">
        <f>C91*$B$2</f>
        <v>21976.05</v>
      </c>
      <c r="G91" s="103"/>
      <c r="H91" s="104">
        <f t="shared" si="8"/>
        <v>21976.05</v>
      </c>
      <c r="I91" s="108" t="s">
        <v>857</v>
      </c>
    </row>
    <row r="92" spans="1:9" x14ac:dyDescent="0.15">
      <c r="A92" s="100"/>
      <c r="B92" s="94" t="s">
        <v>1279</v>
      </c>
      <c r="C92" s="104">
        <v>6590</v>
      </c>
      <c r="D92" s="102">
        <f t="shared" si="6"/>
        <v>47250.3</v>
      </c>
      <c r="G92" s="103"/>
      <c r="H92" s="104">
        <f t="shared" si="8"/>
        <v>47250.3</v>
      </c>
      <c r="I92" s="108" t="s">
        <v>1411</v>
      </c>
    </row>
    <row r="93" spans="1:9" x14ac:dyDescent="0.15">
      <c r="A93" s="100"/>
      <c r="B93" s="94" t="s">
        <v>1280</v>
      </c>
      <c r="C93" s="104">
        <v>7360</v>
      </c>
      <c r="D93" s="102">
        <f t="shared" si="6"/>
        <v>52771.199999999997</v>
      </c>
      <c r="G93" s="103"/>
      <c r="H93" s="104">
        <f t="shared" si="8"/>
        <v>52771.199999999997</v>
      </c>
      <c r="I93" s="108" t="s">
        <v>1411</v>
      </c>
    </row>
    <row r="94" spans="1:9" x14ac:dyDescent="0.15">
      <c r="A94" s="100"/>
      <c r="B94" s="94" t="s">
        <v>1281</v>
      </c>
      <c r="C94" s="104">
        <f>1.6*C93</f>
        <v>11776</v>
      </c>
      <c r="D94" s="102">
        <f t="shared" ref="D94:D99" si="9">C94*$B$2</f>
        <v>84433.919999999998</v>
      </c>
      <c r="E94" s="292"/>
      <c r="G94" s="103"/>
      <c r="H94" s="104">
        <f t="shared" si="8"/>
        <v>84433.919999999998</v>
      </c>
      <c r="I94" s="110" t="s">
        <v>1420</v>
      </c>
    </row>
    <row r="95" spans="1:9" x14ac:dyDescent="0.15">
      <c r="A95" s="100"/>
      <c r="B95" s="94" t="s">
        <v>121</v>
      </c>
      <c r="C95" s="111">
        <f>C96-770</f>
        <v>10390</v>
      </c>
      <c r="D95" s="102">
        <f t="shared" si="9"/>
        <v>74496.3</v>
      </c>
      <c r="G95" s="103"/>
      <c r="H95" s="104">
        <f t="shared" si="8"/>
        <v>74496.3</v>
      </c>
      <c r="I95" s="96" t="s">
        <v>511</v>
      </c>
    </row>
    <row r="96" spans="1:9" x14ac:dyDescent="0.15">
      <c r="A96" s="100"/>
      <c r="B96" s="94" t="s">
        <v>122</v>
      </c>
      <c r="C96" s="111">
        <f>C99</f>
        <v>11160</v>
      </c>
      <c r="D96" s="103">
        <f t="shared" si="9"/>
        <v>80017.2</v>
      </c>
      <c r="G96" s="103"/>
      <c r="H96" s="104">
        <f t="shared" si="8"/>
        <v>80017.2</v>
      </c>
      <c r="I96" s="96" t="s">
        <v>511</v>
      </c>
    </row>
    <row r="97" spans="1:10" x14ac:dyDescent="0.15">
      <c r="A97" s="100"/>
      <c r="B97" s="94" t="s">
        <v>490</v>
      </c>
      <c r="C97" s="104">
        <v>18100</v>
      </c>
      <c r="D97" s="102">
        <f t="shared" si="9"/>
        <v>129777</v>
      </c>
      <c r="G97" s="103"/>
      <c r="H97" s="104">
        <f t="shared" si="8"/>
        <v>129777</v>
      </c>
      <c r="I97" s="108">
        <v>44682</v>
      </c>
    </row>
    <row r="98" spans="1:10" x14ac:dyDescent="0.15">
      <c r="A98" s="100"/>
      <c r="B98" s="94" t="s">
        <v>75</v>
      </c>
      <c r="C98" s="111">
        <f>C99-770</f>
        <v>10390</v>
      </c>
      <c r="D98" s="103">
        <f t="shared" si="9"/>
        <v>74496.3</v>
      </c>
      <c r="G98" s="103"/>
      <c r="H98" s="104">
        <f t="shared" si="8"/>
        <v>74496.3</v>
      </c>
      <c r="I98" s="96" t="s">
        <v>511</v>
      </c>
    </row>
    <row r="99" spans="1:10" x14ac:dyDescent="0.15">
      <c r="A99" s="100"/>
      <c r="B99" s="94" t="s">
        <v>41</v>
      </c>
      <c r="C99" s="104">
        <f>11160</f>
        <v>11160</v>
      </c>
      <c r="D99" s="102">
        <f t="shared" si="9"/>
        <v>80017.2</v>
      </c>
      <c r="G99" s="103"/>
      <c r="H99" s="104">
        <f t="shared" si="8"/>
        <v>80017.2</v>
      </c>
      <c r="I99" s="96" t="s">
        <v>1448</v>
      </c>
    </row>
    <row r="100" spans="1:10" x14ac:dyDescent="0.15">
      <c r="A100" s="100"/>
      <c r="B100" s="94" t="s">
        <v>263</v>
      </c>
      <c r="C100" s="111">
        <f>0.83*C103</f>
        <v>23646.699999999997</v>
      </c>
      <c r="D100" s="103">
        <f>C100*$B$4</f>
        <v>126273.37799999998</v>
      </c>
      <c r="G100" s="103"/>
      <c r="H100" s="104">
        <f t="shared" si="8"/>
        <v>126273.37799999998</v>
      </c>
    </row>
    <row r="101" spans="1:10" x14ac:dyDescent="0.15">
      <c r="A101" s="100"/>
      <c r="B101" s="94" t="s">
        <v>66</v>
      </c>
      <c r="C101" s="104">
        <v>10267</v>
      </c>
      <c r="D101" s="102">
        <f>C101*$B$2</f>
        <v>73614.39</v>
      </c>
      <c r="G101" s="103"/>
      <c r="H101" s="104">
        <f t="shared" si="8"/>
        <v>73614.39</v>
      </c>
      <c r="I101" s="108" t="s">
        <v>800</v>
      </c>
    </row>
    <row r="102" spans="1:10" x14ac:dyDescent="0.15">
      <c r="A102" s="100"/>
      <c r="B102" s="94" t="s">
        <v>62</v>
      </c>
      <c r="C102" s="104">
        <f>10638+3000</f>
        <v>13638</v>
      </c>
      <c r="D102" s="103">
        <f>C102*$B$2</f>
        <v>97784.459999999992</v>
      </c>
      <c r="G102" s="103"/>
      <c r="H102" s="104">
        <f t="shared" si="8"/>
        <v>97784.459999999992</v>
      </c>
      <c r="I102" s="96" t="s">
        <v>801</v>
      </c>
      <c r="J102" s="96" t="s">
        <v>802</v>
      </c>
    </row>
    <row r="103" spans="1:10" x14ac:dyDescent="0.15">
      <c r="A103" s="100"/>
      <c r="B103" s="94" t="s">
        <v>104</v>
      </c>
      <c r="C103" s="104">
        <v>28490</v>
      </c>
      <c r="D103" s="102">
        <f>C103*$B$4</f>
        <v>152136.6</v>
      </c>
      <c r="G103" s="103"/>
      <c r="H103" s="104">
        <f t="shared" si="8"/>
        <v>152136.6</v>
      </c>
      <c r="I103" s="108" t="s">
        <v>562</v>
      </c>
    </row>
    <row r="104" spans="1:10" x14ac:dyDescent="0.15">
      <c r="A104" s="100"/>
      <c r="B104" s="94" t="s">
        <v>817</v>
      </c>
      <c r="C104" s="111">
        <f>3*115.85</f>
        <v>347.54999999999995</v>
      </c>
      <c r="D104" s="102">
        <f t="shared" ref="D104:D111" si="10">C104*$B$2</f>
        <v>2491.9334999999996</v>
      </c>
      <c r="G104" s="103"/>
      <c r="H104" s="104">
        <f t="shared" si="8"/>
        <v>2491.9334999999996</v>
      </c>
      <c r="I104" s="96" t="s">
        <v>815</v>
      </c>
    </row>
    <row r="105" spans="1:10" x14ac:dyDescent="0.15">
      <c r="A105" s="100"/>
      <c r="B105" s="94" t="s">
        <v>717</v>
      </c>
      <c r="C105" s="111">
        <f>224.57</f>
        <v>224.57</v>
      </c>
      <c r="D105" s="102">
        <f t="shared" si="10"/>
        <v>1610.1668999999999</v>
      </c>
      <c r="G105" s="103"/>
      <c r="H105" s="104">
        <f t="shared" si="8"/>
        <v>1610.1668999999999</v>
      </c>
      <c r="I105" s="96" t="s">
        <v>815</v>
      </c>
    </row>
    <row r="106" spans="1:10" x14ac:dyDescent="0.15">
      <c r="A106" s="100"/>
      <c r="B106" s="94" t="s">
        <v>43</v>
      </c>
      <c r="C106" s="101"/>
      <c r="D106" s="102">
        <f t="shared" si="10"/>
        <v>0</v>
      </c>
      <c r="G106" s="103"/>
      <c r="H106" s="104">
        <f t="shared" si="8"/>
        <v>0</v>
      </c>
    </row>
    <row r="107" spans="1:10" x14ac:dyDescent="0.15">
      <c r="A107" s="100"/>
      <c r="B107" s="94" t="s">
        <v>44</v>
      </c>
      <c r="C107" s="101"/>
      <c r="D107" s="102">
        <f t="shared" si="10"/>
        <v>0</v>
      </c>
      <c r="G107" s="103"/>
      <c r="H107" s="104">
        <f t="shared" si="8"/>
        <v>0</v>
      </c>
    </row>
    <row r="108" spans="1:10" x14ac:dyDescent="0.15">
      <c r="A108" s="100"/>
      <c r="B108" s="94" t="s">
        <v>45</v>
      </c>
      <c r="C108" s="101"/>
      <c r="D108" s="102">
        <f t="shared" si="10"/>
        <v>0</v>
      </c>
      <c r="G108" s="103"/>
      <c r="H108" s="104">
        <f t="shared" si="8"/>
        <v>0</v>
      </c>
    </row>
    <row r="109" spans="1:10" x14ac:dyDescent="0.15">
      <c r="A109" s="100"/>
      <c r="B109" s="94" t="s">
        <v>46</v>
      </c>
      <c r="C109" s="101"/>
      <c r="D109" s="102">
        <f t="shared" si="10"/>
        <v>0</v>
      </c>
      <c r="G109" s="103"/>
      <c r="H109" s="104">
        <f t="shared" si="8"/>
        <v>0</v>
      </c>
    </row>
    <row r="110" spans="1:10" x14ac:dyDescent="0.15">
      <c r="A110" s="100"/>
      <c r="B110" s="94" t="s">
        <v>565</v>
      </c>
      <c r="C110" s="101">
        <v>300</v>
      </c>
      <c r="D110" s="102">
        <f t="shared" si="10"/>
        <v>2151</v>
      </c>
      <c r="G110" s="103"/>
      <c r="H110" s="104">
        <f t="shared" si="8"/>
        <v>2151</v>
      </c>
      <c r="I110" s="96" t="s">
        <v>506</v>
      </c>
    </row>
    <row r="111" spans="1:10" x14ac:dyDescent="0.15">
      <c r="A111" s="100"/>
      <c r="B111" s="94" t="s">
        <v>48</v>
      </c>
      <c r="C111" s="111">
        <v>583</v>
      </c>
      <c r="D111" s="102">
        <f t="shared" si="10"/>
        <v>4180.1099999999997</v>
      </c>
      <c r="G111" s="103"/>
      <c r="H111" s="104">
        <f t="shared" si="8"/>
        <v>4180.1099999999997</v>
      </c>
      <c r="I111" s="96" t="s">
        <v>814</v>
      </c>
    </row>
    <row r="112" spans="1:10" x14ac:dyDescent="0.15">
      <c r="A112" s="100"/>
      <c r="B112" s="94" t="s">
        <v>63</v>
      </c>
      <c r="C112" s="104">
        <v>3600</v>
      </c>
      <c r="D112" s="102">
        <f>C112*$B$4</f>
        <v>19224</v>
      </c>
      <c r="G112" s="103"/>
      <c r="H112" s="104">
        <f t="shared" si="8"/>
        <v>19224</v>
      </c>
      <c r="I112" s="96" t="s">
        <v>489</v>
      </c>
      <c r="J112" s="96" t="s">
        <v>803</v>
      </c>
    </row>
    <row r="113" spans="1:13" x14ac:dyDescent="0.15">
      <c r="A113" s="100"/>
      <c r="B113" s="94" t="s">
        <v>120</v>
      </c>
      <c r="C113" s="101">
        <v>1500</v>
      </c>
      <c r="D113" s="102">
        <f>C113*$B$2</f>
        <v>10755</v>
      </c>
      <c r="G113" s="103"/>
      <c r="H113" s="104">
        <f t="shared" si="8"/>
        <v>10755</v>
      </c>
      <c r="I113" s="96" t="s">
        <v>190</v>
      </c>
    </row>
    <row r="114" spans="1:13" x14ac:dyDescent="0.15">
      <c r="A114" s="100"/>
      <c r="B114" s="94" t="s">
        <v>65</v>
      </c>
      <c r="C114" s="104">
        <v>779</v>
      </c>
      <c r="D114" s="102">
        <f>C114*$B$2</f>
        <v>5585.43</v>
      </c>
      <c r="G114" s="103"/>
      <c r="H114" s="104">
        <f t="shared" si="8"/>
        <v>5585.43</v>
      </c>
      <c r="I114" s="96" t="s">
        <v>190</v>
      </c>
    </row>
    <row r="115" spans="1:13" x14ac:dyDescent="0.15">
      <c r="A115" s="100"/>
      <c r="B115" s="94" t="s">
        <v>820</v>
      </c>
      <c r="C115" s="104">
        <v>500</v>
      </c>
      <c r="D115" s="102">
        <f>C115*$B$2</f>
        <v>3585</v>
      </c>
      <c r="G115" s="103"/>
      <c r="H115" s="104">
        <f t="shared" si="8"/>
        <v>3585</v>
      </c>
      <c r="I115" s="286" t="s">
        <v>1407</v>
      </c>
    </row>
    <row r="116" spans="1:13" x14ac:dyDescent="0.15">
      <c r="A116" s="100"/>
      <c r="B116" s="94" t="s">
        <v>533</v>
      </c>
      <c r="C116" s="104">
        <f>1000</f>
        <v>1000</v>
      </c>
      <c r="D116" s="102">
        <f t="shared" ref="D116:D123" si="11">C116*$B$2</f>
        <v>7170</v>
      </c>
      <c r="G116" s="103"/>
      <c r="H116" s="104">
        <f t="shared" si="8"/>
        <v>7170</v>
      </c>
      <c r="I116" s="96" t="s">
        <v>512</v>
      </c>
    </row>
    <row r="117" spans="1:13" x14ac:dyDescent="0.15">
      <c r="A117" s="100"/>
      <c r="B117" s="94" t="s">
        <v>534</v>
      </c>
      <c r="C117" s="104">
        <v>467</v>
      </c>
      <c r="D117" s="102">
        <f t="shared" si="11"/>
        <v>3348.39</v>
      </c>
      <c r="G117" s="103"/>
      <c r="H117" s="104">
        <f t="shared" si="8"/>
        <v>3348.39</v>
      </c>
    </row>
    <row r="118" spans="1:13" x14ac:dyDescent="0.15">
      <c r="A118" s="100"/>
      <c r="B118" s="94" t="s">
        <v>1336</v>
      </c>
      <c r="C118" s="104">
        <v>500</v>
      </c>
      <c r="D118" s="102">
        <f t="shared" si="11"/>
        <v>3585</v>
      </c>
      <c r="G118" s="103"/>
      <c r="H118" s="104">
        <f t="shared" si="8"/>
        <v>3585</v>
      </c>
      <c r="I118" s="108" t="s">
        <v>1337</v>
      </c>
    </row>
    <row r="119" spans="1:13" x14ac:dyDescent="0.15">
      <c r="A119" s="100"/>
      <c r="B119" s="94" t="s">
        <v>721</v>
      </c>
      <c r="C119" s="104">
        <v>1840</v>
      </c>
      <c r="D119" s="102">
        <f t="shared" si="11"/>
        <v>13192.8</v>
      </c>
      <c r="G119" s="103"/>
      <c r="H119" s="104">
        <f t="shared" si="8"/>
        <v>13192.8</v>
      </c>
      <c r="I119" s="108" t="s">
        <v>1447</v>
      </c>
    </row>
    <row r="120" spans="1:13" x14ac:dyDescent="0.15">
      <c r="A120" s="100"/>
      <c r="B120" s="94" t="s">
        <v>513</v>
      </c>
      <c r="C120" s="104">
        <v>210.39</v>
      </c>
      <c r="D120" s="102">
        <f t="shared" si="11"/>
        <v>1508.4962999999998</v>
      </c>
      <c r="G120" s="103"/>
      <c r="H120" s="104">
        <f t="shared" si="8"/>
        <v>1508.4962999999998</v>
      </c>
      <c r="I120" s="108" t="s">
        <v>856</v>
      </c>
    </row>
    <row r="121" spans="1:13" x14ac:dyDescent="0.15">
      <c r="A121" s="100"/>
      <c r="B121" s="94" t="s">
        <v>528</v>
      </c>
      <c r="C121" s="112">
        <v>420</v>
      </c>
      <c r="D121" s="113">
        <f t="shared" si="11"/>
        <v>3011.4</v>
      </c>
      <c r="G121" s="103"/>
      <c r="H121" s="104">
        <f t="shared" si="8"/>
        <v>3011.4</v>
      </c>
      <c r="I121" s="114" t="s">
        <v>523</v>
      </c>
    </row>
    <row r="122" spans="1:13" x14ac:dyDescent="0.15">
      <c r="A122" s="100"/>
      <c r="B122" s="94" t="s">
        <v>530</v>
      </c>
      <c r="C122" s="112">
        <v>715.04</v>
      </c>
      <c r="D122" s="113">
        <f t="shared" si="11"/>
        <v>5126.8368</v>
      </c>
      <c r="G122" s="103"/>
      <c r="H122" s="104">
        <f t="shared" ref="H122:H148" si="12">SUM(D122:G122)</f>
        <v>5126.8368</v>
      </c>
      <c r="I122" s="114" t="s">
        <v>531</v>
      </c>
    </row>
    <row r="123" spans="1:13" x14ac:dyDescent="0.15">
      <c r="A123" s="100"/>
      <c r="B123" s="94" t="s">
        <v>555</v>
      </c>
      <c r="C123" s="101">
        <v>1100</v>
      </c>
      <c r="D123" s="103">
        <f t="shared" si="11"/>
        <v>7887</v>
      </c>
      <c r="G123" s="103"/>
      <c r="H123" s="104">
        <f t="shared" si="12"/>
        <v>7887</v>
      </c>
      <c r="I123" s="96" t="s">
        <v>529</v>
      </c>
      <c r="M123" s="115"/>
    </row>
    <row r="124" spans="1:13" x14ac:dyDescent="0.15">
      <c r="A124" s="100"/>
      <c r="B124" s="94" t="s">
        <v>524</v>
      </c>
      <c r="C124" s="101">
        <v>4209</v>
      </c>
      <c r="D124" s="103">
        <f t="shared" ref="D124:D131" si="13">C124*$B$2</f>
        <v>30178.53</v>
      </c>
      <c r="G124" s="103"/>
      <c r="H124" s="104">
        <f t="shared" si="12"/>
        <v>30178.53</v>
      </c>
      <c r="I124" s="96" t="s">
        <v>523</v>
      </c>
    </row>
    <row r="125" spans="1:13" x14ac:dyDescent="0.15">
      <c r="A125" s="100"/>
      <c r="B125" s="94" t="s">
        <v>535</v>
      </c>
      <c r="C125" s="101">
        <v>6771</v>
      </c>
      <c r="D125" s="103">
        <f t="shared" si="13"/>
        <v>48548.07</v>
      </c>
      <c r="G125" s="103"/>
      <c r="H125" s="104">
        <f t="shared" si="12"/>
        <v>48548.07</v>
      </c>
    </row>
    <row r="126" spans="1:13" x14ac:dyDescent="0.15">
      <c r="A126" s="100"/>
      <c r="B126" s="94" t="s">
        <v>792</v>
      </c>
      <c r="C126" s="101">
        <v>400</v>
      </c>
      <c r="D126" s="103">
        <f t="shared" si="13"/>
        <v>2868</v>
      </c>
      <c r="G126" s="101"/>
      <c r="H126" s="104">
        <f t="shared" si="12"/>
        <v>2868</v>
      </c>
    </row>
    <row r="127" spans="1:13" x14ac:dyDescent="0.15">
      <c r="A127" s="100"/>
      <c r="B127" s="94" t="s">
        <v>566</v>
      </c>
      <c r="C127" s="101">
        <v>700</v>
      </c>
      <c r="D127" s="103">
        <f t="shared" si="13"/>
        <v>5019</v>
      </c>
      <c r="G127" s="101"/>
      <c r="H127" s="104">
        <f t="shared" si="12"/>
        <v>5019</v>
      </c>
      <c r="I127" s="96" t="s">
        <v>567</v>
      </c>
    </row>
    <row r="128" spans="1:13" x14ac:dyDescent="0.15">
      <c r="A128" s="100"/>
      <c r="B128" s="94" t="s">
        <v>634</v>
      </c>
      <c r="C128" s="111">
        <f>6861.35+3400</f>
        <v>10261.35</v>
      </c>
      <c r="D128" s="102">
        <f t="shared" si="13"/>
        <v>73573.879499999995</v>
      </c>
      <c r="G128" s="103"/>
      <c r="H128" s="104">
        <f t="shared" si="12"/>
        <v>73573.879499999995</v>
      </c>
      <c r="I128" s="96" t="s">
        <v>636</v>
      </c>
      <c r="J128" s="116" t="s">
        <v>190</v>
      </c>
    </row>
    <row r="129" spans="1:10" x14ac:dyDescent="0.15">
      <c r="A129" s="100"/>
      <c r="B129" s="94" t="s">
        <v>656</v>
      </c>
      <c r="C129" s="111">
        <f>C99*1.5</f>
        <v>16740</v>
      </c>
      <c r="D129" s="102">
        <f t="shared" si="13"/>
        <v>120025.8</v>
      </c>
      <c r="G129" s="103"/>
      <c r="H129" s="104">
        <f t="shared" si="12"/>
        <v>120025.8</v>
      </c>
      <c r="I129" s="96" t="s">
        <v>1567</v>
      </c>
      <c r="J129" s="116" t="s">
        <v>190</v>
      </c>
    </row>
    <row r="130" spans="1:10" x14ac:dyDescent="0.15">
      <c r="A130" s="100"/>
      <c r="B130" s="94" t="s">
        <v>720</v>
      </c>
      <c r="C130" s="111">
        <v>100</v>
      </c>
      <c r="D130" s="102">
        <f t="shared" si="13"/>
        <v>717</v>
      </c>
      <c r="G130" s="103"/>
      <c r="H130" s="104">
        <f t="shared" si="12"/>
        <v>717</v>
      </c>
      <c r="I130" s="96" t="s">
        <v>818</v>
      </c>
      <c r="J130" s="116" t="s">
        <v>190</v>
      </c>
    </row>
    <row r="131" spans="1:10" x14ac:dyDescent="0.15">
      <c r="A131" s="100"/>
      <c r="B131" s="94" t="s">
        <v>1516</v>
      </c>
      <c r="C131" s="104">
        <v>9363</v>
      </c>
      <c r="D131" s="102">
        <f t="shared" si="13"/>
        <v>67132.710000000006</v>
      </c>
      <c r="G131" s="103"/>
      <c r="H131" s="104">
        <f t="shared" si="12"/>
        <v>67132.710000000006</v>
      </c>
      <c r="I131" s="108" t="s">
        <v>854</v>
      </c>
    </row>
    <row r="132" spans="1:10" x14ac:dyDescent="0.15">
      <c r="A132" s="100"/>
      <c r="B132" s="94" t="s">
        <v>1517</v>
      </c>
      <c r="C132" s="104">
        <v>1785</v>
      </c>
      <c r="D132" s="102">
        <f t="shared" ref="D132:D144" si="14">C132*$B$2</f>
        <v>12798.45</v>
      </c>
      <c r="G132" s="103"/>
      <c r="H132" s="104">
        <f t="shared" si="12"/>
        <v>12798.45</v>
      </c>
      <c r="I132" s="108" t="s">
        <v>855</v>
      </c>
    </row>
    <row r="133" spans="1:10" x14ac:dyDescent="0.15">
      <c r="A133" s="100"/>
      <c r="B133" s="94" t="s">
        <v>1518</v>
      </c>
      <c r="C133" s="104">
        <v>9807</v>
      </c>
      <c r="D133" s="102">
        <f t="shared" si="14"/>
        <v>70316.19</v>
      </c>
      <c r="G133" s="103"/>
      <c r="H133" s="104">
        <f t="shared" si="12"/>
        <v>70316.19</v>
      </c>
      <c r="I133" s="108" t="s">
        <v>857</v>
      </c>
    </row>
    <row r="134" spans="1:10" x14ac:dyDescent="0.15">
      <c r="A134" s="100"/>
      <c r="B134" s="94" t="s">
        <v>1519</v>
      </c>
      <c r="C134" s="104">
        <v>3190</v>
      </c>
      <c r="D134" s="102">
        <f t="shared" si="14"/>
        <v>22872.3</v>
      </c>
      <c r="G134" s="103"/>
      <c r="H134" s="104">
        <f t="shared" si="12"/>
        <v>22872.3</v>
      </c>
      <c r="I134" s="108" t="s">
        <v>857</v>
      </c>
    </row>
    <row r="135" spans="1:10" x14ac:dyDescent="0.15">
      <c r="A135" s="100"/>
      <c r="B135" s="94" t="s">
        <v>1520</v>
      </c>
      <c r="C135" s="104">
        <v>11520</v>
      </c>
      <c r="D135" s="102">
        <f t="shared" si="14"/>
        <v>82598.399999999994</v>
      </c>
      <c r="G135" s="103"/>
      <c r="H135" s="104">
        <f t="shared" si="12"/>
        <v>82598.399999999994</v>
      </c>
      <c r="I135" s="108" t="s">
        <v>1524</v>
      </c>
    </row>
    <row r="136" spans="1:10" x14ac:dyDescent="0.15">
      <c r="A136" s="100"/>
      <c r="B136" s="94" t="s">
        <v>1521</v>
      </c>
      <c r="C136" s="104">
        <v>2160</v>
      </c>
      <c r="D136" s="102">
        <f t="shared" si="14"/>
        <v>15487.2</v>
      </c>
      <c r="G136" s="103"/>
      <c r="H136" s="104">
        <f t="shared" si="12"/>
        <v>15487.2</v>
      </c>
      <c r="I136" s="108" t="s">
        <v>1525</v>
      </c>
    </row>
    <row r="137" spans="1:10" x14ac:dyDescent="0.15">
      <c r="A137" s="100"/>
      <c r="B137" s="94" t="s">
        <v>1522</v>
      </c>
      <c r="C137" s="104">
        <v>21800</v>
      </c>
      <c r="D137" s="102">
        <f t="shared" si="14"/>
        <v>156306</v>
      </c>
      <c r="G137" s="103"/>
      <c r="H137" s="104">
        <f t="shared" si="12"/>
        <v>156306</v>
      </c>
      <c r="I137" s="108" t="s">
        <v>1526</v>
      </c>
    </row>
    <row r="138" spans="1:10" x14ac:dyDescent="0.15">
      <c r="A138" s="100"/>
      <c r="B138" s="94" t="s">
        <v>1523</v>
      </c>
      <c r="C138" s="104">
        <v>4200</v>
      </c>
      <c r="D138" s="102">
        <f t="shared" si="14"/>
        <v>30114</v>
      </c>
      <c r="G138" s="103"/>
      <c r="H138" s="104">
        <f t="shared" si="12"/>
        <v>30114</v>
      </c>
      <c r="I138" s="108" t="s">
        <v>1527</v>
      </c>
    </row>
    <row r="139" spans="1:10" x14ac:dyDescent="0.15">
      <c r="A139" s="100"/>
      <c r="B139" s="94" t="s">
        <v>858</v>
      </c>
      <c r="C139" s="111">
        <v>1447</v>
      </c>
      <c r="D139" s="102">
        <f t="shared" si="14"/>
        <v>10374.99</v>
      </c>
      <c r="G139" s="103"/>
      <c r="H139" s="104">
        <f t="shared" si="12"/>
        <v>10374.99</v>
      </c>
      <c r="I139" s="108" t="s">
        <v>857</v>
      </c>
    </row>
    <row r="140" spans="1:10" x14ac:dyDescent="0.15">
      <c r="A140" s="100"/>
      <c r="B140" s="94" t="s">
        <v>1268</v>
      </c>
      <c r="C140" s="111">
        <f>50+50+150</f>
        <v>250</v>
      </c>
      <c r="D140" s="102">
        <f t="shared" si="14"/>
        <v>1792.5</v>
      </c>
      <c r="G140" s="103"/>
      <c r="H140" s="104">
        <f t="shared" si="12"/>
        <v>1792.5</v>
      </c>
      <c r="I140" s="108"/>
    </row>
    <row r="141" spans="1:10" x14ac:dyDescent="0.15">
      <c r="A141" s="100"/>
      <c r="B141" s="94" t="s">
        <v>1270</v>
      </c>
      <c r="C141" s="111">
        <f>50+50+150</f>
        <v>250</v>
      </c>
      <c r="D141" s="102">
        <f>C141*$B$2</f>
        <v>1792.5</v>
      </c>
      <c r="G141" s="103"/>
      <c r="H141" s="104">
        <f t="shared" si="12"/>
        <v>1792.5</v>
      </c>
      <c r="I141" s="108"/>
    </row>
    <row r="142" spans="1:10" x14ac:dyDescent="0.15">
      <c r="A142" s="100"/>
      <c r="B142" s="94" t="s">
        <v>1269</v>
      </c>
      <c r="C142" s="111">
        <f>(50+50+150)*1.5</f>
        <v>375</v>
      </c>
      <c r="D142" s="102">
        <f t="shared" si="14"/>
        <v>2688.75</v>
      </c>
      <c r="G142" s="103"/>
      <c r="H142" s="104">
        <f t="shared" si="12"/>
        <v>2688.75</v>
      </c>
      <c r="I142" s="108"/>
    </row>
    <row r="143" spans="1:10" x14ac:dyDescent="0.15">
      <c r="A143" s="100"/>
      <c r="B143" s="94" t="s">
        <v>1271</v>
      </c>
      <c r="C143" s="111">
        <f>(50+50+150)*1.5</f>
        <v>375</v>
      </c>
      <c r="D143" s="102">
        <f t="shared" si="14"/>
        <v>2688.75</v>
      </c>
      <c r="G143" s="103"/>
      <c r="H143" s="104">
        <f t="shared" si="12"/>
        <v>2688.75</v>
      </c>
      <c r="I143" s="108"/>
    </row>
    <row r="144" spans="1:10" x14ac:dyDescent="0.15">
      <c r="A144" s="100"/>
      <c r="B144" s="94" t="s">
        <v>1266</v>
      </c>
      <c r="C144" s="111">
        <v>240</v>
      </c>
      <c r="D144" s="102">
        <f t="shared" si="14"/>
        <v>1720.8</v>
      </c>
      <c r="G144" s="103"/>
      <c r="H144" s="104">
        <f t="shared" si="12"/>
        <v>1720.8</v>
      </c>
      <c r="I144" s="108"/>
    </row>
    <row r="145" spans="1:9" x14ac:dyDescent="0.15">
      <c r="A145" s="100"/>
      <c r="B145" s="94" t="s">
        <v>1273</v>
      </c>
      <c r="C145" s="111">
        <f>240*1.5</f>
        <v>360</v>
      </c>
      <c r="D145" s="102">
        <f>C145*$B$2</f>
        <v>2581.1999999999998</v>
      </c>
      <c r="G145" s="103"/>
      <c r="H145" s="104">
        <f t="shared" si="12"/>
        <v>2581.1999999999998</v>
      </c>
      <c r="I145" s="108"/>
    </row>
    <row r="146" spans="1:9" x14ac:dyDescent="0.15">
      <c r="A146" s="100"/>
      <c r="B146" s="94" t="s">
        <v>1421</v>
      </c>
      <c r="C146" s="111">
        <v>100</v>
      </c>
      <c r="D146" s="102">
        <f>C146*$B$2</f>
        <v>717</v>
      </c>
      <c r="G146" s="103"/>
      <c r="H146" s="104">
        <f t="shared" si="12"/>
        <v>717</v>
      </c>
      <c r="I146" s="108" t="s">
        <v>1422</v>
      </c>
    </row>
    <row r="147" spans="1:9" x14ac:dyDescent="0.15">
      <c r="A147" s="100"/>
      <c r="B147" s="94" t="s">
        <v>1382</v>
      </c>
      <c r="C147" s="101">
        <f>12940-11160</f>
        <v>1780</v>
      </c>
      <c r="D147" s="102">
        <f>C147*$B$2</f>
        <v>12762.6</v>
      </c>
      <c r="G147" s="103"/>
      <c r="H147" s="104">
        <f t="shared" si="12"/>
        <v>12762.6</v>
      </c>
      <c r="I147" s="108" t="s">
        <v>1449</v>
      </c>
    </row>
    <row r="148" spans="1:9" x14ac:dyDescent="0.15">
      <c r="A148" s="100"/>
      <c r="B148" s="94" t="s">
        <v>1406</v>
      </c>
      <c r="C148" s="101">
        <v>2960</v>
      </c>
      <c r="D148" s="102">
        <f>C148*$B$2</f>
        <v>21223.200000000001</v>
      </c>
      <c r="G148" s="103"/>
      <c r="H148" s="104">
        <f t="shared" si="12"/>
        <v>21223.200000000001</v>
      </c>
      <c r="I148" s="108" t="s">
        <v>1450</v>
      </c>
    </row>
    <row r="149" spans="1:9" x14ac:dyDescent="0.15">
      <c r="A149" s="100"/>
      <c r="C149" s="111"/>
      <c r="D149" s="102"/>
      <c r="G149" s="103"/>
      <c r="H149" s="104"/>
      <c r="I149" s="108"/>
    </row>
    <row r="150" spans="1:9" x14ac:dyDescent="0.15">
      <c r="A150" s="100"/>
      <c r="C150" s="111"/>
      <c r="D150" s="102"/>
      <c r="G150" s="103"/>
      <c r="H150" s="104"/>
      <c r="I150" s="108"/>
    </row>
    <row r="151" spans="1:9" x14ac:dyDescent="0.15">
      <c r="A151" s="100" t="s">
        <v>1286</v>
      </c>
      <c r="B151" s="94" t="s">
        <v>1287</v>
      </c>
      <c r="C151" s="111">
        <v>8600</v>
      </c>
      <c r="D151" s="102">
        <f t="shared" ref="D151:D162" si="15">C151*$B$2</f>
        <v>61662</v>
      </c>
      <c r="G151" s="103"/>
      <c r="H151" s="104">
        <f t="shared" ref="H151:H163" si="16">SUM(D151:G151)</f>
        <v>61662</v>
      </c>
      <c r="I151" s="291">
        <v>2025</v>
      </c>
    </row>
    <row r="152" spans="1:9" x14ac:dyDescent="0.15">
      <c r="A152" s="100" t="s">
        <v>1296</v>
      </c>
      <c r="B152" s="94" t="s">
        <v>1288</v>
      </c>
      <c r="C152" s="111">
        <v>9550</v>
      </c>
      <c r="D152" s="102">
        <f t="shared" si="15"/>
        <v>68473.5</v>
      </c>
      <c r="G152" s="103"/>
      <c r="H152" s="104">
        <f t="shared" si="16"/>
        <v>68473.5</v>
      </c>
      <c r="I152" s="291">
        <v>2025</v>
      </c>
    </row>
    <row r="153" spans="1:9" x14ac:dyDescent="0.15">
      <c r="A153" s="100" t="s">
        <v>1297</v>
      </c>
      <c r="B153" s="94" t="s">
        <v>1289</v>
      </c>
      <c r="C153" s="111">
        <v>11410</v>
      </c>
      <c r="D153" s="102">
        <f t="shared" si="15"/>
        <v>81809.7</v>
      </c>
      <c r="G153" s="103"/>
      <c r="H153" s="104">
        <f t="shared" si="16"/>
        <v>81809.7</v>
      </c>
      <c r="I153" s="291">
        <v>2025</v>
      </c>
    </row>
    <row r="154" spans="1:9" x14ac:dyDescent="0.15">
      <c r="A154" s="100" t="s">
        <v>1298</v>
      </c>
      <c r="B154" s="94" t="s">
        <v>1290</v>
      </c>
      <c r="C154" s="111">
        <v>12450</v>
      </c>
      <c r="D154" s="102">
        <f t="shared" si="15"/>
        <v>89266.5</v>
      </c>
      <c r="G154" s="103"/>
      <c r="H154" s="104">
        <f t="shared" si="16"/>
        <v>89266.5</v>
      </c>
      <c r="I154" s="291">
        <v>2025</v>
      </c>
    </row>
    <row r="155" spans="1:9" x14ac:dyDescent="0.15">
      <c r="A155" s="100"/>
      <c r="B155" s="94" t="s">
        <v>1291</v>
      </c>
      <c r="C155" s="111">
        <v>14330</v>
      </c>
      <c r="D155" s="102">
        <f t="shared" si="15"/>
        <v>102746.1</v>
      </c>
      <c r="G155" s="103"/>
      <c r="H155" s="104">
        <f t="shared" si="16"/>
        <v>102746.1</v>
      </c>
      <c r="I155" s="291">
        <v>2025</v>
      </c>
    </row>
    <row r="156" spans="1:9" x14ac:dyDescent="0.15">
      <c r="A156" s="100"/>
      <c r="B156" s="94" t="s">
        <v>1292</v>
      </c>
      <c r="C156" s="111">
        <v>17110</v>
      </c>
      <c r="D156" s="102">
        <f t="shared" si="15"/>
        <v>122678.7</v>
      </c>
      <c r="G156" s="103"/>
      <c r="H156" s="104">
        <f t="shared" si="16"/>
        <v>122678.7</v>
      </c>
      <c r="I156" s="291">
        <v>2025</v>
      </c>
    </row>
    <row r="157" spans="1:9" x14ac:dyDescent="0.15">
      <c r="A157" s="100"/>
      <c r="B157" s="94" t="s">
        <v>1293</v>
      </c>
      <c r="C157" s="111">
        <v>13390</v>
      </c>
      <c r="D157" s="102">
        <f t="shared" si="15"/>
        <v>96006.3</v>
      </c>
      <c r="G157" s="103"/>
      <c r="H157" s="104">
        <f t="shared" si="16"/>
        <v>96006.3</v>
      </c>
      <c r="I157" s="291">
        <v>2025</v>
      </c>
    </row>
    <row r="158" spans="1:9" x14ac:dyDescent="0.15">
      <c r="A158" s="100"/>
      <c r="B158" s="94" t="s">
        <v>1294</v>
      </c>
      <c r="C158" s="111">
        <v>15490</v>
      </c>
      <c r="D158" s="102">
        <f t="shared" si="15"/>
        <v>111063.3</v>
      </c>
      <c r="G158" s="103"/>
      <c r="H158" s="104">
        <f t="shared" si="16"/>
        <v>111063.3</v>
      </c>
      <c r="I158" s="291">
        <v>2025</v>
      </c>
    </row>
    <row r="159" spans="1:9" x14ac:dyDescent="0.15">
      <c r="A159" s="100"/>
      <c r="B159" s="94" t="s">
        <v>1295</v>
      </c>
      <c r="C159" s="111">
        <v>18430</v>
      </c>
      <c r="D159" s="102">
        <f t="shared" si="15"/>
        <v>132143.1</v>
      </c>
      <c r="G159" s="103"/>
      <c r="H159" s="104">
        <f t="shared" si="16"/>
        <v>132143.1</v>
      </c>
      <c r="I159" s="291">
        <v>2025</v>
      </c>
    </row>
    <row r="160" spans="1:9" x14ac:dyDescent="0.15">
      <c r="A160" s="100"/>
      <c r="B160" s="94" t="s">
        <v>1414</v>
      </c>
      <c r="C160" s="111">
        <v>3510</v>
      </c>
      <c r="D160" s="102">
        <f t="shared" si="15"/>
        <v>25166.7</v>
      </c>
      <c r="G160" s="103"/>
      <c r="H160" s="104">
        <f t="shared" si="16"/>
        <v>25166.7</v>
      </c>
      <c r="I160" s="291">
        <v>2025</v>
      </c>
    </row>
    <row r="161" spans="1:9" x14ac:dyDescent="0.15">
      <c r="A161" s="100"/>
      <c r="B161" s="94" t="s">
        <v>1415</v>
      </c>
      <c r="C161" s="111">
        <v>4200</v>
      </c>
      <c r="D161" s="102">
        <f t="shared" si="15"/>
        <v>30114</v>
      </c>
      <c r="G161" s="103"/>
      <c r="H161" s="104">
        <f t="shared" si="16"/>
        <v>30114</v>
      </c>
      <c r="I161" s="291">
        <v>2025</v>
      </c>
    </row>
    <row r="162" spans="1:9" x14ac:dyDescent="0.15">
      <c r="A162" s="100"/>
      <c r="B162" s="94" t="s">
        <v>1416</v>
      </c>
      <c r="C162" s="111">
        <v>13240</v>
      </c>
      <c r="D162" s="102">
        <f t="shared" si="15"/>
        <v>94930.8</v>
      </c>
      <c r="G162" s="103"/>
      <c r="H162" s="104">
        <f t="shared" si="16"/>
        <v>94930.8</v>
      </c>
      <c r="I162" s="291">
        <v>2025</v>
      </c>
    </row>
    <row r="163" spans="1:9" x14ac:dyDescent="0.15">
      <c r="A163" s="100"/>
      <c r="B163" s="94" t="s">
        <v>1417</v>
      </c>
      <c r="C163" s="111">
        <v>21980</v>
      </c>
      <c r="D163" s="102">
        <f>C163*$B$2</f>
        <v>157596.6</v>
      </c>
      <c r="G163" s="103"/>
      <c r="H163" s="104">
        <f t="shared" si="16"/>
        <v>157596.6</v>
      </c>
      <c r="I163" s="291">
        <v>2025</v>
      </c>
    </row>
    <row r="164" spans="1:9" x14ac:dyDescent="0.15">
      <c r="A164" s="100"/>
      <c r="C164" s="111"/>
      <c r="D164" s="102"/>
      <c r="G164" s="103"/>
      <c r="H164" s="104"/>
      <c r="I164" s="108"/>
    </row>
    <row r="165" spans="1:9" x14ac:dyDescent="0.15">
      <c r="A165" s="100"/>
      <c r="C165" s="111"/>
      <c r="D165" s="102"/>
      <c r="G165" s="103"/>
      <c r="H165" s="104"/>
      <c r="I165" s="108"/>
    </row>
    <row r="166" spans="1:9" x14ac:dyDescent="0.15">
      <c r="A166" s="100"/>
      <c r="C166" s="111"/>
      <c r="D166" s="102"/>
      <c r="G166" s="103"/>
      <c r="H166" s="104"/>
      <c r="I166" s="108"/>
    </row>
    <row r="167" spans="1:9" x14ac:dyDescent="0.15">
      <c r="A167" s="100"/>
      <c r="C167" s="111"/>
      <c r="D167" s="102"/>
      <c r="G167" s="103"/>
      <c r="H167" s="104"/>
      <c r="I167" s="108"/>
    </row>
    <row r="168" spans="1:9" x14ac:dyDescent="0.15">
      <c r="A168" s="100"/>
      <c r="C168" s="111"/>
      <c r="D168" s="102"/>
      <c r="G168" s="103"/>
      <c r="H168" s="104"/>
      <c r="I168" s="108"/>
    </row>
    <row r="169" spans="1:9" x14ac:dyDescent="0.15">
      <c r="A169" s="100"/>
      <c r="C169" s="111"/>
      <c r="D169" s="102"/>
      <c r="G169" s="103"/>
      <c r="H169" s="104"/>
      <c r="I169" s="108"/>
    </row>
    <row r="170" spans="1:9" x14ac:dyDescent="0.15">
      <c r="A170" s="100"/>
      <c r="C170" s="111"/>
      <c r="D170" s="102"/>
      <c r="G170" s="103"/>
      <c r="H170" s="104"/>
      <c r="I170" s="108"/>
    </row>
    <row r="171" spans="1:9" x14ac:dyDescent="0.15">
      <c r="A171" s="100"/>
      <c r="C171" s="111"/>
      <c r="D171" s="102"/>
      <c r="G171" s="103"/>
      <c r="H171" s="104"/>
      <c r="I171" s="108"/>
    </row>
    <row r="172" spans="1:9" x14ac:dyDescent="0.15">
      <c r="A172" s="100"/>
      <c r="C172" s="111"/>
      <c r="D172" s="102"/>
      <c r="G172" s="103"/>
      <c r="H172" s="104"/>
      <c r="I172" s="108"/>
    </row>
    <row r="173" spans="1:9" x14ac:dyDescent="0.15">
      <c r="A173" s="100"/>
      <c r="C173" s="111"/>
      <c r="D173" s="103"/>
      <c r="G173" s="103"/>
    </row>
    <row r="174" spans="1:9" x14ac:dyDescent="0.15">
      <c r="A174" s="100"/>
      <c r="C174" s="111"/>
      <c r="D174" s="103"/>
      <c r="G174" s="103"/>
    </row>
    <row r="175" spans="1:9" x14ac:dyDescent="0.15">
      <c r="A175" s="105" t="s">
        <v>716</v>
      </c>
      <c r="C175" s="101"/>
      <c r="D175" s="103"/>
      <c r="G175" s="101"/>
      <c r="H175" s="104"/>
    </row>
    <row r="176" spans="1:9" x14ac:dyDescent="0.15">
      <c r="A176" s="88" t="s">
        <v>715</v>
      </c>
      <c r="B176" s="94" t="s">
        <v>1562</v>
      </c>
      <c r="C176" s="101">
        <f>581.14+40</f>
        <v>621.14</v>
      </c>
      <c r="D176" s="103">
        <f>C176*$B$3</f>
        <v>4633.7043999999996</v>
      </c>
      <c r="F176" s="96">
        <f>418/2*$B$3</f>
        <v>1559.14</v>
      </c>
      <c r="G176" s="101">
        <f>(45)*$B$3</f>
        <v>335.7</v>
      </c>
      <c r="H176" s="104">
        <f>SUM(D176:G176)</f>
        <v>6528.5443999999998</v>
      </c>
      <c r="I176" s="96" t="s">
        <v>1311</v>
      </c>
    </row>
    <row r="177" spans="1:9" x14ac:dyDescent="0.15">
      <c r="A177" s="88" t="s">
        <v>714</v>
      </c>
      <c r="B177" s="94" t="s">
        <v>1563</v>
      </c>
      <c r="C177" s="101">
        <f>380.25+40+492.85+70</f>
        <v>983.1</v>
      </c>
      <c r="D177" s="103">
        <f>C177*$B$3</f>
        <v>7333.9260000000004</v>
      </c>
      <c r="F177" s="96">
        <f>418/2*$B$3</f>
        <v>1559.14</v>
      </c>
      <c r="G177" s="101">
        <f>(45)*$B$3</f>
        <v>335.7</v>
      </c>
      <c r="H177" s="104">
        <f>SUM(D177:G177)</f>
        <v>9228.7660000000014</v>
      </c>
      <c r="I177" s="96" t="s">
        <v>1312</v>
      </c>
    </row>
    <row r="178" spans="1:9" x14ac:dyDescent="0.15">
      <c r="A178" s="88"/>
      <c r="C178" s="101"/>
      <c r="D178" s="103"/>
      <c r="G178" s="101"/>
      <c r="H178" s="104"/>
    </row>
    <row r="179" spans="1:9" x14ac:dyDescent="0.15">
      <c r="A179" s="105" t="s">
        <v>1560</v>
      </c>
      <c r="B179" s="94" t="s">
        <v>1560</v>
      </c>
      <c r="C179" s="101">
        <v>198</v>
      </c>
      <c r="D179" s="103">
        <f>C179*$B$3</f>
        <v>1477.08</v>
      </c>
      <c r="G179" s="101"/>
      <c r="H179" s="104">
        <f>SUM(D179:G179)</f>
        <v>1477.08</v>
      </c>
      <c r="I179" s="96" t="s">
        <v>1561</v>
      </c>
    </row>
    <row r="180" spans="1:9" x14ac:dyDescent="0.15">
      <c r="A180" s="88"/>
      <c r="C180" s="101"/>
      <c r="D180" s="103"/>
      <c r="G180" s="101"/>
      <c r="H180" s="104"/>
    </row>
    <row r="181" spans="1:9" x14ac:dyDescent="0.15">
      <c r="A181" s="105" t="s">
        <v>459</v>
      </c>
      <c r="C181" s="101"/>
      <c r="D181" s="103"/>
      <c r="G181" s="101"/>
      <c r="H181" s="104"/>
    </row>
    <row r="182" spans="1:9" x14ac:dyDescent="0.15">
      <c r="A182" s="88" t="s">
        <v>706</v>
      </c>
      <c r="B182" s="94" t="s">
        <v>635</v>
      </c>
      <c r="C182" s="101"/>
      <c r="D182" s="103">
        <f>12352+1272</f>
        <v>13624</v>
      </c>
      <c r="G182" s="101">
        <v>500</v>
      </c>
      <c r="H182" s="104">
        <f>SUM(D182:G182)</f>
        <v>14124</v>
      </c>
      <c r="I182" s="96" t="s">
        <v>706</v>
      </c>
    </row>
    <row r="183" spans="1:9" x14ac:dyDescent="0.15">
      <c r="A183" s="88"/>
      <c r="C183" s="101"/>
      <c r="D183" s="103"/>
      <c r="G183" s="101"/>
      <c r="H183" s="104"/>
    </row>
    <row r="184" spans="1:9" x14ac:dyDescent="0.15">
      <c r="A184" s="105" t="s">
        <v>458</v>
      </c>
      <c r="C184" s="101" t="s">
        <v>21</v>
      </c>
      <c r="D184" s="103"/>
      <c r="G184" s="101"/>
      <c r="H184" s="104"/>
    </row>
    <row r="185" spans="1:9" x14ac:dyDescent="0.15">
      <c r="A185" s="88"/>
      <c r="B185" s="94" t="s">
        <v>250</v>
      </c>
      <c r="C185" s="117">
        <f>VLOOKUP(TEXT(9613437052,"0"), ALcost[], 3, FALSE)</f>
        <v>467.45</v>
      </c>
      <c r="D185" s="103">
        <f>$C185*$B$3</f>
        <v>3487.1769999999997</v>
      </c>
      <c r="G185" s="101">
        <v>25</v>
      </c>
      <c r="H185" s="104">
        <f t="shared" ref="H185:H218" si="17">SUM(D185:G185)</f>
        <v>3512.1769999999997</v>
      </c>
      <c r="I185" s="118" t="s">
        <v>692</v>
      </c>
    </row>
    <row r="186" spans="1:9" x14ac:dyDescent="0.15">
      <c r="A186" s="88"/>
      <c r="B186" s="94" t="s">
        <v>54</v>
      </c>
      <c r="C186" s="117">
        <f>VLOOKUP("TE10B20201", ALcost[], 3, FALSE)</f>
        <v>327.02999999999997</v>
      </c>
      <c r="D186" s="103">
        <f t="shared" ref="D186:D209" si="18">$C186*$B$3</f>
        <v>2439.6437999999998</v>
      </c>
      <c r="G186" s="101">
        <v>25</v>
      </c>
      <c r="H186" s="104">
        <f t="shared" si="17"/>
        <v>2464.6437999999998</v>
      </c>
      <c r="I186" s="118" t="s">
        <v>691</v>
      </c>
    </row>
    <row r="187" spans="1:9" x14ac:dyDescent="0.15">
      <c r="A187" s="88"/>
      <c r="B187" s="94" t="s">
        <v>1469</v>
      </c>
      <c r="C187" s="312">
        <v>804.76</v>
      </c>
      <c r="D187" s="103">
        <f>$C187*$B$3</f>
        <v>6003.5096000000003</v>
      </c>
      <c r="G187" s="101">
        <v>25</v>
      </c>
      <c r="H187" s="104">
        <f t="shared" si="17"/>
        <v>6028.5096000000003</v>
      </c>
      <c r="I187" s="118" t="s">
        <v>1464</v>
      </c>
    </row>
    <row r="188" spans="1:9" x14ac:dyDescent="0.15">
      <c r="A188" s="88"/>
      <c r="B188" s="94" t="s">
        <v>1466</v>
      </c>
      <c r="C188" s="312">
        <v>805.76</v>
      </c>
      <c r="D188" s="103">
        <f>$C188*$B$3</f>
        <v>6010.9696000000004</v>
      </c>
      <c r="G188" s="101">
        <v>25</v>
      </c>
      <c r="H188" s="104">
        <f t="shared" si="17"/>
        <v>6035.9696000000004</v>
      </c>
      <c r="I188" s="118" t="s">
        <v>1470</v>
      </c>
    </row>
    <row r="189" spans="1:9" x14ac:dyDescent="0.15">
      <c r="A189" s="88"/>
      <c r="B189" s="185" t="s">
        <v>1467</v>
      </c>
      <c r="C189" s="312">
        <f>79.65+264</f>
        <v>343.65</v>
      </c>
      <c r="D189" s="103">
        <f>$C189*$B$3</f>
        <v>2563.6289999999999</v>
      </c>
      <c r="G189" s="101">
        <v>25</v>
      </c>
      <c r="H189" s="104">
        <f t="shared" si="17"/>
        <v>2588.6289999999999</v>
      </c>
      <c r="I189" s="118" t="s">
        <v>1471</v>
      </c>
    </row>
    <row r="190" spans="1:9" x14ac:dyDescent="0.15">
      <c r="A190" s="88"/>
      <c r="B190" s="185" t="s">
        <v>1468</v>
      </c>
      <c r="C190" s="312">
        <f>79.65+264</f>
        <v>343.65</v>
      </c>
      <c r="D190" s="103">
        <f>$C190*$B$3</f>
        <v>2563.6289999999999</v>
      </c>
      <c r="G190" s="101">
        <v>25</v>
      </c>
      <c r="H190" s="104">
        <f t="shared" si="17"/>
        <v>2588.6289999999999</v>
      </c>
      <c r="I190" s="118" t="s">
        <v>1471</v>
      </c>
    </row>
    <row r="191" spans="1:9" x14ac:dyDescent="0.15">
      <c r="A191" s="88"/>
      <c r="B191" s="94" t="s">
        <v>538</v>
      </c>
      <c r="C191" s="117">
        <f>VLOOKUP(TEXT(9618398132,"0"), ALcost[], 3, FALSE)</f>
        <v>915.2</v>
      </c>
      <c r="D191" s="103">
        <f t="shared" si="18"/>
        <v>6827.3920000000007</v>
      </c>
      <c r="G191" s="101">
        <v>25</v>
      </c>
      <c r="H191" s="104">
        <f t="shared" si="17"/>
        <v>6852.3920000000007</v>
      </c>
      <c r="I191" s="118" t="s">
        <v>695</v>
      </c>
    </row>
    <row r="192" spans="1:9" x14ac:dyDescent="0.15">
      <c r="A192" s="88"/>
      <c r="B192" s="94" t="s">
        <v>539</v>
      </c>
      <c r="C192" s="117">
        <f>+VLOOKUP(TEXT(9613320532,"0"), ALcost[], 3, FALSE)</f>
        <v>760.32</v>
      </c>
      <c r="D192" s="103">
        <f t="shared" si="18"/>
        <v>5671.9872000000005</v>
      </c>
      <c r="G192" s="101">
        <v>25</v>
      </c>
      <c r="H192" s="104">
        <f t="shared" si="17"/>
        <v>5696.9872000000005</v>
      </c>
      <c r="I192" s="118" t="s">
        <v>738</v>
      </c>
    </row>
    <row r="193" spans="1:12" x14ac:dyDescent="0.15">
      <c r="A193" s="88"/>
      <c r="B193" s="94" t="s">
        <v>946</v>
      </c>
      <c r="C193" s="119">
        <f>SUM(
    VLOOKUP(TEXT(9612650208,"0"), ALcost[], 3, FALSE),
    VLOOKUP(TEXT(9612194002,"0"), ALcost[], 3, FALSE),
    VLOOKUP(TEXT(9612650208,"0"), HLcost[], 5, FALSE)
)</f>
        <v>599.59713136729215</v>
      </c>
      <c r="D193" s="103">
        <f t="shared" si="18"/>
        <v>4472.9945999999991</v>
      </c>
      <c r="G193" s="101">
        <v>26</v>
      </c>
      <c r="H193" s="104">
        <f t="shared" si="17"/>
        <v>4498.9945999999991</v>
      </c>
      <c r="I193" s="118" t="s">
        <v>1313</v>
      </c>
    </row>
    <row r="194" spans="1:12" x14ac:dyDescent="0.15">
      <c r="A194" s="88"/>
      <c r="B194" s="94" t="s">
        <v>737</v>
      </c>
      <c r="C194" s="119">
        <f>SUM(
    VLOOKUP(TEXT(9612650209,"0"), ALcost[], 3, FALSE),
    VLOOKUP(TEXT(9612194002,"0"), ALcost[], 3, FALSE),
    VLOOKUP(TEXT(9612650209,"0"), HLcost[], 5, FALSE)
)</f>
        <v>650.72203753351209</v>
      </c>
      <c r="D194" s="103">
        <f t="shared" si="18"/>
        <v>4854.3864000000003</v>
      </c>
      <c r="G194" s="101">
        <v>25</v>
      </c>
      <c r="H194" s="104">
        <f t="shared" si="17"/>
        <v>4879.3864000000003</v>
      </c>
      <c r="I194" s="118" t="s">
        <v>1314</v>
      </c>
    </row>
    <row r="195" spans="1:12" x14ac:dyDescent="0.15">
      <c r="A195" s="88"/>
      <c r="B195" s="94" t="s">
        <v>541</v>
      </c>
      <c r="C195" s="119">
        <f>SUM(
    VLOOKUP(TEXT(9612650208,"0"), ALcost[], 3, FALSE),
    VLOOKUP(TEXT(9612194002,"0"), ALcost[], 3, FALSE),
    VLOOKUP(TEXT(9612650208,"0"), HLcost[], 5, FALSE)
)</f>
        <v>599.59713136729215</v>
      </c>
      <c r="D195" s="103">
        <f t="shared" si="18"/>
        <v>4472.9945999999991</v>
      </c>
      <c r="G195" s="101">
        <v>25</v>
      </c>
      <c r="H195" s="104">
        <f t="shared" si="17"/>
        <v>4497.9945999999991</v>
      </c>
      <c r="I195" s="118" t="s">
        <v>1313</v>
      </c>
    </row>
    <row r="196" spans="1:12" x14ac:dyDescent="0.15">
      <c r="A196" s="88"/>
      <c r="B196" s="94" t="s">
        <v>542</v>
      </c>
      <c r="C196" s="119">
        <f>SUM(
    VLOOKUP(TEXT(9612650209,"0"), ALcost[], 3, FALSE),
    VLOOKUP(TEXT(9612194002,"0"), ALcost[], 3, FALSE),
    VLOOKUP(TEXT(9611416470,"0"), ALcost[], 3, FALSE)
)</f>
        <v>383.40000000000003</v>
      </c>
      <c r="D196" s="103">
        <f t="shared" si="18"/>
        <v>2860.1640000000002</v>
      </c>
      <c r="G196" s="101">
        <v>25</v>
      </c>
      <c r="H196" s="104">
        <f t="shared" si="17"/>
        <v>2885.1640000000002</v>
      </c>
      <c r="I196" s="118" t="s">
        <v>733</v>
      </c>
    </row>
    <row r="197" spans="1:12" x14ac:dyDescent="0.15">
      <c r="A197" s="88"/>
      <c r="B197" s="94" t="s">
        <v>51</v>
      </c>
      <c r="C197" s="119">
        <f>SUM(
    VLOOKUP(TEXT(9612650206,"0"), ALcost[], 3, FALSE),
    VLOOKUP(TEXT(9612045001,"0"), ALcost[], 3, FALSE),
)</f>
        <v>97.74</v>
      </c>
      <c r="D197" s="103">
        <f t="shared" si="18"/>
        <v>729.1404</v>
      </c>
      <c r="G197" s="101">
        <v>25</v>
      </c>
      <c r="H197" s="104">
        <f t="shared" si="17"/>
        <v>754.1404</v>
      </c>
      <c r="I197" s="96" t="s">
        <v>816</v>
      </c>
    </row>
    <row r="198" spans="1:12" x14ac:dyDescent="0.15">
      <c r="A198" s="88"/>
      <c r="B198" s="94" t="s">
        <v>544</v>
      </c>
      <c r="C198" s="119">
        <f>SUM(
    VLOOKUP(TEXT(9612650210,"0"), ALcost[], 3, FALSE),
    VLOOKUP(TEXT(9612194003,"0"), ALcost[], 3, FALSE),
    VLOOKUP(TEXT(9612650210,"0"), HLcost[], 5, FALSE)
)</f>
        <v>763.19774798927619</v>
      </c>
      <c r="D198" s="103">
        <f t="shared" si="18"/>
        <v>5693.4552000000003</v>
      </c>
      <c r="G198" s="101">
        <v>25</v>
      </c>
      <c r="H198" s="104">
        <f t="shared" si="17"/>
        <v>5718.4552000000003</v>
      </c>
      <c r="I198" s="96" t="s">
        <v>1315</v>
      </c>
    </row>
    <row r="199" spans="1:12" x14ac:dyDescent="0.15">
      <c r="A199" s="88"/>
      <c r="B199" s="94" t="s">
        <v>710</v>
      </c>
      <c r="C199" s="119">
        <f>SUM(
    VLOOKUP(TEXT(9612650210,"0"), ALcost[], 3, FALSE),
    VLOOKUP(TEXT(9612045001,"0"), ALcost[], 3, FALSE),
    VLOOKUP(TEXT(9612650210,"0"), HLcost[], 5, FALSE)
)</f>
        <v>515.60774798927605</v>
      </c>
      <c r="D199" s="103">
        <f t="shared" si="18"/>
        <v>3846.4337999999993</v>
      </c>
      <c r="G199" s="101">
        <v>25</v>
      </c>
      <c r="H199" s="104">
        <f t="shared" si="17"/>
        <v>3871.4337999999993</v>
      </c>
      <c r="I199" s="96" t="s">
        <v>1316</v>
      </c>
    </row>
    <row r="200" spans="1:12" x14ac:dyDescent="0.15">
      <c r="A200" s="88"/>
      <c r="B200" s="94" t="s">
        <v>689</v>
      </c>
      <c r="C200" s="120">
        <f>SUM(
VLOOKUP(TEXT(9612628161,"0"),ALcost[],3,FALSE))</f>
        <v>94.23</v>
      </c>
      <c r="D200" s="103">
        <f t="shared" si="18"/>
        <v>702.95580000000007</v>
      </c>
      <c r="G200" s="101">
        <v>25</v>
      </c>
      <c r="H200" s="104">
        <f t="shared" si="17"/>
        <v>727.95580000000007</v>
      </c>
      <c r="I200" s="96" t="s">
        <v>688</v>
      </c>
    </row>
    <row r="201" spans="1:12" x14ac:dyDescent="0.15">
      <c r="A201" s="88" t="s">
        <v>1310</v>
      </c>
      <c r="B201" s="121" t="s">
        <v>734</v>
      </c>
      <c r="C201" s="122">
        <f>74.25+20.52+(52+16+20+16+116+4)</f>
        <v>318.77</v>
      </c>
      <c r="D201" s="103">
        <f t="shared" si="18"/>
        <v>2378.0241999999998</v>
      </c>
      <c r="G201" s="101">
        <v>25</v>
      </c>
      <c r="H201" s="104">
        <f t="shared" si="17"/>
        <v>2403.0241999999998</v>
      </c>
      <c r="I201" s="96" t="s">
        <v>1317</v>
      </c>
    </row>
    <row r="202" spans="1:12" x14ac:dyDescent="0.15">
      <c r="A202" s="89"/>
      <c r="B202" s="94" t="s">
        <v>1577</v>
      </c>
      <c r="C202" s="103">
        <f>269</f>
        <v>269</v>
      </c>
      <c r="D202" s="103">
        <f t="shared" si="18"/>
        <v>2006.74</v>
      </c>
      <c r="G202" s="101">
        <v>25</v>
      </c>
      <c r="H202" s="104">
        <f t="shared" si="17"/>
        <v>2031.74</v>
      </c>
    </row>
    <row r="203" spans="1:12" x14ac:dyDescent="0.15">
      <c r="A203" s="89"/>
      <c r="B203" s="94" t="s">
        <v>222</v>
      </c>
      <c r="C203" s="103">
        <f>1137</f>
        <v>1137</v>
      </c>
      <c r="D203" s="103">
        <f t="shared" si="18"/>
        <v>8482.02</v>
      </c>
      <c r="G203" s="101">
        <v>25</v>
      </c>
      <c r="H203" s="104">
        <f t="shared" si="17"/>
        <v>8507.02</v>
      </c>
    </row>
    <row r="204" spans="1:12" x14ac:dyDescent="0.15">
      <c r="A204" s="88" t="s">
        <v>697</v>
      </c>
      <c r="B204" s="94" t="s">
        <v>215</v>
      </c>
      <c r="C204" s="120">
        <f>VLOOKUP("TE14B23001", ALcost[], 3, FALSE)</f>
        <v>321.08999999999997</v>
      </c>
      <c r="D204" s="103">
        <f t="shared" si="18"/>
        <v>2395.3313999999996</v>
      </c>
      <c r="G204" s="101">
        <v>25</v>
      </c>
      <c r="H204" s="104">
        <f t="shared" si="17"/>
        <v>2420.3313999999996</v>
      </c>
      <c r="I204" s="96" t="s">
        <v>696</v>
      </c>
    </row>
    <row r="205" spans="1:12" x14ac:dyDescent="0.15">
      <c r="A205" s="89"/>
      <c r="B205" s="94" t="s">
        <v>218</v>
      </c>
      <c r="C205" s="120">
        <f>VLOOKUP(TEXT(9618581826,"0"), ALcost[], 3, FALSE)</f>
        <v>186.84</v>
      </c>
      <c r="D205" s="103">
        <f t="shared" si="18"/>
        <v>1393.8263999999999</v>
      </c>
      <c r="G205" s="101">
        <v>25</v>
      </c>
      <c r="H205" s="104">
        <f t="shared" si="17"/>
        <v>1418.8263999999999</v>
      </c>
    </row>
    <row r="206" spans="1:12" x14ac:dyDescent="0.15">
      <c r="A206" s="89"/>
      <c r="B206" s="94" t="s">
        <v>220</v>
      </c>
      <c r="C206" s="120">
        <f>VLOOKUP(TEXT(9612194002,"0"), ALcost[], 3, FALSE)</f>
        <v>268.92</v>
      </c>
      <c r="D206" s="103">
        <f t="shared" si="18"/>
        <v>2006.1432000000002</v>
      </c>
      <c r="G206" s="101">
        <v>25</v>
      </c>
      <c r="H206" s="104">
        <f t="shared" si="17"/>
        <v>2031.1432000000002</v>
      </c>
    </row>
    <row r="207" spans="1:12" ht="14" x14ac:dyDescent="0.15">
      <c r="A207" s="88"/>
      <c r="B207" s="123" t="s">
        <v>735</v>
      </c>
      <c r="C207" s="120">
        <f>VLOOKUP(TEXT(9612945853,"0"), ALcost[], 3, FALSE)</f>
        <v>111.65</v>
      </c>
      <c r="D207" s="103">
        <f t="shared" si="18"/>
        <v>832.90899999999999</v>
      </c>
      <c r="G207" s="101">
        <v>25</v>
      </c>
      <c r="H207" s="104">
        <f t="shared" si="17"/>
        <v>857.90899999999999</v>
      </c>
      <c r="I207" s="124" t="s">
        <v>687</v>
      </c>
    </row>
    <row r="208" spans="1:12" x14ac:dyDescent="0.15">
      <c r="A208" s="88"/>
      <c r="B208" s="94" t="s">
        <v>508</v>
      </c>
      <c r="C208" s="120">
        <f>VLOOKUP(TEXT(9615400416,"0"), ALcost[], 3, FALSE)</f>
        <v>393.05</v>
      </c>
      <c r="D208" s="103">
        <f t="shared" si="18"/>
        <v>2932.1530000000002</v>
      </c>
      <c r="G208" s="101">
        <v>25</v>
      </c>
      <c r="H208" s="104">
        <f t="shared" si="17"/>
        <v>2957.1530000000002</v>
      </c>
      <c r="I208" s="124" t="s">
        <v>942</v>
      </c>
      <c r="J208" s="115"/>
      <c r="K208" s="115"/>
      <c r="L208" s="115"/>
    </row>
    <row r="209" spans="1:12" x14ac:dyDescent="0.15">
      <c r="A209" s="90"/>
      <c r="B209" s="94" t="s">
        <v>860</v>
      </c>
      <c r="C209" s="120">
        <f>VLOOKUP(TEXT(9615400216,"0"), ALcost[], 3, FALSE)</f>
        <v>515.20000000000005</v>
      </c>
      <c r="D209" s="103">
        <f t="shared" si="18"/>
        <v>3843.3920000000003</v>
      </c>
      <c r="G209" s="101">
        <v>25</v>
      </c>
      <c r="H209" s="104">
        <f t="shared" si="17"/>
        <v>3868.3920000000003</v>
      </c>
      <c r="I209" s="118" t="s">
        <v>862</v>
      </c>
      <c r="J209" s="115"/>
      <c r="K209" s="115"/>
      <c r="L209" s="115"/>
    </row>
    <row r="210" spans="1:12" x14ac:dyDescent="0.15">
      <c r="A210" s="329"/>
      <c r="B210" s="94" t="s">
        <v>694</v>
      </c>
      <c r="C210" s="120">
        <f>VLOOKUP(TEXT(9614063122,"0"), ALcost[], 3, FALSE)</f>
        <v>180.93</v>
      </c>
      <c r="D210" s="103">
        <f>$C210*$B$3</f>
        <v>1349.7378000000001</v>
      </c>
      <c r="G210" s="101">
        <v>25</v>
      </c>
      <c r="H210" s="104">
        <f t="shared" si="17"/>
        <v>1374.7378000000001</v>
      </c>
      <c r="I210" s="96" t="s">
        <v>693</v>
      </c>
    </row>
    <row r="211" spans="1:12" x14ac:dyDescent="0.15">
      <c r="A211" s="330"/>
      <c r="B211" s="121" t="s">
        <v>1300</v>
      </c>
      <c r="C211" s="125">
        <v>75</v>
      </c>
      <c r="D211" s="103">
        <f>$C211*$B$3</f>
        <v>559.5</v>
      </c>
      <c r="G211" s="101">
        <v>25</v>
      </c>
      <c r="H211" s="104">
        <f t="shared" si="17"/>
        <v>584.5</v>
      </c>
    </row>
    <row r="212" spans="1:12" x14ac:dyDescent="0.15">
      <c r="A212" s="331" t="s">
        <v>1571</v>
      </c>
      <c r="B212" s="94" t="s">
        <v>1569</v>
      </c>
      <c r="C212" s="101">
        <f>VLOOKUP(TEXT(A212,"0"), ALcost[], 3, FALSE)</f>
        <v>586.26</v>
      </c>
      <c r="D212" s="103">
        <f>$C212*$B$3</f>
        <v>4373.4996000000001</v>
      </c>
      <c r="G212" s="101">
        <v>25</v>
      </c>
      <c r="H212" s="104">
        <f t="shared" si="17"/>
        <v>4398.4996000000001</v>
      </c>
    </row>
    <row r="213" spans="1:12" x14ac:dyDescent="0.15">
      <c r="A213" s="332" t="s">
        <v>1587</v>
      </c>
      <c r="B213" s="94" t="s">
        <v>1578</v>
      </c>
      <c r="C213" s="101">
        <f>VLOOKUP(TEXT(A213,"0"), ALcost[], 3, FALSE)</f>
        <v>72.63000000000001</v>
      </c>
      <c r="D213" s="103">
        <f t="shared" ref="D213:D218" si="19">$C213*$B$3</f>
        <v>541.8198000000001</v>
      </c>
      <c r="G213" s="101">
        <v>25</v>
      </c>
      <c r="H213" s="104">
        <f t="shared" si="17"/>
        <v>566.8198000000001</v>
      </c>
    </row>
    <row r="214" spans="1:12" x14ac:dyDescent="0.15">
      <c r="A214" s="331" t="s">
        <v>1579</v>
      </c>
      <c r="B214" s="94" t="s">
        <v>1580</v>
      </c>
      <c r="C214" s="101">
        <f>VLOOKUP(TEXT(A214,"0"), ALcost[], 3, FALSE)</f>
        <v>61.02</v>
      </c>
      <c r="D214" s="103">
        <f t="shared" si="19"/>
        <v>455.20920000000001</v>
      </c>
      <c r="G214" s="101">
        <v>25</v>
      </c>
      <c r="H214" s="104">
        <f t="shared" si="17"/>
        <v>480.20920000000001</v>
      </c>
    </row>
    <row r="215" spans="1:12" x14ac:dyDescent="0.15">
      <c r="A215" s="331" t="s">
        <v>1581</v>
      </c>
      <c r="B215" s="94" t="s">
        <v>1582</v>
      </c>
      <c r="C215" s="101">
        <f>VLOOKUP(TEXT(A215,"0"), ALcost[], 3, FALSE)</f>
        <v>102.06</v>
      </c>
      <c r="D215" s="103">
        <f t="shared" si="19"/>
        <v>761.36760000000004</v>
      </c>
      <c r="G215" s="101">
        <v>25</v>
      </c>
      <c r="H215" s="104">
        <f t="shared" si="17"/>
        <v>786.36760000000004</v>
      </c>
    </row>
    <row r="216" spans="1:12" x14ac:dyDescent="0.15">
      <c r="A216" s="331" t="s">
        <v>1583</v>
      </c>
      <c r="B216" s="94" t="s">
        <v>1584</v>
      </c>
      <c r="C216" s="101">
        <f>VLOOKUP(TEXT(A216,"0"), ALcost[], 3, FALSE)</f>
        <v>66.960000000000008</v>
      </c>
      <c r="D216" s="103">
        <f t="shared" si="19"/>
        <v>499.52160000000003</v>
      </c>
      <c r="G216" s="101">
        <v>25</v>
      </c>
      <c r="H216" s="104">
        <f t="shared" si="17"/>
        <v>524.52160000000003</v>
      </c>
    </row>
    <row r="217" spans="1:12" x14ac:dyDescent="0.15">
      <c r="A217" s="331" t="s">
        <v>1585</v>
      </c>
      <c r="B217" s="94" t="s">
        <v>1586</v>
      </c>
      <c r="C217" s="101">
        <f>VLOOKUP(TEXT(A217,"0"), ALcost[], 3, FALSE)</f>
        <v>130.95000000000002</v>
      </c>
      <c r="D217" s="103">
        <f t="shared" si="19"/>
        <v>976.88700000000017</v>
      </c>
      <c r="G217" s="101">
        <v>25</v>
      </c>
      <c r="H217" s="104">
        <f t="shared" si="17"/>
        <v>1001.8870000000002</v>
      </c>
    </row>
    <row r="218" spans="1:12" x14ac:dyDescent="0.15">
      <c r="A218" s="331" t="s">
        <v>891</v>
      </c>
      <c r="B218" s="333" t="s">
        <v>892</v>
      </c>
      <c r="C218" s="101">
        <f>VLOOKUP(TEXT(A218,"0"), ALcost[], 3, FALSE)</f>
        <v>95.04</v>
      </c>
      <c r="D218" s="103">
        <f t="shared" si="19"/>
        <v>708.99840000000006</v>
      </c>
      <c r="G218" s="101">
        <v>25</v>
      </c>
      <c r="H218" s="104">
        <f t="shared" si="17"/>
        <v>733.99840000000006</v>
      </c>
    </row>
    <row r="219" spans="1:12" x14ac:dyDescent="0.15">
      <c r="A219" s="331"/>
      <c r="C219" s="101"/>
      <c r="D219" s="103"/>
      <c r="G219" s="101"/>
      <c r="H219" s="104"/>
    </row>
    <row r="220" spans="1:12" x14ac:dyDescent="0.15">
      <c r="A220" s="329"/>
      <c r="C220" s="101"/>
      <c r="D220" s="103"/>
      <c r="G220" s="101"/>
      <c r="H220" s="104"/>
    </row>
    <row r="221" spans="1:12" x14ac:dyDescent="0.15">
      <c r="A221" s="105" t="s">
        <v>73</v>
      </c>
      <c r="C221" s="101"/>
      <c r="D221" s="103"/>
      <c r="G221" s="101"/>
      <c r="H221" s="104">
        <f t="shared" ref="H221:H240" si="20">SUM(D221:G221)</f>
        <v>0</v>
      </c>
    </row>
    <row r="222" spans="1:12" x14ac:dyDescent="0.15">
      <c r="A222" s="88" t="s">
        <v>711</v>
      </c>
      <c r="B222" s="94" t="s">
        <v>460</v>
      </c>
      <c r="C222" s="101"/>
      <c r="D222" s="103">
        <v>305</v>
      </c>
      <c r="G222" s="101">
        <v>50</v>
      </c>
      <c r="H222" s="104">
        <f t="shared" si="20"/>
        <v>355</v>
      </c>
      <c r="I222" s="96" t="s">
        <v>712</v>
      </c>
    </row>
    <row r="223" spans="1:12" x14ac:dyDescent="0.15">
      <c r="A223" s="88">
        <v>1000117</v>
      </c>
      <c r="B223" s="94" t="s">
        <v>1537</v>
      </c>
      <c r="C223" s="101"/>
      <c r="D223" s="102">
        <v>443.05</v>
      </c>
      <c r="F223" s="96">
        <v>33.97</v>
      </c>
      <c r="G223" s="101">
        <v>50</v>
      </c>
      <c r="H223" s="104">
        <f t="shared" si="20"/>
        <v>527.02</v>
      </c>
      <c r="I223" s="96" t="s">
        <v>698</v>
      </c>
    </row>
    <row r="224" spans="1:12" x14ac:dyDescent="0.15">
      <c r="A224" s="88" t="s">
        <v>1305</v>
      </c>
      <c r="B224" s="94" t="s">
        <v>1347</v>
      </c>
      <c r="C224" s="101"/>
      <c r="D224" s="102">
        <f>465.21*0.75</f>
        <v>348.90749999999997</v>
      </c>
      <c r="F224" s="96">
        <v>37.47</v>
      </c>
      <c r="G224" s="101">
        <v>50</v>
      </c>
      <c r="H224" s="104">
        <f t="shared" si="20"/>
        <v>436.37749999999994</v>
      </c>
      <c r="I224" s="96" t="s">
        <v>1306</v>
      </c>
    </row>
    <row r="225" spans="1:10" x14ac:dyDescent="0.15">
      <c r="A225" s="88" t="s">
        <v>1307</v>
      </c>
      <c r="B225" s="94" t="s">
        <v>1536</v>
      </c>
      <c r="C225" s="101"/>
      <c r="D225" s="102">
        <f>302.64*0.75</f>
        <v>226.98</v>
      </c>
      <c r="F225" s="96">
        <v>16.829999999999998</v>
      </c>
      <c r="G225" s="101">
        <v>50</v>
      </c>
      <c r="H225" s="104">
        <f t="shared" si="20"/>
        <v>293.81</v>
      </c>
      <c r="I225" s="96" t="s">
        <v>1308</v>
      </c>
    </row>
    <row r="226" spans="1:10" x14ac:dyDescent="0.15">
      <c r="A226" s="88" t="s">
        <v>1320</v>
      </c>
      <c r="B226" s="94" t="s">
        <v>1321</v>
      </c>
      <c r="C226" s="101"/>
      <c r="D226" s="102">
        <f>353.25*0.75</f>
        <v>264.9375</v>
      </c>
      <c r="F226" s="96">
        <v>25.25</v>
      </c>
      <c r="G226" s="101">
        <v>50</v>
      </c>
      <c r="H226" s="104">
        <f t="shared" si="20"/>
        <v>340.1875</v>
      </c>
      <c r="I226" s="96" t="s">
        <v>1322</v>
      </c>
    </row>
    <row r="227" spans="1:10" x14ac:dyDescent="0.15">
      <c r="A227" s="88" t="s">
        <v>1327</v>
      </c>
      <c r="B227" s="94" t="s">
        <v>1328</v>
      </c>
      <c r="C227" s="101"/>
      <c r="D227" s="102">
        <f>495.63*0.85</f>
        <v>421.28550000000001</v>
      </c>
      <c r="F227" s="96">
        <v>53.34</v>
      </c>
      <c r="G227" s="101">
        <v>50</v>
      </c>
      <c r="H227" s="104">
        <f t="shared" si="20"/>
        <v>524.62549999999999</v>
      </c>
      <c r="I227" s="96" t="s">
        <v>1329</v>
      </c>
    </row>
    <row r="228" spans="1:10" x14ac:dyDescent="0.15">
      <c r="A228" s="88" t="s">
        <v>1324</v>
      </c>
      <c r="B228" s="94" t="s">
        <v>1325</v>
      </c>
      <c r="C228" s="101"/>
      <c r="D228" s="102">
        <f>455*0.85</f>
        <v>386.75</v>
      </c>
      <c r="F228" s="96">
        <v>36.130000000000003</v>
      </c>
      <c r="G228" s="101">
        <v>50</v>
      </c>
      <c r="H228" s="104">
        <f t="shared" si="20"/>
        <v>472.88</v>
      </c>
      <c r="I228" s="96" t="s">
        <v>1326</v>
      </c>
    </row>
    <row r="229" spans="1:10" x14ac:dyDescent="0.15">
      <c r="A229" s="88" t="s">
        <v>1330</v>
      </c>
      <c r="B229" s="94" t="s">
        <v>1331</v>
      </c>
      <c r="C229" s="101"/>
      <c r="D229" s="102">
        <v>538.77</v>
      </c>
      <c r="F229" s="96">
        <v>64.36</v>
      </c>
      <c r="G229" s="101">
        <v>50</v>
      </c>
      <c r="H229" s="104">
        <f t="shared" si="20"/>
        <v>653.13</v>
      </c>
      <c r="I229" s="96" t="s">
        <v>1332</v>
      </c>
    </row>
    <row r="230" spans="1:10" x14ac:dyDescent="0.15">
      <c r="A230" s="88" t="s">
        <v>1333</v>
      </c>
      <c r="B230" s="94" t="s">
        <v>1335</v>
      </c>
      <c r="C230" s="101"/>
      <c r="D230" s="102">
        <v>610.63</v>
      </c>
      <c r="F230" s="96">
        <v>64.959999999999994</v>
      </c>
      <c r="G230" s="101">
        <v>50</v>
      </c>
      <c r="H230" s="104">
        <f t="shared" si="20"/>
        <v>725.59</v>
      </c>
      <c r="I230" s="96" t="s">
        <v>1334</v>
      </c>
    </row>
    <row r="231" spans="1:10" x14ac:dyDescent="0.15">
      <c r="A231" s="88" t="s">
        <v>778</v>
      </c>
      <c r="B231" s="94" t="s">
        <v>779</v>
      </c>
      <c r="C231" s="101"/>
      <c r="D231" s="102">
        <f>172.63*0.9</f>
        <v>155.36699999999999</v>
      </c>
      <c r="F231" s="96">
        <v>24.32</v>
      </c>
      <c r="G231" s="101">
        <v>50</v>
      </c>
      <c r="H231" s="104">
        <f t="shared" si="20"/>
        <v>229.68699999999998</v>
      </c>
      <c r="I231" s="96" t="s">
        <v>780</v>
      </c>
      <c r="J231" s="96" t="s">
        <v>781</v>
      </c>
    </row>
    <row r="232" spans="1:10" x14ac:dyDescent="0.15">
      <c r="A232" s="88" t="s">
        <v>830</v>
      </c>
      <c r="B232" s="94" t="s">
        <v>461</v>
      </c>
      <c r="C232" s="101"/>
      <c r="D232" s="102">
        <f>9485.39*0.9</f>
        <v>8536.8510000000006</v>
      </c>
      <c r="F232" s="96">
        <v>75</v>
      </c>
      <c r="G232" s="101">
        <v>50</v>
      </c>
      <c r="H232" s="104">
        <f t="shared" si="20"/>
        <v>8661.8510000000006</v>
      </c>
      <c r="I232" s="96" t="s">
        <v>1304</v>
      </c>
    </row>
    <row r="233" spans="1:10" x14ac:dyDescent="0.15">
      <c r="A233" s="88">
        <v>8000111</v>
      </c>
      <c r="B233" s="94" t="s">
        <v>1348</v>
      </c>
      <c r="C233" s="101"/>
      <c r="D233" s="102">
        <f>45.08*0.55</f>
        <v>24.794</v>
      </c>
      <c r="F233" s="96">
        <v>0.46</v>
      </c>
      <c r="G233" s="101">
        <v>2</v>
      </c>
      <c r="H233" s="104">
        <f t="shared" si="20"/>
        <v>27.254000000000001</v>
      </c>
      <c r="I233" s="96" t="s">
        <v>1309</v>
      </c>
    </row>
    <row r="234" spans="1:10" x14ac:dyDescent="0.15">
      <c r="A234" s="88" t="s">
        <v>1318</v>
      </c>
      <c r="B234" s="94" t="s">
        <v>1349</v>
      </c>
      <c r="C234" s="101"/>
      <c r="D234" s="102">
        <f>119.95*0.55</f>
        <v>65.972500000000011</v>
      </c>
      <c r="F234" s="96">
        <v>5.19</v>
      </c>
      <c r="G234" s="101">
        <v>2</v>
      </c>
      <c r="H234" s="104">
        <f t="shared" si="20"/>
        <v>73.162500000000009</v>
      </c>
      <c r="I234" s="96" t="s">
        <v>1319</v>
      </c>
    </row>
    <row r="235" spans="1:10" x14ac:dyDescent="0.15">
      <c r="A235" s="88" t="s">
        <v>713</v>
      </c>
      <c r="B235" s="94" t="s">
        <v>1350</v>
      </c>
      <c r="C235" s="101"/>
      <c r="D235" s="102">
        <f>208.13*0.8</f>
        <v>166.50400000000002</v>
      </c>
      <c r="F235" s="96">
        <v>7.75</v>
      </c>
      <c r="G235" s="101">
        <v>10</v>
      </c>
      <c r="H235" s="104">
        <f t="shared" si="20"/>
        <v>184.25400000000002</v>
      </c>
      <c r="I235" s="96" t="s">
        <v>1323</v>
      </c>
    </row>
    <row r="236" spans="1:10" x14ac:dyDescent="0.15">
      <c r="A236" s="88" t="s">
        <v>1338</v>
      </c>
      <c r="B236" s="94" t="s">
        <v>1339</v>
      </c>
      <c r="C236" s="101"/>
      <c r="D236" s="102">
        <f>125.62*0.9</f>
        <v>113.05800000000001</v>
      </c>
      <c r="F236" s="96">
        <v>18.79</v>
      </c>
      <c r="G236" s="101">
        <v>50</v>
      </c>
      <c r="H236" s="104">
        <f t="shared" si="20"/>
        <v>181.84800000000001</v>
      </c>
    </row>
    <row r="237" spans="1:10" x14ac:dyDescent="0.15">
      <c r="A237" s="88" t="s">
        <v>778</v>
      </c>
      <c r="B237" s="94" t="s">
        <v>1340</v>
      </c>
      <c r="C237" s="101"/>
      <c r="D237" s="102">
        <f>172.63*0.9</f>
        <v>155.36699999999999</v>
      </c>
      <c r="F237" s="96">
        <v>24.32</v>
      </c>
      <c r="G237" s="101">
        <v>50</v>
      </c>
      <c r="H237" s="104">
        <f t="shared" si="20"/>
        <v>229.68699999999998</v>
      </c>
    </row>
    <row r="238" spans="1:10" x14ac:dyDescent="0.15">
      <c r="A238" s="88" t="s">
        <v>1330</v>
      </c>
      <c r="B238" s="94" t="s">
        <v>1345</v>
      </c>
      <c r="C238" s="101"/>
      <c r="D238" s="102">
        <f>558.13*0.85</f>
        <v>474.41049999999996</v>
      </c>
      <c r="F238" s="96">
        <v>64.36</v>
      </c>
      <c r="G238" s="101">
        <v>50</v>
      </c>
      <c r="H238" s="104">
        <f t="shared" si="20"/>
        <v>588.77049999999997</v>
      </c>
      <c r="I238" s="96" t="s">
        <v>1332</v>
      </c>
    </row>
    <row r="239" spans="1:10" x14ac:dyDescent="0.15">
      <c r="A239" s="88" t="s">
        <v>1333</v>
      </c>
      <c r="B239" s="94" t="s">
        <v>1346</v>
      </c>
      <c r="C239" s="101"/>
      <c r="D239" s="102">
        <f>641.97*0.85</f>
        <v>545.67449999999997</v>
      </c>
      <c r="F239" s="96">
        <v>64.959999999999994</v>
      </c>
      <c r="G239" s="101">
        <v>50</v>
      </c>
      <c r="H239" s="104">
        <f t="shared" si="20"/>
        <v>660.6345</v>
      </c>
      <c r="I239" s="96" t="s">
        <v>1334</v>
      </c>
    </row>
    <row r="240" spans="1:10" s="88" customFormat="1" x14ac:dyDescent="0.15">
      <c r="A240" s="88" t="s">
        <v>1367</v>
      </c>
      <c r="B240" s="278" t="s">
        <v>1368</v>
      </c>
      <c r="D240" s="102">
        <f>632.91*0.85</f>
        <v>537.97349999999994</v>
      </c>
      <c r="E240" s="96"/>
      <c r="F240" s="96">
        <v>90.6</v>
      </c>
      <c r="G240" s="101">
        <v>50</v>
      </c>
      <c r="H240" s="104">
        <f t="shared" si="20"/>
        <v>678.57349999999997</v>
      </c>
      <c r="I240" s="96" t="s">
        <v>1368</v>
      </c>
      <c r="J240" s="88" t="s">
        <v>1369</v>
      </c>
    </row>
    <row r="241" spans="1:9" x14ac:dyDescent="0.15">
      <c r="A241" s="91"/>
      <c r="B241" s="126"/>
      <c r="C241" s="101"/>
      <c r="D241" s="102"/>
      <c r="G241" s="101"/>
      <c r="H241" s="104"/>
    </row>
    <row r="242" spans="1:9" x14ac:dyDescent="0.15">
      <c r="A242" s="91"/>
      <c r="B242" s="126"/>
      <c r="C242" s="101"/>
      <c r="D242" s="102"/>
      <c r="G242" s="101"/>
      <c r="H242" s="104"/>
    </row>
    <row r="243" spans="1:9" x14ac:dyDescent="0.15">
      <c r="A243" s="105" t="s">
        <v>1530</v>
      </c>
      <c r="B243" s="126"/>
      <c r="C243" s="101"/>
      <c r="D243" s="102"/>
      <c r="G243" s="101"/>
      <c r="H243" s="104"/>
    </row>
    <row r="244" spans="1:9" x14ac:dyDescent="0.15">
      <c r="A244" s="88" t="s">
        <v>1531</v>
      </c>
      <c r="B244" s="278" t="s">
        <v>1547</v>
      </c>
      <c r="C244" s="101">
        <v>15.76</v>
      </c>
      <c r="D244" s="102">
        <f>C244*$B$3</f>
        <v>117.56959999999999</v>
      </c>
      <c r="G244" s="101">
        <f>50*7.45/4</f>
        <v>93.125</v>
      </c>
      <c r="H244" s="104">
        <f>SUM(D244:G244)</f>
        <v>210.69459999999998</v>
      </c>
      <c r="I244" s="96" t="s">
        <v>1547</v>
      </c>
    </row>
    <row r="245" spans="1:9" x14ac:dyDescent="0.15">
      <c r="A245" s="88" t="s">
        <v>1546</v>
      </c>
      <c r="B245" s="278" t="s">
        <v>1548</v>
      </c>
      <c r="C245" s="101">
        <v>27.84</v>
      </c>
      <c r="D245" s="102">
        <f>C245*$B$3</f>
        <v>207.68639999999999</v>
      </c>
      <c r="G245" s="101">
        <f>50*7.45/4</f>
        <v>93.125</v>
      </c>
      <c r="H245" s="104">
        <f>SUM(D245:G245)</f>
        <v>300.81139999999999</v>
      </c>
      <c r="I245" s="96" t="s">
        <v>1548</v>
      </c>
    </row>
    <row r="246" spans="1:9" ht="14" x14ac:dyDescent="0.15">
      <c r="A246" s="88" t="s">
        <v>1549</v>
      </c>
      <c r="B246" s="321" t="s">
        <v>1550</v>
      </c>
      <c r="C246" s="101">
        <f>384.3+50</f>
        <v>434.3</v>
      </c>
      <c r="D246" s="102">
        <f>C246*$B$3</f>
        <v>3239.8780000000002</v>
      </c>
      <c r="G246" s="101">
        <f>50*7.45/4</f>
        <v>93.125</v>
      </c>
      <c r="H246" s="104">
        <f>SUM(D246:G246)</f>
        <v>3333.0030000000002</v>
      </c>
      <c r="I246" s="96" t="s">
        <v>1551</v>
      </c>
    </row>
    <row r="247" spans="1:9" ht="14" x14ac:dyDescent="0.15">
      <c r="A247" s="88" t="s">
        <v>1552</v>
      </c>
      <c r="B247" s="321" t="s">
        <v>1553</v>
      </c>
      <c r="C247" s="101">
        <f>210+50</f>
        <v>260</v>
      </c>
      <c r="D247" s="102">
        <f>C247*$B$3</f>
        <v>1939.6</v>
      </c>
      <c r="G247" s="101">
        <f>50*7.45/4</f>
        <v>93.125</v>
      </c>
      <c r="H247" s="104">
        <f>SUM(D247:G247)</f>
        <v>2032.7249999999999</v>
      </c>
      <c r="I247" s="96" t="s">
        <v>1554</v>
      </c>
    </row>
    <row r="248" spans="1:9" x14ac:dyDescent="0.15">
      <c r="A248" s="100"/>
      <c r="B248" s="278"/>
      <c r="C248" s="101"/>
      <c r="D248" s="103"/>
      <c r="G248" s="101"/>
      <c r="H248" s="104"/>
    </row>
    <row r="249" spans="1:9" x14ac:dyDescent="0.15">
      <c r="A249" s="105" t="s">
        <v>663</v>
      </c>
      <c r="C249" s="101"/>
      <c r="D249" s="103"/>
      <c r="G249" s="101"/>
      <c r="H249" s="104"/>
    </row>
    <row r="250" spans="1:9" x14ac:dyDescent="0.15">
      <c r="A250" s="90" t="s">
        <v>1207</v>
      </c>
      <c r="B250" s="94" t="s">
        <v>1208</v>
      </c>
      <c r="C250" s="101">
        <v>513.44000000000005</v>
      </c>
      <c r="D250" s="103">
        <f t="shared" ref="D250:D259" si="21">C250*$B$3</f>
        <v>3830.2624000000005</v>
      </c>
      <c r="G250" s="101">
        <f>(20.1+18+7.5)*$B$3</f>
        <v>340.17599999999999</v>
      </c>
      <c r="H250" s="104">
        <f t="shared" ref="H250:H259" si="22">SUM(D250:G250)</f>
        <v>4170.4384000000009</v>
      </c>
      <c r="I250" s="96" t="s">
        <v>672</v>
      </c>
    </row>
    <row r="251" spans="1:9" x14ac:dyDescent="0.15">
      <c r="A251" s="90" t="s">
        <v>699</v>
      </c>
      <c r="B251" s="94" t="s">
        <v>673</v>
      </c>
      <c r="C251" s="101">
        <v>447.22</v>
      </c>
      <c r="D251" s="103">
        <f t="shared" si="21"/>
        <v>3336.2612000000004</v>
      </c>
      <c r="G251" s="101">
        <f t="shared" ref="G251:G259" si="23">(20.1+18+7.5)*$B$3</f>
        <v>340.17599999999999</v>
      </c>
      <c r="H251" s="104">
        <f t="shared" si="22"/>
        <v>3676.4372000000003</v>
      </c>
      <c r="I251" s="96" t="s">
        <v>675</v>
      </c>
    </row>
    <row r="252" spans="1:9" x14ac:dyDescent="0.15">
      <c r="A252" s="90" t="s">
        <v>700</v>
      </c>
      <c r="B252" s="94" t="s">
        <v>674</v>
      </c>
      <c r="C252" s="101">
        <v>506</v>
      </c>
      <c r="D252" s="103">
        <f t="shared" si="21"/>
        <v>3774.7599999999998</v>
      </c>
      <c r="G252" s="101">
        <f t="shared" si="23"/>
        <v>340.17599999999999</v>
      </c>
      <c r="H252" s="104">
        <f t="shared" si="22"/>
        <v>4114.9359999999997</v>
      </c>
      <c r="I252" s="96" t="s">
        <v>676</v>
      </c>
    </row>
    <row r="253" spans="1:9" x14ac:dyDescent="0.15">
      <c r="A253" s="90" t="s">
        <v>701</v>
      </c>
      <c r="B253" s="94" t="s">
        <v>678</v>
      </c>
      <c r="C253" s="101">
        <v>465</v>
      </c>
      <c r="D253" s="103">
        <f t="shared" si="21"/>
        <v>3468.9</v>
      </c>
      <c r="G253" s="101">
        <f t="shared" si="23"/>
        <v>340.17599999999999</v>
      </c>
      <c r="H253" s="104">
        <f t="shared" si="22"/>
        <v>3809.076</v>
      </c>
      <c r="I253" s="96" t="s">
        <v>677</v>
      </c>
    </row>
    <row r="254" spans="1:9" x14ac:dyDescent="0.15">
      <c r="A254" s="317" t="s">
        <v>1301</v>
      </c>
      <c r="B254" s="94" t="s">
        <v>1302</v>
      </c>
      <c r="C254" s="101">
        <v>459.75</v>
      </c>
      <c r="D254" s="133">
        <f t="shared" si="21"/>
        <v>3429.7350000000001</v>
      </c>
      <c r="G254" s="101">
        <f t="shared" si="23"/>
        <v>340.17599999999999</v>
      </c>
      <c r="H254" s="279">
        <f t="shared" si="22"/>
        <v>3769.9110000000001</v>
      </c>
      <c r="I254" s="96" t="s">
        <v>1303</v>
      </c>
    </row>
    <row r="255" spans="1:9" x14ac:dyDescent="0.15">
      <c r="A255" s="317" t="s">
        <v>1477</v>
      </c>
      <c r="B255" s="94" t="s">
        <v>1487</v>
      </c>
      <c r="C255" s="101">
        <v>980.67</v>
      </c>
      <c r="D255" s="133">
        <f t="shared" si="21"/>
        <v>7315.7981999999993</v>
      </c>
      <c r="G255" s="101">
        <f t="shared" si="23"/>
        <v>340.17599999999999</v>
      </c>
      <c r="H255" s="279">
        <f t="shared" si="22"/>
        <v>7655.9741999999997</v>
      </c>
      <c r="I255" s="96" t="s">
        <v>1482</v>
      </c>
    </row>
    <row r="256" spans="1:9" x14ac:dyDescent="0.15">
      <c r="A256" s="317" t="s">
        <v>1478</v>
      </c>
      <c r="B256" s="94" t="s">
        <v>1488</v>
      </c>
      <c r="C256" s="101">
        <v>464.21</v>
      </c>
      <c r="D256" s="133">
        <f t="shared" si="21"/>
        <v>3463.0065999999997</v>
      </c>
      <c r="G256" s="101">
        <f t="shared" si="23"/>
        <v>340.17599999999999</v>
      </c>
      <c r="H256" s="279">
        <f t="shared" si="22"/>
        <v>3803.1825999999996</v>
      </c>
      <c r="I256" s="96" t="s">
        <v>1483</v>
      </c>
    </row>
    <row r="257" spans="1:11" x14ac:dyDescent="0.15">
      <c r="A257" s="317" t="s">
        <v>1479</v>
      </c>
      <c r="B257" s="94" t="s">
        <v>1490</v>
      </c>
      <c r="C257" s="101">
        <v>758.95</v>
      </c>
      <c r="D257" s="133">
        <f t="shared" si="21"/>
        <v>5661.7670000000007</v>
      </c>
      <c r="G257" s="101">
        <f t="shared" si="23"/>
        <v>340.17599999999999</v>
      </c>
      <c r="H257" s="279">
        <f t="shared" si="22"/>
        <v>6001.9430000000011</v>
      </c>
      <c r="I257" s="96" t="s">
        <v>1484</v>
      </c>
    </row>
    <row r="258" spans="1:11" x14ac:dyDescent="0.15">
      <c r="A258" s="317" t="s">
        <v>1480</v>
      </c>
      <c r="B258" s="94" t="s">
        <v>1495</v>
      </c>
      <c r="C258" s="101">
        <v>787.75</v>
      </c>
      <c r="D258" s="133">
        <f t="shared" si="21"/>
        <v>5876.6149999999998</v>
      </c>
      <c r="G258" s="101">
        <f t="shared" si="23"/>
        <v>340.17599999999999</v>
      </c>
      <c r="H258" s="279">
        <f t="shared" si="22"/>
        <v>6216.7910000000002</v>
      </c>
      <c r="I258" s="96" t="s">
        <v>1485</v>
      </c>
    </row>
    <row r="259" spans="1:11" x14ac:dyDescent="0.15">
      <c r="A259" s="317" t="s">
        <v>1481</v>
      </c>
      <c r="B259" s="94" t="s">
        <v>1489</v>
      </c>
      <c r="C259" s="101">
        <v>610.91</v>
      </c>
      <c r="D259" s="133">
        <f t="shared" si="21"/>
        <v>4557.3885999999993</v>
      </c>
      <c r="G259" s="101">
        <f t="shared" si="23"/>
        <v>340.17599999999999</v>
      </c>
      <c r="H259" s="279">
        <f t="shared" si="22"/>
        <v>4897.5645999999997</v>
      </c>
      <c r="I259" s="96" t="s">
        <v>1486</v>
      </c>
    </row>
    <row r="260" spans="1:11" ht="14" x14ac:dyDescent="0.15">
      <c r="A260" s="316"/>
      <c r="C260" s="101"/>
      <c r="D260" s="103"/>
      <c r="G260" s="101"/>
      <c r="H260" s="104"/>
    </row>
    <row r="261" spans="1:11" x14ac:dyDescent="0.15">
      <c r="A261" s="105" t="s">
        <v>1353</v>
      </c>
      <c r="C261" s="101"/>
      <c r="D261" s="103"/>
      <c r="G261" s="101"/>
      <c r="H261" s="104">
        <f t="shared" ref="H261:H268" si="24">SUM(D261:G261)</f>
        <v>0</v>
      </c>
    </row>
    <row r="262" spans="1:11" x14ac:dyDescent="0.15">
      <c r="A262" s="90" t="s">
        <v>1352</v>
      </c>
      <c r="B262" s="94" t="s">
        <v>1351</v>
      </c>
      <c r="C262" s="95">
        <f>551.4+58.89+27.76</f>
        <v>638.04999999999995</v>
      </c>
      <c r="D262" s="103">
        <f t="shared" ref="D262:D268" si="25">C262*$B$4</f>
        <v>3407.1869999999994</v>
      </c>
      <c r="G262" s="103">
        <v>22</v>
      </c>
      <c r="H262" s="104">
        <f t="shared" si="24"/>
        <v>3429.1869999999994</v>
      </c>
    </row>
    <row r="263" spans="1:11" x14ac:dyDescent="0.15">
      <c r="A263" s="90" t="s">
        <v>664</v>
      </c>
      <c r="B263" s="94" t="s">
        <v>680</v>
      </c>
      <c r="C263" s="103">
        <f>255.71+115.31+27.76</f>
        <v>398.78</v>
      </c>
      <c r="D263" s="103">
        <f t="shared" si="25"/>
        <v>2129.4851999999996</v>
      </c>
      <c r="E263" s="115"/>
      <c r="G263" s="104">
        <f t="shared" ref="G263:G268" si="26">110*$B$4/9/3</f>
        <v>21.755555555555556</v>
      </c>
      <c r="H263" s="104">
        <f t="shared" si="24"/>
        <v>2151.2407555555551</v>
      </c>
      <c r="I263" s="94" t="s">
        <v>669</v>
      </c>
      <c r="K263" s="96" t="s">
        <v>784</v>
      </c>
    </row>
    <row r="264" spans="1:11" x14ac:dyDescent="0.15">
      <c r="A264" s="90" t="s">
        <v>665</v>
      </c>
      <c r="B264" s="94" t="s">
        <v>681</v>
      </c>
      <c r="C264" s="101">
        <f>224.71+115.31+27.76</f>
        <v>367.78</v>
      </c>
      <c r="D264" s="103">
        <f t="shared" si="25"/>
        <v>1963.9451999999999</v>
      </c>
      <c r="E264" s="115"/>
      <c r="G264" s="104">
        <f t="shared" si="26"/>
        <v>21.755555555555556</v>
      </c>
      <c r="H264" s="104">
        <f t="shared" si="24"/>
        <v>1985.7007555555554</v>
      </c>
      <c r="I264" s="94" t="s">
        <v>670</v>
      </c>
      <c r="K264" s="96" t="s">
        <v>784</v>
      </c>
    </row>
    <row r="265" spans="1:11" x14ac:dyDescent="0.15">
      <c r="A265" s="90" t="s">
        <v>666</v>
      </c>
      <c r="B265" s="94" t="s">
        <v>682</v>
      </c>
      <c r="C265" s="101">
        <f>92.4+27.76</f>
        <v>120.16000000000001</v>
      </c>
      <c r="D265" s="103">
        <f t="shared" si="25"/>
        <v>641.65440000000001</v>
      </c>
      <c r="E265" s="115"/>
      <c r="G265" s="104">
        <f t="shared" si="26"/>
        <v>21.755555555555556</v>
      </c>
      <c r="H265" s="104">
        <f t="shared" si="24"/>
        <v>663.4099555555556</v>
      </c>
      <c r="I265" s="94" t="s">
        <v>671</v>
      </c>
      <c r="K265" s="96" t="s">
        <v>784</v>
      </c>
    </row>
    <row r="266" spans="1:11" x14ac:dyDescent="0.15">
      <c r="A266" s="90" t="s">
        <v>667</v>
      </c>
      <c r="B266" s="94" t="s">
        <v>683</v>
      </c>
      <c r="C266" s="101">
        <f>535.54+10+58.89+27.76</f>
        <v>632.18999999999994</v>
      </c>
      <c r="D266" s="103">
        <f t="shared" si="25"/>
        <v>3375.8945999999996</v>
      </c>
      <c r="E266" s="115"/>
      <c r="G266" s="104">
        <f t="shared" si="26"/>
        <v>21.755555555555556</v>
      </c>
      <c r="H266" s="104">
        <f t="shared" si="24"/>
        <v>3397.6501555555551</v>
      </c>
      <c r="I266" s="94" t="s">
        <v>668</v>
      </c>
      <c r="K266" s="96" t="s">
        <v>784</v>
      </c>
    </row>
    <row r="267" spans="1:11" x14ac:dyDescent="0.15">
      <c r="A267" s="90"/>
      <c r="B267" s="127" t="s">
        <v>1244</v>
      </c>
      <c r="C267" s="101">
        <f>60+120</f>
        <v>180</v>
      </c>
      <c r="D267" s="103">
        <f t="shared" si="25"/>
        <v>961.19999999999993</v>
      </c>
      <c r="E267" s="115"/>
      <c r="G267" s="104">
        <f t="shared" si="26"/>
        <v>21.755555555555556</v>
      </c>
      <c r="H267" s="104">
        <f t="shared" si="24"/>
        <v>982.95555555555552</v>
      </c>
      <c r="I267" s="94"/>
    </row>
    <row r="268" spans="1:11" ht="14" x14ac:dyDescent="0.15">
      <c r="A268" s="90" t="s">
        <v>1341</v>
      </c>
      <c r="B268" s="123" t="s">
        <v>1342</v>
      </c>
      <c r="C268" s="101">
        <f>2436.2+67.21+318.11</f>
        <v>2821.52</v>
      </c>
      <c r="D268" s="103">
        <f t="shared" si="25"/>
        <v>15066.916799999999</v>
      </c>
      <c r="E268" s="115"/>
      <c r="G268" s="104">
        <f t="shared" si="26"/>
        <v>21.755555555555556</v>
      </c>
      <c r="H268" s="104">
        <f t="shared" si="24"/>
        <v>15088.672355555555</v>
      </c>
      <c r="I268" s="94" t="s">
        <v>1343</v>
      </c>
    </row>
    <row r="269" spans="1:11" x14ac:dyDescent="0.15">
      <c r="A269" s="90"/>
      <c r="B269" s="123"/>
      <c r="C269" s="101"/>
      <c r="D269" s="103"/>
      <c r="E269" s="115"/>
      <c r="G269" s="104"/>
      <c r="H269" s="104"/>
      <c r="I269" s="94"/>
    </row>
    <row r="270" spans="1:11" x14ac:dyDescent="0.15">
      <c r="A270" s="90"/>
      <c r="B270" s="123"/>
      <c r="C270" s="101"/>
      <c r="D270" s="103"/>
      <c r="E270" s="115"/>
      <c r="G270" s="104"/>
      <c r="H270" s="104"/>
      <c r="I270" s="94"/>
    </row>
    <row r="271" spans="1:11" ht="14" thickBot="1" x14ac:dyDescent="0.2">
      <c r="A271" s="100"/>
      <c r="C271" s="101"/>
      <c r="D271" s="103"/>
      <c r="G271" s="101"/>
      <c r="H271" s="104"/>
    </row>
    <row r="272" spans="1:11" x14ac:dyDescent="0.15">
      <c r="A272" s="100"/>
      <c r="B272" s="94" t="s">
        <v>516</v>
      </c>
      <c r="C272" s="128"/>
      <c r="D272" s="129"/>
      <c r="E272" s="130"/>
      <c r="F272" s="130"/>
      <c r="G272" s="129"/>
      <c r="H272" s="131"/>
    </row>
    <row r="273" spans="1:10" x14ac:dyDescent="0.15">
      <c r="A273" s="100"/>
      <c r="C273" s="132"/>
      <c r="H273" s="134"/>
    </row>
    <row r="274" spans="1:10" x14ac:dyDescent="0.15">
      <c r="A274" s="92" t="s">
        <v>517</v>
      </c>
      <c r="B274" s="94" t="s">
        <v>1451</v>
      </c>
      <c r="C274" s="132"/>
      <c r="D274" s="143">
        <v>29499.200000000001</v>
      </c>
      <c r="F274" s="96">
        <v>29</v>
      </c>
      <c r="G274" s="133">
        <v>775</v>
      </c>
      <c r="H274" s="134">
        <f>SUM(D274:G274)+SUM($D$280:$D$286)</f>
        <v>36657.449999999997</v>
      </c>
      <c r="I274" s="124" t="s">
        <v>1597</v>
      </c>
      <c r="J274" s="96" t="s">
        <v>1456</v>
      </c>
    </row>
    <row r="275" spans="1:10" x14ac:dyDescent="0.15">
      <c r="A275" s="92" t="s">
        <v>517</v>
      </c>
      <c r="B275" s="94" t="s">
        <v>1452</v>
      </c>
      <c r="C275" s="132"/>
      <c r="D275" s="143">
        <v>34064.800000000003</v>
      </c>
      <c r="F275" s="96">
        <v>29</v>
      </c>
      <c r="G275" s="133">
        <v>775</v>
      </c>
      <c r="H275" s="134">
        <f>SUM(D275:G275)+SUM($D$280:$D$286)</f>
        <v>41223.050000000003</v>
      </c>
      <c r="I275" s="124" t="s">
        <v>1597</v>
      </c>
      <c r="J275" s="96" t="s">
        <v>1455</v>
      </c>
    </row>
    <row r="276" spans="1:10" x14ac:dyDescent="0.15">
      <c r="A276" s="92" t="s">
        <v>517</v>
      </c>
      <c r="B276" s="94" t="s">
        <v>1453</v>
      </c>
      <c r="C276" s="132"/>
      <c r="D276" s="143">
        <v>44799.199999999997</v>
      </c>
      <c r="F276" s="96">
        <v>29</v>
      </c>
      <c r="G276" s="133">
        <v>775</v>
      </c>
      <c r="H276" s="134">
        <f>SUM(D276:G276)+SUM($D$280:$D$286)</f>
        <v>51957.45</v>
      </c>
      <c r="I276" s="124" t="s">
        <v>1597</v>
      </c>
      <c r="J276" s="96" t="s">
        <v>1454</v>
      </c>
    </row>
    <row r="277" spans="1:10" x14ac:dyDescent="0.15">
      <c r="A277" s="92" t="s">
        <v>517</v>
      </c>
      <c r="B277" s="124" t="s">
        <v>653</v>
      </c>
      <c r="C277" s="132"/>
      <c r="D277" s="143">
        <v>53437.599999999999</v>
      </c>
      <c r="F277" s="96">
        <v>29</v>
      </c>
      <c r="G277" s="133">
        <v>775</v>
      </c>
      <c r="H277" s="134">
        <f>SUM(D277:G277)+SUM($D$280:$D$286)</f>
        <v>60595.85</v>
      </c>
      <c r="I277" s="124" t="s">
        <v>1597</v>
      </c>
      <c r="J277" s="94" t="s">
        <v>637</v>
      </c>
    </row>
    <row r="278" spans="1:10" x14ac:dyDescent="0.15">
      <c r="A278" s="92" t="s">
        <v>517</v>
      </c>
      <c r="B278" s="124" t="s">
        <v>1461</v>
      </c>
      <c r="C278" s="132"/>
      <c r="D278" s="143">
        <v>67978.399999999994</v>
      </c>
      <c r="F278" s="96">
        <v>29</v>
      </c>
      <c r="G278" s="133">
        <v>775</v>
      </c>
      <c r="H278" s="134">
        <f>SUM(D278:G278)+SUM($D$280:$D$286)</f>
        <v>75136.649999999994</v>
      </c>
      <c r="I278" s="124" t="s">
        <v>1597</v>
      </c>
      <c r="J278" s="94" t="s">
        <v>1462</v>
      </c>
    </row>
    <row r="279" spans="1:10" x14ac:dyDescent="0.15">
      <c r="A279" s="100"/>
      <c r="B279" s="135" t="s">
        <v>641</v>
      </c>
      <c r="C279" s="132"/>
      <c r="D279" s="133"/>
      <c r="G279" s="133"/>
      <c r="H279" s="134"/>
      <c r="J279" s="94"/>
    </row>
    <row r="280" spans="1:10" x14ac:dyDescent="0.15">
      <c r="B280" s="94" t="s">
        <v>851</v>
      </c>
      <c r="C280" s="136"/>
      <c r="D280" s="319">
        <f>4*$H$222</f>
        <v>1420</v>
      </c>
      <c r="H280" s="134"/>
    </row>
    <row r="281" spans="1:10" x14ac:dyDescent="0.15">
      <c r="A281" s="100"/>
      <c r="B281" s="94" t="s">
        <v>518</v>
      </c>
      <c r="C281" s="132"/>
      <c r="D281" s="137">
        <f>H20</f>
        <v>473.67</v>
      </c>
      <c r="G281" s="133"/>
      <c r="H281" s="134"/>
    </row>
    <row r="282" spans="1:10" x14ac:dyDescent="0.15">
      <c r="A282" s="100"/>
      <c r="B282" s="94" t="s">
        <v>519</v>
      </c>
      <c r="C282" s="132"/>
      <c r="D282" s="137">
        <f>H23</f>
        <v>2083.3209000000002</v>
      </c>
      <c r="G282" s="133"/>
      <c r="H282" s="134"/>
    </row>
    <row r="283" spans="1:10" x14ac:dyDescent="0.15">
      <c r="A283" s="100"/>
      <c r="B283" s="94" t="s">
        <v>520</v>
      </c>
      <c r="C283" s="132"/>
      <c r="D283" s="137">
        <f>H24</f>
        <v>118.5213</v>
      </c>
      <c r="G283" s="133"/>
      <c r="H283" s="134"/>
    </row>
    <row r="284" spans="1:10" x14ac:dyDescent="0.15">
      <c r="A284" s="100"/>
      <c r="B284" s="94" t="s">
        <v>521</v>
      </c>
      <c r="C284" s="132"/>
      <c r="D284" s="137">
        <f>H26</f>
        <v>593</v>
      </c>
      <c r="G284" s="133"/>
      <c r="H284" s="134"/>
    </row>
    <row r="285" spans="1:10" x14ac:dyDescent="0.15">
      <c r="A285" s="100"/>
      <c r="B285" s="94" t="s">
        <v>744</v>
      </c>
      <c r="C285" s="132"/>
      <c r="D285" s="137">
        <f>H27</f>
        <v>291</v>
      </c>
      <c r="G285" s="133"/>
      <c r="H285" s="134"/>
    </row>
    <row r="286" spans="1:10" ht="14" thickBot="1" x14ac:dyDescent="0.2">
      <c r="A286" s="100"/>
      <c r="B286" s="94" t="s">
        <v>522</v>
      </c>
      <c r="C286" s="138"/>
      <c r="D286" s="139">
        <f>H210</f>
        <v>1374.7378000000001</v>
      </c>
      <c r="E286" s="140"/>
      <c r="F286" s="140"/>
      <c r="G286" s="141"/>
      <c r="H286" s="142"/>
    </row>
    <row r="287" spans="1:10" ht="14" thickBot="1" x14ac:dyDescent="0.2">
      <c r="A287" s="100"/>
      <c r="C287" s="137"/>
      <c r="D287" s="133"/>
      <c r="G287" s="133"/>
      <c r="H287" s="104"/>
    </row>
    <row r="288" spans="1:10" x14ac:dyDescent="0.15">
      <c r="A288" s="100"/>
      <c r="B288" s="94" t="s">
        <v>516</v>
      </c>
      <c r="C288" s="128"/>
      <c r="D288" s="129"/>
      <c r="E288" s="130"/>
      <c r="F288" s="130"/>
      <c r="G288" s="129"/>
      <c r="H288" s="131"/>
    </row>
    <row r="289" spans="1:10" x14ac:dyDescent="0.15">
      <c r="A289" s="92" t="s">
        <v>581</v>
      </c>
      <c r="B289" s="124" t="s">
        <v>649</v>
      </c>
      <c r="C289" s="132"/>
      <c r="D289" s="143">
        <v>14864.8</v>
      </c>
      <c r="F289" s="96">
        <v>29</v>
      </c>
      <c r="G289" s="133">
        <v>775</v>
      </c>
      <c r="H289" s="134">
        <f>SUM(D289:G289)+SUM($D$295:$D$301)</f>
        <v>22023.05</v>
      </c>
      <c r="I289" s="124" t="s">
        <v>1597</v>
      </c>
      <c r="J289" s="94" t="s">
        <v>639</v>
      </c>
    </row>
    <row r="290" spans="1:10" x14ac:dyDescent="0.15">
      <c r="A290" s="92" t="s">
        <v>581</v>
      </c>
      <c r="B290" s="124" t="s">
        <v>650</v>
      </c>
      <c r="C290" s="132"/>
      <c r="D290" s="143">
        <v>16805.599999999999</v>
      </c>
      <c r="F290" s="96">
        <v>29</v>
      </c>
      <c r="G290" s="133">
        <v>775</v>
      </c>
      <c r="H290" s="134">
        <f>SUM(D290:G290)+SUM($D$295:$D$301)</f>
        <v>23963.85</v>
      </c>
      <c r="I290" s="124" t="s">
        <v>1597</v>
      </c>
      <c r="J290" s="94" t="s">
        <v>640</v>
      </c>
    </row>
    <row r="291" spans="1:10" x14ac:dyDescent="0.15">
      <c r="A291" s="92" t="s">
        <v>581</v>
      </c>
      <c r="B291" s="124" t="s">
        <v>1513</v>
      </c>
      <c r="C291" s="132"/>
      <c r="D291" s="143">
        <v>21665.599999999999</v>
      </c>
      <c r="F291" s="96">
        <v>29</v>
      </c>
      <c r="G291" s="133">
        <v>775</v>
      </c>
      <c r="H291" s="134">
        <f>SUM(D291:G291)+SUM($D$295:$D$301)</f>
        <v>28823.85</v>
      </c>
      <c r="I291" s="124" t="s">
        <v>1597</v>
      </c>
      <c r="J291" s="94" t="s">
        <v>1514</v>
      </c>
    </row>
    <row r="292" spans="1:10" x14ac:dyDescent="0.15">
      <c r="A292" s="92" t="s">
        <v>581</v>
      </c>
      <c r="B292" s="124" t="s">
        <v>651</v>
      </c>
      <c r="C292" s="132"/>
      <c r="D292" s="143">
        <v>31656.799999999999</v>
      </c>
      <c r="F292" s="106">
        <v>29</v>
      </c>
      <c r="G292" s="133">
        <v>775</v>
      </c>
      <c r="H292" s="134">
        <f>SUM(D292:G292)+SUM($D$295:$D$301)</f>
        <v>38815.050000000003</v>
      </c>
      <c r="I292" s="124" t="s">
        <v>1597</v>
      </c>
      <c r="J292" s="94" t="s">
        <v>638</v>
      </c>
    </row>
    <row r="293" spans="1:10" x14ac:dyDescent="0.15">
      <c r="A293" s="92" t="s">
        <v>581</v>
      </c>
      <c r="B293" s="124" t="s">
        <v>652</v>
      </c>
      <c r="C293" s="132"/>
      <c r="D293" s="143">
        <v>32722.400000000001</v>
      </c>
      <c r="F293" s="96">
        <v>29</v>
      </c>
      <c r="G293" s="133">
        <v>775</v>
      </c>
      <c r="H293" s="134">
        <f>SUM(D293:G293)+SUM($D$295:$D$301)</f>
        <v>39880.65</v>
      </c>
      <c r="I293" s="124" t="s">
        <v>1597</v>
      </c>
      <c r="J293" s="96" t="s">
        <v>1475</v>
      </c>
    </row>
    <row r="294" spans="1:10" x14ac:dyDescent="0.15">
      <c r="B294" s="135" t="s">
        <v>641</v>
      </c>
      <c r="C294" s="136"/>
      <c r="H294" s="134"/>
    </row>
    <row r="295" spans="1:10" x14ac:dyDescent="0.15">
      <c r="B295" s="94" t="s">
        <v>851</v>
      </c>
      <c r="C295" s="136"/>
      <c r="D295" s="319">
        <f>4*$H$222</f>
        <v>1420</v>
      </c>
      <c r="H295" s="134"/>
    </row>
    <row r="296" spans="1:10" x14ac:dyDescent="0.15">
      <c r="A296" s="100"/>
      <c r="B296" s="94" t="s">
        <v>518</v>
      </c>
      <c r="C296" s="132"/>
      <c r="D296" s="137">
        <f>H20</f>
        <v>473.67</v>
      </c>
      <c r="G296" s="133"/>
      <c r="H296" s="134"/>
    </row>
    <row r="297" spans="1:10" x14ac:dyDescent="0.15">
      <c r="A297" s="100"/>
      <c r="B297" s="94" t="s">
        <v>519</v>
      </c>
      <c r="C297" s="132"/>
      <c r="D297" s="137">
        <f>H23</f>
        <v>2083.3209000000002</v>
      </c>
      <c r="G297" s="133"/>
      <c r="H297" s="134"/>
    </row>
    <row r="298" spans="1:10" x14ac:dyDescent="0.15">
      <c r="A298" s="100"/>
      <c r="B298" s="94" t="s">
        <v>520</v>
      </c>
      <c r="C298" s="132"/>
      <c r="D298" s="137">
        <f>H24</f>
        <v>118.5213</v>
      </c>
      <c r="G298" s="133"/>
      <c r="H298" s="134"/>
    </row>
    <row r="299" spans="1:10" x14ac:dyDescent="0.15">
      <c r="A299" s="100"/>
      <c r="B299" s="94" t="s">
        <v>521</v>
      </c>
      <c r="C299" s="132"/>
      <c r="D299" s="137">
        <f>H26</f>
        <v>593</v>
      </c>
      <c r="G299" s="133"/>
      <c r="H299" s="134"/>
    </row>
    <row r="300" spans="1:10" x14ac:dyDescent="0.15">
      <c r="A300" s="100"/>
      <c r="B300" s="94" t="s">
        <v>744</v>
      </c>
      <c r="C300" s="132"/>
      <c r="D300" s="137">
        <f>H27</f>
        <v>291</v>
      </c>
      <c r="G300" s="133"/>
      <c r="H300" s="134"/>
    </row>
    <row r="301" spans="1:10" ht="14" thickBot="1" x14ac:dyDescent="0.2">
      <c r="A301" s="100"/>
      <c r="B301" s="94" t="s">
        <v>522</v>
      </c>
      <c r="C301" s="138"/>
      <c r="D301" s="141">
        <f>H210</f>
        <v>1374.7378000000001</v>
      </c>
      <c r="E301" s="140"/>
      <c r="F301" s="140"/>
      <c r="G301" s="141"/>
      <c r="H301" s="142"/>
    </row>
    <row r="302" spans="1:10" x14ac:dyDescent="0.15">
      <c r="A302" s="100"/>
      <c r="C302" s="137"/>
      <c r="D302" s="133"/>
      <c r="G302" s="133"/>
      <c r="H302" s="104"/>
    </row>
    <row r="303" spans="1:10" ht="14" thickBot="1" x14ac:dyDescent="0.2">
      <c r="A303" s="93" t="s">
        <v>832</v>
      </c>
      <c r="B303" s="94" t="s">
        <v>832</v>
      </c>
      <c r="C303" s="137"/>
      <c r="D303" s="133"/>
      <c r="G303" s="133"/>
      <c r="H303" s="104"/>
    </row>
    <row r="304" spans="1:10" x14ac:dyDescent="0.15">
      <c r="A304" s="100"/>
      <c r="B304" s="94" t="s">
        <v>467</v>
      </c>
      <c r="C304" s="128"/>
      <c r="D304" s="129">
        <f>H90</f>
        <v>16060.8</v>
      </c>
      <c r="E304" s="130"/>
      <c r="F304" s="130"/>
      <c r="G304" s="129"/>
      <c r="H304" s="131">
        <f>SUM(D304:G308)</f>
        <v>26614.582755555555</v>
      </c>
    </row>
    <row r="305" spans="1:10" x14ac:dyDescent="0.15">
      <c r="A305" s="100"/>
      <c r="B305" s="94" t="s">
        <v>835</v>
      </c>
      <c r="C305" s="132"/>
      <c r="D305" s="133">
        <v>1000</v>
      </c>
      <c r="G305" s="133"/>
      <c r="H305" s="134"/>
      <c r="I305" s="96" t="s">
        <v>190</v>
      </c>
    </row>
    <row r="306" spans="1:10" x14ac:dyDescent="0.15">
      <c r="A306" s="100"/>
      <c r="B306" s="94" t="s">
        <v>836</v>
      </c>
      <c r="C306" s="132"/>
      <c r="D306" s="133">
        <f>5*H421+10*H425</f>
        <v>5237.5420000000004</v>
      </c>
      <c r="G306" s="133"/>
      <c r="H306" s="134"/>
    </row>
    <row r="307" spans="1:10" x14ac:dyDescent="0.15">
      <c r="A307" s="100"/>
      <c r="B307" s="94" t="s">
        <v>833</v>
      </c>
      <c r="C307" s="132"/>
      <c r="D307" s="133">
        <f>3*H222</f>
        <v>1065</v>
      </c>
      <c r="G307" s="133">
        <v>1000</v>
      </c>
      <c r="H307" s="134"/>
    </row>
    <row r="308" spans="1:10" ht="14" thickBot="1" x14ac:dyDescent="0.2">
      <c r="A308" s="100"/>
      <c r="B308" s="94" t="s">
        <v>834</v>
      </c>
      <c r="C308" s="138"/>
      <c r="D308" s="141">
        <f>H263</f>
        <v>2151.2407555555551</v>
      </c>
      <c r="E308" s="140"/>
      <c r="F308" s="140"/>
      <c r="G308" s="141">
        <v>100</v>
      </c>
      <c r="H308" s="142"/>
    </row>
    <row r="309" spans="1:10" ht="14" thickBot="1" x14ac:dyDescent="0.2">
      <c r="A309" s="100"/>
      <c r="C309" s="137"/>
      <c r="D309" s="133"/>
      <c r="G309" s="133"/>
      <c r="H309" s="279"/>
    </row>
    <row r="310" spans="1:10" x14ac:dyDescent="0.15">
      <c r="A310" s="93" t="s">
        <v>1370</v>
      </c>
      <c r="B310" s="159" t="s">
        <v>1396</v>
      </c>
      <c r="C310" s="280"/>
      <c r="D310" s="129"/>
      <c r="E310" s="130"/>
      <c r="F310" s="130"/>
      <c r="G310" s="129"/>
      <c r="H310" s="131">
        <f>SUM(D311:G315)</f>
        <v>342802.15157142858</v>
      </c>
      <c r="I310" s="96" t="s">
        <v>1381</v>
      </c>
    </row>
    <row r="311" spans="1:10" x14ac:dyDescent="0.15">
      <c r="A311" s="100"/>
      <c r="B311" s="281" t="s">
        <v>1371</v>
      </c>
      <c r="C311" s="137">
        <v>16461</v>
      </c>
      <c r="D311" s="133">
        <f>C311*$B$3</f>
        <v>122799.06</v>
      </c>
      <c r="G311" s="133"/>
      <c r="H311" s="134"/>
      <c r="I311" s="96" t="s">
        <v>1528</v>
      </c>
    </row>
    <row r="312" spans="1:10" x14ac:dyDescent="0.15">
      <c r="A312" s="100"/>
      <c r="B312" s="281" t="s">
        <v>1372</v>
      </c>
      <c r="C312" s="137"/>
      <c r="D312" s="133">
        <f>(19983-6600)/0.9*$B$3</f>
        <v>110930.2</v>
      </c>
      <c r="G312" s="133"/>
      <c r="H312" s="134"/>
      <c r="I312" s="96" t="s">
        <v>1373</v>
      </c>
    </row>
    <row r="313" spans="1:10" x14ac:dyDescent="0.15">
      <c r="A313" s="100"/>
      <c r="B313" s="281" t="s">
        <v>467</v>
      </c>
      <c r="C313" s="137"/>
      <c r="D313" s="133">
        <f>3650/0.7*$B$2</f>
        <v>37386.428571428572</v>
      </c>
      <c r="G313" s="133"/>
      <c r="H313" s="134"/>
      <c r="I313" s="96" t="s">
        <v>1501</v>
      </c>
    </row>
    <row r="314" spans="1:10" x14ac:dyDescent="0.15">
      <c r="A314" s="100"/>
      <c r="B314" s="281" t="s">
        <v>1374</v>
      </c>
      <c r="C314" s="137"/>
      <c r="D314" s="133">
        <v>60000</v>
      </c>
      <c r="G314" s="133"/>
      <c r="H314" s="134"/>
      <c r="I314" s="96" t="s">
        <v>1375</v>
      </c>
    </row>
    <row r="315" spans="1:10" ht="14" thickBot="1" x14ac:dyDescent="0.2">
      <c r="A315" s="100"/>
      <c r="B315" s="282" t="s">
        <v>1377</v>
      </c>
      <c r="C315" s="139"/>
      <c r="D315" s="141">
        <f>SUM(D311:D312)*0.05</f>
        <v>11686.463000000002</v>
      </c>
      <c r="E315" s="140"/>
      <c r="F315" s="140"/>
      <c r="G315" s="141"/>
      <c r="H315" s="142"/>
      <c r="I315" s="96" t="s">
        <v>1376</v>
      </c>
    </row>
    <row r="316" spans="1:10" x14ac:dyDescent="0.15">
      <c r="A316" s="100"/>
      <c r="C316" s="137"/>
      <c r="D316" s="133"/>
      <c r="G316" s="133"/>
      <c r="H316" s="279"/>
    </row>
    <row r="317" spans="1:10" x14ac:dyDescent="0.15">
      <c r="A317" s="100"/>
      <c r="C317" s="137"/>
      <c r="D317" s="133"/>
      <c r="G317" s="133"/>
      <c r="H317" s="279"/>
    </row>
    <row r="318" spans="1:10" ht="14" thickBot="1" x14ac:dyDescent="0.2">
      <c r="A318" s="100"/>
      <c r="C318" s="137"/>
      <c r="D318" s="133"/>
      <c r="G318" s="133"/>
      <c r="H318" s="104"/>
      <c r="J318" s="144"/>
    </row>
    <row r="319" spans="1:10" x14ac:dyDescent="0.15">
      <c r="A319" s="100"/>
      <c r="B319" s="159" t="s">
        <v>58</v>
      </c>
      <c r="C319" s="280"/>
      <c r="D319" s="129"/>
      <c r="E319" s="130"/>
      <c r="F319" s="130"/>
      <c r="G319" s="280"/>
      <c r="H319" s="131"/>
    </row>
    <row r="320" spans="1:10" x14ac:dyDescent="0.15">
      <c r="A320" s="90" t="s">
        <v>746</v>
      </c>
      <c r="B320" s="281" t="s">
        <v>187</v>
      </c>
      <c r="C320" s="137">
        <v>1959</v>
      </c>
      <c r="D320" s="133">
        <f>C320*$B$3</f>
        <v>14614.14</v>
      </c>
      <c r="G320" s="137">
        <v>750</v>
      </c>
      <c r="H320" s="134">
        <f>SUM(D320:G320)</f>
        <v>15364.14</v>
      </c>
      <c r="I320" s="96" t="s">
        <v>782</v>
      </c>
    </row>
    <row r="321" spans="1:9" x14ac:dyDescent="0.15">
      <c r="A321" s="100"/>
      <c r="B321" s="281" t="s">
        <v>59</v>
      </c>
      <c r="C321" s="137"/>
      <c r="D321" s="133">
        <v>1000</v>
      </c>
      <c r="G321" s="137"/>
      <c r="H321" s="134">
        <f>SUM(D321:G321)</f>
        <v>1000</v>
      </c>
      <c r="I321" s="116" t="s">
        <v>190</v>
      </c>
    </row>
    <row r="322" spans="1:9" x14ac:dyDescent="0.15">
      <c r="A322" s="100"/>
      <c r="B322" s="281" t="s">
        <v>60</v>
      </c>
      <c r="C322" s="137"/>
      <c r="D322" s="133">
        <v>1200</v>
      </c>
      <c r="G322" s="137">
        <v>100</v>
      </c>
      <c r="H322" s="134">
        <f>SUM(D322:G322)</f>
        <v>1300</v>
      </c>
      <c r="I322" s="116" t="s">
        <v>785</v>
      </c>
    </row>
    <row r="323" spans="1:9" ht="14" thickBot="1" x14ac:dyDescent="0.2">
      <c r="A323" s="100"/>
      <c r="B323" s="282" t="s">
        <v>61</v>
      </c>
      <c r="C323" s="139"/>
      <c r="D323" s="141">
        <v>3500</v>
      </c>
      <c r="E323" s="140"/>
      <c r="F323" s="140"/>
      <c r="G323" s="139"/>
      <c r="H323" s="142">
        <f>SUM(D323:G323)</f>
        <v>3500</v>
      </c>
      <c r="I323" s="116" t="s">
        <v>190</v>
      </c>
    </row>
    <row r="324" spans="1:9" ht="14" thickBot="1" x14ac:dyDescent="0.2">
      <c r="A324" s="100"/>
      <c r="C324" s="101"/>
      <c r="D324" s="103"/>
      <c r="G324" s="103"/>
      <c r="H324" s="104">
        <f>SUM(D324:G324)</f>
        <v>0</v>
      </c>
    </row>
    <row r="325" spans="1:9" x14ac:dyDescent="0.15">
      <c r="A325" s="100" t="s">
        <v>1383</v>
      </c>
      <c r="B325" s="159" t="s">
        <v>1384</v>
      </c>
      <c r="C325" s="280"/>
      <c r="D325" s="129"/>
      <c r="E325" s="130"/>
      <c r="F325" s="130"/>
      <c r="G325" s="129"/>
      <c r="H325" s="131"/>
      <c r="I325" s="96" t="s">
        <v>1413</v>
      </c>
    </row>
    <row r="326" spans="1:9" x14ac:dyDescent="0.15">
      <c r="A326" s="100"/>
      <c r="B326" s="281" t="s">
        <v>1393</v>
      </c>
      <c r="C326" s="137"/>
      <c r="D326" s="133">
        <f>4*12500</f>
        <v>50000</v>
      </c>
      <c r="G326" s="133"/>
      <c r="H326" s="134">
        <f>SUM(D326:G328)</f>
        <v>62120.167999999998</v>
      </c>
      <c r="I326" s="96" t="s">
        <v>1386</v>
      </c>
    </row>
    <row r="327" spans="1:9" x14ac:dyDescent="0.15">
      <c r="A327" s="100"/>
      <c r="B327" s="281" t="s">
        <v>1385</v>
      </c>
      <c r="C327" s="137"/>
      <c r="D327" s="133">
        <f>1000*$B$2</f>
        <v>7170</v>
      </c>
      <c r="G327" s="133"/>
      <c r="H327" s="134"/>
    </row>
    <row r="328" spans="1:9" ht="14" thickBot="1" x14ac:dyDescent="0.2">
      <c r="A328" s="100"/>
      <c r="B328" s="282" t="s">
        <v>584</v>
      </c>
      <c r="C328" s="139"/>
      <c r="D328" s="141">
        <f>20*H421</f>
        <v>4950.1680000000006</v>
      </c>
      <c r="E328" s="140"/>
      <c r="F328" s="140"/>
      <c r="G328" s="141"/>
      <c r="H328" s="142"/>
    </row>
    <row r="329" spans="1:9" x14ac:dyDescent="0.15">
      <c r="A329" s="100"/>
      <c r="C329" s="101"/>
      <c r="D329" s="103"/>
      <c r="G329" s="103"/>
      <c r="H329" s="104"/>
    </row>
    <row r="330" spans="1:9" ht="14" thickBot="1" x14ac:dyDescent="0.2">
      <c r="A330" s="100" t="s">
        <v>1387</v>
      </c>
      <c r="C330" s="101"/>
      <c r="D330" s="103"/>
      <c r="G330" s="103"/>
      <c r="H330" s="104"/>
    </row>
    <row r="331" spans="1:9" x14ac:dyDescent="0.15">
      <c r="A331" s="100"/>
      <c r="B331" s="159" t="s">
        <v>1395</v>
      </c>
      <c r="C331" s="280"/>
      <c r="D331" s="129">
        <f>3218.83*$B$3/0.9</f>
        <v>26680.524222222222</v>
      </c>
      <c r="E331" s="130"/>
      <c r="F331" s="130"/>
      <c r="G331" s="129"/>
      <c r="H331" s="131">
        <f>SUM(D331:G336)</f>
        <v>87480.69222222222</v>
      </c>
      <c r="I331" s="96" t="s">
        <v>1388</v>
      </c>
    </row>
    <row r="332" spans="1:9" x14ac:dyDescent="0.15">
      <c r="A332" s="100"/>
      <c r="B332" s="281" t="s">
        <v>1389</v>
      </c>
      <c r="C332" s="137"/>
      <c r="D332" s="133">
        <f>2000*$B$2</f>
        <v>14340</v>
      </c>
      <c r="G332" s="133"/>
      <c r="H332" s="134"/>
      <c r="I332" s="96" t="s">
        <v>190</v>
      </c>
    </row>
    <row r="333" spans="1:9" x14ac:dyDescent="0.15">
      <c r="A333" s="100"/>
      <c r="B333" s="281" t="s">
        <v>1390</v>
      </c>
      <c r="C333" s="137"/>
      <c r="D333" s="133">
        <f>2000*$B$2</f>
        <v>14340</v>
      </c>
      <c r="G333" s="133"/>
      <c r="H333" s="134"/>
      <c r="I333" s="96" t="s">
        <v>190</v>
      </c>
    </row>
    <row r="334" spans="1:9" x14ac:dyDescent="0.15">
      <c r="A334" s="100"/>
      <c r="B334" s="281" t="s">
        <v>1391</v>
      </c>
      <c r="C334" s="137"/>
      <c r="D334" s="133">
        <f>1000*$B$2</f>
        <v>7170</v>
      </c>
      <c r="G334" s="133"/>
      <c r="H334" s="134"/>
      <c r="I334" s="96" t="s">
        <v>190</v>
      </c>
    </row>
    <row r="335" spans="1:9" x14ac:dyDescent="0.15">
      <c r="A335" s="100"/>
      <c r="B335" s="281" t="s">
        <v>584</v>
      </c>
      <c r="C335" s="137"/>
      <c r="D335" s="133">
        <f>20*H421</f>
        <v>4950.1680000000006</v>
      </c>
      <c r="G335" s="133"/>
      <c r="H335" s="134"/>
    </row>
    <row r="336" spans="1:9" ht="14" thickBot="1" x14ac:dyDescent="0.2">
      <c r="A336" s="100"/>
      <c r="B336" s="282" t="s">
        <v>1392</v>
      </c>
      <c r="C336" s="139"/>
      <c r="D336" s="141">
        <v>20000</v>
      </c>
      <c r="E336" s="140"/>
      <c r="F336" s="140"/>
      <c r="G336" s="141"/>
      <c r="H336" s="142"/>
    </row>
    <row r="337" spans="1:9" x14ac:dyDescent="0.15">
      <c r="A337" s="100"/>
      <c r="C337" s="101"/>
      <c r="D337" s="103"/>
      <c r="G337" s="103"/>
      <c r="H337" s="104"/>
    </row>
    <row r="338" spans="1:9" ht="14" thickBot="1" x14ac:dyDescent="0.2">
      <c r="A338" s="100"/>
      <c r="C338" s="101"/>
      <c r="D338" s="103"/>
      <c r="G338" s="103"/>
      <c r="H338" s="104"/>
    </row>
    <row r="339" spans="1:9" x14ac:dyDescent="0.15">
      <c r="A339" s="100" t="s">
        <v>1397</v>
      </c>
      <c r="B339" s="159" t="s">
        <v>1402</v>
      </c>
      <c r="C339" s="280"/>
      <c r="D339" s="129"/>
      <c r="E339" s="130"/>
      <c r="F339" s="130"/>
      <c r="G339" s="129"/>
      <c r="H339" s="131">
        <f>SUM(D340:G344)</f>
        <v>10351.230155555555</v>
      </c>
    </row>
    <row r="340" spans="1:9" x14ac:dyDescent="0.15">
      <c r="A340" s="100"/>
      <c r="B340" s="281" t="s">
        <v>1398</v>
      </c>
      <c r="C340" s="137"/>
      <c r="D340" s="133">
        <f>H118</f>
        <v>3585</v>
      </c>
      <c r="G340" s="133"/>
      <c r="H340" s="134"/>
    </row>
    <row r="341" spans="1:9" x14ac:dyDescent="0.15">
      <c r="A341" s="100"/>
      <c r="B341" s="281" t="s">
        <v>1399</v>
      </c>
      <c r="C341" s="137"/>
      <c r="D341" s="133">
        <f>H185</f>
        <v>3512.1769999999997</v>
      </c>
      <c r="G341" s="133"/>
      <c r="H341" s="134"/>
    </row>
    <row r="342" spans="1:9" x14ac:dyDescent="0.15">
      <c r="A342" s="100"/>
      <c r="B342" s="281" t="s">
        <v>1300</v>
      </c>
      <c r="C342" s="137"/>
      <c r="D342" s="133">
        <f>H211</f>
        <v>584.5</v>
      </c>
      <c r="G342" s="133"/>
      <c r="H342" s="134"/>
    </row>
    <row r="343" spans="1:9" x14ac:dyDescent="0.15">
      <c r="A343" s="100"/>
      <c r="B343" s="281" t="s">
        <v>1400</v>
      </c>
      <c r="C343" s="137"/>
      <c r="D343" s="133">
        <f>'AL details'!F41*$B$3</f>
        <v>2006.1432000000002</v>
      </c>
      <c r="G343" s="133"/>
      <c r="H343" s="134"/>
    </row>
    <row r="344" spans="1:9" ht="14" thickBot="1" x14ac:dyDescent="0.2">
      <c r="A344" s="100"/>
      <c r="B344" s="282" t="s">
        <v>1401</v>
      </c>
      <c r="C344" s="139"/>
      <c r="D344" s="141">
        <f>H265</f>
        <v>663.4099555555556</v>
      </c>
      <c r="E344" s="140"/>
      <c r="F344" s="140"/>
      <c r="G344" s="141"/>
      <c r="H344" s="142"/>
    </row>
    <row r="345" spans="1:9" x14ac:dyDescent="0.15">
      <c r="A345" s="100"/>
      <c r="C345" s="101"/>
      <c r="D345" s="103"/>
      <c r="G345" s="103"/>
      <c r="H345" s="104"/>
    </row>
    <row r="346" spans="1:9" x14ac:dyDescent="0.15">
      <c r="A346" s="100"/>
      <c r="C346" s="101"/>
      <c r="D346" s="103"/>
      <c r="G346" s="103"/>
      <c r="H346" s="104"/>
    </row>
    <row r="347" spans="1:9" x14ac:dyDescent="0.15">
      <c r="A347" s="100"/>
      <c r="C347" s="101"/>
      <c r="D347" s="103"/>
      <c r="G347" s="103"/>
      <c r="H347" s="104"/>
    </row>
    <row r="348" spans="1:9" x14ac:dyDescent="0.15">
      <c r="A348" s="100"/>
      <c r="C348" s="101"/>
      <c r="D348" s="103"/>
      <c r="G348" s="103"/>
      <c r="H348" s="104"/>
    </row>
    <row r="349" spans="1:9" x14ac:dyDescent="0.15">
      <c r="A349" s="100" t="s">
        <v>462</v>
      </c>
      <c r="B349" s="94" t="s">
        <v>210</v>
      </c>
      <c r="C349" s="101"/>
      <c r="D349" s="103">
        <v>950</v>
      </c>
      <c r="G349" s="103"/>
      <c r="H349" s="104">
        <f t="shared" ref="H349:H370" si="27">SUM(D349:G349)</f>
        <v>950</v>
      </c>
    </row>
    <row r="350" spans="1:9" x14ac:dyDescent="0.15">
      <c r="A350" s="100"/>
      <c r="B350" s="94" t="s">
        <v>211</v>
      </c>
      <c r="C350" s="101"/>
      <c r="D350" s="103">
        <v>1025</v>
      </c>
      <c r="G350" s="103"/>
      <c r="H350" s="104">
        <f t="shared" si="27"/>
        <v>1025</v>
      </c>
    </row>
    <row r="351" spans="1:9" x14ac:dyDescent="0.15">
      <c r="A351" s="100"/>
      <c r="B351" s="94" t="s">
        <v>255</v>
      </c>
      <c r="C351" s="101"/>
      <c r="D351" s="102">
        <v>913</v>
      </c>
      <c r="G351" s="103"/>
      <c r="H351" s="104">
        <f t="shared" si="27"/>
        <v>913</v>
      </c>
      <c r="I351" s="145" t="s">
        <v>1184</v>
      </c>
    </row>
    <row r="352" spans="1:9" x14ac:dyDescent="0.15">
      <c r="A352" s="100"/>
      <c r="B352" s="94" t="s">
        <v>212</v>
      </c>
      <c r="C352" s="101"/>
      <c r="D352" s="102">
        <v>950</v>
      </c>
      <c r="G352" s="103"/>
      <c r="H352" s="104">
        <f t="shared" si="27"/>
        <v>950</v>
      </c>
      <c r="I352" s="145" t="s">
        <v>1184</v>
      </c>
    </row>
    <row r="353" spans="1:9" x14ac:dyDescent="0.15">
      <c r="A353" s="100"/>
      <c r="B353" s="94" t="s">
        <v>1183</v>
      </c>
      <c r="C353" s="101"/>
      <c r="D353" s="102">
        <v>2635</v>
      </c>
      <c r="G353" s="103"/>
      <c r="H353" s="104">
        <f t="shared" si="27"/>
        <v>2635</v>
      </c>
      <c r="I353" s="145" t="s">
        <v>1184</v>
      </c>
    </row>
    <row r="354" spans="1:9" x14ac:dyDescent="0.15">
      <c r="A354" s="100"/>
      <c r="B354" s="94" t="s">
        <v>258</v>
      </c>
      <c r="C354" s="101"/>
      <c r="D354" s="103">
        <v>1500</v>
      </c>
      <c r="G354" s="103"/>
      <c r="H354" s="104">
        <f t="shared" si="27"/>
        <v>1500</v>
      </c>
    </row>
    <row r="355" spans="1:9" x14ac:dyDescent="0.15">
      <c r="A355" s="100"/>
      <c r="B355" s="94" t="s">
        <v>259</v>
      </c>
      <c r="C355" s="101"/>
      <c r="D355" s="103">
        <v>2000</v>
      </c>
      <c r="G355" s="103"/>
      <c r="H355" s="104">
        <f t="shared" si="27"/>
        <v>2000</v>
      </c>
    </row>
    <row r="356" spans="1:9" x14ac:dyDescent="0.15">
      <c r="A356" s="100"/>
      <c r="B356" s="94" t="s">
        <v>794</v>
      </c>
      <c r="C356" s="101"/>
      <c r="D356" s="103">
        <v>3620</v>
      </c>
      <c r="G356" s="103"/>
      <c r="H356" s="104">
        <f t="shared" si="27"/>
        <v>3620</v>
      </c>
    </row>
    <row r="357" spans="1:9" x14ac:dyDescent="0.15">
      <c r="A357" s="100"/>
      <c r="B357" s="94" t="s">
        <v>795</v>
      </c>
      <c r="C357" s="101"/>
      <c r="D357" s="103">
        <v>4000</v>
      </c>
      <c r="G357" s="103"/>
      <c r="H357" s="104">
        <f t="shared" si="27"/>
        <v>4000</v>
      </c>
      <c r="I357" s="146" t="s">
        <v>1185</v>
      </c>
    </row>
    <row r="358" spans="1:9" x14ac:dyDescent="0.15">
      <c r="A358" s="100"/>
      <c r="B358" s="94" t="s">
        <v>253</v>
      </c>
      <c r="C358" s="101"/>
      <c r="D358" s="103">
        <f>775+440</f>
        <v>1215</v>
      </c>
      <c r="G358" s="103"/>
      <c r="H358" s="104">
        <f t="shared" si="27"/>
        <v>1215</v>
      </c>
    </row>
    <row r="359" spans="1:9" x14ac:dyDescent="0.15">
      <c r="A359" s="100"/>
      <c r="B359" s="94" t="s">
        <v>256</v>
      </c>
      <c r="C359" s="101"/>
      <c r="D359" s="103">
        <v>450</v>
      </c>
      <c r="G359" s="103"/>
      <c r="H359" s="104">
        <f t="shared" si="27"/>
        <v>450</v>
      </c>
    </row>
    <row r="360" spans="1:9" x14ac:dyDescent="0.15">
      <c r="A360" s="100"/>
      <c r="B360" s="94" t="s">
        <v>257</v>
      </c>
      <c r="C360" s="101"/>
      <c r="D360" s="103"/>
      <c r="G360" s="103"/>
      <c r="H360" s="104">
        <f t="shared" si="27"/>
        <v>0</v>
      </c>
    </row>
    <row r="361" spans="1:9" x14ac:dyDescent="0.15">
      <c r="A361" s="100"/>
      <c r="B361" s="94" t="s">
        <v>469</v>
      </c>
      <c r="C361" s="101"/>
      <c r="D361" s="103">
        <v>9000</v>
      </c>
      <c r="G361" s="103"/>
      <c r="H361" s="104">
        <f t="shared" si="27"/>
        <v>9000</v>
      </c>
    </row>
    <row r="362" spans="1:9" x14ac:dyDescent="0.15">
      <c r="A362" s="100"/>
      <c r="B362" s="94" t="s">
        <v>470</v>
      </c>
      <c r="C362" s="101"/>
      <c r="D362" s="102">
        <v>11880</v>
      </c>
      <c r="G362" s="103"/>
      <c r="H362" s="104">
        <f t="shared" si="27"/>
        <v>11880</v>
      </c>
      <c r="I362" s="145" t="s">
        <v>1184</v>
      </c>
    </row>
    <row r="363" spans="1:9" x14ac:dyDescent="0.15">
      <c r="A363" s="100"/>
      <c r="B363" s="94" t="s">
        <v>791</v>
      </c>
      <c r="C363" s="104">
        <f>741</f>
        <v>741</v>
      </c>
      <c r="D363" s="102">
        <f>C363*$B$2</f>
        <v>5312.97</v>
      </c>
      <c r="G363" s="103"/>
      <c r="H363" s="104">
        <f t="shared" si="27"/>
        <v>5312.97</v>
      </c>
      <c r="I363" s="145" t="s">
        <v>1184</v>
      </c>
    </row>
    <row r="364" spans="1:9" x14ac:dyDescent="0.15">
      <c r="A364" s="100"/>
      <c r="B364" s="94" t="s">
        <v>35</v>
      </c>
      <c r="C364" s="104">
        <f>526</f>
        <v>526</v>
      </c>
      <c r="D364" s="102">
        <f>C364*$B$2</f>
        <v>3771.42</v>
      </c>
      <c r="G364" s="103"/>
      <c r="H364" s="104">
        <f t="shared" si="27"/>
        <v>3771.42</v>
      </c>
      <c r="I364" s="145" t="s">
        <v>1184</v>
      </c>
    </row>
    <row r="365" spans="1:9" x14ac:dyDescent="0.15">
      <c r="A365" s="100"/>
      <c r="B365" s="94" t="s">
        <v>1181</v>
      </c>
      <c r="C365" s="104">
        <v>700</v>
      </c>
      <c r="D365" s="102">
        <f>C365*$B$2</f>
        <v>5019</v>
      </c>
      <c r="G365" s="103"/>
      <c r="H365" s="104">
        <f t="shared" si="27"/>
        <v>5019</v>
      </c>
      <c r="I365" s="145" t="s">
        <v>1182</v>
      </c>
    </row>
    <row r="366" spans="1:9" x14ac:dyDescent="0.15">
      <c r="A366" s="100"/>
      <c r="B366" s="94" t="s">
        <v>107</v>
      </c>
      <c r="C366" s="101"/>
      <c r="D366" s="103">
        <v>900</v>
      </c>
      <c r="G366" s="103"/>
      <c r="H366" s="104">
        <f t="shared" si="27"/>
        <v>900</v>
      </c>
      <c r="I366" s="146" t="s">
        <v>1186</v>
      </c>
    </row>
    <row r="367" spans="1:9" x14ac:dyDescent="0.15">
      <c r="A367" s="100"/>
      <c r="B367" s="94" t="s">
        <v>811</v>
      </c>
      <c r="C367" s="101"/>
      <c r="D367" s="147">
        <v>0</v>
      </c>
      <c r="G367" s="103"/>
      <c r="H367" s="104">
        <f t="shared" si="27"/>
        <v>0</v>
      </c>
      <c r="I367" s="145" t="s">
        <v>822</v>
      </c>
    </row>
    <row r="368" spans="1:9" x14ac:dyDescent="0.15">
      <c r="A368" s="100"/>
      <c r="B368" s="94" t="s">
        <v>821</v>
      </c>
      <c r="C368" s="101"/>
      <c r="D368" s="147">
        <v>6.8000000000000005E-2</v>
      </c>
      <c r="G368" s="103"/>
      <c r="H368" s="148">
        <f t="shared" si="27"/>
        <v>6.8000000000000005E-2</v>
      </c>
      <c r="I368" s="145" t="s">
        <v>1184</v>
      </c>
    </row>
    <row r="369" spans="1:12" x14ac:dyDescent="0.15">
      <c r="B369" s="94" t="s">
        <v>790</v>
      </c>
      <c r="D369" s="149">
        <v>0.125</v>
      </c>
      <c r="H369" s="148">
        <f t="shared" si="27"/>
        <v>0.125</v>
      </c>
      <c r="I369" s="96" t="s">
        <v>812</v>
      </c>
    </row>
    <row r="370" spans="1:12" x14ac:dyDescent="0.15">
      <c r="B370" s="94" t="s">
        <v>1245</v>
      </c>
      <c r="D370" s="149">
        <v>1.4999999999999999E-2</v>
      </c>
      <c r="H370" s="148">
        <f t="shared" si="27"/>
        <v>1.4999999999999999E-2</v>
      </c>
      <c r="I370" s="96" t="s">
        <v>1366</v>
      </c>
    </row>
    <row r="372" spans="1:12" x14ac:dyDescent="0.15">
      <c r="A372" s="100" t="s">
        <v>61</v>
      </c>
      <c r="B372" s="94" t="s">
        <v>509</v>
      </c>
      <c r="D372" s="101">
        <f>$H$195+$H$208+$H$252</f>
        <v>11570.083599999998</v>
      </c>
      <c r="G372" s="103"/>
      <c r="H372" s="104">
        <f t="shared" ref="H372:H377" si="28">SUM(D372:G372)</f>
        <v>11570.083599999998</v>
      </c>
      <c r="I372" s="96" t="s">
        <v>507</v>
      </c>
      <c r="L372" s="115"/>
    </row>
    <row r="373" spans="1:12" x14ac:dyDescent="0.15">
      <c r="A373" s="100"/>
      <c r="B373" s="94" t="s">
        <v>560</v>
      </c>
      <c r="C373" s="101"/>
      <c r="D373" s="103">
        <v>12000</v>
      </c>
      <c r="G373" s="103"/>
      <c r="H373" s="104">
        <f t="shared" si="28"/>
        <v>12000</v>
      </c>
    </row>
    <row r="374" spans="1:12" x14ac:dyDescent="0.15">
      <c r="H374" s="104">
        <f t="shared" si="28"/>
        <v>0</v>
      </c>
    </row>
    <row r="375" spans="1:12" x14ac:dyDescent="0.15">
      <c r="A375" s="100" t="s">
        <v>266</v>
      </c>
      <c r="B375" s="94" t="s">
        <v>549</v>
      </c>
      <c r="C375" s="89">
        <v>16320</v>
      </c>
      <c r="D375" s="103">
        <f>C375*$B$4</f>
        <v>87148.800000000003</v>
      </c>
      <c r="H375" s="104">
        <f t="shared" si="28"/>
        <v>87148.800000000003</v>
      </c>
      <c r="I375" s="96" t="s">
        <v>850</v>
      </c>
    </row>
    <row r="376" spans="1:12" x14ac:dyDescent="0.15">
      <c r="B376" s="94" t="s">
        <v>443</v>
      </c>
      <c r="C376" s="89">
        <v>27490</v>
      </c>
      <c r="D376" s="103">
        <f>C376*$B$4</f>
        <v>146796.6</v>
      </c>
      <c r="G376" s="103"/>
      <c r="H376" s="104">
        <f t="shared" si="28"/>
        <v>146796.6</v>
      </c>
      <c r="I376" s="96" t="s">
        <v>1565</v>
      </c>
    </row>
    <row r="377" spans="1:12" x14ac:dyDescent="0.15">
      <c r="B377" s="94" t="s">
        <v>761</v>
      </c>
      <c r="C377" s="89">
        <v>88610</v>
      </c>
      <c r="D377" s="103">
        <f>C377*$B$4</f>
        <v>473177.39999999997</v>
      </c>
      <c r="H377" s="104">
        <f t="shared" si="28"/>
        <v>473177.39999999997</v>
      </c>
      <c r="I377" s="96" t="s">
        <v>850</v>
      </c>
    </row>
    <row r="378" spans="1:12" ht="14" thickBot="1" x14ac:dyDescent="0.2">
      <c r="A378" s="97" t="s">
        <v>557</v>
      </c>
    </row>
    <row r="379" spans="1:12" x14ac:dyDescent="0.15">
      <c r="B379" s="94" t="s">
        <v>545</v>
      </c>
      <c r="C379" s="150"/>
      <c r="D379" s="129">
        <f>SUM(D380:D382)</f>
        <v>5964.6437999999998</v>
      </c>
      <c r="E379" s="130"/>
      <c r="F379" s="130"/>
      <c r="G379" s="130"/>
      <c r="H379" s="131">
        <f>SUM(D379:G379)</f>
        <v>5964.6437999999998</v>
      </c>
    </row>
    <row r="380" spans="1:12" x14ac:dyDescent="0.15">
      <c r="B380" s="94" t="str">
        <f>B186</f>
        <v>Sanimidget</v>
      </c>
      <c r="C380" s="136"/>
      <c r="D380" s="95">
        <f>H186</f>
        <v>2464.6437999999998</v>
      </c>
      <c r="H380" s="151"/>
    </row>
    <row r="381" spans="1:12" x14ac:dyDescent="0.15">
      <c r="B381" s="94" t="s">
        <v>558</v>
      </c>
      <c r="C381" s="136"/>
      <c r="D381" s="95">
        <f>1500</f>
        <v>1500</v>
      </c>
      <c r="H381" s="151"/>
    </row>
    <row r="382" spans="1:12" ht="14" thickBot="1" x14ac:dyDescent="0.2">
      <c r="B382" s="94" t="s">
        <v>559</v>
      </c>
      <c r="C382" s="152"/>
      <c r="D382" s="153">
        <v>2000</v>
      </c>
      <c r="E382" s="140"/>
      <c r="F382" s="140"/>
      <c r="G382" s="140"/>
      <c r="H382" s="154"/>
      <c r="I382" s="116" t="s">
        <v>759</v>
      </c>
    </row>
    <row r="383" spans="1:12" ht="14" thickBot="1" x14ac:dyDescent="0.2"/>
    <row r="384" spans="1:12" x14ac:dyDescent="0.15">
      <c r="B384" s="94" t="s">
        <v>556</v>
      </c>
      <c r="C384" s="150"/>
      <c r="D384" s="155">
        <f>SUM(D385:D386)</f>
        <v>5988.0241999999998</v>
      </c>
      <c r="E384" s="130"/>
      <c r="F384" s="130"/>
      <c r="G384" s="130"/>
      <c r="H384" s="131">
        <f>SUM(D384:G384)</f>
        <v>5988.0241999999998</v>
      </c>
    </row>
    <row r="385" spans="1:8" x14ac:dyDescent="0.15">
      <c r="B385" s="94" t="str">
        <f>B118</f>
        <v>Minor Ingredeints 22 liter hoppe with manual lid</v>
      </c>
      <c r="C385" s="136"/>
      <c r="D385" s="144">
        <f>H118</f>
        <v>3585</v>
      </c>
      <c r="H385" s="151"/>
    </row>
    <row r="386" spans="1:8" ht="14" thickBot="1" x14ac:dyDescent="0.2">
      <c r="B386" s="94" t="str">
        <f>B197</f>
        <v>Alfa Laval Manual butterfly valve</v>
      </c>
      <c r="C386" s="156"/>
      <c r="D386" s="157">
        <f>H201</f>
        <v>2403.0241999999998</v>
      </c>
      <c r="E386" s="140"/>
      <c r="F386" s="140"/>
      <c r="G386" s="140"/>
      <c r="H386" s="154"/>
    </row>
    <row r="387" spans="1:8" x14ac:dyDescent="0.15">
      <c r="A387" s="158"/>
      <c r="D387" s="144"/>
    </row>
    <row r="388" spans="1:8" ht="14" thickBot="1" x14ac:dyDescent="0.2">
      <c r="A388" s="93" t="s">
        <v>823</v>
      </c>
      <c r="B388" s="94" t="s">
        <v>824</v>
      </c>
      <c r="C388" s="95">
        <v>19319</v>
      </c>
      <c r="D388" s="144">
        <f>C388*$B$2</f>
        <v>138517.23000000001</v>
      </c>
      <c r="H388" s="104">
        <f>SUM(D388:G388)</f>
        <v>138517.23000000001</v>
      </c>
    </row>
    <row r="389" spans="1:8" x14ac:dyDescent="0.15">
      <c r="A389" s="93" t="s">
        <v>1246</v>
      </c>
      <c r="B389" s="159" t="s">
        <v>825</v>
      </c>
      <c r="C389" s="160">
        <v>12000</v>
      </c>
      <c r="D389" s="155">
        <f>C389*$B$2</f>
        <v>86040</v>
      </c>
      <c r="E389" s="130"/>
      <c r="F389" s="130"/>
      <c r="G389" s="130"/>
      <c r="H389" s="131">
        <f>SUM(D389:G405)</f>
        <v>126658.56</v>
      </c>
    </row>
    <row r="390" spans="1:8" x14ac:dyDescent="0.15">
      <c r="B390" s="161" t="s">
        <v>1247</v>
      </c>
      <c r="C390" s="162">
        <v>1530</v>
      </c>
      <c r="D390" s="144">
        <f t="shared" ref="D390:D400" si="29">C390*$B$4</f>
        <v>8170.2</v>
      </c>
      <c r="H390" s="134"/>
    </row>
    <row r="391" spans="1:8" x14ac:dyDescent="0.15">
      <c r="B391" s="161" t="s">
        <v>1248</v>
      </c>
      <c r="C391" s="162">
        <v>1120</v>
      </c>
      <c r="D391" s="144">
        <f t="shared" si="29"/>
        <v>5980.8</v>
      </c>
      <c r="H391" s="134"/>
    </row>
    <row r="392" spans="1:8" x14ac:dyDescent="0.15">
      <c r="B392" s="161" t="s">
        <v>1256</v>
      </c>
      <c r="C392" s="162">
        <v>265</v>
      </c>
      <c r="D392" s="144">
        <f t="shared" si="29"/>
        <v>1415.1</v>
      </c>
      <c r="H392" s="134"/>
    </row>
    <row r="393" spans="1:8" x14ac:dyDescent="0.15">
      <c r="B393" s="161" t="s">
        <v>1249</v>
      </c>
      <c r="C393" s="162">
        <f>12*7</f>
        <v>84</v>
      </c>
      <c r="D393" s="144">
        <f t="shared" si="29"/>
        <v>448.56</v>
      </c>
      <c r="H393" s="134"/>
    </row>
    <row r="394" spans="1:8" x14ac:dyDescent="0.15">
      <c r="B394" s="161" t="s">
        <v>1250</v>
      </c>
      <c r="C394" s="162">
        <f>36*7</f>
        <v>252</v>
      </c>
      <c r="D394" s="144">
        <f t="shared" si="29"/>
        <v>1345.68</v>
      </c>
      <c r="H394" s="134"/>
    </row>
    <row r="395" spans="1:8" x14ac:dyDescent="0.15">
      <c r="B395" s="161" t="s">
        <v>1252</v>
      </c>
      <c r="C395" s="162">
        <v>100</v>
      </c>
      <c r="D395" s="144">
        <f t="shared" si="29"/>
        <v>534</v>
      </c>
      <c r="H395" s="134"/>
    </row>
    <row r="396" spans="1:8" x14ac:dyDescent="0.15">
      <c r="B396" s="161" t="s">
        <v>1253</v>
      </c>
      <c r="C396" s="162">
        <v>176</v>
      </c>
      <c r="D396" s="144">
        <f t="shared" si="29"/>
        <v>939.83999999999992</v>
      </c>
      <c r="H396" s="134"/>
    </row>
    <row r="397" spans="1:8" x14ac:dyDescent="0.15">
      <c r="B397" s="161" t="s">
        <v>1254</v>
      </c>
      <c r="C397" s="162">
        <v>28</v>
      </c>
      <c r="D397" s="144">
        <f t="shared" si="29"/>
        <v>149.51999999999998</v>
      </c>
      <c r="H397" s="134"/>
    </row>
    <row r="398" spans="1:8" x14ac:dyDescent="0.15">
      <c r="B398" s="161" t="s">
        <v>1251</v>
      </c>
      <c r="C398" s="162">
        <v>36</v>
      </c>
      <c r="D398" s="144">
        <f t="shared" si="29"/>
        <v>192.24</v>
      </c>
      <c r="H398" s="134"/>
    </row>
    <row r="399" spans="1:8" x14ac:dyDescent="0.15">
      <c r="B399" s="161" t="s">
        <v>1255</v>
      </c>
      <c r="C399" s="162">
        <v>513</v>
      </c>
      <c r="D399" s="144">
        <f t="shared" si="29"/>
        <v>2739.42</v>
      </c>
      <c r="H399" s="134"/>
    </row>
    <row r="400" spans="1:8" x14ac:dyDescent="0.15">
      <c r="B400" s="161" t="s">
        <v>1257</v>
      </c>
      <c r="C400" s="162">
        <f>4*45</f>
        <v>180</v>
      </c>
      <c r="D400" s="144">
        <f t="shared" si="29"/>
        <v>961.19999999999993</v>
      </c>
      <c r="H400" s="134"/>
    </row>
    <row r="401" spans="1:9" x14ac:dyDescent="0.15">
      <c r="B401" s="161" t="s">
        <v>1258</v>
      </c>
      <c r="C401" s="162">
        <v>36</v>
      </c>
      <c r="D401" s="144">
        <f>C401*$B$4</f>
        <v>192.24</v>
      </c>
      <c r="H401" s="134"/>
    </row>
    <row r="402" spans="1:9" x14ac:dyDescent="0.15">
      <c r="B402" s="161" t="s">
        <v>1259</v>
      </c>
      <c r="C402" s="162">
        <v>27</v>
      </c>
      <c r="D402" s="144">
        <f>C402*$B$4</f>
        <v>144.18</v>
      </c>
      <c r="H402" s="134"/>
    </row>
    <row r="403" spans="1:9" x14ac:dyDescent="0.15">
      <c r="B403" s="161" t="s">
        <v>1260</v>
      </c>
      <c r="C403" s="162">
        <v>37</v>
      </c>
      <c r="D403" s="144">
        <f>C403*$B$4</f>
        <v>197.57999999999998</v>
      </c>
      <c r="H403" s="134"/>
    </row>
    <row r="404" spans="1:9" x14ac:dyDescent="0.15">
      <c r="B404" s="161" t="s">
        <v>1262</v>
      </c>
      <c r="C404" s="162">
        <v>2000</v>
      </c>
      <c r="D404" s="144">
        <f>C404*$B$2</f>
        <v>14340</v>
      </c>
      <c r="H404" s="134"/>
      <c r="I404" s="96" t="s">
        <v>1263</v>
      </c>
    </row>
    <row r="405" spans="1:9" ht="14" thickBot="1" x14ac:dyDescent="0.2">
      <c r="B405" s="163" t="s">
        <v>1261</v>
      </c>
      <c r="C405" s="164">
        <v>400</v>
      </c>
      <c r="D405" s="157">
        <f>C405*$B$2</f>
        <v>2868</v>
      </c>
      <c r="E405" s="140"/>
      <c r="F405" s="140"/>
      <c r="G405" s="140"/>
      <c r="H405" s="142"/>
      <c r="I405" s="96" t="s">
        <v>1263</v>
      </c>
    </row>
    <row r="406" spans="1:9" x14ac:dyDescent="0.15">
      <c r="B406" s="165"/>
      <c r="D406" s="144"/>
      <c r="H406" s="104"/>
    </row>
    <row r="407" spans="1:9" x14ac:dyDescent="0.15">
      <c r="B407" s="165"/>
      <c r="D407" s="144"/>
      <c r="H407" s="104"/>
    </row>
    <row r="408" spans="1:9" x14ac:dyDescent="0.15">
      <c r="A408" s="93" t="s">
        <v>823</v>
      </c>
      <c r="B408" s="94" t="s">
        <v>826</v>
      </c>
      <c r="C408" s="95">
        <v>25225</v>
      </c>
      <c r="D408" s="144">
        <f>C408*$B$2</f>
        <v>180863.25</v>
      </c>
      <c r="H408" s="104">
        <f>SUM(D408:G408)</f>
        <v>180863.25</v>
      </c>
    </row>
    <row r="409" spans="1:9" x14ac:dyDescent="0.15">
      <c r="A409" s="93"/>
      <c r="B409" s="94" t="s">
        <v>465</v>
      </c>
      <c r="C409" s="95">
        <v>1759</v>
      </c>
      <c r="D409" s="144">
        <f>C409*$B$2</f>
        <v>12612.03</v>
      </c>
      <c r="H409" s="104">
        <f>SUM(D409:G409)</f>
        <v>12612.03</v>
      </c>
    </row>
    <row r="410" spans="1:9" x14ac:dyDescent="0.15">
      <c r="A410" s="93"/>
      <c r="D410" s="144"/>
      <c r="H410" s="104"/>
    </row>
    <row r="411" spans="1:9" x14ac:dyDescent="0.15">
      <c r="A411" s="93"/>
    </row>
    <row r="412" spans="1:9" x14ac:dyDescent="0.15">
      <c r="A412" s="158" t="s">
        <v>571</v>
      </c>
      <c r="B412" s="94" t="s">
        <v>1276</v>
      </c>
      <c r="C412" s="95">
        <v>420</v>
      </c>
      <c r="D412" s="103">
        <f t="shared" ref="D412:D417" si="30">C412*$B$2</f>
        <v>3011.4</v>
      </c>
      <c r="H412" s="104">
        <f t="shared" ref="H412:H417" si="31">SUM(D412:G412)</f>
        <v>3011.4</v>
      </c>
    </row>
    <row r="413" spans="1:9" x14ac:dyDescent="0.15">
      <c r="A413" s="96"/>
      <c r="B413" s="94" t="s">
        <v>568</v>
      </c>
      <c r="C413" s="95">
        <v>4100</v>
      </c>
      <c r="D413" s="103">
        <f t="shared" si="30"/>
        <v>29397</v>
      </c>
      <c r="H413" s="104">
        <f t="shared" si="31"/>
        <v>29397</v>
      </c>
    </row>
    <row r="414" spans="1:9" x14ac:dyDescent="0.15">
      <c r="B414" s="94" t="s">
        <v>569</v>
      </c>
      <c r="C414" s="95">
        <v>6400</v>
      </c>
      <c r="D414" s="103">
        <f t="shared" si="30"/>
        <v>45888</v>
      </c>
      <c r="H414" s="104">
        <f t="shared" si="31"/>
        <v>45888</v>
      </c>
    </row>
    <row r="415" spans="1:9" x14ac:dyDescent="0.15">
      <c r="B415" s="94" t="s">
        <v>570</v>
      </c>
      <c r="C415" s="95">
        <v>5100</v>
      </c>
      <c r="D415" s="103">
        <f t="shared" si="30"/>
        <v>36567</v>
      </c>
      <c r="H415" s="104">
        <f t="shared" si="31"/>
        <v>36567</v>
      </c>
    </row>
    <row r="416" spans="1:9" x14ac:dyDescent="0.15">
      <c r="B416" s="94" t="s">
        <v>572</v>
      </c>
      <c r="C416" s="95">
        <v>4100</v>
      </c>
      <c r="D416" s="103">
        <f t="shared" si="30"/>
        <v>29397</v>
      </c>
      <c r="H416" s="104">
        <f t="shared" si="31"/>
        <v>29397</v>
      </c>
    </row>
    <row r="417" spans="1:9" x14ac:dyDescent="0.15">
      <c r="B417" s="94" t="s">
        <v>719</v>
      </c>
      <c r="C417" s="95">
        <v>4900</v>
      </c>
      <c r="D417" s="103">
        <f t="shared" si="30"/>
        <v>35133</v>
      </c>
      <c r="H417" s="104">
        <f t="shared" si="31"/>
        <v>35133</v>
      </c>
    </row>
    <row r="418" spans="1:9" x14ac:dyDescent="0.15">
      <c r="B418" s="165"/>
    </row>
    <row r="420" spans="1:9" x14ac:dyDescent="0.15">
      <c r="A420" s="158" t="s">
        <v>16</v>
      </c>
      <c r="B420" s="166" t="s">
        <v>587</v>
      </c>
      <c r="C420" s="167"/>
    </row>
    <row r="421" spans="1:9" x14ac:dyDescent="0.15">
      <c r="B421" s="168" t="s">
        <v>1409</v>
      </c>
      <c r="C421" s="95">
        <v>34.520000000000003</v>
      </c>
      <c r="D421" s="95">
        <f>C421*$B$2</f>
        <v>247.50840000000002</v>
      </c>
      <c r="H421" s="169">
        <f t="shared" ref="H421:H429" si="32">SUM(D421:G421)</f>
        <v>247.50840000000002</v>
      </c>
      <c r="I421" s="96" t="s">
        <v>847</v>
      </c>
    </row>
    <row r="422" spans="1:9" x14ac:dyDescent="0.15">
      <c r="B422" s="168" t="s">
        <v>1410</v>
      </c>
      <c r="C422" s="95">
        <v>23.56</v>
      </c>
      <c r="D422" s="95">
        <f>C422*$B$2</f>
        <v>168.92519999999999</v>
      </c>
      <c r="H422" s="169">
        <f t="shared" si="32"/>
        <v>168.92519999999999</v>
      </c>
      <c r="I422" s="96" t="s">
        <v>846</v>
      </c>
    </row>
    <row r="423" spans="1:9" x14ac:dyDescent="0.15">
      <c r="B423" s="168" t="s">
        <v>1539</v>
      </c>
      <c r="C423" s="95">
        <v>70</v>
      </c>
      <c r="D423" s="95">
        <f>C423*$B$4</f>
        <v>373.8</v>
      </c>
      <c r="H423" s="169">
        <f t="shared" si="32"/>
        <v>373.8</v>
      </c>
      <c r="I423" s="96" t="s">
        <v>1540</v>
      </c>
    </row>
    <row r="424" spans="1:9" x14ac:dyDescent="0.15">
      <c r="B424" s="168" t="s">
        <v>585</v>
      </c>
      <c r="D424" s="95">
        <v>400</v>
      </c>
      <c r="H424" s="169">
        <f t="shared" si="32"/>
        <v>400</v>
      </c>
    </row>
    <row r="425" spans="1:9" x14ac:dyDescent="0.15">
      <c r="B425" s="168" t="s">
        <v>1180</v>
      </c>
      <c r="D425" s="95">
        <v>400</v>
      </c>
      <c r="H425" s="169">
        <f t="shared" si="32"/>
        <v>400</v>
      </c>
    </row>
    <row r="426" spans="1:9" x14ac:dyDescent="0.15">
      <c r="B426" s="94" t="s">
        <v>588</v>
      </c>
      <c r="C426" s="101">
        <v>344</v>
      </c>
      <c r="D426" s="103">
        <f>C426*$B$2</f>
        <v>2466.48</v>
      </c>
      <c r="H426" s="169">
        <f t="shared" si="32"/>
        <v>2466.48</v>
      </c>
    </row>
    <row r="427" spans="1:9" x14ac:dyDescent="0.15">
      <c r="A427" s="100"/>
      <c r="B427" s="168" t="s">
        <v>590</v>
      </c>
      <c r="C427" s="101">
        <v>940</v>
      </c>
      <c r="D427" s="103">
        <f>C427*$B$2</f>
        <v>6739.8</v>
      </c>
      <c r="G427" s="103"/>
      <c r="H427" s="169">
        <f t="shared" si="32"/>
        <v>6739.8</v>
      </c>
      <c r="I427" s="170"/>
    </row>
    <row r="428" spans="1:9" x14ac:dyDescent="0.15">
      <c r="B428" s="168" t="s">
        <v>591</v>
      </c>
      <c r="D428" s="95">
        <v>4000</v>
      </c>
      <c r="H428" s="169">
        <f t="shared" si="32"/>
        <v>4000</v>
      </c>
    </row>
    <row r="429" spans="1:9" x14ac:dyDescent="0.15">
      <c r="B429" s="168" t="s">
        <v>1418</v>
      </c>
      <c r="D429" s="95">
        <f>D423</f>
        <v>373.8</v>
      </c>
      <c r="H429" s="169">
        <f t="shared" si="32"/>
        <v>373.8</v>
      </c>
      <c r="I429" s="96" t="s">
        <v>1544</v>
      </c>
    </row>
    <row r="430" spans="1:9" x14ac:dyDescent="0.15">
      <c r="B430" s="124" t="s">
        <v>53</v>
      </c>
      <c r="H430" s="167"/>
    </row>
    <row r="431" spans="1:9" ht="14" thickBot="1" x14ac:dyDescent="0.2">
      <c r="B431" s="124"/>
      <c r="H431" s="167"/>
    </row>
    <row r="432" spans="1:9" x14ac:dyDescent="0.15">
      <c r="B432" s="166" t="s">
        <v>589</v>
      </c>
      <c r="C432" s="150"/>
      <c r="D432" s="130"/>
      <c r="E432" s="130"/>
      <c r="F432" s="130"/>
      <c r="G432" s="130"/>
      <c r="H432" s="171">
        <f>SUM(D433:G440)</f>
        <v>15056.34</v>
      </c>
    </row>
    <row r="433" spans="2:9" x14ac:dyDescent="0.15">
      <c r="B433" s="124" t="s">
        <v>1198</v>
      </c>
      <c r="C433" s="136">
        <f>24*38.5</f>
        <v>924</v>
      </c>
      <c r="D433" s="162">
        <f>C433*$B$2</f>
        <v>6625.08</v>
      </c>
      <c r="H433" s="151"/>
      <c r="I433" s="96" t="s">
        <v>1596</v>
      </c>
    </row>
    <row r="434" spans="2:9" x14ac:dyDescent="0.15">
      <c r="B434" s="124" t="s">
        <v>1179</v>
      </c>
      <c r="C434" s="136">
        <f>4*50</f>
        <v>200</v>
      </c>
      <c r="D434" s="162">
        <f t="shared" ref="D434:D440" si="33">C434*$B$2</f>
        <v>1434</v>
      </c>
      <c r="H434" s="172"/>
      <c r="I434" s="96" t="s">
        <v>839</v>
      </c>
    </row>
    <row r="435" spans="2:9" x14ac:dyDescent="0.15">
      <c r="B435" s="124" t="s">
        <v>1178</v>
      </c>
      <c r="C435" s="136">
        <f>4*100</f>
        <v>400</v>
      </c>
      <c r="D435" s="162">
        <f>C435*$B$4</f>
        <v>2136</v>
      </c>
      <c r="H435" s="172"/>
      <c r="I435" s="96" t="s">
        <v>1568</v>
      </c>
    </row>
    <row r="436" spans="2:9" x14ac:dyDescent="0.15">
      <c r="B436" s="124" t="s">
        <v>837</v>
      </c>
      <c r="C436" s="136">
        <v>500</v>
      </c>
      <c r="D436" s="162">
        <f t="shared" si="33"/>
        <v>3585</v>
      </c>
      <c r="H436" s="172"/>
    </row>
    <row r="437" spans="2:9" x14ac:dyDescent="0.15">
      <c r="B437" s="124" t="s">
        <v>838</v>
      </c>
      <c r="C437" s="136">
        <f>40+40</f>
        <v>80</v>
      </c>
      <c r="D437" s="162">
        <f t="shared" si="33"/>
        <v>573.6</v>
      </c>
      <c r="H437" s="172"/>
    </row>
    <row r="438" spans="2:9" x14ac:dyDescent="0.15">
      <c r="B438" s="124" t="s">
        <v>848</v>
      </c>
      <c r="C438" s="136">
        <v>70</v>
      </c>
      <c r="D438" s="162">
        <f t="shared" si="33"/>
        <v>501.9</v>
      </c>
      <c r="H438" s="172"/>
    </row>
    <row r="439" spans="2:9" x14ac:dyDescent="0.15">
      <c r="B439" s="124" t="s">
        <v>849</v>
      </c>
      <c r="C439" s="136">
        <v>18</v>
      </c>
      <c r="D439" s="162">
        <f t="shared" si="33"/>
        <v>129.06</v>
      </c>
      <c r="H439" s="172"/>
    </row>
    <row r="440" spans="2:9" ht="14" thickBot="1" x14ac:dyDescent="0.2">
      <c r="B440" s="124" t="s">
        <v>844</v>
      </c>
      <c r="C440" s="156">
        <v>10</v>
      </c>
      <c r="D440" s="164">
        <f t="shared" si="33"/>
        <v>71.7</v>
      </c>
      <c r="E440" s="140"/>
      <c r="F440" s="140"/>
      <c r="G440" s="140"/>
      <c r="H440" s="173"/>
    </row>
    <row r="441" spans="2:9" ht="14" thickBot="1" x14ac:dyDescent="0.2">
      <c r="B441" s="124"/>
      <c r="C441" s="162"/>
      <c r="D441" s="162"/>
      <c r="H441" s="322"/>
    </row>
    <row r="442" spans="2:9" x14ac:dyDescent="0.15">
      <c r="B442" s="166" t="s">
        <v>1541</v>
      </c>
      <c r="C442" s="150"/>
      <c r="D442" s="130"/>
      <c r="E442" s="130"/>
      <c r="F442" s="130"/>
      <c r="G442" s="130"/>
      <c r="H442" s="171">
        <f>SUM(D443:G450)</f>
        <v>11026.800000000001</v>
      </c>
    </row>
    <row r="443" spans="2:9" x14ac:dyDescent="0.15">
      <c r="B443" s="124" t="s">
        <v>1198</v>
      </c>
      <c r="C443" s="136">
        <f>12*38.5</f>
        <v>462</v>
      </c>
      <c r="D443" s="162">
        <f>C443*$B$2</f>
        <v>3312.54</v>
      </c>
      <c r="H443" s="151"/>
      <c r="I443" s="96" t="s">
        <v>1596</v>
      </c>
    </row>
    <row r="444" spans="2:9" x14ac:dyDescent="0.15">
      <c r="B444" s="124" t="s">
        <v>1542</v>
      </c>
      <c r="C444" s="136">
        <f>2*50</f>
        <v>100</v>
      </c>
      <c r="D444" s="162">
        <f>C444*$B$2</f>
        <v>717</v>
      </c>
      <c r="H444" s="172"/>
      <c r="I444" s="96" t="s">
        <v>839</v>
      </c>
    </row>
    <row r="445" spans="2:9" x14ac:dyDescent="0.15">
      <c r="B445" s="124" t="s">
        <v>1543</v>
      </c>
      <c r="C445" s="136">
        <f>4*100</f>
        <v>400</v>
      </c>
      <c r="D445" s="162">
        <f>C445*$B$4</f>
        <v>2136</v>
      </c>
      <c r="H445" s="172"/>
      <c r="I445" s="96" t="s">
        <v>1568</v>
      </c>
    </row>
    <row r="446" spans="2:9" x14ac:dyDescent="0.15">
      <c r="B446" s="124" t="s">
        <v>837</v>
      </c>
      <c r="C446" s="136">
        <v>500</v>
      </c>
      <c r="D446" s="162">
        <f>C446*$B$2</f>
        <v>3585</v>
      </c>
      <c r="H446" s="172"/>
    </row>
    <row r="447" spans="2:9" x14ac:dyDescent="0.15">
      <c r="B447" s="124" t="s">
        <v>838</v>
      </c>
      <c r="C447" s="136">
        <f>40+40</f>
        <v>80</v>
      </c>
      <c r="D447" s="162">
        <f>C447*$B$2</f>
        <v>573.6</v>
      </c>
      <c r="H447" s="172"/>
    </row>
    <row r="448" spans="2:9" x14ac:dyDescent="0.15">
      <c r="B448" s="124" t="s">
        <v>848</v>
      </c>
      <c r="C448" s="136">
        <v>70</v>
      </c>
      <c r="D448" s="162">
        <f>C448*$B$2</f>
        <v>501.9</v>
      </c>
      <c r="H448" s="172"/>
    </row>
    <row r="449" spans="1:9" x14ac:dyDescent="0.15">
      <c r="B449" s="124" t="s">
        <v>849</v>
      </c>
      <c r="C449" s="136">
        <v>18</v>
      </c>
      <c r="D449" s="162">
        <f>C449*$B$2</f>
        <v>129.06</v>
      </c>
      <c r="H449" s="172"/>
    </row>
    <row r="450" spans="1:9" ht="14" thickBot="1" x14ac:dyDescent="0.2">
      <c r="B450" s="124" t="s">
        <v>844</v>
      </c>
      <c r="C450" s="156">
        <v>10</v>
      </c>
      <c r="D450" s="164">
        <f>C450*$B$2</f>
        <v>71.7</v>
      </c>
      <c r="E450" s="140"/>
      <c r="F450" s="140"/>
      <c r="G450" s="140"/>
      <c r="H450" s="173"/>
    </row>
    <row r="451" spans="1:9" x14ac:dyDescent="0.15">
      <c r="B451" s="124"/>
      <c r="C451" s="162"/>
      <c r="D451" s="162"/>
      <c r="H451" s="322"/>
    </row>
    <row r="452" spans="1:9" x14ac:dyDescent="0.15">
      <c r="B452" s="124"/>
      <c r="C452" s="162"/>
      <c r="D452" s="162"/>
      <c r="H452" s="322"/>
    </row>
    <row r="453" spans="1:9" ht="14" thickBot="1" x14ac:dyDescent="0.2">
      <c r="B453" s="124"/>
      <c r="D453" s="95"/>
      <c r="H453" s="167"/>
    </row>
    <row r="454" spans="1:9" x14ac:dyDescent="0.15">
      <c r="B454" s="166" t="s">
        <v>1473</v>
      </c>
      <c r="C454" s="150"/>
      <c r="D454" s="160"/>
      <c r="E454" s="130"/>
      <c r="F454" s="130"/>
      <c r="G454" s="130"/>
      <c r="H454" s="171">
        <f>SUM(D455:G460)</f>
        <v>19142.36</v>
      </c>
    </row>
    <row r="455" spans="1:9" x14ac:dyDescent="0.15">
      <c r="B455" s="124" t="s">
        <v>845</v>
      </c>
      <c r="C455" s="136">
        <f>27*65</f>
        <v>1755</v>
      </c>
      <c r="D455" s="162">
        <f t="shared" ref="D455:D460" si="34">C455*$B$3</f>
        <v>13092.3</v>
      </c>
      <c r="H455" s="151"/>
      <c r="I455" s="96" t="s">
        <v>842</v>
      </c>
    </row>
    <row r="456" spans="1:9" x14ac:dyDescent="0.15">
      <c r="B456" s="124" t="s">
        <v>840</v>
      </c>
      <c r="C456" s="136">
        <f>3*50</f>
        <v>150</v>
      </c>
      <c r="D456" s="162">
        <f t="shared" si="34"/>
        <v>1119</v>
      </c>
      <c r="H456" s="172"/>
      <c r="I456" s="96" t="s">
        <v>843</v>
      </c>
    </row>
    <row r="457" spans="1:9" x14ac:dyDescent="0.15">
      <c r="B457" s="124" t="s">
        <v>841</v>
      </c>
      <c r="C457" s="136">
        <f>3*50</f>
        <v>150</v>
      </c>
      <c r="D457" s="162">
        <f t="shared" si="34"/>
        <v>1119</v>
      </c>
      <c r="H457" s="172"/>
      <c r="I457" s="96" t="s">
        <v>843</v>
      </c>
    </row>
    <row r="458" spans="1:9" x14ac:dyDescent="0.15">
      <c r="B458" s="124" t="s">
        <v>837</v>
      </c>
      <c r="C458" s="136">
        <v>300</v>
      </c>
      <c r="D458" s="162">
        <f t="shared" si="34"/>
        <v>2238</v>
      </c>
      <c r="H458" s="172"/>
    </row>
    <row r="459" spans="1:9" x14ac:dyDescent="0.15">
      <c r="B459" s="124" t="s">
        <v>838</v>
      </c>
      <c r="C459" s="136">
        <v>200</v>
      </c>
      <c r="D459" s="162">
        <f t="shared" si="34"/>
        <v>1492</v>
      </c>
      <c r="H459" s="172"/>
    </row>
    <row r="460" spans="1:9" ht="14" thickBot="1" x14ac:dyDescent="0.2">
      <c r="B460" s="124" t="s">
        <v>844</v>
      </c>
      <c r="C460" s="156">
        <v>11</v>
      </c>
      <c r="D460" s="164">
        <f t="shared" si="34"/>
        <v>82.06</v>
      </c>
      <c r="E460" s="140"/>
      <c r="F460" s="140"/>
      <c r="G460" s="140"/>
      <c r="H460" s="173"/>
    </row>
    <row r="461" spans="1:9" x14ac:dyDescent="0.15">
      <c r="B461" s="124"/>
      <c r="H461" s="167"/>
    </row>
    <row r="462" spans="1:9" ht="14" thickBot="1" x14ac:dyDescent="0.2"/>
    <row r="463" spans="1:9" x14ac:dyDescent="0.15">
      <c r="A463" s="158" t="s">
        <v>747</v>
      </c>
      <c r="B463" s="94" t="s">
        <v>748</v>
      </c>
      <c r="C463" s="150">
        <f>15487.5*1.04^4</f>
        <v>18118.184448000004</v>
      </c>
      <c r="D463" s="160">
        <f>C463*$B$3</f>
        <v>135161.65598208003</v>
      </c>
      <c r="E463" s="130"/>
      <c r="F463" s="130"/>
      <c r="G463" s="130">
        <v>2000</v>
      </c>
      <c r="H463" s="171">
        <f>SUM(D463:G463)+SUM(D464:D467)</f>
        <v>217161.65598208003</v>
      </c>
      <c r="I463" s="96" t="s">
        <v>749</v>
      </c>
    </row>
    <row r="464" spans="1:9" x14ac:dyDescent="0.15">
      <c r="B464" s="94" t="s">
        <v>750</v>
      </c>
      <c r="C464" s="136"/>
      <c r="D464" s="162">
        <v>10000</v>
      </c>
      <c r="H464" s="151"/>
      <c r="I464" s="96" t="s">
        <v>190</v>
      </c>
    </row>
    <row r="465" spans="2:10" x14ac:dyDescent="0.15">
      <c r="B465" s="168" t="s">
        <v>751</v>
      </c>
      <c r="C465" s="136"/>
      <c r="D465" s="162">
        <v>15000</v>
      </c>
      <c r="H465" s="151"/>
      <c r="I465" s="96" t="s">
        <v>190</v>
      </c>
    </row>
    <row r="466" spans="2:10" x14ac:dyDescent="0.15">
      <c r="B466" s="168" t="s">
        <v>757</v>
      </c>
      <c r="C466" s="136"/>
      <c r="D466" s="162">
        <v>25000</v>
      </c>
      <c r="H466" s="151"/>
      <c r="J466" s="96" t="s">
        <v>758</v>
      </c>
    </row>
    <row r="467" spans="2:10" ht="14" thickBot="1" x14ac:dyDescent="0.2">
      <c r="B467" s="94" t="s">
        <v>752</v>
      </c>
      <c r="C467" s="156"/>
      <c r="D467" s="164">
        <v>30000</v>
      </c>
      <c r="E467" s="140"/>
      <c r="F467" s="140"/>
      <c r="G467" s="140"/>
      <c r="H467" s="154"/>
      <c r="I467" s="96" t="s">
        <v>190</v>
      </c>
    </row>
    <row r="486" spans="1:1" x14ac:dyDescent="0.15">
      <c r="A486" s="97" t="s">
        <v>853</v>
      </c>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24D5-3AFA-5340-B0DB-270FC2305613}">
  <sheetPr>
    <tabColor rgb="FFFF0000"/>
  </sheetPr>
  <dimension ref="A2:K34"/>
  <sheetViews>
    <sheetView topLeftCell="A4" zoomScale="125" workbookViewId="0">
      <selection activeCell="A8" sqref="A8:A34"/>
    </sheetView>
  </sheetViews>
  <sheetFormatPr baseColWidth="10" defaultRowHeight="12" x14ac:dyDescent="0.15"/>
  <cols>
    <col min="1" max="1" width="13.33203125" style="71" customWidth="1"/>
    <col min="2" max="2" width="84.1640625" style="67" customWidth="1"/>
    <col min="3" max="3" width="15.83203125" style="67" bestFit="1" customWidth="1"/>
    <col min="4" max="6" width="10.83203125" style="67"/>
    <col min="7" max="7" width="11.5" style="71" customWidth="1"/>
    <col min="8" max="8" width="12.83203125" style="67" bestFit="1" customWidth="1"/>
    <col min="9" max="9" width="87" style="67" customWidth="1"/>
    <col min="10" max="10" width="7" style="67" bestFit="1" customWidth="1"/>
    <col min="11" max="11" width="6.6640625" style="67" bestFit="1" customWidth="1"/>
    <col min="12" max="16384" width="10.83203125" style="67"/>
  </cols>
  <sheetData>
    <row r="2" spans="1:11" x14ac:dyDescent="0.15">
      <c r="B2" s="67" t="str">
        <f>'Cost prices'!A2</f>
        <v>Exchange rate DKK to USD</v>
      </c>
      <c r="C2" s="67">
        <f>'Cost prices'!B2</f>
        <v>7.17</v>
      </c>
    </row>
    <row r="3" spans="1:11" x14ac:dyDescent="0.15">
      <c r="B3" s="67" t="str">
        <f>'Cost prices'!A3</f>
        <v>Exchange rate DKK to EUR</v>
      </c>
      <c r="C3" s="67">
        <f>'Cost prices'!B3</f>
        <v>7.46</v>
      </c>
    </row>
    <row r="4" spans="1:11" x14ac:dyDescent="0.15">
      <c r="B4" s="67" t="str">
        <f>'Cost prices'!A4</f>
        <v>Exchange rate DKK to SGD</v>
      </c>
      <c r="C4" s="67">
        <f>'Cost prices'!B4</f>
        <v>5.34</v>
      </c>
    </row>
    <row r="6" spans="1:11" x14ac:dyDescent="0.15">
      <c r="A6" s="71" t="s">
        <v>458</v>
      </c>
      <c r="C6" s="174" t="s">
        <v>1590</v>
      </c>
      <c r="G6" s="71" t="s">
        <v>467</v>
      </c>
    </row>
    <row r="7" spans="1:11" ht="13" x14ac:dyDescent="0.15">
      <c r="A7" s="74" t="s">
        <v>864</v>
      </c>
      <c r="B7" s="65" t="s">
        <v>865</v>
      </c>
      <c r="C7" s="65" t="s">
        <v>866</v>
      </c>
      <c r="G7" s="73" t="s">
        <v>896</v>
      </c>
      <c r="H7" s="68" t="s">
        <v>897</v>
      </c>
      <c r="I7" s="68" t="s">
        <v>898</v>
      </c>
      <c r="J7" s="68" t="s">
        <v>937</v>
      </c>
      <c r="K7" s="68" t="s">
        <v>21</v>
      </c>
    </row>
    <row r="8" spans="1:11" ht="15" x14ac:dyDescent="0.2">
      <c r="A8" s="66" t="s">
        <v>938</v>
      </c>
      <c r="B8" s="66" t="s">
        <v>939</v>
      </c>
      <c r="C8" s="320">
        <v>76.41</v>
      </c>
      <c r="G8" s="72">
        <v>3.01</v>
      </c>
      <c r="H8" s="71" t="s">
        <v>899</v>
      </c>
      <c r="I8" s="67" t="s">
        <v>900</v>
      </c>
      <c r="J8" s="67">
        <v>38</v>
      </c>
      <c r="K8" s="69">
        <f>HLcost[[#This Row],[USD]]*$C$2/$C$3</f>
        <v>36.52278820375335</v>
      </c>
    </row>
    <row r="9" spans="1:11" ht="15" x14ac:dyDescent="0.2">
      <c r="A9" s="66" t="s">
        <v>867</v>
      </c>
      <c r="B9" s="66" t="s">
        <v>868</v>
      </c>
      <c r="C9" s="320">
        <v>78.03</v>
      </c>
      <c r="G9" s="72">
        <v>3.02</v>
      </c>
      <c r="H9" s="71" t="s">
        <v>901</v>
      </c>
      <c r="I9" s="67" t="s">
        <v>902</v>
      </c>
      <c r="J9" s="67">
        <v>44</v>
      </c>
      <c r="K9" s="69">
        <f>HLcost[[#This Row],[USD]]*$C$2/$C$3</f>
        <v>42.289544235924936</v>
      </c>
    </row>
    <row r="10" spans="1:11" ht="15" x14ac:dyDescent="0.2">
      <c r="A10" s="66" t="s">
        <v>869</v>
      </c>
      <c r="B10" s="66" t="s">
        <v>870</v>
      </c>
      <c r="C10" s="320">
        <v>85.59</v>
      </c>
      <c r="G10" s="72">
        <v>3.03</v>
      </c>
      <c r="H10" s="71" t="s">
        <v>903</v>
      </c>
      <c r="I10" s="67" t="s">
        <v>904</v>
      </c>
      <c r="J10" s="67">
        <v>50</v>
      </c>
      <c r="K10" s="69">
        <f>HLcost[[#This Row],[USD]]*$C$2/$C$3</f>
        <v>48.056300268096514</v>
      </c>
    </row>
    <row r="11" spans="1:11" ht="15" x14ac:dyDescent="0.2">
      <c r="A11" s="66" t="s">
        <v>871</v>
      </c>
      <c r="B11" s="66" t="s">
        <v>872</v>
      </c>
      <c r="C11" s="320">
        <v>106.92</v>
      </c>
      <c r="G11" s="72">
        <v>3.04</v>
      </c>
      <c r="H11" s="71" t="s">
        <v>905</v>
      </c>
      <c r="I11" s="67" t="s">
        <v>906</v>
      </c>
      <c r="J11" s="67">
        <v>50</v>
      </c>
      <c r="K11" s="69">
        <f>HLcost[[#This Row],[USD]]*$C$2/$C$3</f>
        <v>48.056300268096514</v>
      </c>
    </row>
    <row r="12" spans="1:11" ht="15" x14ac:dyDescent="0.2">
      <c r="A12" s="66" t="s">
        <v>873</v>
      </c>
      <c r="B12" s="66" t="s">
        <v>874</v>
      </c>
      <c r="C12" s="320">
        <v>137.69999999999999</v>
      </c>
      <c r="G12" s="72">
        <v>3.05</v>
      </c>
      <c r="H12" s="71" t="s">
        <v>907</v>
      </c>
      <c r="I12" s="67" t="s">
        <v>908</v>
      </c>
      <c r="J12" s="67">
        <v>16</v>
      </c>
      <c r="K12" s="69">
        <f>HLcost[[#This Row],[USD]]*$C$2/$C$3</f>
        <v>15.378016085790884</v>
      </c>
    </row>
    <row r="13" spans="1:11" ht="15" x14ac:dyDescent="0.2">
      <c r="A13" s="66" t="s">
        <v>940</v>
      </c>
      <c r="B13" s="66" t="s">
        <v>941</v>
      </c>
      <c r="C13" s="320">
        <v>94.23</v>
      </c>
      <c r="G13" s="72">
        <v>3.06</v>
      </c>
      <c r="H13" s="71" t="s">
        <v>909</v>
      </c>
      <c r="I13" s="67" t="s">
        <v>910</v>
      </c>
      <c r="J13" s="67">
        <v>19</v>
      </c>
      <c r="K13" s="69">
        <f>HLcost[[#This Row],[USD]]*$C$2/$C$3</f>
        <v>18.261394101876675</v>
      </c>
    </row>
    <row r="14" spans="1:11" ht="15" x14ac:dyDescent="0.2">
      <c r="A14" s="66" t="s">
        <v>943</v>
      </c>
      <c r="B14" s="66" t="s">
        <v>944</v>
      </c>
      <c r="C14" s="320">
        <v>186.84</v>
      </c>
      <c r="G14" s="72">
        <v>3.07</v>
      </c>
      <c r="H14" s="71" t="s">
        <v>911</v>
      </c>
      <c r="I14" s="67" t="s">
        <v>912</v>
      </c>
      <c r="J14" s="67">
        <v>25</v>
      </c>
      <c r="K14" s="69">
        <f>HLcost[[#This Row],[USD]]*$C$2/$C$3</f>
        <v>24.028150134048257</v>
      </c>
    </row>
    <row r="15" spans="1:11" ht="15" x14ac:dyDescent="0.2">
      <c r="A15" s="66" t="s">
        <v>875</v>
      </c>
      <c r="B15" s="66" t="s">
        <v>876</v>
      </c>
      <c r="C15" s="320">
        <v>7.5600000000000005</v>
      </c>
      <c r="G15" s="72">
        <v>3.08</v>
      </c>
      <c r="H15" s="71" t="s">
        <v>913</v>
      </c>
      <c r="I15" s="67" t="s">
        <v>914</v>
      </c>
      <c r="J15" s="67">
        <v>28</v>
      </c>
      <c r="K15" s="69">
        <f>HLcost[[#This Row],[USD]]*$C$2/$C$3</f>
        <v>26.911528150134046</v>
      </c>
    </row>
    <row r="16" spans="1:11" ht="15" x14ac:dyDescent="0.2">
      <c r="A16" s="66" t="s">
        <v>877</v>
      </c>
      <c r="B16" s="66" t="s">
        <v>878</v>
      </c>
      <c r="C16" s="320">
        <v>268.92</v>
      </c>
      <c r="G16" s="72">
        <v>3.09</v>
      </c>
      <c r="H16" s="71" t="s">
        <v>915</v>
      </c>
      <c r="I16" s="67" t="s">
        <v>916</v>
      </c>
      <c r="J16" s="67">
        <v>16</v>
      </c>
      <c r="K16" s="69">
        <f>HLcost[[#This Row],[USD]]*$C$2/$C$3</f>
        <v>15.378016085790884</v>
      </c>
    </row>
    <row r="17" spans="1:11" ht="15" x14ac:dyDescent="0.2">
      <c r="A17" s="66" t="s">
        <v>879</v>
      </c>
      <c r="B17" s="66" t="s">
        <v>880</v>
      </c>
      <c r="C17" s="320">
        <v>268.92</v>
      </c>
      <c r="G17" s="72">
        <v>3.1</v>
      </c>
      <c r="H17" s="71" t="s">
        <v>917</v>
      </c>
      <c r="I17" s="67" t="s">
        <v>918</v>
      </c>
      <c r="J17" s="67">
        <v>19</v>
      </c>
      <c r="K17" s="69">
        <f>HLcost[[#This Row],[USD]]*$C$2/$C$3</f>
        <v>18.261394101876675</v>
      </c>
    </row>
    <row r="18" spans="1:11" ht="15" x14ac:dyDescent="0.2">
      <c r="A18" s="66" t="s">
        <v>881</v>
      </c>
      <c r="B18" s="66" t="s">
        <v>882</v>
      </c>
      <c r="C18" s="320">
        <v>21.33</v>
      </c>
      <c r="G18" s="72">
        <v>3.11</v>
      </c>
      <c r="H18" s="71" t="s">
        <v>919</v>
      </c>
      <c r="I18" s="67" t="s">
        <v>920</v>
      </c>
      <c r="J18" s="67">
        <v>112</v>
      </c>
      <c r="K18" s="69">
        <f>HLcost[[#This Row],[USD]]*$C$2/$C$3</f>
        <v>107.64611260053618</v>
      </c>
    </row>
    <row r="19" spans="1:11" ht="15" x14ac:dyDescent="0.2">
      <c r="A19" s="66" t="s">
        <v>863</v>
      </c>
      <c r="B19" s="66" t="s">
        <v>883</v>
      </c>
      <c r="C19" s="320">
        <v>467.45</v>
      </c>
      <c r="G19" s="72">
        <v>3.12</v>
      </c>
      <c r="H19" s="71" t="s">
        <v>921</v>
      </c>
      <c r="I19" s="67" t="s">
        <v>922</v>
      </c>
      <c r="J19" s="67">
        <v>149</v>
      </c>
      <c r="K19" s="69">
        <f>HLcost[[#This Row],[USD]]*$C$2/$C$3</f>
        <v>143.2077747989276</v>
      </c>
    </row>
    <row r="20" spans="1:11" ht="15" x14ac:dyDescent="0.2">
      <c r="A20" s="66" t="s">
        <v>736</v>
      </c>
      <c r="B20" s="66" t="s">
        <v>735</v>
      </c>
      <c r="C20" s="320">
        <v>111.65</v>
      </c>
      <c r="G20" s="72">
        <v>3.13</v>
      </c>
      <c r="H20" s="71" t="s">
        <v>923</v>
      </c>
      <c r="I20" s="67" t="s">
        <v>924</v>
      </c>
      <c r="J20" s="67">
        <v>174</v>
      </c>
      <c r="K20" s="69">
        <f>HLcost[[#This Row],[USD]]*$C$2/$C$3</f>
        <v>167.23592493297585</v>
      </c>
    </row>
    <row r="21" spans="1:11" ht="15" x14ac:dyDescent="0.2">
      <c r="A21" s="66" t="s">
        <v>697</v>
      </c>
      <c r="B21" s="66" t="s">
        <v>945</v>
      </c>
      <c r="C21" s="320">
        <v>321.08999999999997</v>
      </c>
      <c r="G21" s="72">
        <v>3.14</v>
      </c>
      <c r="H21" s="71" t="s">
        <v>925</v>
      </c>
      <c r="I21" s="67" t="s">
        <v>926</v>
      </c>
      <c r="J21" s="67">
        <v>250</v>
      </c>
      <c r="K21" s="69">
        <f>HLcost[[#This Row],[USD]]*$C$2/$C$3</f>
        <v>240.28150134048258</v>
      </c>
    </row>
    <row r="22" spans="1:11" ht="15" x14ac:dyDescent="0.2">
      <c r="A22" s="66" t="s">
        <v>690</v>
      </c>
      <c r="B22" s="66" t="s">
        <v>884</v>
      </c>
      <c r="C22" s="320">
        <v>327.02999999999997</v>
      </c>
      <c r="G22" s="72">
        <v>3.15</v>
      </c>
      <c r="H22" s="71" t="s">
        <v>927</v>
      </c>
      <c r="I22" s="67" t="s">
        <v>928</v>
      </c>
      <c r="J22" s="67">
        <v>5</v>
      </c>
      <c r="K22" s="69">
        <f>HLcost[[#This Row],[USD]]*$C$2/$C$3</f>
        <v>4.8056300268096521</v>
      </c>
    </row>
    <row r="23" spans="1:11" ht="15" x14ac:dyDescent="0.2">
      <c r="A23" s="66" t="s">
        <v>885</v>
      </c>
      <c r="B23" s="66" t="s">
        <v>886</v>
      </c>
      <c r="C23" s="320">
        <v>915.2</v>
      </c>
      <c r="G23" s="72">
        <v>3.16</v>
      </c>
      <c r="H23" s="71" t="s">
        <v>929</v>
      </c>
      <c r="I23" s="67" t="s">
        <v>930</v>
      </c>
      <c r="J23" s="67">
        <v>5</v>
      </c>
      <c r="K23" s="69">
        <f>HLcost[[#This Row],[USD]]*$C$2/$C$3</f>
        <v>4.8056300268096521</v>
      </c>
    </row>
    <row r="24" spans="1:11" ht="15" x14ac:dyDescent="0.2">
      <c r="A24" s="66" t="s">
        <v>887</v>
      </c>
      <c r="B24" s="66" t="s">
        <v>888</v>
      </c>
      <c r="C24" s="320">
        <v>760.32</v>
      </c>
      <c r="G24" s="72">
        <v>3.17</v>
      </c>
      <c r="H24" s="71" t="s">
        <v>931</v>
      </c>
      <c r="I24" s="67" t="s">
        <v>932</v>
      </c>
      <c r="J24" s="67">
        <v>250</v>
      </c>
      <c r="K24" s="69">
        <f>HLcost[[#This Row],[USD]]*$C$2/$C$3</f>
        <v>240.28150134048258</v>
      </c>
    </row>
    <row r="25" spans="1:11" ht="15" x14ac:dyDescent="0.2">
      <c r="A25" s="66" t="s">
        <v>889</v>
      </c>
      <c r="B25" s="66" t="s">
        <v>890</v>
      </c>
      <c r="C25" s="320">
        <v>180.93</v>
      </c>
      <c r="G25" s="72">
        <v>3.18</v>
      </c>
      <c r="H25" s="71" t="s">
        <v>933</v>
      </c>
      <c r="I25" s="67" t="s">
        <v>934</v>
      </c>
      <c r="J25" s="67">
        <v>115.85</v>
      </c>
      <c r="K25" s="69">
        <f>HLcost[[#This Row],[USD]]*$C$2/$C$3</f>
        <v>111.34644772117963</v>
      </c>
    </row>
    <row r="26" spans="1:11" ht="15" x14ac:dyDescent="0.2">
      <c r="A26" s="66" t="s">
        <v>891</v>
      </c>
      <c r="B26" s="66" t="s">
        <v>892</v>
      </c>
      <c r="C26" s="320">
        <v>95.04</v>
      </c>
      <c r="G26" s="72">
        <v>3.19</v>
      </c>
      <c r="H26" s="71" t="s">
        <v>935</v>
      </c>
      <c r="I26" s="67" t="s">
        <v>934</v>
      </c>
      <c r="J26" s="67">
        <v>115.85</v>
      </c>
      <c r="K26" s="69">
        <f>HLcost[[#This Row],[USD]]*$C$2/$C$3</f>
        <v>111.34644772117963</v>
      </c>
    </row>
    <row r="27" spans="1:11" ht="15" x14ac:dyDescent="0.2">
      <c r="A27" s="66" t="s">
        <v>893</v>
      </c>
      <c r="B27" s="66" t="s">
        <v>894</v>
      </c>
      <c r="C27" s="320">
        <v>393.05</v>
      </c>
      <c r="G27" s="72">
        <v>3.2</v>
      </c>
      <c r="H27" s="71" t="s">
        <v>936</v>
      </c>
      <c r="I27" s="67" t="s">
        <v>934</v>
      </c>
      <c r="J27" s="67">
        <v>115.85</v>
      </c>
      <c r="K27" s="69">
        <f>HLcost[[#This Row],[USD]]*$C$2/$C$3</f>
        <v>111.34644772117963</v>
      </c>
    </row>
    <row r="28" spans="1:11" ht="27" x14ac:dyDescent="0.2">
      <c r="A28" s="66" t="s">
        <v>861</v>
      </c>
      <c r="B28" s="66" t="s">
        <v>895</v>
      </c>
      <c r="C28" s="320">
        <v>515.20000000000005</v>
      </c>
      <c r="G28" s="72" t="s">
        <v>867</v>
      </c>
      <c r="H28" s="66" t="s">
        <v>80</v>
      </c>
      <c r="I28" s="70" t="str">
        <f>_xlfn.TEXTJOIN(", ", TRUE, I8, $I$12,$I$14,$I$16,$I18,$I$22)</f>
        <v>Bracket for actuator 1.5'' valve (304), Coupler axle 8mm sq (304), Coupler lower 8mm sq (304), Linkrod weld asm 8mm sq (304), LKB 38mm 1.5'' halfpart valve weldin (316), D5mm rod for 8mm sq coupler axle (316)</v>
      </c>
      <c r="K28" s="69">
        <f>K8+$K$12+$K$14+$K$16+$K18+$K$22</f>
        <v>203.75871313672923</v>
      </c>
    </row>
    <row r="29" spans="1:11" ht="27" x14ac:dyDescent="0.2">
      <c r="A29" s="66" t="s">
        <v>1571</v>
      </c>
      <c r="B29" s="66" t="s">
        <v>1569</v>
      </c>
      <c r="C29" s="320">
        <v>586.26</v>
      </c>
      <c r="G29" s="72" t="s">
        <v>869</v>
      </c>
      <c r="H29" s="71" t="s">
        <v>80</v>
      </c>
      <c r="I29" s="70" t="str">
        <f>_xlfn.TEXTJOIN(", ", TRUE, I9, $I$12,$I$14,$I$16,$I19,$I$22)</f>
        <v>Bracket for actuator 2.0'' valve (304), Coupler axle 8mm sq (304), Coupler lower 8mm sq (304), Linkrod weld asm 8mm sq (304), LKB 51mm 2'' halfpart valve weldin (316), D5mm rod for 8mm sq coupler axle (316)</v>
      </c>
      <c r="K29" s="69">
        <f>K9+$K$12+$K$14+$K$16+$K19+$K$22</f>
        <v>245.08713136729222</v>
      </c>
    </row>
    <row r="30" spans="1:11" ht="27" x14ac:dyDescent="0.2">
      <c r="A30" s="66" t="s">
        <v>1587</v>
      </c>
      <c r="B30" s="66" t="s">
        <v>1578</v>
      </c>
      <c r="C30" s="320">
        <v>72.63000000000001</v>
      </c>
      <c r="G30" s="72" t="s">
        <v>871</v>
      </c>
      <c r="H30" s="71" t="s">
        <v>80</v>
      </c>
      <c r="I30" s="70" t="str">
        <f>_xlfn.TEXTJOIN(", ", TRUE, I10, $I$12,$I$14,$I$16,$I20,$I$22)</f>
        <v>Bracket for actuator 2.5'' valve (304), Coupler axle 8mm sq (304), Coupler lower 8mm sq (304), Linkrod weld asm 8mm sq (304), LKB 63.5mm 2.5'' halfpart valve weldin (316), D5mm rod for 8mm sq coupler axle (316)</v>
      </c>
      <c r="K30" s="69">
        <f>K10+$K$12+$K$14+$K$16+$K20+$K$22</f>
        <v>274.882037533512</v>
      </c>
    </row>
    <row r="31" spans="1:11" ht="27" x14ac:dyDescent="0.2">
      <c r="A31" s="66" t="s">
        <v>1579</v>
      </c>
      <c r="B31" s="66" t="s">
        <v>1580</v>
      </c>
      <c r="C31" s="320">
        <v>61.02</v>
      </c>
      <c r="G31" s="72" t="s">
        <v>873</v>
      </c>
      <c r="H31" s="71" t="s">
        <v>80</v>
      </c>
      <c r="I31" s="70" t="str">
        <f>_xlfn.TEXTJOIN(", ", TRUE, I11, $I$13,$I$15,$I$17,$I21,$I$23)</f>
        <v>Bracket for actuator 3.0'' valve (304), Coupler axle 10mm sq (304), Coupler lower 10mm sq (304), Linkrod weld asm 10mm sq (304), LKB 76mm 3'' halfpart valve weldin (316), D5mm rod for 10mm sq coupler axle (316)</v>
      </c>
      <c r="K31" s="69">
        <f>K11+$K$13+$K$15+$K$17+$K21+$K$23</f>
        <v>356.57774798927613</v>
      </c>
    </row>
    <row r="32" spans="1:11" ht="15" x14ac:dyDescent="0.2">
      <c r="A32" s="66" t="s">
        <v>1581</v>
      </c>
      <c r="B32" s="66" t="s">
        <v>1582</v>
      </c>
      <c r="C32" s="320">
        <v>102.06</v>
      </c>
    </row>
    <row r="33" spans="1:3" ht="15" x14ac:dyDescent="0.2">
      <c r="A33" s="66" t="s">
        <v>1583</v>
      </c>
      <c r="B33" s="66" t="s">
        <v>1584</v>
      </c>
      <c r="C33" s="320">
        <v>66.960000000000008</v>
      </c>
    </row>
    <row r="34" spans="1:3" ht="15" x14ac:dyDescent="0.2">
      <c r="A34" s="66" t="s">
        <v>1585</v>
      </c>
      <c r="B34" s="66" t="s">
        <v>1586</v>
      </c>
      <c r="C34" s="320">
        <v>130.95000000000002</v>
      </c>
    </row>
  </sheetData>
  <pageMargins left="0.7" right="0.7" top="0.75" bottom="0.75" header="0.3" footer="0.3"/>
  <pageSetup paperSize="9" orientation="portrait" horizontalDpi="0" verticalDpi="0"/>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1FFA-E33A-7D4B-A0B2-6D4CA436AD1A}">
  <sheetPr>
    <tabColor rgb="FFFF0000"/>
  </sheetPr>
  <dimension ref="A3:S38"/>
  <sheetViews>
    <sheetView workbookViewId="0">
      <selection activeCell="A5" sqref="A5:XFD5"/>
    </sheetView>
  </sheetViews>
  <sheetFormatPr baseColWidth="10" defaultRowHeight="15" x14ac:dyDescent="0.2"/>
  <cols>
    <col min="1" max="1" width="24" bestFit="1" customWidth="1"/>
    <col min="2" max="2" width="8.6640625" style="3" bestFit="1" customWidth="1"/>
    <col min="3" max="3" width="10.33203125" style="3" bestFit="1" customWidth="1"/>
    <col min="4" max="4" width="8.6640625" style="3" bestFit="1" customWidth="1"/>
    <col min="5" max="5" width="8.1640625" style="3" bestFit="1" customWidth="1"/>
    <col min="6" max="6" width="8.5" style="3" bestFit="1" customWidth="1"/>
    <col min="7" max="7" width="7.5" style="3" bestFit="1" customWidth="1"/>
    <col min="8" max="8" width="7.5" style="3" customWidth="1"/>
    <col min="9" max="9" width="8.6640625" bestFit="1" customWidth="1"/>
    <col min="10" max="10" width="9.33203125" bestFit="1" customWidth="1"/>
    <col min="14" max="15" width="15.5" customWidth="1"/>
  </cols>
  <sheetData>
    <row r="3" spans="1:19" ht="48" x14ac:dyDescent="0.2">
      <c r="B3" s="343" t="s">
        <v>626</v>
      </c>
      <c r="C3" s="343"/>
      <c r="D3" s="46" t="s">
        <v>593</v>
      </c>
      <c r="E3" s="340" t="s">
        <v>19</v>
      </c>
      <c r="F3" s="340"/>
      <c r="G3" s="340"/>
      <c r="H3" s="340"/>
      <c r="I3" s="340"/>
      <c r="J3" s="47" t="s">
        <v>625</v>
      </c>
      <c r="K3" s="48" t="s">
        <v>629</v>
      </c>
      <c r="N3" s="62" t="s">
        <v>804</v>
      </c>
      <c r="O3" s="62" t="s">
        <v>807</v>
      </c>
      <c r="P3" s="62" t="s">
        <v>805</v>
      </c>
      <c r="Q3" s="62" t="s">
        <v>808</v>
      </c>
      <c r="R3" s="62" t="s">
        <v>806</v>
      </c>
      <c r="S3" s="62"/>
    </row>
    <row r="4" spans="1:19" x14ac:dyDescent="0.2">
      <c r="B4" s="45" t="s">
        <v>625</v>
      </c>
      <c r="C4" s="45" t="s">
        <v>627</v>
      </c>
      <c r="D4" s="46" t="s">
        <v>628</v>
      </c>
      <c r="E4" s="44" t="s">
        <v>593</v>
      </c>
      <c r="F4" s="44" t="s">
        <v>551</v>
      </c>
      <c r="G4" s="44" t="s">
        <v>623</v>
      </c>
      <c r="H4" s="44" t="s">
        <v>655</v>
      </c>
      <c r="I4" s="6" t="s">
        <v>92</v>
      </c>
      <c r="J4" s="47" t="s">
        <v>594</v>
      </c>
      <c r="K4" s="49" t="s">
        <v>594</v>
      </c>
    </row>
    <row r="5" spans="1:19" x14ac:dyDescent="0.2">
      <c r="A5" s="32" t="s">
        <v>0</v>
      </c>
      <c r="B5" s="313">
        <f>'External Prices'!J40</f>
        <v>20058</v>
      </c>
      <c r="C5" s="313">
        <f>'Internal Sales price'!N218</f>
        <v>20037.653024216997</v>
      </c>
      <c r="D5" s="313">
        <f>SUM('Internal Sales price'!N202:N204)/'Cost prices'!$B$3</f>
        <v>17032.005070584451</v>
      </c>
      <c r="E5" s="314">
        <f>'Internal Sales price'!N221</f>
        <v>3005.6479536325501</v>
      </c>
      <c r="F5" s="314">
        <f>B5-C5</f>
        <v>20.346975783002563</v>
      </c>
      <c r="I5" s="23">
        <f>SUM(E5:H5)</f>
        <v>3025.9949294155526</v>
      </c>
      <c r="J5" s="33">
        <f>I5/B5</f>
        <v>0.15086224595750089</v>
      </c>
      <c r="K5" s="33">
        <f>E5/C5</f>
        <v>0.15000000000000002</v>
      </c>
      <c r="L5" s="23"/>
      <c r="N5" s="3">
        <f>('Internal Sales price'!E$202-SUM('Internal Sales price'!E$187:E$190))/'Cost prices'!$B$3</f>
        <v>11542.676072386061</v>
      </c>
      <c r="O5" s="3">
        <f>B5-N5</f>
        <v>8515.3239276139393</v>
      </c>
      <c r="P5" s="33">
        <f>O5/N5</f>
        <v>0.73772527914782604</v>
      </c>
      <c r="Q5" s="63">
        <f>C5-N5</f>
        <v>8494.9769518309367</v>
      </c>
      <c r="R5" s="33">
        <f>Q5/C5</f>
        <v>0.42395069629981735</v>
      </c>
    </row>
    <row r="6" spans="1:19" x14ac:dyDescent="0.2">
      <c r="A6" s="32" t="s">
        <v>67</v>
      </c>
      <c r="B6" s="43">
        <f>'External Prices'!K40</f>
        <v>21869</v>
      </c>
      <c r="C6" s="313">
        <f>'Internal Sales price'!P218</f>
        <v>21846.523183966256</v>
      </c>
      <c r="D6" s="313">
        <f>SUM('Internal Sales price'!P202:P204)/'Cost prices'!$B$3</f>
        <v>18569.544706371315</v>
      </c>
      <c r="E6" s="314">
        <f>'Internal Sales price'!P221</f>
        <v>3276.9784775949392</v>
      </c>
      <c r="F6" s="314">
        <f>B6-C6</f>
        <v>22.476816033744399</v>
      </c>
      <c r="I6" s="23">
        <f>SUM(E6:H6)</f>
        <v>3299.4552936286836</v>
      </c>
      <c r="J6" s="33">
        <f>I6/B6</f>
        <v>0.15087362447430991</v>
      </c>
      <c r="K6" s="33">
        <f>E6/C6</f>
        <v>0.15000000000000005</v>
      </c>
      <c r="L6" s="23"/>
    </row>
    <row r="7" spans="1:19" x14ac:dyDescent="0.2">
      <c r="A7" s="32" t="s">
        <v>1</v>
      </c>
      <c r="B7" s="43">
        <f>'External Prices'!L40</f>
        <v>25050</v>
      </c>
      <c r="C7" s="43">
        <f>'Internal Sales price'!R218</f>
        <v>25024.161831254532</v>
      </c>
      <c r="D7" s="43">
        <f>SUM('Internal Sales price'!R202:R204)/'Cost prices'!$B$3</f>
        <v>21270.537556566349</v>
      </c>
      <c r="E7" s="315">
        <f>'Internal Sales price'!R221</f>
        <v>3753.6242746881799</v>
      </c>
      <c r="F7" s="3">
        <f t="shared" ref="F7:F38" si="0">B7-C7</f>
        <v>25.838168745467556</v>
      </c>
      <c r="I7" s="23">
        <f t="shared" ref="I7:I38" si="1">SUM(E7:H7)</f>
        <v>3779.4624434336474</v>
      </c>
      <c r="J7" s="33">
        <f t="shared" ref="J7:J38" si="2">I7/B7</f>
        <v>0.1508767442488482</v>
      </c>
      <c r="K7" s="33">
        <f t="shared" ref="K7:K38" si="3">E7/C7</f>
        <v>0.15</v>
      </c>
      <c r="L7" s="23"/>
    </row>
    <row r="8" spans="1:19" x14ac:dyDescent="0.2">
      <c r="A8" s="32" t="s">
        <v>471</v>
      </c>
      <c r="B8" s="43">
        <f>'External Prices'!N40</f>
        <v>29811</v>
      </c>
      <c r="C8" s="43">
        <f>'Internal Sales price'!V218</f>
        <v>29780.701064129473</v>
      </c>
      <c r="D8" s="43">
        <f>SUM('Internal Sales price'!V202:V204)/'Cost prices'!$B$3</f>
        <v>25313.595904510054</v>
      </c>
      <c r="E8" s="3">
        <f>'Internal Sales price'!V221</f>
        <v>4467.1051596194211</v>
      </c>
      <c r="F8" s="3">
        <f t="shared" si="0"/>
        <v>30.298935870527202</v>
      </c>
      <c r="I8" s="23">
        <f t="shared" si="1"/>
        <v>4497.4040954899483</v>
      </c>
      <c r="J8" s="33">
        <f t="shared" si="2"/>
        <v>0.15086391249840489</v>
      </c>
      <c r="K8" s="33">
        <f t="shared" si="3"/>
        <v>0.15</v>
      </c>
      <c r="L8" s="23"/>
    </row>
    <row r="9" spans="1:19" x14ac:dyDescent="0.2">
      <c r="A9" s="32" t="s">
        <v>634</v>
      </c>
      <c r="B9" s="43">
        <f>'External Prices'!O40</f>
        <v>52357</v>
      </c>
      <c r="C9" s="43">
        <f>'Internal Sales price'!X218</f>
        <v>52304.243705433939</v>
      </c>
      <c r="D9" s="43">
        <f>SUM('Internal Sales price'!X202:X204)/'Cost prices'!$B$3</f>
        <v>38054.231048895446</v>
      </c>
      <c r="E9" s="3">
        <f>'Internal Sales price'!X221</f>
        <v>14250.012656538491</v>
      </c>
      <c r="F9" s="3">
        <f t="shared" si="0"/>
        <v>52.756294566061115</v>
      </c>
      <c r="I9" s="23">
        <f t="shared" si="1"/>
        <v>14302.768951104552</v>
      </c>
      <c r="J9" s="33">
        <f>I9/B9</f>
        <v>0.27317777854163822</v>
      </c>
      <c r="K9" s="33">
        <f t="shared" si="3"/>
        <v>0.27244467460023791</v>
      </c>
      <c r="L9" s="23"/>
      <c r="N9" s="23"/>
      <c r="O9" s="23"/>
    </row>
    <row r="10" spans="1:19" x14ac:dyDescent="0.2">
      <c r="A10" s="32" t="s">
        <v>656</v>
      </c>
      <c r="B10" s="43">
        <f>'External Prices'!P40</f>
        <v>104435</v>
      </c>
      <c r="C10" s="43">
        <f>'Internal Sales price'!Z218</f>
        <v>104330.02444551932</v>
      </c>
      <c r="D10" s="43">
        <f>SUM('Internal Sales price'!Z202:Z204)/'Cost prices'!$B$3</f>
        <v>71622.764970088465</v>
      </c>
      <c r="E10" s="3">
        <f>'Internal Sales price'!Z221</f>
        <v>27250.28690628125</v>
      </c>
      <c r="F10" s="3">
        <f t="shared" si="0"/>
        <v>104.97555448068306</v>
      </c>
      <c r="I10" s="23">
        <f>SUM(E10:H10)</f>
        <v>27355.262460761933</v>
      </c>
      <c r="J10" s="33">
        <f>I10/B10</f>
        <v>0.26193577307188137</v>
      </c>
      <c r="K10" s="33">
        <f t="shared" si="3"/>
        <v>0.26119314215737799</v>
      </c>
      <c r="L10" s="23"/>
      <c r="N10" s="23"/>
      <c r="O10" s="23"/>
    </row>
    <row r="11" spans="1:19" x14ac:dyDescent="0.2">
      <c r="A11" s="335" t="s">
        <v>40</v>
      </c>
      <c r="B11" s="336">
        <f>'External Prices'!$Q$40</f>
        <v>15447</v>
      </c>
      <c r="C11" s="336">
        <f>'Internal Sales price'!$AB$218</f>
        <v>15431.100281501342</v>
      </c>
      <c r="D11" s="336">
        <f>SUM('Internal Sales price'!AB202:AB204)/'Cost prices'!$B$3</f>
        <v>10801.770197050937</v>
      </c>
      <c r="E11" s="337">
        <f>'Internal Sales price'!AB221</f>
        <v>4629.3300844504029</v>
      </c>
      <c r="F11" s="337">
        <f>B11-C11</f>
        <v>15.899718498658331</v>
      </c>
      <c r="G11" s="314"/>
      <c r="H11" s="314"/>
      <c r="I11" s="23">
        <f>SUM(E11:H11)</f>
        <v>4645.2298029490612</v>
      </c>
      <c r="J11" s="33">
        <f>I11/B11</f>
        <v>0.30072051550133105</v>
      </c>
      <c r="K11" s="33">
        <f t="shared" ref="K11" si="4">E11/C11</f>
        <v>0.30000000000000004</v>
      </c>
      <c r="L11" s="23"/>
    </row>
    <row r="12" spans="1:19" x14ac:dyDescent="0.2">
      <c r="A12" s="32" t="s">
        <v>30</v>
      </c>
      <c r="B12" s="43">
        <f>'External Prices'!R40</f>
        <v>36809</v>
      </c>
      <c r="C12" s="43">
        <f>'Internal Sales price'!AD218</f>
        <v>36771.894386697866</v>
      </c>
      <c r="D12" s="43">
        <f>SUM('Internal Sales price'!AD202:AD204)/'Cost prices'!$B$3</f>
        <v>28231.324137233241</v>
      </c>
      <c r="E12" s="3">
        <f>'Internal Sales price'!AD221</f>
        <v>8540.5702494646212</v>
      </c>
      <c r="F12" s="3">
        <f t="shared" si="0"/>
        <v>37.105613302133861</v>
      </c>
      <c r="I12" s="23">
        <f t="shared" si="1"/>
        <v>8577.675862766755</v>
      </c>
      <c r="J12" s="33">
        <f t="shared" si="2"/>
        <v>0.23303202648175053</v>
      </c>
      <c r="K12" s="33">
        <f t="shared" si="3"/>
        <v>0.23225809798241315</v>
      </c>
      <c r="L12" s="23"/>
    </row>
    <row r="13" spans="1:19" x14ac:dyDescent="0.2">
      <c r="A13" s="32" t="s">
        <v>31</v>
      </c>
      <c r="B13" s="43">
        <f>'External Prices'!S40</f>
        <v>37818</v>
      </c>
      <c r="C13" s="43">
        <f>'Internal Sales price'!AE218</f>
        <v>37779.860077131234</v>
      </c>
      <c r="D13" s="43">
        <f>SUM('Internal Sales price'!AE202:AE204)/'Cost prices'!$B$3</f>
        <v>29008.394512568368</v>
      </c>
      <c r="E13" s="3">
        <f>'Internal Sales price'!AE221</f>
        <v>8771.4655645628663</v>
      </c>
      <c r="F13" s="3">
        <f t="shared" si="0"/>
        <v>38.139922868766007</v>
      </c>
      <c r="I13" s="23">
        <f t="shared" si="1"/>
        <v>8809.6054874316324</v>
      </c>
      <c r="J13" s="33">
        <f t="shared" si="2"/>
        <v>0.23294741888602338</v>
      </c>
      <c r="K13" s="33">
        <f t="shared" si="3"/>
        <v>0.23217305587302525</v>
      </c>
      <c r="L13" s="23"/>
    </row>
    <row r="14" spans="1:19" x14ac:dyDescent="0.2">
      <c r="A14" s="32" t="s">
        <v>196</v>
      </c>
      <c r="B14" s="43">
        <f>'External Prices'!T40</f>
        <v>49680</v>
      </c>
      <c r="C14" s="43">
        <f>'Internal Sales price'!AF218</f>
        <v>49629.601836543632</v>
      </c>
      <c r="D14" s="43">
        <f>SUM('Internal Sales price'!AF202:AF204)/'Cost prices'!$B$3</f>
        <v>35923.084668064344</v>
      </c>
      <c r="E14" s="3">
        <f>'Internal Sales price'!AF221</f>
        <v>10969.520241388671</v>
      </c>
      <c r="F14" s="3">
        <f>B14-C14</f>
        <v>50.398163456367911</v>
      </c>
      <c r="I14" s="23">
        <f t="shared" si="1"/>
        <v>11019.918404845039</v>
      </c>
      <c r="J14" s="33">
        <f t="shared" si="2"/>
        <v>0.22181800331813686</v>
      </c>
      <c r="K14" s="33">
        <f t="shared" si="3"/>
        <v>0.22102777043259519</v>
      </c>
      <c r="L14" s="23"/>
    </row>
    <row r="15" spans="1:19" x14ac:dyDescent="0.2">
      <c r="A15" s="32" t="s">
        <v>121</v>
      </c>
      <c r="B15" s="43">
        <f>'External Prices'!U40</f>
        <v>56083</v>
      </c>
      <c r="C15" s="43">
        <f>'Internal Sales price'!AH218</f>
        <v>56026.711671438999</v>
      </c>
      <c r="D15" s="43">
        <f>SUM('Internal Sales price'!AH202:AH204)/'Cost prices'!$B$3</f>
        <v>40155.096833151474</v>
      </c>
      <c r="E15" s="3">
        <f>'Internal Sales price'!AH221</f>
        <v>12812.178889095037</v>
      </c>
      <c r="F15" s="3">
        <f t="shared" si="0"/>
        <v>56.288328561000526</v>
      </c>
      <c r="I15" s="23">
        <f t="shared" si="1"/>
        <v>12868.467217656038</v>
      </c>
      <c r="J15" s="33">
        <f t="shared" si="2"/>
        <v>0.22945397388969987</v>
      </c>
      <c r="K15" s="33">
        <f t="shared" si="3"/>
        <v>0.22867982979672824</v>
      </c>
      <c r="L15" s="23"/>
    </row>
    <row r="16" spans="1:19" x14ac:dyDescent="0.2">
      <c r="A16" s="32" t="s">
        <v>122</v>
      </c>
      <c r="B16" s="43">
        <f>'External Prices'!V40</f>
        <v>57191</v>
      </c>
      <c r="C16" s="43">
        <f>'Internal Sales price'!AI218</f>
        <v>57132.847291587597</v>
      </c>
      <c r="D16" s="43">
        <f>SUM('Internal Sales price'!AI202:AI204)/'Cost prices'!$B$3</f>
        <v>40932.167208486593</v>
      </c>
      <c r="E16" s="3">
        <f>'Internal Sales price'!AI221</f>
        <v>13082.038771978227</v>
      </c>
      <c r="F16" s="3">
        <f t="shared" si="0"/>
        <v>58.152708412402717</v>
      </c>
      <c r="I16" s="23">
        <f t="shared" si="1"/>
        <v>13140.191480390629</v>
      </c>
      <c r="J16" s="33">
        <f t="shared" si="2"/>
        <v>0.22975977829362362</v>
      </c>
      <c r="K16" s="33">
        <f t="shared" si="3"/>
        <v>0.22897578874743851</v>
      </c>
      <c r="L16" s="23"/>
    </row>
    <row r="17" spans="1:18" x14ac:dyDescent="0.2">
      <c r="A17" s="32" t="s">
        <v>75</v>
      </c>
      <c r="B17" s="43">
        <f>'External Prices'!W40</f>
        <v>95206</v>
      </c>
      <c r="C17" s="43">
        <f>'Internal Sales price'!AK218</f>
        <v>95110.098664877587</v>
      </c>
      <c r="D17" s="43">
        <f>SUM('Internal Sales price'!AK202:AK204)/'Cost prices'!$B$3</f>
        <v>61611.25686320509</v>
      </c>
      <c r="E17" s="3">
        <f>'Internal Sales price'!AK221</f>
        <v>28804.650802571166</v>
      </c>
      <c r="F17" s="3">
        <f t="shared" si="0"/>
        <v>95.901335122413002</v>
      </c>
      <c r="I17" s="23">
        <f t="shared" si="1"/>
        <v>28900.552137693579</v>
      </c>
      <c r="J17" s="33">
        <f t="shared" si="2"/>
        <v>0.30355809652431126</v>
      </c>
      <c r="K17" s="33">
        <f t="shared" si="3"/>
        <v>0.30285586080679983</v>
      </c>
      <c r="L17" s="23"/>
    </row>
    <row r="18" spans="1:18" x14ac:dyDescent="0.2">
      <c r="A18" s="335" t="s">
        <v>41</v>
      </c>
      <c r="B18" s="336">
        <f>'External Prices'!X40</f>
        <v>117464</v>
      </c>
      <c r="C18" s="336">
        <f>'Internal Sales price'!AL218</f>
        <v>117345.93379821196</v>
      </c>
      <c r="D18" s="336">
        <f>SUM('Internal Sales price'!AL202:AL204)/'Cost prices'!$B$3</f>
        <v>76135.071482698389</v>
      </c>
      <c r="E18" s="337">
        <f>'Internal Sales price'!AL221</f>
        <v>35410.094964450822</v>
      </c>
      <c r="F18" s="337">
        <f>B18-C18</f>
        <v>118.0662017880386</v>
      </c>
      <c r="I18" s="23">
        <f t="shared" si="1"/>
        <v>35528.16116623886</v>
      </c>
      <c r="J18" s="33">
        <f>I18/B18</f>
        <v>0.3024599976694039</v>
      </c>
      <c r="K18" s="33">
        <f t="shared" si="3"/>
        <v>0.30175817617457468</v>
      </c>
      <c r="L18" s="23"/>
      <c r="N18" s="3">
        <f>('Internal Sales price'!AL$202-SUM('Internal Sales price'!AL$187,ABR$142))/'Cost prices'!$B$3</f>
        <v>71713.318215361913</v>
      </c>
      <c r="O18" s="3">
        <f>B18-N18</f>
        <v>45750.681784638087</v>
      </c>
      <c r="P18" s="33">
        <f>O18/N18</f>
        <v>0.63796632094535688</v>
      </c>
      <c r="Q18" s="63">
        <f>C18-N18</f>
        <v>45632.615582850049</v>
      </c>
      <c r="R18" s="33">
        <f>Q18/C18</f>
        <v>0.38887257620123322</v>
      </c>
    </row>
    <row r="19" spans="1:18" x14ac:dyDescent="0.2">
      <c r="A19" s="32" t="s">
        <v>263</v>
      </c>
      <c r="B19" s="43">
        <f>'External Prices'!Y40</f>
        <v>130198</v>
      </c>
      <c r="C19" s="43">
        <f>'Internal Sales price'!AM218</f>
        <v>130067.61227127782</v>
      </c>
      <c r="D19" s="43">
        <f>SUM('Internal Sales price'!AM202:AM204)/'Cost prices'!$B$3</f>
        <v>83101.629358343154</v>
      </c>
      <c r="E19" s="3">
        <f>'Internal Sales price'!AM221</f>
        <v>40634.430199918032</v>
      </c>
      <c r="F19" s="3">
        <f t="shared" si="0"/>
        <v>130.38772872218397</v>
      </c>
      <c r="I19" s="23">
        <f t="shared" si="1"/>
        <v>40764.817928640216</v>
      </c>
      <c r="J19" s="33">
        <f t="shared" si="2"/>
        <v>0.31309864920075742</v>
      </c>
      <c r="K19" s="33">
        <f t="shared" si="3"/>
        <v>0.31241005727981008</v>
      </c>
      <c r="L19" s="23"/>
    </row>
    <row r="20" spans="1:18" x14ac:dyDescent="0.2">
      <c r="A20" s="32" t="s">
        <v>66</v>
      </c>
      <c r="B20" s="43">
        <f>'External Prices'!Z40</f>
        <v>120644</v>
      </c>
      <c r="C20" s="43">
        <f>'Internal Sales price'!AO218</f>
        <v>120523.11087275625</v>
      </c>
      <c r="D20" s="43">
        <f>SUM('Internal Sales price'!AO202:AO204)/'Cost prices'!$B$3</f>
        <v>80782.522632675595</v>
      </c>
      <c r="E20" s="3">
        <f>'Internal Sales price'!AO221</f>
        <v>33585.729372829177</v>
      </c>
      <c r="F20" s="3">
        <f t="shared" si="0"/>
        <v>120.88912724374677</v>
      </c>
      <c r="I20" s="23">
        <f t="shared" si="1"/>
        <v>33706.618500072924</v>
      </c>
      <c r="J20" s="33">
        <f t="shared" si="2"/>
        <v>0.27938909933418093</v>
      </c>
      <c r="K20" s="33">
        <f t="shared" si="3"/>
        <v>0.27866630001185183</v>
      </c>
      <c r="L20" s="23"/>
    </row>
    <row r="21" spans="1:18" x14ac:dyDescent="0.2">
      <c r="A21" s="335" t="s">
        <v>62</v>
      </c>
      <c r="B21" s="336">
        <f>'External Prices'!AA40</f>
        <v>148861</v>
      </c>
      <c r="C21" s="336">
        <f>'Internal Sales price'!AP218</f>
        <v>148712.05741018374</v>
      </c>
      <c r="D21" s="336">
        <f>SUM('Internal Sales price'!AP202:AP204)/'Cost prices'!$B$3</f>
        <v>97152.774580520083</v>
      </c>
      <c r="E21" s="337">
        <f>'Internal Sales price'!AP221</f>
        <v>44157.166671147868</v>
      </c>
      <c r="F21" s="337">
        <f t="shared" si="0"/>
        <v>148.94258981625899</v>
      </c>
      <c r="I21" s="23">
        <f t="shared" si="1"/>
        <v>44306.109260964127</v>
      </c>
      <c r="J21" s="33">
        <f t="shared" si="2"/>
        <v>0.29763409664696683</v>
      </c>
      <c r="K21" s="33">
        <f t="shared" si="3"/>
        <v>0.29693064194083302</v>
      </c>
      <c r="L21" s="23"/>
    </row>
    <row r="22" spans="1:18" x14ac:dyDescent="0.2">
      <c r="A22" s="32" t="s">
        <v>104</v>
      </c>
      <c r="B22" s="43">
        <f>'External Prices'!AB40</f>
        <v>170773</v>
      </c>
      <c r="C22" s="43">
        <f>'Internal Sales price'!AQ218</f>
        <v>170601.76908078205</v>
      </c>
      <c r="D22" s="43">
        <f>SUM('Internal Sales price'!AQ202:AQ204)/'Cost prices'!$B$3</f>
        <v>113610.28412546782</v>
      </c>
      <c r="E22" s="3">
        <f>'Internal Sales price'!AQ221</f>
        <v>48335.463307659513</v>
      </c>
      <c r="F22" s="3">
        <f t="shared" si="0"/>
        <v>171.23091921795276</v>
      </c>
      <c r="I22" s="23">
        <f t="shared" si="1"/>
        <v>48506.694226877466</v>
      </c>
      <c r="J22" s="33">
        <f t="shared" si="2"/>
        <v>0.28404194004249772</v>
      </c>
      <c r="K22" s="33">
        <f t="shared" si="3"/>
        <v>0.28332334165170392</v>
      </c>
      <c r="L22" s="23"/>
    </row>
    <row r="23" spans="1:18" x14ac:dyDescent="0.2">
      <c r="A23" s="32" t="s">
        <v>205</v>
      </c>
      <c r="B23" s="43">
        <f>'External Prices'!E41</f>
        <v>5606.6659278739398</v>
      </c>
      <c r="C23" s="43">
        <f>'Internal Sales price'!AS218</f>
        <v>5601.0592619460658</v>
      </c>
      <c r="D23" s="43">
        <f>SUM('Internal Sales price'!AS202:AS204)/'Cost prices'!$B$3</f>
        <v>4760.9003726541559</v>
      </c>
      <c r="E23" s="3">
        <f>'Internal Sales price'!AS221</f>
        <v>840.15888929190999</v>
      </c>
      <c r="F23" s="3">
        <f t="shared" si="0"/>
        <v>5.606665927874019</v>
      </c>
      <c r="I23" s="23">
        <f t="shared" si="1"/>
        <v>845.76555521978401</v>
      </c>
      <c r="J23" s="33">
        <f t="shared" si="2"/>
        <v>0.15085000000000004</v>
      </c>
      <c r="K23" s="33">
        <f t="shared" si="3"/>
        <v>0.15000000000000002</v>
      </c>
      <c r="L23" s="23"/>
    </row>
    <row r="24" spans="1:18" x14ac:dyDescent="0.2">
      <c r="A24" s="32" t="s">
        <v>68</v>
      </c>
      <c r="B24" s="43">
        <f>'External Prices'!E42</f>
        <v>5766.1220248793197</v>
      </c>
      <c r="C24" s="43">
        <f>'Internal Sales price'!AT218</f>
        <v>5760.3559028544396</v>
      </c>
      <c r="D24" s="43">
        <f>SUM('Internal Sales price'!AT202:AT204)/'Cost prices'!$B$3</f>
        <v>4896.302517426273</v>
      </c>
      <c r="E24" s="3">
        <f>'Internal Sales price'!AT221</f>
        <v>864.05338542816548</v>
      </c>
      <c r="F24" s="3">
        <f t="shared" si="0"/>
        <v>5.7661220248801328</v>
      </c>
      <c r="I24" s="23">
        <f t="shared" si="1"/>
        <v>869.81950745304562</v>
      </c>
      <c r="J24" s="33">
        <f t="shared" si="2"/>
        <v>0.15085000000000004</v>
      </c>
      <c r="K24" s="33">
        <f t="shared" si="3"/>
        <v>0.14999999999999991</v>
      </c>
      <c r="L24" s="23"/>
    </row>
    <row r="25" spans="1:18" x14ac:dyDescent="0.2">
      <c r="A25" s="32" t="s">
        <v>206</v>
      </c>
      <c r="B25" s="43">
        <f>'External Prices'!E43</f>
        <v>5925.5781218846987</v>
      </c>
      <c r="C25" s="43">
        <f>'Internal Sales price'!AU218</f>
        <v>5919.6525437628134</v>
      </c>
      <c r="D25" s="43">
        <f>SUM('Internal Sales price'!AU202:AU204)/'Cost prices'!$B$3</f>
        <v>5031.7046621983909</v>
      </c>
      <c r="E25" s="3">
        <f>'Internal Sales price'!AU221</f>
        <v>887.94788156442212</v>
      </c>
      <c r="F25" s="3">
        <f t="shared" si="0"/>
        <v>5.9255781218853372</v>
      </c>
      <c r="I25" s="23">
        <f t="shared" si="1"/>
        <v>893.87345968630746</v>
      </c>
      <c r="J25" s="33">
        <f t="shared" si="2"/>
        <v>0.15085000000000012</v>
      </c>
      <c r="K25" s="33">
        <f t="shared" si="3"/>
        <v>0.15000000000000002</v>
      </c>
      <c r="L25" s="23"/>
    </row>
    <row r="26" spans="1:18" x14ac:dyDescent="0.2">
      <c r="A26" s="32" t="s">
        <v>69</v>
      </c>
      <c r="B26" s="43">
        <f>'External Prices'!E44</f>
        <v>6786.5913192801709</v>
      </c>
      <c r="C26" s="43">
        <f>'Internal Sales price'!AV218</f>
        <v>6779.80472796089</v>
      </c>
      <c r="D26" s="43">
        <f>SUM('Internal Sales price'!AV202:AV204)/'Cost prices'!$B$3</f>
        <v>5762.8340187667563</v>
      </c>
      <c r="E26" s="3">
        <f>'Internal Sales price'!AV221</f>
        <v>1016.9707091941333</v>
      </c>
      <c r="F26" s="3">
        <f t="shared" si="0"/>
        <v>6.7865913192808875</v>
      </c>
      <c r="I26" s="23">
        <f t="shared" si="1"/>
        <v>1023.7573005134142</v>
      </c>
      <c r="J26" s="33">
        <f t="shared" si="2"/>
        <v>0.15085000000000007</v>
      </c>
      <c r="K26" s="33">
        <f t="shared" si="3"/>
        <v>0.14999999999999997</v>
      </c>
      <c r="L26" s="23"/>
    </row>
    <row r="27" spans="1:18" x14ac:dyDescent="0.2">
      <c r="A27" s="32" t="s">
        <v>162</v>
      </c>
      <c r="B27" s="43">
        <f>'External Prices'!E45</f>
        <v>5430.3028434521902</v>
      </c>
      <c r="C27" s="43">
        <f>'Internal Sales price'!AW218</f>
        <v>5424.8725406087378</v>
      </c>
      <c r="D27" s="43">
        <f>SUM('Internal Sales price'!AW202:AW204)/'Cost prices'!$B$3</f>
        <v>4611.141659517426</v>
      </c>
      <c r="E27" s="3">
        <f>'Internal Sales price'!AW221</f>
        <v>813.73088109131106</v>
      </c>
      <c r="F27" s="3">
        <f t="shared" si="0"/>
        <v>5.4303028434524094</v>
      </c>
      <c r="I27" s="23">
        <f t="shared" si="1"/>
        <v>819.16118393476347</v>
      </c>
      <c r="J27" s="33">
        <f t="shared" si="2"/>
        <v>0.1508500000000001</v>
      </c>
      <c r="K27" s="33">
        <f t="shared" si="3"/>
        <v>0.15000000000000008</v>
      </c>
      <c r="L27" s="23"/>
    </row>
    <row r="28" spans="1:18" x14ac:dyDescent="0.2">
      <c r="A28" s="32" t="s">
        <v>201</v>
      </c>
      <c r="B28" s="43">
        <f>'External Prices'!E46</f>
        <v>2957.4437676913626</v>
      </c>
      <c r="C28" s="43">
        <f>'Internal Sales price'!AX218</f>
        <v>2954.4863239236711</v>
      </c>
      <c r="D28" s="43">
        <f>SUM('Internal Sales price'!AX202:AX204)/'Cost prices'!$B$3</f>
        <v>2511.3133753351208</v>
      </c>
      <c r="E28" s="3">
        <f>'Internal Sales price'!AX221</f>
        <v>443.17294858855081</v>
      </c>
      <c r="F28" s="3">
        <f t="shared" si="0"/>
        <v>2.9574437676915295</v>
      </c>
      <c r="I28" s="23">
        <f t="shared" si="1"/>
        <v>446.13039235624234</v>
      </c>
      <c r="J28" s="33">
        <f t="shared" si="2"/>
        <v>0.1508500000000001</v>
      </c>
      <c r="K28" s="33">
        <f t="shared" si="3"/>
        <v>0.15000000000000005</v>
      </c>
      <c r="L28" s="23"/>
    </row>
    <row r="29" spans="1:18" x14ac:dyDescent="0.2">
      <c r="A29" s="32" t="s">
        <v>202</v>
      </c>
      <c r="B29" s="43">
        <f>'External Prices'!E47</f>
        <v>3328.1543300120811</v>
      </c>
      <c r="C29" s="43">
        <f>'Internal Sales price'!AY218</f>
        <v>3324.8261756820689</v>
      </c>
      <c r="D29" s="43">
        <f>SUM('Internal Sales price'!AY202:AY204)/'Cost prices'!$B$3</f>
        <v>2826.1022493297587</v>
      </c>
      <c r="E29" s="3">
        <f>'Internal Sales price'!AY221</f>
        <v>498.72392635231034</v>
      </c>
      <c r="F29" s="3">
        <f t="shared" si="0"/>
        <v>3.3281543300122394</v>
      </c>
      <c r="I29" s="23">
        <f t="shared" si="1"/>
        <v>502.05208068232258</v>
      </c>
      <c r="J29" s="33">
        <f t="shared" si="2"/>
        <v>0.15085000000000004</v>
      </c>
      <c r="K29" s="33">
        <f t="shared" si="3"/>
        <v>0.15</v>
      </c>
      <c r="L29" s="23"/>
    </row>
    <row r="30" spans="1:18" x14ac:dyDescent="0.2">
      <c r="A30" s="32" t="s">
        <v>203</v>
      </c>
      <c r="B30" s="43">
        <f>'External Prices'!E48</f>
        <v>3625.767034973785</v>
      </c>
      <c r="C30" s="43">
        <f>'Internal Sales price'!AZ218</f>
        <v>3622.1412679388109</v>
      </c>
      <c r="D30" s="43">
        <f>SUM('Internal Sales price'!AZ202:AZ204)/'Cost prices'!$B$3</f>
        <v>3078.8200777479892</v>
      </c>
      <c r="E30" s="3">
        <f>'Internal Sales price'!AZ221</f>
        <v>543.32119019082177</v>
      </c>
      <c r="F30" s="3">
        <f t="shared" si="0"/>
        <v>3.6257670349741602</v>
      </c>
      <c r="I30" s="23">
        <f t="shared" si="1"/>
        <v>546.94695722579593</v>
      </c>
      <c r="J30" s="33">
        <f t="shared" si="2"/>
        <v>0.15085000000000012</v>
      </c>
      <c r="K30" s="33">
        <f t="shared" si="3"/>
        <v>0.15000000000000005</v>
      </c>
      <c r="L30" s="23"/>
    </row>
    <row r="31" spans="1:18" x14ac:dyDescent="0.2">
      <c r="A31" s="32" t="s">
        <v>204</v>
      </c>
      <c r="B31" s="43">
        <f>'External Prices'!E49</f>
        <v>3923.379739935488</v>
      </c>
      <c r="C31" s="43">
        <f>'Internal Sales price'!BA218</f>
        <v>3919.4563601955524</v>
      </c>
      <c r="D31" s="43">
        <f>SUM('Internal Sales price'!BA202:BA204)/'Cost prices'!$B$3</f>
        <v>3331.5379061662197</v>
      </c>
      <c r="E31" s="3">
        <f>'Internal Sales price'!BA221</f>
        <v>587.91845402933279</v>
      </c>
      <c r="F31" s="3">
        <f t="shared" si="0"/>
        <v>3.9233797399356263</v>
      </c>
      <c r="I31" s="23">
        <f t="shared" si="1"/>
        <v>591.84183376926842</v>
      </c>
      <c r="J31" s="33">
        <f t="shared" si="2"/>
        <v>0.15085000000000001</v>
      </c>
      <c r="K31" s="33">
        <f t="shared" si="3"/>
        <v>0.15</v>
      </c>
      <c r="L31" s="23"/>
    </row>
    <row r="32" spans="1:18" x14ac:dyDescent="0.2">
      <c r="A32" s="32" t="s">
        <v>10</v>
      </c>
      <c r="B32" s="43">
        <f>'External Prices'!G65</f>
        <v>2432.5286197331225</v>
      </c>
      <c r="C32" s="43">
        <f>'Internal Sales price'!BE218</f>
        <v>2430.0960911133893</v>
      </c>
      <c r="D32" s="43">
        <f>SUM('Internal Sales price'!BE202:BE204)/'Cost prices'!$B$3</f>
        <v>2060.0569162198394</v>
      </c>
      <c r="E32" s="3">
        <f>'Internal Sales price'!BE221</f>
        <v>370.03917489354995</v>
      </c>
      <c r="F32" s="3">
        <f t="shared" si="0"/>
        <v>2.4325286197331479</v>
      </c>
      <c r="I32" s="23">
        <f t="shared" si="1"/>
        <v>372.4717035132831</v>
      </c>
      <c r="J32" s="33">
        <f t="shared" si="2"/>
        <v>0.15312120091485201</v>
      </c>
      <c r="K32" s="33">
        <f t="shared" si="3"/>
        <v>0.15227347438924124</v>
      </c>
      <c r="L32" s="23"/>
    </row>
    <row r="33" spans="1:12" x14ac:dyDescent="0.2">
      <c r="A33" s="32" t="s">
        <v>468</v>
      </c>
      <c r="B33" s="43">
        <f>'External Prices'!N65</f>
        <v>1085.7101100469656</v>
      </c>
      <c r="C33" s="43">
        <f>'Internal Sales price'!BF218</f>
        <v>0</v>
      </c>
      <c r="D33" s="43">
        <f>SUM('Internal Sales price'!BF202:BF204)/'Cost prices'!$B$3</f>
        <v>0</v>
      </c>
      <c r="E33" s="3">
        <f>'Internal Sales price'!BF221</f>
        <v>0</v>
      </c>
      <c r="F33" s="3">
        <f t="shared" si="0"/>
        <v>1085.7101100469656</v>
      </c>
      <c r="I33" s="23">
        <f t="shared" si="1"/>
        <v>1085.7101100469656</v>
      </c>
      <c r="J33" s="33">
        <f t="shared" si="2"/>
        <v>1</v>
      </c>
      <c r="K33" s="33" t="e">
        <f t="shared" si="3"/>
        <v>#DIV/0!</v>
      </c>
      <c r="L33" s="23"/>
    </row>
    <row r="34" spans="1:12" x14ac:dyDescent="0.2">
      <c r="A34" s="32" t="s">
        <v>27</v>
      </c>
      <c r="B34" s="43">
        <f>'External Prices'!G64</f>
        <v>904.26450342473061</v>
      </c>
      <c r="C34" s="43">
        <f>'Internal Sales price'!BG218</f>
        <v>903.36023892130584</v>
      </c>
      <c r="D34" s="43">
        <f>SUM('Internal Sales price'!BG202:BG204)/'Cost prices'!$B$3</f>
        <v>767.8562030831099</v>
      </c>
      <c r="E34" s="3">
        <f>'Internal Sales price'!BG221</f>
        <v>135.50403583819596</v>
      </c>
      <c r="F34" s="3">
        <f t="shared" si="0"/>
        <v>0.90426450342476983</v>
      </c>
      <c r="I34" s="23">
        <f t="shared" si="1"/>
        <v>136.40830034162073</v>
      </c>
      <c r="J34" s="33">
        <f t="shared" si="2"/>
        <v>0.15085000000000012</v>
      </c>
      <c r="K34" s="33">
        <f t="shared" si="3"/>
        <v>0.15000000000000011</v>
      </c>
      <c r="L34" s="23"/>
    </row>
    <row r="35" spans="1:12" x14ac:dyDescent="0.2">
      <c r="A35" s="32" t="s">
        <v>117</v>
      </c>
      <c r="B35" s="43">
        <f>'External Prices'!E62</f>
        <v>770.50241930939001</v>
      </c>
      <c r="C35" s="43">
        <f>'Internal Sales price'!BH218</f>
        <v>769.73191689008058</v>
      </c>
      <c r="D35" s="43">
        <f>SUM('Internal Sales price'!BH202:BH204)/'Cost prices'!$B$3</f>
        <v>654.27212935656848</v>
      </c>
      <c r="E35" s="3">
        <f>'Internal Sales price'!BH221</f>
        <v>115.45978753351214</v>
      </c>
      <c r="F35" s="3">
        <f t="shared" si="0"/>
        <v>0.7705024193094232</v>
      </c>
      <c r="I35" s="23">
        <f t="shared" si="1"/>
        <v>116.23028995282156</v>
      </c>
      <c r="J35" s="33">
        <f t="shared" si="2"/>
        <v>0.1508500000000001</v>
      </c>
      <c r="K35" s="33">
        <f t="shared" si="3"/>
        <v>0.15000000000000008</v>
      </c>
      <c r="L35" s="23"/>
    </row>
    <row r="36" spans="1:12" x14ac:dyDescent="0.2">
      <c r="A36" s="32" t="s">
        <v>181</v>
      </c>
      <c r="B36" s="43">
        <f>'External Prices'!E63</f>
        <v>225.33293031242883</v>
      </c>
      <c r="C36" s="43">
        <f>'Internal Sales price'!BI218</f>
        <v>225.10759738211638</v>
      </c>
      <c r="D36" s="43">
        <f>SUM('Internal Sales price'!BI202:BI204)/'Cost prices'!$B$3</f>
        <v>191.34145777479893</v>
      </c>
      <c r="E36" s="3">
        <f>'Internal Sales price'!BI221</f>
        <v>33.766139607317463</v>
      </c>
      <c r="F36" s="3">
        <f t="shared" si="0"/>
        <v>0.22533293031244739</v>
      </c>
      <c r="I36" s="23">
        <f t="shared" si="1"/>
        <v>33.99147253762991</v>
      </c>
      <c r="J36" s="33">
        <f t="shared" si="2"/>
        <v>0.1508500000000001</v>
      </c>
      <c r="K36" s="33">
        <f t="shared" si="3"/>
        <v>0.15000000000000002</v>
      </c>
      <c r="L36" s="23"/>
    </row>
    <row r="37" spans="1:12" x14ac:dyDescent="0.2">
      <c r="A37" s="32" t="s">
        <v>185</v>
      </c>
      <c r="B37" s="43">
        <f>'External Prices'!E60</f>
        <v>709.33688380069088</v>
      </c>
      <c r="C37" s="43">
        <f>'Internal Sales price'!BJ218</f>
        <v>708.62754691689008</v>
      </c>
      <c r="D37" s="43">
        <f>SUM('Internal Sales price'!BJ202:BJ204)/'Cost prices'!$B$3</f>
        <v>602.3334148793565</v>
      </c>
      <c r="E37" s="3">
        <f>'Internal Sales price'!BJ221</f>
        <v>106.29413203753353</v>
      </c>
      <c r="F37" s="3">
        <f t="shared" si="0"/>
        <v>0.70933688380080184</v>
      </c>
      <c r="I37" s="23">
        <f t="shared" si="1"/>
        <v>107.00346892133433</v>
      </c>
      <c r="J37" s="33">
        <f t="shared" si="2"/>
        <v>0.15085000000000015</v>
      </c>
      <c r="K37" s="33">
        <f t="shared" si="3"/>
        <v>0.15000000000000002</v>
      </c>
      <c r="L37" s="23"/>
    </row>
    <row r="38" spans="1:12" x14ac:dyDescent="0.2">
      <c r="A38" s="32" t="s">
        <v>177</v>
      </c>
      <c r="B38" s="43">
        <f>'External Prices'!G72</f>
        <v>5092.2965608724962</v>
      </c>
      <c r="C38" s="43">
        <f>'Internal Sales price'!BK218</f>
        <v>5087.2042643116229</v>
      </c>
      <c r="D38" s="43">
        <f>SUM('Internal Sales price'!BK202:BK204)/'Cost prices'!$B$3</f>
        <v>4324.1236246648796</v>
      </c>
      <c r="E38" s="3">
        <f>'Internal Sales price'!BK221</f>
        <v>763.08063964674363</v>
      </c>
      <c r="F38" s="3">
        <f t="shared" si="0"/>
        <v>5.0922965608733648</v>
      </c>
      <c r="I38" s="23">
        <f t="shared" si="1"/>
        <v>768.172936207617</v>
      </c>
      <c r="J38" s="33">
        <f t="shared" si="2"/>
        <v>0.15085000000000018</v>
      </c>
      <c r="K38" s="33">
        <f t="shared" si="3"/>
        <v>0.15000000000000005</v>
      </c>
      <c r="L38" s="23"/>
    </row>
  </sheetData>
  <mergeCells count="2">
    <mergeCell ref="B3:C3"/>
    <mergeCell ref="E3:I3"/>
  </mergeCells>
  <conditionalFormatting sqref="A1:H2 J1:XFD3 A3:B3 D3 J4:M4 P4:XFD4 A4:H1048576 J5:XFD1048576">
    <cfRule type="cellIs" dxfId="0" priority="3"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3777D-1B2E-4C44-A6FD-971A640F6C83}">
  <sheetPr>
    <tabColor rgb="FFFF0000"/>
  </sheetPr>
  <dimension ref="A5:XFC29"/>
  <sheetViews>
    <sheetView topLeftCell="A10" workbookViewId="0">
      <selection activeCell="B25" sqref="B25"/>
    </sheetView>
  </sheetViews>
  <sheetFormatPr baseColWidth="10" defaultRowHeight="15" x14ac:dyDescent="0.2"/>
  <cols>
    <col min="1" max="1" width="13.83203125" style="7" bestFit="1" customWidth="1"/>
    <col min="2" max="2" width="68.1640625" style="8" bestFit="1" customWidth="1"/>
    <col min="3" max="3" width="10.83203125" style="2"/>
    <col min="4" max="7" width="10.83203125" style="9"/>
    <col min="8" max="16384" width="10.83203125" style="2"/>
  </cols>
  <sheetData>
    <row r="5" spans="1:1023 1025:2047 2049:3071 3073:4095 4097:5119 5121:6143 6145:7167 7169:8191 8193:9215 9217:10239 10241:11263 11265:12287 12289:13311 13313:14335 14337:15359 15361:16383" x14ac:dyDescent="0.2">
      <c r="A5" s="10" t="s">
        <v>251</v>
      </c>
      <c r="B5" s="11"/>
      <c r="C5" s="12"/>
      <c r="D5" s="13" t="s">
        <v>0</v>
      </c>
      <c r="E5" s="13" t="s">
        <v>197</v>
      </c>
      <c r="F5" s="13" t="s">
        <v>1</v>
      </c>
      <c r="G5" s="13" t="s">
        <v>2</v>
      </c>
    </row>
    <row r="6" spans="1:1023 1025:2047 2049:3071 3073:4095 4097:5119 5121:6143 6145:7167 7169:8191 8193:9215 9217:10239 10241:11263 11265:12287 12289:13311 13313:14335 14337:15359 15361:16383" ht="16" x14ac:dyDescent="0.2">
      <c r="A6" s="10" t="s">
        <v>229</v>
      </c>
      <c r="B6" s="11" t="s">
        <v>230</v>
      </c>
      <c r="C6" s="12"/>
      <c r="D6" s="344" t="s">
        <v>252</v>
      </c>
      <c r="E6" s="344"/>
      <c r="F6" s="344"/>
      <c r="G6" s="344"/>
    </row>
    <row r="7" spans="1:1023 1025:2047 2049:3071 3073:4095 4097:5119 5121:6143 6145:7167 7169:8191 8193:9215 9217:10239 10241:11263 11265:12287 12289:13311 13313:14335 14337:15359 15361:16383" ht="16" x14ac:dyDescent="0.2">
      <c r="A7" s="16" t="s">
        <v>233</v>
      </c>
      <c r="B7" s="17" t="s">
        <v>234</v>
      </c>
      <c r="C7" s="18" t="s">
        <v>8</v>
      </c>
      <c r="D7" s="19">
        <v>2</v>
      </c>
      <c r="E7" s="19">
        <v>2</v>
      </c>
      <c r="F7" s="19">
        <v>2</v>
      </c>
      <c r="G7" s="19">
        <v>2</v>
      </c>
    </row>
    <row r="8" spans="1:1023 1025:2047 2049:3071 3073:4095 4097:5119 5121:6143 6145:7167 7169:8191 8193:9215 9217:10239 10241:11263 11265:12287 12289:13311 13313:14335 14337:15359 15361:16383" ht="16" x14ac:dyDescent="0.2">
      <c r="A8" s="16" t="s">
        <v>237</v>
      </c>
      <c r="B8" s="17" t="s">
        <v>238</v>
      </c>
      <c r="C8" s="18" t="s">
        <v>8</v>
      </c>
      <c r="D8" s="19">
        <v>4</v>
      </c>
      <c r="E8" s="19">
        <v>4</v>
      </c>
      <c r="F8" s="19">
        <v>7</v>
      </c>
      <c r="G8" s="19">
        <v>7</v>
      </c>
    </row>
    <row r="9" spans="1:1023 1025:2047 2049:3071 3073:4095 4097:5119 5121:6143 6145:7167 7169:8191 8193:9215 9217:10239 10241:11263 11265:12287 12289:13311 13313:14335 14337:15359 15361:16383" ht="16" x14ac:dyDescent="0.2">
      <c r="A9" s="16" t="s">
        <v>192</v>
      </c>
      <c r="B9" s="17" t="s">
        <v>193</v>
      </c>
      <c r="C9" s="20" t="s">
        <v>8</v>
      </c>
      <c r="D9" s="19">
        <v>0</v>
      </c>
      <c r="E9" s="19">
        <v>1</v>
      </c>
      <c r="F9" s="19">
        <v>1</v>
      </c>
      <c r="G9" s="19">
        <v>1</v>
      </c>
      <c r="I9" s="1"/>
      <c r="K9" s="1"/>
      <c r="M9" s="1"/>
      <c r="O9" s="1"/>
      <c r="Q9" s="1"/>
      <c r="S9" s="1"/>
      <c r="U9" s="1"/>
      <c r="W9" s="1"/>
      <c r="Y9" s="1"/>
      <c r="AA9" s="1"/>
      <c r="AC9" s="1"/>
      <c r="AE9" s="1"/>
      <c r="AG9" s="1"/>
      <c r="AI9" s="1"/>
      <c r="AK9" s="1"/>
      <c r="AM9" s="1"/>
      <c r="AO9" s="1"/>
      <c r="AQ9" s="1"/>
      <c r="AS9" s="1"/>
      <c r="AU9" s="1"/>
      <c r="AW9" s="1"/>
      <c r="AY9" s="1"/>
      <c r="BA9" s="1"/>
      <c r="BC9" s="1"/>
      <c r="BE9" s="1"/>
      <c r="BG9" s="1"/>
      <c r="BI9" s="1"/>
      <c r="BK9" s="1"/>
      <c r="BM9" s="1"/>
      <c r="BO9" s="1"/>
      <c r="BQ9" s="1"/>
      <c r="BS9" s="1"/>
      <c r="BU9" s="1"/>
      <c r="BW9" s="1"/>
      <c r="BY9" s="1"/>
      <c r="CA9" s="1"/>
      <c r="CC9" s="1"/>
      <c r="CE9" s="1"/>
      <c r="CG9" s="1"/>
      <c r="CI9" s="1"/>
      <c r="CK9" s="1"/>
      <c r="CM9" s="1"/>
      <c r="CO9" s="1"/>
      <c r="CQ9" s="1"/>
      <c r="CS9" s="1"/>
      <c r="CU9" s="1"/>
      <c r="CW9" s="1"/>
      <c r="CY9" s="1"/>
      <c r="DA9" s="1"/>
      <c r="DC9" s="1"/>
      <c r="DE9" s="1"/>
      <c r="DG9" s="1"/>
      <c r="DI9" s="1"/>
      <c r="DK9" s="1"/>
      <c r="DM9" s="1"/>
      <c r="DO9" s="1"/>
      <c r="DQ9" s="1"/>
      <c r="DS9" s="1"/>
      <c r="DU9" s="1"/>
      <c r="DW9" s="1"/>
      <c r="DY9" s="1"/>
      <c r="EA9" s="1"/>
      <c r="EC9" s="1"/>
      <c r="EE9" s="1"/>
      <c r="EG9" s="1"/>
      <c r="EI9" s="1"/>
      <c r="EK9" s="1"/>
      <c r="EM9" s="1"/>
      <c r="EO9" s="1"/>
      <c r="EQ9" s="1"/>
      <c r="ES9" s="1"/>
      <c r="EU9" s="1"/>
      <c r="EW9" s="1"/>
      <c r="EY9" s="1"/>
      <c r="FA9" s="1"/>
      <c r="FC9" s="1"/>
      <c r="FE9" s="1"/>
      <c r="FG9" s="1"/>
      <c r="FI9" s="1"/>
      <c r="FK9" s="1"/>
      <c r="FM9" s="1"/>
      <c r="FO9" s="1"/>
      <c r="FQ9" s="1"/>
      <c r="FS9" s="1"/>
      <c r="FU9" s="1"/>
      <c r="FW9" s="1"/>
      <c r="FY9" s="1"/>
      <c r="GA9" s="1"/>
      <c r="GC9" s="1"/>
      <c r="GE9" s="1"/>
      <c r="GG9" s="1"/>
      <c r="GI9" s="1"/>
      <c r="GK9" s="1"/>
      <c r="GM9" s="1"/>
      <c r="GO9" s="1"/>
      <c r="GQ9" s="1"/>
      <c r="GS9" s="1"/>
      <c r="GU9" s="1"/>
      <c r="GW9" s="1"/>
      <c r="GY9" s="1"/>
      <c r="HA9" s="1"/>
      <c r="HC9" s="1"/>
      <c r="HE9" s="1"/>
      <c r="HG9" s="1"/>
      <c r="HI9" s="1"/>
      <c r="HK9" s="1"/>
      <c r="HM9" s="1"/>
      <c r="HO9" s="1"/>
      <c r="HQ9" s="1"/>
      <c r="HS9" s="1"/>
      <c r="HU9" s="1"/>
      <c r="HW9" s="1"/>
      <c r="HY9" s="1"/>
      <c r="IA9" s="1"/>
      <c r="IC9" s="1"/>
      <c r="IE9" s="1"/>
      <c r="IG9" s="1"/>
      <c r="II9" s="1"/>
      <c r="IK9" s="1"/>
      <c r="IM9" s="1"/>
      <c r="IO9" s="1"/>
      <c r="IQ9" s="1"/>
      <c r="IS9" s="1"/>
      <c r="IU9" s="1"/>
      <c r="IW9" s="1"/>
      <c r="IY9" s="1"/>
      <c r="JA9" s="1"/>
      <c r="JC9" s="1"/>
      <c r="JE9" s="1"/>
      <c r="JG9" s="1"/>
      <c r="JI9" s="1"/>
      <c r="JK9" s="1"/>
      <c r="JM9" s="1"/>
      <c r="JO9" s="1"/>
      <c r="JQ9" s="1"/>
      <c r="JS9" s="1"/>
      <c r="JU9" s="1"/>
      <c r="JW9" s="1"/>
      <c r="JY9" s="1"/>
      <c r="KA9" s="1"/>
      <c r="KC9" s="1"/>
      <c r="KE9" s="1"/>
      <c r="KG9" s="1"/>
      <c r="KI9" s="1"/>
      <c r="KK9" s="1"/>
      <c r="KM9" s="1"/>
      <c r="KO9" s="1"/>
      <c r="KQ9" s="1"/>
      <c r="KS9" s="1"/>
      <c r="KU9" s="1"/>
      <c r="KW9" s="1"/>
      <c r="KY9" s="1"/>
      <c r="LA9" s="1"/>
      <c r="LC9" s="1"/>
      <c r="LE9" s="1"/>
      <c r="LG9" s="1"/>
      <c r="LI9" s="1"/>
      <c r="LK9" s="1"/>
      <c r="LM9" s="1"/>
      <c r="LO9" s="1"/>
      <c r="LQ9" s="1"/>
      <c r="LS9" s="1"/>
      <c r="LU9" s="1"/>
      <c r="LW9" s="1"/>
      <c r="LY9" s="1"/>
      <c r="MA9" s="1"/>
      <c r="MC9" s="1"/>
      <c r="ME9" s="1"/>
      <c r="MG9" s="1"/>
      <c r="MI9" s="1"/>
      <c r="MK9" s="1"/>
      <c r="MM9" s="1"/>
      <c r="MO9" s="1"/>
      <c r="MQ9" s="1"/>
      <c r="MS9" s="1"/>
      <c r="MU9" s="1"/>
      <c r="MW9" s="1"/>
      <c r="MY9" s="1"/>
      <c r="NA9" s="1"/>
      <c r="NC9" s="1"/>
      <c r="NE9" s="1"/>
      <c r="NG9" s="1"/>
      <c r="NI9" s="1"/>
      <c r="NK9" s="1"/>
      <c r="NM9" s="1"/>
      <c r="NO9" s="1"/>
      <c r="NQ9" s="1"/>
      <c r="NS9" s="1"/>
      <c r="NU9" s="1"/>
      <c r="NW9" s="1"/>
      <c r="NY9" s="1"/>
      <c r="OA9" s="1"/>
      <c r="OC9" s="1"/>
      <c r="OE9" s="1"/>
      <c r="OG9" s="1"/>
      <c r="OI9" s="1"/>
      <c r="OK9" s="1"/>
      <c r="OM9" s="1"/>
      <c r="OO9" s="1"/>
      <c r="OQ9" s="1"/>
      <c r="OS9" s="1"/>
      <c r="OU9" s="1"/>
      <c r="OW9" s="1"/>
      <c r="OY9" s="1"/>
      <c r="PA9" s="1"/>
      <c r="PC9" s="1"/>
      <c r="PE9" s="1"/>
      <c r="PG9" s="1"/>
      <c r="PI9" s="1"/>
      <c r="PK9" s="1"/>
      <c r="PM9" s="1"/>
      <c r="PO9" s="1"/>
      <c r="PQ9" s="1"/>
      <c r="PS9" s="1"/>
      <c r="PU9" s="1"/>
      <c r="PW9" s="1"/>
      <c r="PY9" s="1"/>
      <c r="QA9" s="1"/>
      <c r="QC9" s="1"/>
      <c r="QE9" s="1"/>
      <c r="QG9" s="1"/>
      <c r="QI9" s="1"/>
      <c r="QK9" s="1"/>
      <c r="QM9" s="1"/>
      <c r="QO9" s="1"/>
      <c r="QQ9" s="1"/>
      <c r="QS9" s="1"/>
      <c r="QU9" s="1"/>
      <c r="QW9" s="1"/>
      <c r="QY9" s="1"/>
      <c r="RA9" s="1"/>
      <c r="RC9" s="1"/>
      <c r="RE9" s="1"/>
      <c r="RG9" s="1"/>
      <c r="RI9" s="1"/>
      <c r="RK9" s="1"/>
      <c r="RM9" s="1"/>
      <c r="RO9" s="1"/>
      <c r="RQ9" s="1"/>
      <c r="RS9" s="1"/>
      <c r="RU9" s="1"/>
      <c r="RW9" s="1"/>
      <c r="RY9" s="1"/>
      <c r="SA9" s="1"/>
      <c r="SC9" s="1"/>
      <c r="SE9" s="1"/>
      <c r="SG9" s="1"/>
      <c r="SI9" s="1"/>
      <c r="SK9" s="1"/>
      <c r="SM9" s="1"/>
      <c r="SO9" s="1"/>
      <c r="SQ9" s="1"/>
      <c r="SS9" s="1"/>
      <c r="SU9" s="1"/>
      <c r="SW9" s="1"/>
      <c r="SY9" s="1"/>
      <c r="TA9" s="1"/>
      <c r="TC9" s="1"/>
      <c r="TE9" s="1"/>
      <c r="TG9" s="1"/>
      <c r="TI9" s="1"/>
      <c r="TK9" s="1"/>
      <c r="TM9" s="1"/>
      <c r="TO9" s="1"/>
      <c r="TQ9" s="1"/>
      <c r="TS9" s="1"/>
      <c r="TU9" s="1"/>
      <c r="TW9" s="1"/>
      <c r="TY9" s="1"/>
      <c r="UA9" s="1"/>
      <c r="UC9" s="1"/>
      <c r="UE9" s="1"/>
      <c r="UG9" s="1"/>
      <c r="UI9" s="1"/>
      <c r="UK9" s="1"/>
      <c r="UM9" s="1"/>
      <c r="UO9" s="1"/>
      <c r="UQ9" s="1"/>
      <c r="US9" s="1"/>
      <c r="UU9" s="1"/>
      <c r="UW9" s="1"/>
      <c r="UY9" s="1"/>
      <c r="VA9" s="1"/>
      <c r="VC9" s="1"/>
      <c r="VE9" s="1"/>
      <c r="VG9" s="1"/>
      <c r="VI9" s="1"/>
      <c r="VK9" s="1"/>
      <c r="VM9" s="1"/>
      <c r="VO9" s="1"/>
      <c r="VQ9" s="1"/>
      <c r="VS9" s="1"/>
      <c r="VU9" s="1"/>
      <c r="VW9" s="1"/>
      <c r="VY9" s="1"/>
      <c r="WA9" s="1"/>
      <c r="WC9" s="1"/>
      <c r="WE9" s="1"/>
      <c r="WG9" s="1"/>
      <c r="WI9" s="1"/>
      <c r="WK9" s="1"/>
      <c r="WM9" s="1"/>
      <c r="WO9" s="1"/>
      <c r="WQ9" s="1"/>
      <c r="WS9" s="1"/>
      <c r="WU9" s="1"/>
      <c r="WW9" s="1"/>
      <c r="WY9" s="1"/>
      <c r="XA9" s="1"/>
      <c r="XC9" s="1"/>
      <c r="XE9" s="1"/>
      <c r="XG9" s="1"/>
      <c r="XI9" s="1"/>
      <c r="XK9" s="1"/>
      <c r="XM9" s="1"/>
      <c r="XO9" s="1"/>
      <c r="XQ9" s="1"/>
      <c r="XS9" s="1"/>
      <c r="XU9" s="1"/>
      <c r="XW9" s="1"/>
      <c r="XY9" s="1"/>
      <c r="YA9" s="1"/>
      <c r="YC9" s="1"/>
      <c r="YE9" s="1"/>
      <c r="YG9" s="1"/>
      <c r="YI9" s="1"/>
      <c r="YK9" s="1"/>
      <c r="YM9" s="1"/>
      <c r="YO9" s="1"/>
      <c r="YQ9" s="1"/>
      <c r="YS9" s="1"/>
      <c r="YU9" s="1"/>
      <c r="YW9" s="1"/>
      <c r="YY9" s="1"/>
      <c r="ZA9" s="1"/>
      <c r="ZC9" s="1"/>
      <c r="ZE9" s="1"/>
      <c r="ZG9" s="1"/>
      <c r="ZI9" s="1"/>
      <c r="ZK9" s="1"/>
      <c r="ZM9" s="1"/>
      <c r="ZO9" s="1"/>
      <c r="ZQ9" s="1"/>
      <c r="ZS9" s="1"/>
      <c r="ZU9" s="1"/>
      <c r="ZW9" s="1"/>
      <c r="ZY9" s="1"/>
      <c r="AAA9" s="1"/>
      <c r="AAC9" s="1"/>
      <c r="AAE9" s="1"/>
      <c r="AAG9" s="1"/>
      <c r="AAI9" s="1"/>
      <c r="AAK9" s="1"/>
      <c r="AAM9" s="1"/>
      <c r="AAO9" s="1"/>
      <c r="AAQ9" s="1"/>
      <c r="AAS9" s="1"/>
      <c r="AAU9" s="1"/>
      <c r="AAW9" s="1"/>
      <c r="AAY9" s="1"/>
      <c r="ABA9" s="1"/>
      <c r="ABC9" s="1"/>
      <c r="ABE9" s="1"/>
      <c r="ABG9" s="1"/>
      <c r="ABI9" s="1"/>
      <c r="ABK9" s="1"/>
      <c r="ABM9" s="1"/>
      <c r="ABO9" s="1"/>
      <c r="ABQ9" s="1"/>
      <c r="ABS9" s="1"/>
      <c r="ABU9" s="1"/>
      <c r="ABW9" s="1"/>
      <c r="ABY9" s="1"/>
      <c r="ACA9" s="1"/>
      <c r="ACC9" s="1"/>
      <c r="ACE9" s="1"/>
      <c r="ACG9" s="1"/>
      <c r="ACI9" s="1"/>
      <c r="ACK9" s="1"/>
      <c r="ACM9" s="1"/>
      <c r="ACO9" s="1"/>
      <c r="ACQ9" s="1"/>
      <c r="ACS9" s="1"/>
      <c r="ACU9" s="1"/>
      <c r="ACW9" s="1"/>
      <c r="ACY9" s="1"/>
      <c r="ADA9" s="1"/>
      <c r="ADC9" s="1"/>
      <c r="ADE9" s="1"/>
      <c r="ADG9" s="1"/>
      <c r="ADI9" s="1"/>
      <c r="ADK9" s="1"/>
      <c r="ADM9" s="1"/>
      <c r="ADO9" s="1"/>
      <c r="ADQ9" s="1"/>
      <c r="ADS9" s="1"/>
      <c r="ADU9" s="1"/>
      <c r="ADW9" s="1"/>
      <c r="ADY9" s="1"/>
      <c r="AEA9" s="1"/>
      <c r="AEC9" s="1"/>
      <c r="AEE9" s="1"/>
      <c r="AEG9" s="1"/>
      <c r="AEI9" s="1"/>
      <c r="AEK9" s="1"/>
      <c r="AEM9" s="1"/>
      <c r="AEO9" s="1"/>
      <c r="AEQ9" s="1"/>
      <c r="AES9" s="1"/>
      <c r="AEU9" s="1"/>
      <c r="AEW9" s="1"/>
      <c r="AEY9" s="1"/>
      <c r="AFA9" s="1"/>
      <c r="AFC9" s="1"/>
      <c r="AFE9" s="1"/>
      <c r="AFG9" s="1"/>
      <c r="AFI9" s="1"/>
      <c r="AFK9" s="1"/>
      <c r="AFM9" s="1"/>
      <c r="AFO9" s="1"/>
      <c r="AFQ9" s="1"/>
      <c r="AFS9" s="1"/>
      <c r="AFU9" s="1"/>
      <c r="AFW9" s="1"/>
      <c r="AFY9" s="1"/>
      <c r="AGA9" s="1"/>
      <c r="AGC9" s="1"/>
      <c r="AGE9" s="1"/>
      <c r="AGG9" s="1"/>
      <c r="AGI9" s="1"/>
      <c r="AGK9" s="1"/>
      <c r="AGM9" s="1"/>
      <c r="AGO9" s="1"/>
      <c r="AGQ9" s="1"/>
      <c r="AGS9" s="1"/>
      <c r="AGU9" s="1"/>
      <c r="AGW9" s="1"/>
      <c r="AGY9" s="1"/>
      <c r="AHA9" s="1"/>
      <c r="AHC9" s="1"/>
      <c r="AHE9" s="1"/>
      <c r="AHG9" s="1"/>
      <c r="AHI9" s="1"/>
      <c r="AHK9" s="1"/>
      <c r="AHM9" s="1"/>
      <c r="AHO9" s="1"/>
      <c r="AHQ9" s="1"/>
      <c r="AHS9" s="1"/>
      <c r="AHU9" s="1"/>
      <c r="AHW9" s="1"/>
      <c r="AHY9" s="1"/>
      <c r="AIA9" s="1"/>
      <c r="AIC9" s="1"/>
      <c r="AIE9" s="1"/>
      <c r="AIG9" s="1"/>
      <c r="AII9" s="1"/>
      <c r="AIK9" s="1"/>
      <c r="AIM9" s="1"/>
      <c r="AIO9" s="1"/>
      <c r="AIQ9" s="1"/>
      <c r="AIS9" s="1"/>
      <c r="AIU9" s="1"/>
      <c r="AIW9" s="1"/>
      <c r="AIY9" s="1"/>
      <c r="AJA9" s="1"/>
      <c r="AJC9" s="1"/>
      <c r="AJE9" s="1"/>
      <c r="AJG9" s="1"/>
      <c r="AJI9" s="1"/>
      <c r="AJK9" s="1"/>
      <c r="AJM9" s="1"/>
      <c r="AJO9" s="1"/>
      <c r="AJQ9" s="1"/>
      <c r="AJS9" s="1"/>
      <c r="AJU9" s="1"/>
      <c r="AJW9" s="1"/>
      <c r="AJY9" s="1"/>
      <c r="AKA9" s="1"/>
      <c r="AKC9" s="1"/>
      <c r="AKE9" s="1"/>
      <c r="AKG9" s="1"/>
      <c r="AKI9" s="1"/>
      <c r="AKK9" s="1"/>
      <c r="AKM9" s="1"/>
      <c r="AKO9" s="1"/>
      <c r="AKQ9" s="1"/>
      <c r="AKS9" s="1"/>
      <c r="AKU9" s="1"/>
      <c r="AKW9" s="1"/>
      <c r="AKY9" s="1"/>
      <c r="ALA9" s="1"/>
      <c r="ALC9" s="1"/>
      <c r="ALE9" s="1"/>
      <c r="ALG9" s="1"/>
      <c r="ALI9" s="1"/>
      <c r="ALK9" s="1"/>
      <c r="ALM9" s="1"/>
      <c r="ALO9" s="1"/>
      <c r="ALQ9" s="1"/>
      <c r="ALS9" s="1"/>
      <c r="ALU9" s="1"/>
      <c r="ALW9" s="1"/>
      <c r="ALY9" s="1"/>
      <c r="AMA9" s="1"/>
      <c r="AMC9" s="1"/>
      <c r="AME9" s="1"/>
      <c r="AMG9" s="1"/>
      <c r="AMI9" s="1"/>
      <c r="AMK9" s="1"/>
      <c r="AMM9" s="1"/>
      <c r="AMO9" s="1"/>
      <c r="AMQ9" s="1"/>
      <c r="AMS9" s="1"/>
      <c r="AMU9" s="1"/>
      <c r="AMW9" s="1"/>
      <c r="AMY9" s="1"/>
      <c r="ANA9" s="1"/>
      <c r="ANC9" s="1"/>
      <c r="ANE9" s="1"/>
      <c r="ANG9" s="1"/>
      <c r="ANI9" s="1"/>
      <c r="ANK9" s="1"/>
      <c r="ANM9" s="1"/>
      <c r="ANO9" s="1"/>
      <c r="ANQ9" s="1"/>
      <c r="ANS9" s="1"/>
      <c r="ANU9" s="1"/>
      <c r="ANW9" s="1"/>
      <c r="ANY9" s="1"/>
      <c r="AOA9" s="1"/>
      <c r="AOC9" s="1"/>
      <c r="AOE9" s="1"/>
      <c r="AOG9" s="1"/>
      <c r="AOI9" s="1"/>
      <c r="AOK9" s="1"/>
      <c r="AOM9" s="1"/>
      <c r="AOO9" s="1"/>
      <c r="AOQ9" s="1"/>
      <c r="AOS9" s="1"/>
      <c r="AOU9" s="1"/>
      <c r="AOW9" s="1"/>
      <c r="AOY9" s="1"/>
      <c r="APA9" s="1"/>
      <c r="APC9" s="1"/>
      <c r="APE9" s="1"/>
      <c r="APG9" s="1"/>
      <c r="API9" s="1"/>
      <c r="APK9" s="1"/>
      <c r="APM9" s="1"/>
      <c r="APO9" s="1"/>
      <c r="APQ9" s="1"/>
      <c r="APS9" s="1"/>
      <c r="APU9" s="1"/>
      <c r="APW9" s="1"/>
      <c r="APY9" s="1"/>
      <c r="AQA9" s="1"/>
      <c r="AQC9" s="1"/>
      <c r="AQE9" s="1"/>
      <c r="AQG9" s="1"/>
      <c r="AQI9" s="1"/>
      <c r="AQK9" s="1"/>
      <c r="AQM9" s="1"/>
      <c r="AQO9" s="1"/>
      <c r="AQQ9" s="1"/>
      <c r="AQS9" s="1"/>
      <c r="AQU9" s="1"/>
      <c r="AQW9" s="1"/>
      <c r="AQY9" s="1"/>
      <c r="ARA9" s="1"/>
      <c r="ARC9" s="1"/>
      <c r="ARE9" s="1"/>
      <c r="ARG9" s="1"/>
      <c r="ARI9" s="1"/>
      <c r="ARK9" s="1"/>
      <c r="ARM9" s="1"/>
      <c r="ARO9" s="1"/>
      <c r="ARQ9" s="1"/>
      <c r="ARS9" s="1"/>
      <c r="ARU9" s="1"/>
      <c r="ARW9" s="1"/>
      <c r="ARY9" s="1"/>
      <c r="ASA9" s="1"/>
      <c r="ASC9" s="1"/>
      <c r="ASE9" s="1"/>
      <c r="ASG9" s="1"/>
      <c r="ASI9" s="1"/>
      <c r="ASK9" s="1"/>
      <c r="ASM9" s="1"/>
      <c r="ASO9" s="1"/>
      <c r="ASQ9" s="1"/>
      <c r="ASS9" s="1"/>
      <c r="ASU9" s="1"/>
      <c r="ASW9" s="1"/>
      <c r="ASY9" s="1"/>
      <c r="ATA9" s="1"/>
      <c r="ATC9" s="1"/>
      <c r="ATE9" s="1"/>
      <c r="ATG9" s="1"/>
      <c r="ATI9" s="1"/>
      <c r="ATK9" s="1"/>
      <c r="ATM9" s="1"/>
      <c r="ATO9" s="1"/>
      <c r="ATQ9" s="1"/>
      <c r="ATS9" s="1"/>
      <c r="ATU9" s="1"/>
      <c r="ATW9" s="1"/>
      <c r="ATY9" s="1"/>
      <c r="AUA9" s="1"/>
      <c r="AUC9" s="1"/>
      <c r="AUE9" s="1"/>
      <c r="AUG9" s="1"/>
      <c r="AUI9" s="1"/>
      <c r="AUK9" s="1"/>
      <c r="AUM9" s="1"/>
      <c r="AUO9" s="1"/>
      <c r="AUQ9" s="1"/>
      <c r="AUS9" s="1"/>
      <c r="AUU9" s="1"/>
      <c r="AUW9" s="1"/>
      <c r="AUY9" s="1"/>
      <c r="AVA9" s="1"/>
      <c r="AVC9" s="1"/>
      <c r="AVE9" s="1"/>
      <c r="AVG9" s="1"/>
      <c r="AVI9" s="1"/>
      <c r="AVK9" s="1"/>
      <c r="AVM9" s="1"/>
      <c r="AVO9" s="1"/>
      <c r="AVQ9" s="1"/>
      <c r="AVS9" s="1"/>
      <c r="AVU9" s="1"/>
      <c r="AVW9" s="1"/>
      <c r="AVY9" s="1"/>
      <c r="AWA9" s="1"/>
      <c r="AWC9" s="1"/>
      <c r="AWE9" s="1"/>
      <c r="AWG9" s="1"/>
      <c r="AWI9" s="1"/>
      <c r="AWK9" s="1"/>
      <c r="AWM9" s="1"/>
      <c r="AWO9" s="1"/>
      <c r="AWQ9" s="1"/>
      <c r="AWS9" s="1"/>
      <c r="AWU9" s="1"/>
      <c r="AWW9" s="1"/>
      <c r="AWY9" s="1"/>
      <c r="AXA9" s="1"/>
      <c r="AXC9" s="1"/>
      <c r="AXE9" s="1"/>
      <c r="AXG9" s="1"/>
      <c r="AXI9" s="1"/>
      <c r="AXK9" s="1"/>
      <c r="AXM9" s="1"/>
      <c r="AXO9" s="1"/>
      <c r="AXQ9" s="1"/>
      <c r="AXS9" s="1"/>
      <c r="AXU9" s="1"/>
      <c r="AXW9" s="1"/>
      <c r="AXY9" s="1"/>
      <c r="AYA9" s="1"/>
      <c r="AYC9" s="1"/>
      <c r="AYE9" s="1"/>
      <c r="AYG9" s="1"/>
      <c r="AYI9" s="1"/>
      <c r="AYK9" s="1"/>
      <c r="AYM9" s="1"/>
      <c r="AYO9" s="1"/>
      <c r="AYQ9" s="1"/>
      <c r="AYS9" s="1"/>
      <c r="AYU9" s="1"/>
      <c r="AYW9" s="1"/>
      <c r="AYY9" s="1"/>
      <c r="AZA9" s="1"/>
      <c r="AZC9" s="1"/>
      <c r="AZE9" s="1"/>
      <c r="AZG9" s="1"/>
      <c r="AZI9" s="1"/>
      <c r="AZK9" s="1"/>
      <c r="AZM9" s="1"/>
      <c r="AZO9" s="1"/>
      <c r="AZQ9" s="1"/>
      <c r="AZS9" s="1"/>
      <c r="AZU9" s="1"/>
      <c r="AZW9" s="1"/>
      <c r="AZY9" s="1"/>
      <c r="BAA9" s="1"/>
      <c r="BAC9" s="1"/>
      <c r="BAE9" s="1"/>
      <c r="BAG9" s="1"/>
      <c r="BAI9" s="1"/>
      <c r="BAK9" s="1"/>
      <c r="BAM9" s="1"/>
      <c r="BAO9" s="1"/>
      <c r="BAQ9" s="1"/>
      <c r="BAS9" s="1"/>
      <c r="BAU9" s="1"/>
      <c r="BAW9" s="1"/>
      <c r="BAY9" s="1"/>
      <c r="BBA9" s="1"/>
      <c r="BBC9" s="1"/>
      <c r="BBE9" s="1"/>
      <c r="BBG9" s="1"/>
      <c r="BBI9" s="1"/>
      <c r="BBK9" s="1"/>
      <c r="BBM9" s="1"/>
      <c r="BBO9" s="1"/>
      <c r="BBQ9" s="1"/>
      <c r="BBS9" s="1"/>
      <c r="BBU9" s="1"/>
      <c r="BBW9" s="1"/>
      <c r="BBY9" s="1"/>
      <c r="BCA9" s="1"/>
      <c r="BCC9" s="1"/>
      <c r="BCE9" s="1"/>
      <c r="BCG9" s="1"/>
      <c r="BCI9" s="1"/>
      <c r="BCK9" s="1"/>
      <c r="BCM9" s="1"/>
      <c r="BCO9" s="1"/>
      <c r="BCQ9" s="1"/>
      <c r="BCS9" s="1"/>
      <c r="BCU9" s="1"/>
      <c r="BCW9" s="1"/>
      <c r="BCY9" s="1"/>
      <c r="BDA9" s="1"/>
      <c r="BDC9" s="1"/>
      <c r="BDE9" s="1"/>
      <c r="BDG9" s="1"/>
      <c r="BDI9" s="1"/>
      <c r="BDK9" s="1"/>
      <c r="BDM9" s="1"/>
      <c r="BDO9" s="1"/>
      <c r="BDQ9" s="1"/>
      <c r="BDS9" s="1"/>
      <c r="BDU9" s="1"/>
      <c r="BDW9" s="1"/>
      <c r="BDY9" s="1"/>
      <c r="BEA9" s="1"/>
      <c r="BEC9" s="1"/>
      <c r="BEE9" s="1"/>
      <c r="BEG9" s="1"/>
      <c r="BEI9" s="1"/>
      <c r="BEK9" s="1"/>
      <c r="BEM9" s="1"/>
      <c r="BEO9" s="1"/>
      <c r="BEQ9" s="1"/>
      <c r="BES9" s="1"/>
      <c r="BEU9" s="1"/>
      <c r="BEW9" s="1"/>
      <c r="BEY9" s="1"/>
      <c r="BFA9" s="1"/>
      <c r="BFC9" s="1"/>
      <c r="BFE9" s="1"/>
      <c r="BFG9" s="1"/>
      <c r="BFI9" s="1"/>
      <c r="BFK9" s="1"/>
      <c r="BFM9" s="1"/>
      <c r="BFO9" s="1"/>
      <c r="BFQ9" s="1"/>
      <c r="BFS9" s="1"/>
      <c r="BFU9" s="1"/>
      <c r="BFW9" s="1"/>
      <c r="BFY9" s="1"/>
      <c r="BGA9" s="1"/>
      <c r="BGC9" s="1"/>
      <c r="BGE9" s="1"/>
      <c r="BGG9" s="1"/>
      <c r="BGI9" s="1"/>
      <c r="BGK9" s="1"/>
      <c r="BGM9" s="1"/>
      <c r="BGO9" s="1"/>
      <c r="BGQ9" s="1"/>
      <c r="BGS9" s="1"/>
      <c r="BGU9" s="1"/>
      <c r="BGW9" s="1"/>
      <c r="BGY9" s="1"/>
      <c r="BHA9" s="1"/>
      <c r="BHC9" s="1"/>
      <c r="BHE9" s="1"/>
      <c r="BHG9" s="1"/>
      <c r="BHI9" s="1"/>
      <c r="BHK9" s="1"/>
      <c r="BHM9" s="1"/>
      <c r="BHO9" s="1"/>
      <c r="BHQ9" s="1"/>
      <c r="BHS9" s="1"/>
      <c r="BHU9" s="1"/>
      <c r="BHW9" s="1"/>
      <c r="BHY9" s="1"/>
      <c r="BIA9" s="1"/>
      <c r="BIC9" s="1"/>
      <c r="BIE9" s="1"/>
      <c r="BIG9" s="1"/>
      <c r="BII9" s="1"/>
      <c r="BIK9" s="1"/>
      <c r="BIM9" s="1"/>
      <c r="BIO9" s="1"/>
      <c r="BIQ9" s="1"/>
      <c r="BIS9" s="1"/>
      <c r="BIU9" s="1"/>
      <c r="BIW9" s="1"/>
      <c r="BIY9" s="1"/>
      <c r="BJA9" s="1"/>
      <c r="BJC9" s="1"/>
      <c r="BJE9" s="1"/>
      <c r="BJG9" s="1"/>
      <c r="BJI9" s="1"/>
      <c r="BJK9" s="1"/>
      <c r="BJM9" s="1"/>
      <c r="BJO9" s="1"/>
      <c r="BJQ9" s="1"/>
      <c r="BJS9" s="1"/>
      <c r="BJU9" s="1"/>
      <c r="BJW9" s="1"/>
      <c r="BJY9" s="1"/>
      <c r="BKA9" s="1"/>
      <c r="BKC9" s="1"/>
      <c r="BKE9" s="1"/>
      <c r="BKG9" s="1"/>
      <c r="BKI9" s="1"/>
      <c r="BKK9" s="1"/>
      <c r="BKM9" s="1"/>
      <c r="BKO9" s="1"/>
      <c r="BKQ9" s="1"/>
      <c r="BKS9" s="1"/>
      <c r="BKU9" s="1"/>
      <c r="BKW9" s="1"/>
      <c r="BKY9" s="1"/>
      <c r="BLA9" s="1"/>
      <c r="BLC9" s="1"/>
      <c r="BLE9" s="1"/>
      <c r="BLG9" s="1"/>
      <c r="BLI9" s="1"/>
      <c r="BLK9" s="1"/>
      <c r="BLM9" s="1"/>
      <c r="BLO9" s="1"/>
      <c r="BLQ9" s="1"/>
      <c r="BLS9" s="1"/>
      <c r="BLU9" s="1"/>
      <c r="BLW9" s="1"/>
      <c r="BLY9" s="1"/>
      <c r="BMA9" s="1"/>
      <c r="BMC9" s="1"/>
      <c r="BME9" s="1"/>
      <c r="BMG9" s="1"/>
      <c r="BMI9" s="1"/>
      <c r="BMK9" s="1"/>
      <c r="BMM9" s="1"/>
      <c r="BMO9" s="1"/>
      <c r="BMQ9" s="1"/>
      <c r="BMS9" s="1"/>
      <c r="BMU9" s="1"/>
      <c r="BMW9" s="1"/>
      <c r="BMY9" s="1"/>
      <c r="BNA9" s="1"/>
      <c r="BNC9" s="1"/>
      <c r="BNE9" s="1"/>
      <c r="BNG9" s="1"/>
      <c r="BNI9" s="1"/>
      <c r="BNK9" s="1"/>
      <c r="BNM9" s="1"/>
      <c r="BNO9" s="1"/>
      <c r="BNQ9" s="1"/>
      <c r="BNS9" s="1"/>
      <c r="BNU9" s="1"/>
      <c r="BNW9" s="1"/>
      <c r="BNY9" s="1"/>
      <c r="BOA9" s="1"/>
      <c r="BOC9" s="1"/>
      <c r="BOE9" s="1"/>
      <c r="BOG9" s="1"/>
      <c r="BOI9" s="1"/>
      <c r="BOK9" s="1"/>
      <c r="BOM9" s="1"/>
      <c r="BOO9" s="1"/>
      <c r="BOQ9" s="1"/>
      <c r="BOS9" s="1"/>
      <c r="BOU9" s="1"/>
      <c r="BOW9" s="1"/>
      <c r="BOY9" s="1"/>
      <c r="BPA9" s="1"/>
      <c r="BPC9" s="1"/>
      <c r="BPE9" s="1"/>
      <c r="BPG9" s="1"/>
      <c r="BPI9" s="1"/>
      <c r="BPK9" s="1"/>
      <c r="BPM9" s="1"/>
      <c r="BPO9" s="1"/>
      <c r="BPQ9" s="1"/>
      <c r="BPS9" s="1"/>
      <c r="BPU9" s="1"/>
      <c r="BPW9" s="1"/>
      <c r="BPY9" s="1"/>
      <c r="BQA9" s="1"/>
      <c r="BQC9" s="1"/>
      <c r="BQE9" s="1"/>
      <c r="BQG9" s="1"/>
      <c r="BQI9" s="1"/>
      <c r="BQK9" s="1"/>
      <c r="BQM9" s="1"/>
      <c r="BQO9" s="1"/>
      <c r="BQQ9" s="1"/>
      <c r="BQS9" s="1"/>
      <c r="BQU9" s="1"/>
      <c r="BQW9" s="1"/>
      <c r="BQY9" s="1"/>
      <c r="BRA9" s="1"/>
      <c r="BRC9" s="1"/>
      <c r="BRE9" s="1"/>
      <c r="BRG9" s="1"/>
      <c r="BRI9" s="1"/>
      <c r="BRK9" s="1"/>
      <c r="BRM9" s="1"/>
      <c r="BRO9" s="1"/>
      <c r="BRQ9" s="1"/>
      <c r="BRS9" s="1"/>
      <c r="BRU9" s="1"/>
      <c r="BRW9" s="1"/>
      <c r="BRY9" s="1"/>
      <c r="BSA9" s="1"/>
      <c r="BSC9" s="1"/>
      <c r="BSE9" s="1"/>
      <c r="BSG9" s="1"/>
      <c r="BSI9" s="1"/>
      <c r="BSK9" s="1"/>
      <c r="BSM9" s="1"/>
      <c r="BSO9" s="1"/>
      <c r="BSQ9" s="1"/>
      <c r="BSS9" s="1"/>
      <c r="BSU9" s="1"/>
      <c r="BSW9" s="1"/>
      <c r="BSY9" s="1"/>
      <c r="BTA9" s="1"/>
      <c r="BTC9" s="1"/>
      <c r="BTE9" s="1"/>
      <c r="BTG9" s="1"/>
      <c r="BTI9" s="1"/>
      <c r="BTK9" s="1"/>
      <c r="BTM9" s="1"/>
      <c r="BTO9" s="1"/>
      <c r="BTQ9" s="1"/>
      <c r="BTS9" s="1"/>
      <c r="BTU9" s="1"/>
      <c r="BTW9" s="1"/>
      <c r="BTY9" s="1"/>
      <c r="BUA9" s="1"/>
      <c r="BUC9" s="1"/>
      <c r="BUE9" s="1"/>
      <c r="BUG9" s="1"/>
      <c r="BUI9" s="1"/>
      <c r="BUK9" s="1"/>
      <c r="BUM9" s="1"/>
      <c r="BUO9" s="1"/>
      <c r="BUQ9" s="1"/>
      <c r="BUS9" s="1"/>
      <c r="BUU9" s="1"/>
      <c r="BUW9" s="1"/>
      <c r="BUY9" s="1"/>
      <c r="BVA9" s="1"/>
      <c r="BVC9" s="1"/>
      <c r="BVE9" s="1"/>
      <c r="BVG9" s="1"/>
      <c r="BVI9" s="1"/>
      <c r="BVK9" s="1"/>
      <c r="BVM9" s="1"/>
      <c r="BVO9" s="1"/>
      <c r="BVQ9" s="1"/>
      <c r="BVS9" s="1"/>
      <c r="BVU9" s="1"/>
      <c r="BVW9" s="1"/>
      <c r="BVY9" s="1"/>
      <c r="BWA9" s="1"/>
      <c r="BWC9" s="1"/>
      <c r="BWE9" s="1"/>
      <c r="BWG9" s="1"/>
      <c r="BWI9" s="1"/>
      <c r="BWK9" s="1"/>
      <c r="BWM9" s="1"/>
      <c r="BWO9" s="1"/>
      <c r="BWQ9" s="1"/>
      <c r="BWS9" s="1"/>
      <c r="BWU9" s="1"/>
      <c r="BWW9" s="1"/>
      <c r="BWY9" s="1"/>
      <c r="BXA9" s="1"/>
      <c r="BXC9" s="1"/>
      <c r="BXE9" s="1"/>
      <c r="BXG9" s="1"/>
      <c r="BXI9" s="1"/>
      <c r="BXK9" s="1"/>
      <c r="BXM9" s="1"/>
      <c r="BXO9" s="1"/>
      <c r="BXQ9" s="1"/>
      <c r="BXS9" s="1"/>
      <c r="BXU9" s="1"/>
      <c r="BXW9" s="1"/>
      <c r="BXY9" s="1"/>
      <c r="BYA9" s="1"/>
      <c r="BYC9" s="1"/>
      <c r="BYE9" s="1"/>
      <c r="BYG9" s="1"/>
      <c r="BYI9" s="1"/>
      <c r="BYK9" s="1"/>
      <c r="BYM9" s="1"/>
      <c r="BYO9" s="1"/>
      <c r="BYQ9" s="1"/>
      <c r="BYS9" s="1"/>
      <c r="BYU9" s="1"/>
      <c r="BYW9" s="1"/>
      <c r="BYY9" s="1"/>
      <c r="BZA9" s="1"/>
      <c r="BZC9" s="1"/>
      <c r="BZE9" s="1"/>
      <c r="BZG9" s="1"/>
      <c r="BZI9" s="1"/>
      <c r="BZK9" s="1"/>
      <c r="BZM9" s="1"/>
      <c r="BZO9" s="1"/>
      <c r="BZQ9" s="1"/>
      <c r="BZS9" s="1"/>
      <c r="BZU9" s="1"/>
      <c r="BZW9" s="1"/>
      <c r="BZY9" s="1"/>
      <c r="CAA9" s="1"/>
      <c r="CAC9" s="1"/>
      <c r="CAE9" s="1"/>
      <c r="CAG9" s="1"/>
      <c r="CAI9" s="1"/>
      <c r="CAK9" s="1"/>
      <c r="CAM9" s="1"/>
      <c r="CAO9" s="1"/>
      <c r="CAQ9" s="1"/>
      <c r="CAS9" s="1"/>
      <c r="CAU9" s="1"/>
      <c r="CAW9" s="1"/>
      <c r="CAY9" s="1"/>
      <c r="CBA9" s="1"/>
      <c r="CBC9" s="1"/>
      <c r="CBE9" s="1"/>
      <c r="CBG9" s="1"/>
      <c r="CBI9" s="1"/>
      <c r="CBK9" s="1"/>
      <c r="CBM9" s="1"/>
      <c r="CBO9" s="1"/>
      <c r="CBQ9" s="1"/>
      <c r="CBS9" s="1"/>
      <c r="CBU9" s="1"/>
      <c r="CBW9" s="1"/>
      <c r="CBY9" s="1"/>
      <c r="CCA9" s="1"/>
      <c r="CCC9" s="1"/>
      <c r="CCE9" s="1"/>
      <c r="CCG9" s="1"/>
      <c r="CCI9" s="1"/>
      <c r="CCK9" s="1"/>
      <c r="CCM9" s="1"/>
      <c r="CCO9" s="1"/>
      <c r="CCQ9" s="1"/>
      <c r="CCS9" s="1"/>
      <c r="CCU9" s="1"/>
      <c r="CCW9" s="1"/>
      <c r="CCY9" s="1"/>
      <c r="CDA9" s="1"/>
      <c r="CDC9" s="1"/>
      <c r="CDE9" s="1"/>
      <c r="CDG9" s="1"/>
      <c r="CDI9" s="1"/>
      <c r="CDK9" s="1"/>
      <c r="CDM9" s="1"/>
      <c r="CDO9" s="1"/>
      <c r="CDQ9" s="1"/>
      <c r="CDS9" s="1"/>
      <c r="CDU9" s="1"/>
      <c r="CDW9" s="1"/>
      <c r="CDY9" s="1"/>
      <c r="CEA9" s="1"/>
      <c r="CEC9" s="1"/>
      <c r="CEE9" s="1"/>
      <c r="CEG9" s="1"/>
      <c r="CEI9" s="1"/>
      <c r="CEK9" s="1"/>
      <c r="CEM9" s="1"/>
      <c r="CEO9" s="1"/>
      <c r="CEQ9" s="1"/>
      <c r="CES9" s="1"/>
      <c r="CEU9" s="1"/>
      <c r="CEW9" s="1"/>
      <c r="CEY9" s="1"/>
      <c r="CFA9" s="1"/>
      <c r="CFC9" s="1"/>
      <c r="CFE9" s="1"/>
      <c r="CFG9" s="1"/>
      <c r="CFI9" s="1"/>
      <c r="CFK9" s="1"/>
      <c r="CFM9" s="1"/>
      <c r="CFO9" s="1"/>
      <c r="CFQ9" s="1"/>
      <c r="CFS9" s="1"/>
      <c r="CFU9" s="1"/>
      <c r="CFW9" s="1"/>
      <c r="CFY9" s="1"/>
      <c r="CGA9" s="1"/>
      <c r="CGC9" s="1"/>
      <c r="CGE9" s="1"/>
      <c r="CGG9" s="1"/>
      <c r="CGI9" s="1"/>
      <c r="CGK9" s="1"/>
      <c r="CGM9" s="1"/>
      <c r="CGO9" s="1"/>
      <c r="CGQ9" s="1"/>
      <c r="CGS9" s="1"/>
      <c r="CGU9" s="1"/>
      <c r="CGW9" s="1"/>
      <c r="CGY9" s="1"/>
      <c r="CHA9" s="1"/>
      <c r="CHC9" s="1"/>
      <c r="CHE9" s="1"/>
      <c r="CHG9" s="1"/>
      <c r="CHI9" s="1"/>
      <c r="CHK9" s="1"/>
      <c r="CHM9" s="1"/>
      <c r="CHO9" s="1"/>
      <c r="CHQ9" s="1"/>
      <c r="CHS9" s="1"/>
      <c r="CHU9" s="1"/>
      <c r="CHW9" s="1"/>
      <c r="CHY9" s="1"/>
      <c r="CIA9" s="1"/>
      <c r="CIC9" s="1"/>
      <c r="CIE9" s="1"/>
      <c r="CIG9" s="1"/>
      <c r="CII9" s="1"/>
      <c r="CIK9" s="1"/>
      <c r="CIM9" s="1"/>
      <c r="CIO9" s="1"/>
      <c r="CIQ9" s="1"/>
      <c r="CIS9" s="1"/>
      <c r="CIU9" s="1"/>
      <c r="CIW9" s="1"/>
      <c r="CIY9" s="1"/>
      <c r="CJA9" s="1"/>
      <c r="CJC9" s="1"/>
      <c r="CJE9" s="1"/>
      <c r="CJG9" s="1"/>
      <c r="CJI9" s="1"/>
      <c r="CJK9" s="1"/>
      <c r="CJM9" s="1"/>
      <c r="CJO9" s="1"/>
      <c r="CJQ9" s="1"/>
      <c r="CJS9" s="1"/>
      <c r="CJU9" s="1"/>
      <c r="CJW9" s="1"/>
      <c r="CJY9" s="1"/>
      <c r="CKA9" s="1"/>
      <c r="CKC9" s="1"/>
      <c r="CKE9" s="1"/>
      <c r="CKG9" s="1"/>
      <c r="CKI9" s="1"/>
      <c r="CKK9" s="1"/>
      <c r="CKM9" s="1"/>
      <c r="CKO9" s="1"/>
      <c r="CKQ9" s="1"/>
      <c r="CKS9" s="1"/>
      <c r="CKU9" s="1"/>
      <c r="CKW9" s="1"/>
      <c r="CKY9" s="1"/>
      <c r="CLA9" s="1"/>
      <c r="CLC9" s="1"/>
      <c r="CLE9" s="1"/>
      <c r="CLG9" s="1"/>
      <c r="CLI9" s="1"/>
      <c r="CLK9" s="1"/>
      <c r="CLM9" s="1"/>
      <c r="CLO9" s="1"/>
      <c r="CLQ9" s="1"/>
      <c r="CLS9" s="1"/>
      <c r="CLU9" s="1"/>
      <c r="CLW9" s="1"/>
      <c r="CLY9" s="1"/>
      <c r="CMA9" s="1"/>
      <c r="CMC9" s="1"/>
      <c r="CME9" s="1"/>
      <c r="CMG9" s="1"/>
      <c r="CMI9" s="1"/>
      <c r="CMK9" s="1"/>
      <c r="CMM9" s="1"/>
      <c r="CMO9" s="1"/>
      <c r="CMQ9" s="1"/>
      <c r="CMS9" s="1"/>
      <c r="CMU9" s="1"/>
      <c r="CMW9" s="1"/>
      <c r="CMY9" s="1"/>
      <c r="CNA9" s="1"/>
      <c r="CNC9" s="1"/>
      <c r="CNE9" s="1"/>
      <c r="CNG9" s="1"/>
      <c r="CNI9" s="1"/>
      <c r="CNK9" s="1"/>
      <c r="CNM9" s="1"/>
      <c r="CNO9" s="1"/>
      <c r="CNQ9" s="1"/>
      <c r="CNS9" s="1"/>
      <c r="CNU9" s="1"/>
      <c r="CNW9" s="1"/>
      <c r="CNY9" s="1"/>
      <c r="COA9" s="1"/>
      <c r="COC9" s="1"/>
      <c r="COE9" s="1"/>
      <c r="COG9" s="1"/>
      <c r="COI9" s="1"/>
      <c r="COK9" s="1"/>
      <c r="COM9" s="1"/>
      <c r="COO9" s="1"/>
      <c r="COQ9" s="1"/>
      <c r="COS9" s="1"/>
      <c r="COU9" s="1"/>
      <c r="COW9" s="1"/>
      <c r="COY9" s="1"/>
      <c r="CPA9" s="1"/>
      <c r="CPC9" s="1"/>
      <c r="CPE9" s="1"/>
      <c r="CPG9" s="1"/>
      <c r="CPI9" s="1"/>
      <c r="CPK9" s="1"/>
      <c r="CPM9" s="1"/>
      <c r="CPO9" s="1"/>
      <c r="CPQ9" s="1"/>
      <c r="CPS9" s="1"/>
      <c r="CPU9" s="1"/>
      <c r="CPW9" s="1"/>
      <c r="CPY9" s="1"/>
      <c r="CQA9" s="1"/>
      <c r="CQC9" s="1"/>
      <c r="CQE9" s="1"/>
      <c r="CQG9" s="1"/>
      <c r="CQI9" s="1"/>
      <c r="CQK9" s="1"/>
      <c r="CQM9" s="1"/>
      <c r="CQO9" s="1"/>
      <c r="CQQ9" s="1"/>
      <c r="CQS9" s="1"/>
      <c r="CQU9" s="1"/>
      <c r="CQW9" s="1"/>
      <c r="CQY9" s="1"/>
      <c r="CRA9" s="1"/>
      <c r="CRC9" s="1"/>
      <c r="CRE9" s="1"/>
      <c r="CRG9" s="1"/>
      <c r="CRI9" s="1"/>
      <c r="CRK9" s="1"/>
      <c r="CRM9" s="1"/>
      <c r="CRO9" s="1"/>
      <c r="CRQ9" s="1"/>
      <c r="CRS9" s="1"/>
      <c r="CRU9" s="1"/>
      <c r="CRW9" s="1"/>
      <c r="CRY9" s="1"/>
      <c r="CSA9" s="1"/>
      <c r="CSC9" s="1"/>
      <c r="CSE9" s="1"/>
      <c r="CSG9" s="1"/>
      <c r="CSI9" s="1"/>
      <c r="CSK9" s="1"/>
      <c r="CSM9" s="1"/>
      <c r="CSO9" s="1"/>
      <c r="CSQ9" s="1"/>
      <c r="CSS9" s="1"/>
      <c r="CSU9" s="1"/>
      <c r="CSW9" s="1"/>
      <c r="CSY9" s="1"/>
      <c r="CTA9" s="1"/>
      <c r="CTC9" s="1"/>
      <c r="CTE9" s="1"/>
      <c r="CTG9" s="1"/>
      <c r="CTI9" s="1"/>
      <c r="CTK9" s="1"/>
      <c r="CTM9" s="1"/>
      <c r="CTO9" s="1"/>
      <c r="CTQ9" s="1"/>
      <c r="CTS9" s="1"/>
      <c r="CTU9" s="1"/>
      <c r="CTW9" s="1"/>
      <c r="CTY9" s="1"/>
      <c r="CUA9" s="1"/>
      <c r="CUC9" s="1"/>
      <c r="CUE9" s="1"/>
      <c r="CUG9" s="1"/>
      <c r="CUI9" s="1"/>
      <c r="CUK9" s="1"/>
      <c r="CUM9" s="1"/>
      <c r="CUO9" s="1"/>
      <c r="CUQ9" s="1"/>
      <c r="CUS9" s="1"/>
      <c r="CUU9" s="1"/>
      <c r="CUW9" s="1"/>
      <c r="CUY9" s="1"/>
      <c r="CVA9" s="1"/>
      <c r="CVC9" s="1"/>
      <c r="CVE9" s="1"/>
      <c r="CVG9" s="1"/>
      <c r="CVI9" s="1"/>
      <c r="CVK9" s="1"/>
      <c r="CVM9" s="1"/>
      <c r="CVO9" s="1"/>
      <c r="CVQ9" s="1"/>
      <c r="CVS9" s="1"/>
      <c r="CVU9" s="1"/>
      <c r="CVW9" s="1"/>
      <c r="CVY9" s="1"/>
      <c r="CWA9" s="1"/>
      <c r="CWC9" s="1"/>
      <c r="CWE9" s="1"/>
      <c r="CWG9" s="1"/>
      <c r="CWI9" s="1"/>
      <c r="CWK9" s="1"/>
      <c r="CWM9" s="1"/>
      <c r="CWO9" s="1"/>
      <c r="CWQ9" s="1"/>
      <c r="CWS9" s="1"/>
      <c r="CWU9" s="1"/>
      <c r="CWW9" s="1"/>
      <c r="CWY9" s="1"/>
      <c r="CXA9" s="1"/>
      <c r="CXC9" s="1"/>
      <c r="CXE9" s="1"/>
      <c r="CXG9" s="1"/>
      <c r="CXI9" s="1"/>
      <c r="CXK9" s="1"/>
      <c r="CXM9" s="1"/>
      <c r="CXO9" s="1"/>
      <c r="CXQ9" s="1"/>
      <c r="CXS9" s="1"/>
      <c r="CXU9" s="1"/>
      <c r="CXW9" s="1"/>
      <c r="CXY9" s="1"/>
      <c r="CYA9" s="1"/>
      <c r="CYC9" s="1"/>
      <c r="CYE9" s="1"/>
      <c r="CYG9" s="1"/>
      <c r="CYI9" s="1"/>
      <c r="CYK9" s="1"/>
      <c r="CYM9" s="1"/>
      <c r="CYO9" s="1"/>
      <c r="CYQ9" s="1"/>
      <c r="CYS9" s="1"/>
      <c r="CYU9" s="1"/>
      <c r="CYW9" s="1"/>
      <c r="CYY9" s="1"/>
      <c r="CZA9" s="1"/>
      <c r="CZC9" s="1"/>
      <c r="CZE9" s="1"/>
      <c r="CZG9" s="1"/>
      <c r="CZI9" s="1"/>
      <c r="CZK9" s="1"/>
      <c r="CZM9" s="1"/>
      <c r="CZO9" s="1"/>
      <c r="CZQ9" s="1"/>
      <c r="CZS9" s="1"/>
      <c r="CZU9" s="1"/>
      <c r="CZW9" s="1"/>
      <c r="CZY9" s="1"/>
      <c r="DAA9" s="1"/>
      <c r="DAC9" s="1"/>
      <c r="DAE9" s="1"/>
      <c r="DAG9" s="1"/>
      <c r="DAI9" s="1"/>
      <c r="DAK9" s="1"/>
      <c r="DAM9" s="1"/>
      <c r="DAO9" s="1"/>
      <c r="DAQ9" s="1"/>
      <c r="DAS9" s="1"/>
      <c r="DAU9" s="1"/>
      <c r="DAW9" s="1"/>
      <c r="DAY9" s="1"/>
      <c r="DBA9" s="1"/>
      <c r="DBC9" s="1"/>
      <c r="DBE9" s="1"/>
      <c r="DBG9" s="1"/>
      <c r="DBI9" s="1"/>
      <c r="DBK9" s="1"/>
      <c r="DBM9" s="1"/>
      <c r="DBO9" s="1"/>
      <c r="DBQ9" s="1"/>
      <c r="DBS9" s="1"/>
      <c r="DBU9" s="1"/>
      <c r="DBW9" s="1"/>
      <c r="DBY9" s="1"/>
      <c r="DCA9" s="1"/>
      <c r="DCC9" s="1"/>
      <c r="DCE9" s="1"/>
      <c r="DCG9" s="1"/>
      <c r="DCI9" s="1"/>
      <c r="DCK9" s="1"/>
      <c r="DCM9" s="1"/>
      <c r="DCO9" s="1"/>
      <c r="DCQ9" s="1"/>
      <c r="DCS9" s="1"/>
      <c r="DCU9" s="1"/>
      <c r="DCW9" s="1"/>
      <c r="DCY9" s="1"/>
      <c r="DDA9" s="1"/>
      <c r="DDC9" s="1"/>
      <c r="DDE9" s="1"/>
      <c r="DDG9" s="1"/>
      <c r="DDI9" s="1"/>
      <c r="DDK9" s="1"/>
      <c r="DDM9" s="1"/>
      <c r="DDO9" s="1"/>
      <c r="DDQ9" s="1"/>
      <c r="DDS9" s="1"/>
      <c r="DDU9" s="1"/>
      <c r="DDW9" s="1"/>
      <c r="DDY9" s="1"/>
      <c r="DEA9" s="1"/>
      <c r="DEC9" s="1"/>
      <c r="DEE9" s="1"/>
      <c r="DEG9" s="1"/>
      <c r="DEI9" s="1"/>
      <c r="DEK9" s="1"/>
      <c r="DEM9" s="1"/>
      <c r="DEO9" s="1"/>
      <c r="DEQ9" s="1"/>
      <c r="DES9" s="1"/>
      <c r="DEU9" s="1"/>
      <c r="DEW9" s="1"/>
      <c r="DEY9" s="1"/>
      <c r="DFA9" s="1"/>
      <c r="DFC9" s="1"/>
      <c r="DFE9" s="1"/>
      <c r="DFG9" s="1"/>
      <c r="DFI9" s="1"/>
      <c r="DFK9" s="1"/>
      <c r="DFM9" s="1"/>
      <c r="DFO9" s="1"/>
      <c r="DFQ9" s="1"/>
      <c r="DFS9" s="1"/>
      <c r="DFU9" s="1"/>
      <c r="DFW9" s="1"/>
      <c r="DFY9" s="1"/>
      <c r="DGA9" s="1"/>
      <c r="DGC9" s="1"/>
      <c r="DGE9" s="1"/>
      <c r="DGG9" s="1"/>
      <c r="DGI9" s="1"/>
      <c r="DGK9" s="1"/>
      <c r="DGM9" s="1"/>
      <c r="DGO9" s="1"/>
      <c r="DGQ9" s="1"/>
      <c r="DGS9" s="1"/>
      <c r="DGU9" s="1"/>
      <c r="DGW9" s="1"/>
      <c r="DGY9" s="1"/>
      <c r="DHA9" s="1"/>
      <c r="DHC9" s="1"/>
      <c r="DHE9" s="1"/>
      <c r="DHG9" s="1"/>
      <c r="DHI9" s="1"/>
      <c r="DHK9" s="1"/>
      <c r="DHM9" s="1"/>
      <c r="DHO9" s="1"/>
      <c r="DHQ9" s="1"/>
      <c r="DHS9" s="1"/>
      <c r="DHU9" s="1"/>
      <c r="DHW9" s="1"/>
      <c r="DHY9" s="1"/>
      <c r="DIA9" s="1"/>
      <c r="DIC9" s="1"/>
      <c r="DIE9" s="1"/>
      <c r="DIG9" s="1"/>
      <c r="DII9" s="1"/>
      <c r="DIK9" s="1"/>
      <c r="DIM9" s="1"/>
      <c r="DIO9" s="1"/>
      <c r="DIQ9" s="1"/>
      <c r="DIS9" s="1"/>
      <c r="DIU9" s="1"/>
      <c r="DIW9" s="1"/>
      <c r="DIY9" s="1"/>
      <c r="DJA9" s="1"/>
      <c r="DJC9" s="1"/>
      <c r="DJE9" s="1"/>
      <c r="DJG9" s="1"/>
      <c r="DJI9" s="1"/>
      <c r="DJK9" s="1"/>
      <c r="DJM9" s="1"/>
      <c r="DJO9" s="1"/>
      <c r="DJQ9" s="1"/>
      <c r="DJS9" s="1"/>
      <c r="DJU9" s="1"/>
      <c r="DJW9" s="1"/>
      <c r="DJY9" s="1"/>
      <c r="DKA9" s="1"/>
      <c r="DKC9" s="1"/>
      <c r="DKE9" s="1"/>
      <c r="DKG9" s="1"/>
      <c r="DKI9" s="1"/>
      <c r="DKK9" s="1"/>
      <c r="DKM9" s="1"/>
      <c r="DKO9" s="1"/>
      <c r="DKQ9" s="1"/>
      <c r="DKS9" s="1"/>
      <c r="DKU9" s="1"/>
      <c r="DKW9" s="1"/>
      <c r="DKY9" s="1"/>
      <c r="DLA9" s="1"/>
      <c r="DLC9" s="1"/>
      <c r="DLE9" s="1"/>
      <c r="DLG9" s="1"/>
      <c r="DLI9" s="1"/>
      <c r="DLK9" s="1"/>
      <c r="DLM9" s="1"/>
      <c r="DLO9" s="1"/>
      <c r="DLQ9" s="1"/>
      <c r="DLS9" s="1"/>
      <c r="DLU9" s="1"/>
      <c r="DLW9" s="1"/>
      <c r="DLY9" s="1"/>
      <c r="DMA9" s="1"/>
      <c r="DMC9" s="1"/>
      <c r="DME9" s="1"/>
      <c r="DMG9" s="1"/>
      <c r="DMI9" s="1"/>
      <c r="DMK9" s="1"/>
      <c r="DMM9" s="1"/>
      <c r="DMO9" s="1"/>
      <c r="DMQ9" s="1"/>
      <c r="DMS9" s="1"/>
      <c r="DMU9" s="1"/>
      <c r="DMW9" s="1"/>
      <c r="DMY9" s="1"/>
      <c r="DNA9" s="1"/>
      <c r="DNC9" s="1"/>
      <c r="DNE9" s="1"/>
      <c r="DNG9" s="1"/>
      <c r="DNI9" s="1"/>
      <c r="DNK9" s="1"/>
      <c r="DNM9" s="1"/>
      <c r="DNO9" s="1"/>
      <c r="DNQ9" s="1"/>
      <c r="DNS9" s="1"/>
      <c r="DNU9" s="1"/>
      <c r="DNW9" s="1"/>
      <c r="DNY9" s="1"/>
      <c r="DOA9" s="1"/>
      <c r="DOC9" s="1"/>
      <c r="DOE9" s="1"/>
      <c r="DOG9" s="1"/>
      <c r="DOI9" s="1"/>
      <c r="DOK9" s="1"/>
      <c r="DOM9" s="1"/>
      <c r="DOO9" s="1"/>
      <c r="DOQ9" s="1"/>
      <c r="DOS9" s="1"/>
      <c r="DOU9" s="1"/>
      <c r="DOW9" s="1"/>
      <c r="DOY9" s="1"/>
      <c r="DPA9" s="1"/>
      <c r="DPC9" s="1"/>
      <c r="DPE9" s="1"/>
      <c r="DPG9" s="1"/>
      <c r="DPI9" s="1"/>
      <c r="DPK9" s="1"/>
      <c r="DPM9" s="1"/>
      <c r="DPO9" s="1"/>
      <c r="DPQ9" s="1"/>
      <c r="DPS9" s="1"/>
      <c r="DPU9" s="1"/>
      <c r="DPW9" s="1"/>
      <c r="DPY9" s="1"/>
      <c r="DQA9" s="1"/>
      <c r="DQC9" s="1"/>
      <c r="DQE9" s="1"/>
      <c r="DQG9" s="1"/>
      <c r="DQI9" s="1"/>
      <c r="DQK9" s="1"/>
      <c r="DQM9" s="1"/>
      <c r="DQO9" s="1"/>
      <c r="DQQ9" s="1"/>
      <c r="DQS9" s="1"/>
      <c r="DQU9" s="1"/>
      <c r="DQW9" s="1"/>
      <c r="DQY9" s="1"/>
      <c r="DRA9" s="1"/>
      <c r="DRC9" s="1"/>
      <c r="DRE9" s="1"/>
      <c r="DRG9" s="1"/>
      <c r="DRI9" s="1"/>
      <c r="DRK9" s="1"/>
      <c r="DRM9" s="1"/>
      <c r="DRO9" s="1"/>
      <c r="DRQ9" s="1"/>
      <c r="DRS9" s="1"/>
      <c r="DRU9" s="1"/>
      <c r="DRW9" s="1"/>
      <c r="DRY9" s="1"/>
      <c r="DSA9" s="1"/>
      <c r="DSC9" s="1"/>
      <c r="DSE9" s="1"/>
      <c r="DSG9" s="1"/>
      <c r="DSI9" s="1"/>
      <c r="DSK9" s="1"/>
      <c r="DSM9" s="1"/>
      <c r="DSO9" s="1"/>
      <c r="DSQ9" s="1"/>
      <c r="DSS9" s="1"/>
      <c r="DSU9" s="1"/>
      <c r="DSW9" s="1"/>
      <c r="DSY9" s="1"/>
      <c r="DTA9" s="1"/>
      <c r="DTC9" s="1"/>
      <c r="DTE9" s="1"/>
      <c r="DTG9" s="1"/>
      <c r="DTI9" s="1"/>
      <c r="DTK9" s="1"/>
      <c r="DTM9" s="1"/>
      <c r="DTO9" s="1"/>
      <c r="DTQ9" s="1"/>
      <c r="DTS9" s="1"/>
      <c r="DTU9" s="1"/>
      <c r="DTW9" s="1"/>
      <c r="DTY9" s="1"/>
      <c r="DUA9" s="1"/>
      <c r="DUC9" s="1"/>
      <c r="DUE9" s="1"/>
      <c r="DUG9" s="1"/>
      <c r="DUI9" s="1"/>
      <c r="DUK9" s="1"/>
      <c r="DUM9" s="1"/>
      <c r="DUO9" s="1"/>
      <c r="DUQ9" s="1"/>
      <c r="DUS9" s="1"/>
      <c r="DUU9" s="1"/>
      <c r="DUW9" s="1"/>
      <c r="DUY9" s="1"/>
      <c r="DVA9" s="1"/>
      <c r="DVC9" s="1"/>
      <c r="DVE9" s="1"/>
      <c r="DVG9" s="1"/>
      <c r="DVI9" s="1"/>
      <c r="DVK9" s="1"/>
      <c r="DVM9" s="1"/>
      <c r="DVO9" s="1"/>
      <c r="DVQ9" s="1"/>
      <c r="DVS9" s="1"/>
      <c r="DVU9" s="1"/>
      <c r="DVW9" s="1"/>
      <c r="DVY9" s="1"/>
      <c r="DWA9" s="1"/>
      <c r="DWC9" s="1"/>
      <c r="DWE9" s="1"/>
      <c r="DWG9" s="1"/>
      <c r="DWI9" s="1"/>
      <c r="DWK9" s="1"/>
      <c r="DWM9" s="1"/>
      <c r="DWO9" s="1"/>
      <c r="DWQ9" s="1"/>
      <c r="DWS9" s="1"/>
      <c r="DWU9" s="1"/>
      <c r="DWW9" s="1"/>
      <c r="DWY9" s="1"/>
      <c r="DXA9" s="1"/>
      <c r="DXC9" s="1"/>
      <c r="DXE9" s="1"/>
      <c r="DXG9" s="1"/>
      <c r="DXI9" s="1"/>
      <c r="DXK9" s="1"/>
      <c r="DXM9" s="1"/>
      <c r="DXO9" s="1"/>
      <c r="DXQ9" s="1"/>
      <c r="DXS9" s="1"/>
      <c r="DXU9" s="1"/>
      <c r="DXW9" s="1"/>
      <c r="DXY9" s="1"/>
      <c r="DYA9" s="1"/>
      <c r="DYC9" s="1"/>
      <c r="DYE9" s="1"/>
      <c r="DYG9" s="1"/>
      <c r="DYI9" s="1"/>
      <c r="DYK9" s="1"/>
      <c r="DYM9" s="1"/>
      <c r="DYO9" s="1"/>
      <c r="DYQ9" s="1"/>
      <c r="DYS9" s="1"/>
      <c r="DYU9" s="1"/>
      <c r="DYW9" s="1"/>
      <c r="DYY9" s="1"/>
      <c r="DZA9" s="1"/>
      <c r="DZC9" s="1"/>
      <c r="DZE9" s="1"/>
      <c r="DZG9" s="1"/>
      <c r="DZI9" s="1"/>
      <c r="DZK9" s="1"/>
      <c r="DZM9" s="1"/>
      <c r="DZO9" s="1"/>
      <c r="DZQ9" s="1"/>
      <c r="DZS9" s="1"/>
      <c r="DZU9" s="1"/>
      <c r="DZW9" s="1"/>
      <c r="DZY9" s="1"/>
      <c r="EAA9" s="1"/>
      <c r="EAC9" s="1"/>
      <c r="EAE9" s="1"/>
      <c r="EAG9" s="1"/>
      <c r="EAI9" s="1"/>
      <c r="EAK9" s="1"/>
      <c r="EAM9" s="1"/>
      <c r="EAO9" s="1"/>
      <c r="EAQ9" s="1"/>
      <c r="EAS9" s="1"/>
      <c r="EAU9" s="1"/>
      <c r="EAW9" s="1"/>
      <c r="EAY9" s="1"/>
      <c r="EBA9" s="1"/>
      <c r="EBC9" s="1"/>
      <c r="EBE9" s="1"/>
      <c r="EBG9" s="1"/>
      <c r="EBI9" s="1"/>
      <c r="EBK9" s="1"/>
      <c r="EBM9" s="1"/>
      <c r="EBO9" s="1"/>
      <c r="EBQ9" s="1"/>
      <c r="EBS9" s="1"/>
      <c r="EBU9" s="1"/>
      <c r="EBW9" s="1"/>
      <c r="EBY9" s="1"/>
      <c r="ECA9" s="1"/>
      <c r="ECC9" s="1"/>
      <c r="ECE9" s="1"/>
      <c r="ECG9" s="1"/>
      <c r="ECI9" s="1"/>
      <c r="ECK9" s="1"/>
      <c r="ECM9" s="1"/>
      <c r="ECO9" s="1"/>
      <c r="ECQ9" s="1"/>
      <c r="ECS9" s="1"/>
      <c r="ECU9" s="1"/>
      <c r="ECW9" s="1"/>
      <c r="ECY9" s="1"/>
      <c r="EDA9" s="1"/>
      <c r="EDC9" s="1"/>
      <c r="EDE9" s="1"/>
      <c r="EDG9" s="1"/>
      <c r="EDI9" s="1"/>
      <c r="EDK9" s="1"/>
      <c r="EDM9" s="1"/>
      <c r="EDO9" s="1"/>
      <c r="EDQ9" s="1"/>
      <c r="EDS9" s="1"/>
      <c r="EDU9" s="1"/>
      <c r="EDW9" s="1"/>
      <c r="EDY9" s="1"/>
      <c r="EEA9" s="1"/>
      <c r="EEC9" s="1"/>
      <c r="EEE9" s="1"/>
      <c r="EEG9" s="1"/>
      <c r="EEI9" s="1"/>
      <c r="EEK9" s="1"/>
      <c r="EEM9" s="1"/>
      <c r="EEO9" s="1"/>
      <c r="EEQ9" s="1"/>
      <c r="EES9" s="1"/>
      <c r="EEU9" s="1"/>
      <c r="EEW9" s="1"/>
      <c r="EEY9" s="1"/>
      <c r="EFA9" s="1"/>
      <c r="EFC9" s="1"/>
      <c r="EFE9" s="1"/>
      <c r="EFG9" s="1"/>
      <c r="EFI9" s="1"/>
      <c r="EFK9" s="1"/>
      <c r="EFM9" s="1"/>
      <c r="EFO9" s="1"/>
      <c r="EFQ9" s="1"/>
      <c r="EFS9" s="1"/>
      <c r="EFU9" s="1"/>
      <c r="EFW9" s="1"/>
      <c r="EFY9" s="1"/>
      <c r="EGA9" s="1"/>
      <c r="EGC9" s="1"/>
      <c r="EGE9" s="1"/>
      <c r="EGG9" s="1"/>
      <c r="EGI9" s="1"/>
      <c r="EGK9" s="1"/>
      <c r="EGM9" s="1"/>
      <c r="EGO9" s="1"/>
      <c r="EGQ9" s="1"/>
      <c r="EGS9" s="1"/>
      <c r="EGU9" s="1"/>
      <c r="EGW9" s="1"/>
      <c r="EGY9" s="1"/>
      <c r="EHA9" s="1"/>
      <c r="EHC9" s="1"/>
      <c r="EHE9" s="1"/>
      <c r="EHG9" s="1"/>
      <c r="EHI9" s="1"/>
      <c r="EHK9" s="1"/>
      <c r="EHM9" s="1"/>
      <c r="EHO9" s="1"/>
      <c r="EHQ9" s="1"/>
      <c r="EHS9" s="1"/>
      <c r="EHU9" s="1"/>
      <c r="EHW9" s="1"/>
      <c r="EHY9" s="1"/>
      <c r="EIA9" s="1"/>
      <c r="EIC9" s="1"/>
      <c r="EIE9" s="1"/>
      <c r="EIG9" s="1"/>
      <c r="EII9" s="1"/>
      <c r="EIK9" s="1"/>
      <c r="EIM9" s="1"/>
      <c r="EIO9" s="1"/>
      <c r="EIQ9" s="1"/>
      <c r="EIS9" s="1"/>
      <c r="EIU9" s="1"/>
      <c r="EIW9" s="1"/>
      <c r="EIY9" s="1"/>
      <c r="EJA9" s="1"/>
      <c r="EJC9" s="1"/>
      <c r="EJE9" s="1"/>
      <c r="EJG9" s="1"/>
      <c r="EJI9" s="1"/>
      <c r="EJK9" s="1"/>
      <c r="EJM9" s="1"/>
      <c r="EJO9" s="1"/>
      <c r="EJQ9" s="1"/>
      <c r="EJS9" s="1"/>
      <c r="EJU9" s="1"/>
      <c r="EJW9" s="1"/>
      <c r="EJY9" s="1"/>
      <c r="EKA9" s="1"/>
      <c r="EKC9" s="1"/>
      <c r="EKE9" s="1"/>
      <c r="EKG9" s="1"/>
      <c r="EKI9" s="1"/>
      <c r="EKK9" s="1"/>
      <c r="EKM9" s="1"/>
      <c r="EKO9" s="1"/>
      <c r="EKQ9" s="1"/>
      <c r="EKS9" s="1"/>
      <c r="EKU9" s="1"/>
      <c r="EKW9" s="1"/>
      <c r="EKY9" s="1"/>
      <c r="ELA9" s="1"/>
      <c r="ELC9" s="1"/>
      <c r="ELE9" s="1"/>
      <c r="ELG9" s="1"/>
      <c r="ELI9" s="1"/>
      <c r="ELK9" s="1"/>
      <c r="ELM9" s="1"/>
      <c r="ELO9" s="1"/>
      <c r="ELQ9" s="1"/>
      <c r="ELS9" s="1"/>
      <c r="ELU9" s="1"/>
      <c r="ELW9" s="1"/>
      <c r="ELY9" s="1"/>
      <c r="EMA9" s="1"/>
      <c r="EMC9" s="1"/>
      <c r="EME9" s="1"/>
      <c r="EMG9" s="1"/>
      <c r="EMI9" s="1"/>
      <c r="EMK9" s="1"/>
      <c r="EMM9" s="1"/>
      <c r="EMO9" s="1"/>
      <c r="EMQ9" s="1"/>
      <c r="EMS9" s="1"/>
      <c r="EMU9" s="1"/>
      <c r="EMW9" s="1"/>
      <c r="EMY9" s="1"/>
      <c r="ENA9" s="1"/>
      <c r="ENC9" s="1"/>
      <c r="ENE9" s="1"/>
      <c r="ENG9" s="1"/>
      <c r="ENI9" s="1"/>
      <c r="ENK9" s="1"/>
      <c r="ENM9" s="1"/>
      <c r="ENO9" s="1"/>
      <c r="ENQ9" s="1"/>
      <c r="ENS9" s="1"/>
      <c r="ENU9" s="1"/>
      <c r="ENW9" s="1"/>
      <c r="ENY9" s="1"/>
      <c r="EOA9" s="1"/>
      <c r="EOC9" s="1"/>
      <c r="EOE9" s="1"/>
      <c r="EOG9" s="1"/>
      <c r="EOI9" s="1"/>
      <c r="EOK9" s="1"/>
      <c r="EOM9" s="1"/>
      <c r="EOO9" s="1"/>
      <c r="EOQ9" s="1"/>
      <c r="EOS9" s="1"/>
      <c r="EOU9" s="1"/>
      <c r="EOW9" s="1"/>
      <c r="EOY9" s="1"/>
      <c r="EPA9" s="1"/>
      <c r="EPC9" s="1"/>
      <c r="EPE9" s="1"/>
      <c r="EPG9" s="1"/>
      <c r="EPI9" s="1"/>
      <c r="EPK9" s="1"/>
      <c r="EPM9" s="1"/>
      <c r="EPO9" s="1"/>
      <c r="EPQ9" s="1"/>
      <c r="EPS9" s="1"/>
      <c r="EPU9" s="1"/>
      <c r="EPW9" s="1"/>
      <c r="EPY9" s="1"/>
      <c r="EQA9" s="1"/>
      <c r="EQC9" s="1"/>
      <c r="EQE9" s="1"/>
      <c r="EQG9" s="1"/>
      <c r="EQI9" s="1"/>
      <c r="EQK9" s="1"/>
      <c r="EQM9" s="1"/>
      <c r="EQO9" s="1"/>
      <c r="EQQ9" s="1"/>
      <c r="EQS9" s="1"/>
      <c r="EQU9" s="1"/>
      <c r="EQW9" s="1"/>
      <c r="EQY9" s="1"/>
      <c r="ERA9" s="1"/>
      <c r="ERC9" s="1"/>
      <c r="ERE9" s="1"/>
      <c r="ERG9" s="1"/>
      <c r="ERI9" s="1"/>
      <c r="ERK9" s="1"/>
      <c r="ERM9" s="1"/>
      <c r="ERO9" s="1"/>
      <c r="ERQ9" s="1"/>
      <c r="ERS9" s="1"/>
      <c r="ERU9" s="1"/>
      <c r="ERW9" s="1"/>
      <c r="ERY9" s="1"/>
      <c r="ESA9" s="1"/>
      <c r="ESC9" s="1"/>
      <c r="ESE9" s="1"/>
      <c r="ESG9" s="1"/>
      <c r="ESI9" s="1"/>
      <c r="ESK9" s="1"/>
      <c r="ESM9" s="1"/>
      <c r="ESO9" s="1"/>
      <c r="ESQ9" s="1"/>
      <c r="ESS9" s="1"/>
      <c r="ESU9" s="1"/>
      <c r="ESW9" s="1"/>
      <c r="ESY9" s="1"/>
      <c r="ETA9" s="1"/>
      <c r="ETC9" s="1"/>
      <c r="ETE9" s="1"/>
      <c r="ETG9" s="1"/>
      <c r="ETI9" s="1"/>
      <c r="ETK9" s="1"/>
      <c r="ETM9" s="1"/>
      <c r="ETO9" s="1"/>
      <c r="ETQ9" s="1"/>
      <c r="ETS9" s="1"/>
      <c r="ETU9" s="1"/>
      <c r="ETW9" s="1"/>
      <c r="ETY9" s="1"/>
      <c r="EUA9" s="1"/>
      <c r="EUC9" s="1"/>
      <c r="EUE9" s="1"/>
      <c r="EUG9" s="1"/>
      <c r="EUI9" s="1"/>
      <c r="EUK9" s="1"/>
      <c r="EUM9" s="1"/>
      <c r="EUO9" s="1"/>
      <c r="EUQ9" s="1"/>
      <c r="EUS9" s="1"/>
      <c r="EUU9" s="1"/>
      <c r="EUW9" s="1"/>
      <c r="EUY9" s="1"/>
      <c r="EVA9" s="1"/>
      <c r="EVC9" s="1"/>
      <c r="EVE9" s="1"/>
      <c r="EVG9" s="1"/>
      <c r="EVI9" s="1"/>
      <c r="EVK9" s="1"/>
      <c r="EVM9" s="1"/>
      <c r="EVO9" s="1"/>
      <c r="EVQ9" s="1"/>
      <c r="EVS9" s="1"/>
      <c r="EVU9" s="1"/>
      <c r="EVW9" s="1"/>
      <c r="EVY9" s="1"/>
      <c r="EWA9" s="1"/>
      <c r="EWC9" s="1"/>
      <c r="EWE9" s="1"/>
      <c r="EWG9" s="1"/>
      <c r="EWI9" s="1"/>
      <c r="EWK9" s="1"/>
      <c r="EWM9" s="1"/>
      <c r="EWO9" s="1"/>
      <c r="EWQ9" s="1"/>
      <c r="EWS9" s="1"/>
      <c r="EWU9" s="1"/>
      <c r="EWW9" s="1"/>
      <c r="EWY9" s="1"/>
      <c r="EXA9" s="1"/>
      <c r="EXC9" s="1"/>
      <c r="EXE9" s="1"/>
      <c r="EXG9" s="1"/>
      <c r="EXI9" s="1"/>
      <c r="EXK9" s="1"/>
      <c r="EXM9" s="1"/>
      <c r="EXO9" s="1"/>
      <c r="EXQ9" s="1"/>
      <c r="EXS9" s="1"/>
      <c r="EXU9" s="1"/>
      <c r="EXW9" s="1"/>
      <c r="EXY9" s="1"/>
      <c r="EYA9" s="1"/>
      <c r="EYC9" s="1"/>
      <c r="EYE9" s="1"/>
      <c r="EYG9" s="1"/>
      <c r="EYI9" s="1"/>
      <c r="EYK9" s="1"/>
      <c r="EYM9" s="1"/>
      <c r="EYO9" s="1"/>
      <c r="EYQ9" s="1"/>
      <c r="EYS9" s="1"/>
      <c r="EYU9" s="1"/>
      <c r="EYW9" s="1"/>
      <c r="EYY9" s="1"/>
      <c r="EZA9" s="1"/>
      <c r="EZC9" s="1"/>
      <c r="EZE9" s="1"/>
      <c r="EZG9" s="1"/>
      <c r="EZI9" s="1"/>
      <c r="EZK9" s="1"/>
      <c r="EZM9" s="1"/>
      <c r="EZO9" s="1"/>
      <c r="EZQ9" s="1"/>
      <c r="EZS9" s="1"/>
      <c r="EZU9" s="1"/>
      <c r="EZW9" s="1"/>
      <c r="EZY9" s="1"/>
      <c r="FAA9" s="1"/>
      <c r="FAC9" s="1"/>
      <c r="FAE9" s="1"/>
      <c r="FAG9" s="1"/>
      <c r="FAI9" s="1"/>
      <c r="FAK9" s="1"/>
      <c r="FAM9" s="1"/>
      <c r="FAO9" s="1"/>
      <c r="FAQ9" s="1"/>
      <c r="FAS9" s="1"/>
      <c r="FAU9" s="1"/>
      <c r="FAW9" s="1"/>
      <c r="FAY9" s="1"/>
      <c r="FBA9" s="1"/>
      <c r="FBC9" s="1"/>
      <c r="FBE9" s="1"/>
      <c r="FBG9" s="1"/>
      <c r="FBI9" s="1"/>
      <c r="FBK9" s="1"/>
      <c r="FBM9" s="1"/>
      <c r="FBO9" s="1"/>
      <c r="FBQ9" s="1"/>
      <c r="FBS9" s="1"/>
      <c r="FBU9" s="1"/>
      <c r="FBW9" s="1"/>
      <c r="FBY9" s="1"/>
      <c r="FCA9" s="1"/>
      <c r="FCC9" s="1"/>
      <c r="FCE9" s="1"/>
      <c r="FCG9" s="1"/>
      <c r="FCI9" s="1"/>
      <c r="FCK9" s="1"/>
      <c r="FCM9" s="1"/>
      <c r="FCO9" s="1"/>
      <c r="FCQ9" s="1"/>
      <c r="FCS9" s="1"/>
      <c r="FCU9" s="1"/>
      <c r="FCW9" s="1"/>
      <c r="FCY9" s="1"/>
      <c r="FDA9" s="1"/>
      <c r="FDC9" s="1"/>
      <c r="FDE9" s="1"/>
      <c r="FDG9" s="1"/>
      <c r="FDI9" s="1"/>
      <c r="FDK9" s="1"/>
      <c r="FDM9" s="1"/>
      <c r="FDO9" s="1"/>
      <c r="FDQ9" s="1"/>
      <c r="FDS9" s="1"/>
      <c r="FDU9" s="1"/>
      <c r="FDW9" s="1"/>
      <c r="FDY9" s="1"/>
      <c r="FEA9" s="1"/>
      <c r="FEC9" s="1"/>
      <c r="FEE9" s="1"/>
      <c r="FEG9" s="1"/>
      <c r="FEI9" s="1"/>
      <c r="FEK9" s="1"/>
      <c r="FEM9" s="1"/>
      <c r="FEO9" s="1"/>
      <c r="FEQ9" s="1"/>
      <c r="FES9" s="1"/>
      <c r="FEU9" s="1"/>
      <c r="FEW9" s="1"/>
      <c r="FEY9" s="1"/>
      <c r="FFA9" s="1"/>
      <c r="FFC9" s="1"/>
      <c r="FFE9" s="1"/>
      <c r="FFG9" s="1"/>
      <c r="FFI9" s="1"/>
      <c r="FFK9" s="1"/>
      <c r="FFM9" s="1"/>
      <c r="FFO9" s="1"/>
      <c r="FFQ9" s="1"/>
      <c r="FFS9" s="1"/>
      <c r="FFU9" s="1"/>
      <c r="FFW9" s="1"/>
      <c r="FFY9" s="1"/>
      <c r="FGA9" s="1"/>
      <c r="FGC9" s="1"/>
      <c r="FGE9" s="1"/>
      <c r="FGG9" s="1"/>
      <c r="FGI9" s="1"/>
      <c r="FGK9" s="1"/>
      <c r="FGM9" s="1"/>
      <c r="FGO9" s="1"/>
      <c r="FGQ9" s="1"/>
      <c r="FGS9" s="1"/>
      <c r="FGU9" s="1"/>
      <c r="FGW9" s="1"/>
      <c r="FGY9" s="1"/>
      <c r="FHA9" s="1"/>
      <c r="FHC9" s="1"/>
      <c r="FHE9" s="1"/>
      <c r="FHG9" s="1"/>
      <c r="FHI9" s="1"/>
      <c r="FHK9" s="1"/>
      <c r="FHM9" s="1"/>
      <c r="FHO9" s="1"/>
      <c r="FHQ9" s="1"/>
      <c r="FHS9" s="1"/>
      <c r="FHU9" s="1"/>
      <c r="FHW9" s="1"/>
      <c r="FHY9" s="1"/>
      <c r="FIA9" s="1"/>
      <c r="FIC9" s="1"/>
      <c r="FIE9" s="1"/>
      <c r="FIG9" s="1"/>
      <c r="FII9" s="1"/>
      <c r="FIK9" s="1"/>
      <c r="FIM9" s="1"/>
      <c r="FIO9" s="1"/>
      <c r="FIQ9" s="1"/>
      <c r="FIS9" s="1"/>
      <c r="FIU9" s="1"/>
      <c r="FIW9" s="1"/>
      <c r="FIY9" s="1"/>
      <c r="FJA9" s="1"/>
      <c r="FJC9" s="1"/>
      <c r="FJE9" s="1"/>
      <c r="FJG9" s="1"/>
      <c r="FJI9" s="1"/>
      <c r="FJK9" s="1"/>
      <c r="FJM9" s="1"/>
      <c r="FJO9" s="1"/>
      <c r="FJQ9" s="1"/>
      <c r="FJS9" s="1"/>
      <c r="FJU9" s="1"/>
      <c r="FJW9" s="1"/>
      <c r="FJY9" s="1"/>
      <c r="FKA9" s="1"/>
      <c r="FKC9" s="1"/>
      <c r="FKE9" s="1"/>
      <c r="FKG9" s="1"/>
      <c r="FKI9" s="1"/>
      <c r="FKK9" s="1"/>
      <c r="FKM9" s="1"/>
      <c r="FKO9" s="1"/>
      <c r="FKQ9" s="1"/>
      <c r="FKS9" s="1"/>
      <c r="FKU9" s="1"/>
      <c r="FKW9" s="1"/>
      <c r="FKY9" s="1"/>
      <c r="FLA9" s="1"/>
      <c r="FLC9" s="1"/>
      <c r="FLE9" s="1"/>
      <c r="FLG9" s="1"/>
      <c r="FLI9" s="1"/>
      <c r="FLK9" s="1"/>
      <c r="FLM9" s="1"/>
      <c r="FLO9" s="1"/>
      <c r="FLQ9" s="1"/>
      <c r="FLS9" s="1"/>
      <c r="FLU9" s="1"/>
      <c r="FLW9" s="1"/>
      <c r="FLY9" s="1"/>
      <c r="FMA9" s="1"/>
      <c r="FMC9" s="1"/>
      <c r="FME9" s="1"/>
      <c r="FMG9" s="1"/>
      <c r="FMI9" s="1"/>
      <c r="FMK9" s="1"/>
      <c r="FMM9" s="1"/>
      <c r="FMO9" s="1"/>
      <c r="FMQ9" s="1"/>
      <c r="FMS9" s="1"/>
      <c r="FMU9" s="1"/>
      <c r="FMW9" s="1"/>
      <c r="FMY9" s="1"/>
      <c r="FNA9" s="1"/>
      <c r="FNC9" s="1"/>
      <c r="FNE9" s="1"/>
      <c r="FNG9" s="1"/>
      <c r="FNI9" s="1"/>
      <c r="FNK9" s="1"/>
      <c r="FNM9" s="1"/>
      <c r="FNO9" s="1"/>
      <c r="FNQ9" s="1"/>
      <c r="FNS9" s="1"/>
      <c r="FNU9" s="1"/>
      <c r="FNW9" s="1"/>
      <c r="FNY9" s="1"/>
      <c r="FOA9" s="1"/>
      <c r="FOC9" s="1"/>
      <c r="FOE9" s="1"/>
      <c r="FOG9" s="1"/>
      <c r="FOI9" s="1"/>
      <c r="FOK9" s="1"/>
      <c r="FOM9" s="1"/>
      <c r="FOO9" s="1"/>
      <c r="FOQ9" s="1"/>
      <c r="FOS9" s="1"/>
      <c r="FOU9" s="1"/>
      <c r="FOW9" s="1"/>
      <c r="FOY9" s="1"/>
      <c r="FPA9" s="1"/>
      <c r="FPC9" s="1"/>
      <c r="FPE9" s="1"/>
      <c r="FPG9" s="1"/>
      <c r="FPI9" s="1"/>
      <c r="FPK9" s="1"/>
      <c r="FPM9" s="1"/>
      <c r="FPO9" s="1"/>
      <c r="FPQ9" s="1"/>
      <c r="FPS9" s="1"/>
      <c r="FPU9" s="1"/>
      <c r="FPW9" s="1"/>
      <c r="FPY9" s="1"/>
      <c r="FQA9" s="1"/>
      <c r="FQC9" s="1"/>
      <c r="FQE9" s="1"/>
      <c r="FQG9" s="1"/>
      <c r="FQI9" s="1"/>
      <c r="FQK9" s="1"/>
      <c r="FQM9" s="1"/>
      <c r="FQO9" s="1"/>
      <c r="FQQ9" s="1"/>
      <c r="FQS9" s="1"/>
      <c r="FQU9" s="1"/>
      <c r="FQW9" s="1"/>
      <c r="FQY9" s="1"/>
      <c r="FRA9" s="1"/>
      <c r="FRC9" s="1"/>
      <c r="FRE9" s="1"/>
      <c r="FRG9" s="1"/>
      <c r="FRI9" s="1"/>
      <c r="FRK9" s="1"/>
      <c r="FRM9" s="1"/>
      <c r="FRO9" s="1"/>
      <c r="FRQ9" s="1"/>
      <c r="FRS9" s="1"/>
      <c r="FRU9" s="1"/>
      <c r="FRW9" s="1"/>
      <c r="FRY9" s="1"/>
      <c r="FSA9" s="1"/>
      <c r="FSC9" s="1"/>
      <c r="FSE9" s="1"/>
      <c r="FSG9" s="1"/>
      <c r="FSI9" s="1"/>
      <c r="FSK9" s="1"/>
      <c r="FSM9" s="1"/>
      <c r="FSO9" s="1"/>
      <c r="FSQ9" s="1"/>
      <c r="FSS9" s="1"/>
      <c r="FSU9" s="1"/>
      <c r="FSW9" s="1"/>
      <c r="FSY9" s="1"/>
      <c r="FTA9" s="1"/>
      <c r="FTC9" s="1"/>
      <c r="FTE9" s="1"/>
      <c r="FTG9" s="1"/>
      <c r="FTI9" s="1"/>
      <c r="FTK9" s="1"/>
      <c r="FTM9" s="1"/>
      <c r="FTO9" s="1"/>
      <c r="FTQ9" s="1"/>
      <c r="FTS9" s="1"/>
      <c r="FTU9" s="1"/>
      <c r="FTW9" s="1"/>
      <c r="FTY9" s="1"/>
      <c r="FUA9" s="1"/>
      <c r="FUC9" s="1"/>
      <c r="FUE9" s="1"/>
      <c r="FUG9" s="1"/>
      <c r="FUI9" s="1"/>
      <c r="FUK9" s="1"/>
      <c r="FUM9" s="1"/>
      <c r="FUO9" s="1"/>
      <c r="FUQ9" s="1"/>
      <c r="FUS9" s="1"/>
      <c r="FUU9" s="1"/>
      <c r="FUW9" s="1"/>
      <c r="FUY9" s="1"/>
      <c r="FVA9" s="1"/>
      <c r="FVC9" s="1"/>
      <c r="FVE9" s="1"/>
      <c r="FVG9" s="1"/>
      <c r="FVI9" s="1"/>
      <c r="FVK9" s="1"/>
      <c r="FVM9" s="1"/>
      <c r="FVO9" s="1"/>
      <c r="FVQ9" s="1"/>
      <c r="FVS9" s="1"/>
      <c r="FVU9" s="1"/>
      <c r="FVW9" s="1"/>
      <c r="FVY9" s="1"/>
      <c r="FWA9" s="1"/>
      <c r="FWC9" s="1"/>
      <c r="FWE9" s="1"/>
      <c r="FWG9" s="1"/>
      <c r="FWI9" s="1"/>
      <c r="FWK9" s="1"/>
      <c r="FWM9" s="1"/>
      <c r="FWO9" s="1"/>
      <c r="FWQ9" s="1"/>
      <c r="FWS9" s="1"/>
      <c r="FWU9" s="1"/>
      <c r="FWW9" s="1"/>
      <c r="FWY9" s="1"/>
      <c r="FXA9" s="1"/>
      <c r="FXC9" s="1"/>
      <c r="FXE9" s="1"/>
      <c r="FXG9" s="1"/>
      <c r="FXI9" s="1"/>
      <c r="FXK9" s="1"/>
      <c r="FXM9" s="1"/>
      <c r="FXO9" s="1"/>
      <c r="FXQ9" s="1"/>
      <c r="FXS9" s="1"/>
      <c r="FXU9" s="1"/>
      <c r="FXW9" s="1"/>
      <c r="FXY9" s="1"/>
      <c r="FYA9" s="1"/>
      <c r="FYC9" s="1"/>
      <c r="FYE9" s="1"/>
      <c r="FYG9" s="1"/>
      <c r="FYI9" s="1"/>
      <c r="FYK9" s="1"/>
      <c r="FYM9" s="1"/>
      <c r="FYO9" s="1"/>
      <c r="FYQ9" s="1"/>
      <c r="FYS9" s="1"/>
      <c r="FYU9" s="1"/>
      <c r="FYW9" s="1"/>
      <c r="FYY9" s="1"/>
      <c r="FZA9" s="1"/>
      <c r="FZC9" s="1"/>
      <c r="FZE9" s="1"/>
      <c r="FZG9" s="1"/>
      <c r="FZI9" s="1"/>
      <c r="FZK9" s="1"/>
      <c r="FZM9" s="1"/>
      <c r="FZO9" s="1"/>
      <c r="FZQ9" s="1"/>
      <c r="FZS9" s="1"/>
      <c r="FZU9" s="1"/>
      <c r="FZW9" s="1"/>
      <c r="FZY9" s="1"/>
      <c r="GAA9" s="1"/>
      <c r="GAC9" s="1"/>
      <c r="GAE9" s="1"/>
      <c r="GAG9" s="1"/>
      <c r="GAI9" s="1"/>
      <c r="GAK9" s="1"/>
      <c r="GAM9" s="1"/>
      <c r="GAO9" s="1"/>
      <c r="GAQ9" s="1"/>
      <c r="GAS9" s="1"/>
      <c r="GAU9" s="1"/>
      <c r="GAW9" s="1"/>
      <c r="GAY9" s="1"/>
      <c r="GBA9" s="1"/>
      <c r="GBC9" s="1"/>
      <c r="GBE9" s="1"/>
      <c r="GBG9" s="1"/>
      <c r="GBI9" s="1"/>
      <c r="GBK9" s="1"/>
      <c r="GBM9" s="1"/>
      <c r="GBO9" s="1"/>
      <c r="GBQ9" s="1"/>
      <c r="GBS9" s="1"/>
      <c r="GBU9" s="1"/>
      <c r="GBW9" s="1"/>
      <c r="GBY9" s="1"/>
      <c r="GCA9" s="1"/>
      <c r="GCC9" s="1"/>
      <c r="GCE9" s="1"/>
      <c r="GCG9" s="1"/>
      <c r="GCI9" s="1"/>
      <c r="GCK9" s="1"/>
      <c r="GCM9" s="1"/>
      <c r="GCO9" s="1"/>
      <c r="GCQ9" s="1"/>
      <c r="GCS9" s="1"/>
      <c r="GCU9" s="1"/>
      <c r="GCW9" s="1"/>
      <c r="GCY9" s="1"/>
      <c r="GDA9" s="1"/>
      <c r="GDC9" s="1"/>
      <c r="GDE9" s="1"/>
      <c r="GDG9" s="1"/>
      <c r="GDI9" s="1"/>
      <c r="GDK9" s="1"/>
      <c r="GDM9" s="1"/>
      <c r="GDO9" s="1"/>
      <c r="GDQ9" s="1"/>
      <c r="GDS9" s="1"/>
      <c r="GDU9" s="1"/>
      <c r="GDW9" s="1"/>
      <c r="GDY9" s="1"/>
      <c r="GEA9" s="1"/>
      <c r="GEC9" s="1"/>
      <c r="GEE9" s="1"/>
      <c r="GEG9" s="1"/>
      <c r="GEI9" s="1"/>
      <c r="GEK9" s="1"/>
      <c r="GEM9" s="1"/>
      <c r="GEO9" s="1"/>
      <c r="GEQ9" s="1"/>
      <c r="GES9" s="1"/>
      <c r="GEU9" s="1"/>
      <c r="GEW9" s="1"/>
      <c r="GEY9" s="1"/>
      <c r="GFA9" s="1"/>
      <c r="GFC9" s="1"/>
      <c r="GFE9" s="1"/>
      <c r="GFG9" s="1"/>
      <c r="GFI9" s="1"/>
      <c r="GFK9" s="1"/>
      <c r="GFM9" s="1"/>
      <c r="GFO9" s="1"/>
      <c r="GFQ9" s="1"/>
      <c r="GFS9" s="1"/>
      <c r="GFU9" s="1"/>
      <c r="GFW9" s="1"/>
      <c r="GFY9" s="1"/>
      <c r="GGA9" s="1"/>
      <c r="GGC9" s="1"/>
      <c r="GGE9" s="1"/>
      <c r="GGG9" s="1"/>
      <c r="GGI9" s="1"/>
      <c r="GGK9" s="1"/>
      <c r="GGM9" s="1"/>
      <c r="GGO9" s="1"/>
      <c r="GGQ9" s="1"/>
      <c r="GGS9" s="1"/>
      <c r="GGU9" s="1"/>
      <c r="GGW9" s="1"/>
      <c r="GGY9" s="1"/>
      <c r="GHA9" s="1"/>
      <c r="GHC9" s="1"/>
      <c r="GHE9" s="1"/>
      <c r="GHG9" s="1"/>
      <c r="GHI9" s="1"/>
      <c r="GHK9" s="1"/>
      <c r="GHM9" s="1"/>
      <c r="GHO9" s="1"/>
      <c r="GHQ9" s="1"/>
      <c r="GHS9" s="1"/>
      <c r="GHU9" s="1"/>
      <c r="GHW9" s="1"/>
      <c r="GHY9" s="1"/>
      <c r="GIA9" s="1"/>
      <c r="GIC9" s="1"/>
      <c r="GIE9" s="1"/>
      <c r="GIG9" s="1"/>
      <c r="GII9" s="1"/>
      <c r="GIK9" s="1"/>
      <c r="GIM9" s="1"/>
      <c r="GIO9" s="1"/>
      <c r="GIQ9" s="1"/>
      <c r="GIS9" s="1"/>
      <c r="GIU9" s="1"/>
      <c r="GIW9" s="1"/>
      <c r="GIY9" s="1"/>
      <c r="GJA9" s="1"/>
      <c r="GJC9" s="1"/>
      <c r="GJE9" s="1"/>
      <c r="GJG9" s="1"/>
      <c r="GJI9" s="1"/>
      <c r="GJK9" s="1"/>
      <c r="GJM9" s="1"/>
      <c r="GJO9" s="1"/>
      <c r="GJQ9" s="1"/>
      <c r="GJS9" s="1"/>
      <c r="GJU9" s="1"/>
      <c r="GJW9" s="1"/>
      <c r="GJY9" s="1"/>
      <c r="GKA9" s="1"/>
      <c r="GKC9" s="1"/>
      <c r="GKE9" s="1"/>
      <c r="GKG9" s="1"/>
      <c r="GKI9" s="1"/>
      <c r="GKK9" s="1"/>
      <c r="GKM9" s="1"/>
      <c r="GKO9" s="1"/>
      <c r="GKQ9" s="1"/>
      <c r="GKS9" s="1"/>
      <c r="GKU9" s="1"/>
      <c r="GKW9" s="1"/>
      <c r="GKY9" s="1"/>
      <c r="GLA9" s="1"/>
      <c r="GLC9" s="1"/>
      <c r="GLE9" s="1"/>
      <c r="GLG9" s="1"/>
      <c r="GLI9" s="1"/>
      <c r="GLK9" s="1"/>
      <c r="GLM9" s="1"/>
      <c r="GLO9" s="1"/>
      <c r="GLQ9" s="1"/>
      <c r="GLS9" s="1"/>
      <c r="GLU9" s="1"/>
      <c r="GLW9" s="1"/>
      <c r="GLY9" s="1"/>
      <c r="GMA9" s="1"/>
      <c r="GMC9" s="1"/>
      <c r="GME9" s="1"/>
      <c r="GMG9" s="1"/>
      <c r="GMI9" s="1"/>
      <c r="GMK9" s="1"/>
      <c r="GMM9" s="1"/>
      <c r="GMO9" s="1"/>
      <c r="GMQ9" s="1"/>
      <c r="GMS9" s="1"/>
      <c r="GMU9" s="1"/>
      <c r="GMW9" s="1"/>
      <c r="GMY9" s="1"/>
      <c r="GNA9" s="1"/>
      <c r="GNC9" s="1"/>
      <c r="GNE9" s="1"/>
      <c r="GNG9" s="1"/>
      <c r="GNI9" s="1"/>
      <c r="GNK9" s="1"/>
      <c r="GNM9" s="1"/>
      <c r="GNO9" s="1"/>
      <c r="GNQ9" s="1"/>
      <c r="GNS9" s="1"/>
      <c r="GNU9" s="1"/>
      <c r="GNW9" s="1"/>
      <c r="GNY9" s="1"/>
      <c r="GOA9" s="1"/>
      <c r="GOC9" s="1"/>
      <c r="GOE9" s="1"/>
      <c r="GOG9" s="1"/>
      <c r="GOI9" s="1"/>
      <c r="GOK9" s="1"/>
      <c r="GOM9" s="1"/>
      <c r="GOO9" s="1"/>
      <c r="GOQ9" s="1"/>
      <c r="GOS9" s="1"/>
      <c r="GOU9" s="1"/>
      <c r="GOW9" s="1"/>
      <c r="GOY9" s="1"/>
      <c r="GPA9" s="1"/>
      <c r="GPC9" s="1"/>
      <c r="GPE9" s="1"/>
      <c r="GPG9" s="1"/>
      <c r="GPI9" s="1"/>
      <c r="GPK9" s="1"/>
      <c r="GPM9" s="1"/>
      <c r="GPO9" s="1"/>
      <c r="GPQ9" s="1"/>
      <c r="GPS9" s="1"/>
      <c r="GPU9" s="1"/>
      <c r="GPW9" s="1"/>
      <c r="GPY9" s="1"/>
      <c r="GQA9" s="1"/>
      <c r="GQC9" s="1"/>
      <c r="GQE9" s="1"/>
      <c r="GQG9" s="1"/>
      <c r="GQI9" s="1"/>
      <c r="GQK9" s="1"/>
      <c r="GQM9" s="1"/>
      <c r="GQO9" s="1"/>
      <c r="GQQ9" s="1"/>
      <c r="GQS9" s="1"/>
      <c r="GQU9" s="1"/>
      <c r="GQW9" s="1"/>
      <c r="GQY9" s="1"/>
      <c r="GRA9" s="1"/>
      <c r="GRC9" s="1"/>
      <c r="GRE9" s="1"/>
      <c r="GRG9" s="1"/>
      <c r="GRI9" s="1"/>
      <c r="GRK9" s="1"/>
      <c r="GRM9" s="1"/>
      <c r="GRO9" s="1"/>
      <c r="GRQ9" s="1"/>
      <c r="GRS9" s="1"/>
      <c r="GRU9" s="1"/>
      <c r="GRW9" s="1"/>
      <c r="GRY9" s="1"/>
      <c r="GSA9" s="1"/>
      <c r="GSC9" s="1"/>
      <c r="GSE9" s="1"/>
      <c r="GSG9" s="1"/>
      <c r="GSI9" s="1"/>
      <c r="GSK9" s="1"/>
      <c r="GSM9" s="1"/>
      <c r="GSO9" s="1"/>
      <c r="GSQ9" s="1"/>
      <c r="GSS9" s="1"/>
      <c r="GSU9" s="1"/>
      <c r="GSW9" s="1"/>
      <c r="GSY9" s="1"/>
      <c r="GTA9" s="1"/>
      <c r="GTC9" s="1"/>
      <c r="GTE9" s="1"/>
      <c r="GTG9" s="1"/>
      <c r="GTI9" s="1"/>
      <c r="GTK9" s="1"/>
      <c r="GTM9" s="1"/>
      <c r="GTO9" s="1"/>
      <c r="GTQ9" s="1"/>
      <c r="GTS9" s="1"/>
      <c r="GTU9" s="1"/>
      <c r="GTW9" s="1"/>
      <c r="GTY9" s="1"/>
      <c r="GUA9" s="1"/>
      <c r="GUC9" s="1"/>
      <c r="GUE9" s="1"/>
      <c r="GUG9" s="1"/>
      <c r="GUI9" s="1"/>
      <c r="GUK9" s="1"/>
      <c r="GUM9" s="1"/>
      <c r="GUO9" s="1"/>
      <c r="GUQ9" s="1"/>
      <c r="GUS9" s="1"/>
      <c r="GUU9" s="1"/>
      <c r="GUW9" s="1"/>
      <c r="GUY9" s="1"/>
      <c r="GVA9" s="1"/>
      <c r="GVC9" s="1"/>
      <c r="GVE9" s="1"/>
      <c r="GVG9" s="1"/>
      <c r="GVI9" s="1"/>
      <c r="GVK9" s="1"/>
      <c r="GVM9" s="1"/>
      <c r="GVO9" s="1"/>
      <c r="GVQ9" s="1"/>
      <c r="GVS9" s="1"/>
      <c r="GVU9" s="1"/>
      <c r="GVW9" s="1"/>
      <c r="GVY9" s="1"/>
      <c r="GWA9" s="1"/>
      <c r="GWC9" s="1"/>
      <c r="GWE9" s="1"/>
      <c r="GWG9" s="1"/>
      <c r="GWI9" s="1"/>
      <c r="GWK9" s="1"/>
      <c r="GWM9" s="1"/>
      <c r="GWO9" s="1"/>
      <c r="GWQ9" s="1"/>
      <c r="GWS9" s="1"/>
      <c r="GWU9" s="1"/>
      <c r="GWW9" s="1"/>
      <c r="GWY9" s="1"/>
      <c r="GXA9" s="1"/>
      <c r="GXC9" s="1"/>
      <c r="GXE9" s="1"/>
      <c r="GXG9" s="1"/>
      <c r="GXI9" s="1"/>
      <c r="GXK9" s="1"/>
      <c r="GXM9" s="1"/>
      <c r="GXO9" s="1"/>
      <c r="GXQ9" s="1"/>
      <c r="GXS9" s="1"/>
      <c r="GXU9" s="1"/>
      <c r="GXW9" s="1"/>
      <c r="GXY9" s="1"/>
      <c r="GYA9" s="1"/>
      <c r="GYC9" s="1"/>
      <c r="GYE9" s="1"/>
      <c r="GYG9" s="1"/>
      <c r="GYI9" s="1"/>
      <c r="GYK9" s="1"/>
      <c r="GYM9" s="1"/>
      <c r="GYO9" s="1"/>
      <c r="GYQ9" s="1"/>
      <c r="GYS9" s="1"/>
      <c r="GYU9" s="1"/>
      <c r="GYW9" s="1"/>
      <c r="GYY9" s="1"/>
      <c r="GZA9" s="1"/>
      <c r="GZC9" s="1"/>
      <c r="GZE9" s="1"/>
      <c r="GZG9" s="1"/>
      <c r="GZI9" s="1"/>
      <c r="GZK9" s="1"/>
      <c r="GZM9" s="1"/>
      <c r="GZO9" s="1"/>
      <c r="GZQ9" s="1"/>
      <c r="GZS9" s="1"/>
      <c r="GZU9" s="1"/>
      <c r="GZW9" s="1"/>
      <c r="GZY9" s="1"/>
      <c r="HAA9" s="1"/>
      <c r="HAC9" s="1"/>
      <c r="HAE9" s="1"/>
      <c r="HAG9" s="1"/>
      <c r="HAI9" s="1"/>
      <c r="HAK9" s="1"/>
      <c r="HAM9" s="1"/>
      <c r="HAO9" s="1"/>
      <c r="HAQ9" s="1"/>
      <c r="HAS9" s="1"/>
      <c r="HAU9" s="1"/>
      <c r="HAW9" s="1"/>
      <c r="HAY9" s="1"/>
      <c r="HBA9" s="1"/>
      <c r="HBC9" s="1"/>
      <c r="HBE9" s="1"/>
      <c r="HBG9" s="1"/>
      <c r="HBI9" s="1"/>
      <c r="HBK9" s="1"/>
      <c r="HBM9" s="1"/>
      <c r="HBO9" s="1"/>
      <c r="HBQ9" s="1"/>
      <c r="HBS9" s="1"/>
      <c r="HBU9" s="1"/>
      <c r="HBW9" s="1"/>
      <c r="HBY9" s="1"/>
      <c r="HCA9" s="1"/>
      <c r="HCC9" s="1"/>
      <c r="HCE9" s="1"/>
      <c r="HCG9" s="1"/>
      <c r="HCI9" s="1"/>
      <c r="HCK9" s="1"/>
      <c r="HCM9" s="1"/>
      <c r="HCO9" s="1"/>
      <c r="HCQ9" s="1"/>
      <c r="HCS9" s="1"/>
      <c r="HCU9" s="1"/>
      <c r="HCW9" s="1"/>
      <c r="HCY9" s="1"/>
      <c r="HDA9" s="1"/>
      <c r="HDC9" s="1"/>
      <c r="HDE9" s="1"/>
      <c r="HDG9" s="1"/>
      <c r="HDI9" s="1"/>
      <c r="HDK9" s="1"/>
      <c r="HDM9" s="1"/>
      <c r="HDO9" s="1"/>
      <c r="HDQ9" s="1"/>
      <c r="HDS9" s="1"/>
      <c r="HDU9" s="1"/>
      <c r="HDW9" s="1"/>
      <c r="HDY9" s="1"/>
      <c r="HEA9" s="1"/>
      <c r="HEC9" s="1"/>
      <c r="HEE9" s="1"/>
      <c r="HEG9" s="1"/>
      <c r="HEI9" s="1"/>
      <c r="HEK9" s="1"/>
      <c r="HEM9" s="1"/>
      <c r="HEO9" s="1"/>
      <c r="HEQ9" s="1"/>
      <c r="HES9" s="1"/>
      <c r="HEU9" s="1"/>
      <c r="HEW9" s="1"/>
      <c r="HEY9" s="1"/>
      <c r="HFA9" s="1"/>
      <c r="HFC9" s="1"/>
      <c r="HFE9" s="1"/>
      <c r="HFG9" s="1"/>
      <c r="HFI9" s="1"/>
      <c r="HFK9" s="1"/>
      <c r="HFM9" s="1"/>
      <c r="HFO9" s="1"/>
      <c r="HFQ9" s="1"/>
      <c r="HFS9" s="1"/>
      <c r="HFU9" s="1"/>
      <c r="HFW9" s="1"/>
      <c r="HFY9" s="1"/>
      <c r="HGA9" s="1"/>
      <c r="HGC9" s="1"/>
      <c r="HGE9" s="1"/>
      <c r="HGG9" s="1"/>
      <c r="HGI9" s="1"/>
      <c r="HGK9" s="1"/>
      <c r="HGM9" s="1"/>
      <c r="HGO9" s="1"/>
      <c r="HGQ9" s="1"/>
      <c r="HGS9" s="1"/>
      <c r="HGU9" s="1"/>
      <c r="HGW9" s="1"/>
      <c r="HGY9" s="1"/>
      <c r="HHA9" s="1"/>
      <c r="HHC9" s="1"/>
      <c r="HHE9" s="1"/>
      <c r="HHG9" s="1"/>
      <c r="HHI9" s="1"/>
      <c r="HHK9" s="1"/>
      <c r="HHM9" s="1"/>
      <c r="HHO9" s="1"/>
      <c r="HHQ9" s="1"/>
      <c r="HHS9" s="1"/>
      <c r="HHU9" s="1"/>
      <c r="HHW9" s="1"/>
      <c r="HHY9" s="1"/>
      <c r="HIA9" s="1"/>
      <c r="HIC9" s="1"/>
      <c r="HIE9" s="1"/>
      <c r="HIG9" s="1"/>
      <c r="HII9" s="1"/>
      <c r="HIK9" s="1"/>
      <c r="HIM9" s="1"/>
      <c r="HIO9" s="1"/>
      <c r="HIQ9" s="1"/>
      <c r="HIS9" s="1"/>
      <c r="HIU9" s="1"/>
      <c r="HIW9" s="1"/>
      <c r="HIY9" s="1"/>
      <c r="HJA9" s="1"/>
      <c r="HJC9" s="1"/>
      <c r="HJE9" s="1"/>
      <c r="HJG9" s="1"/>
      <c r="HJI9" s="1"/>
      <c r="HJK9" s="1"/>
      <c r="HJM9" s="1"/>
      <c r="HJO9" s="1"/>
      <c r="HJQ9" s="1"/>
      <c r="HJS9" s="1"/>
      <c r="HJU9" s="1"/>
      <c r="HJW9" s="1"/>
      <c r="HJY9" s="1"/>
      <c r="HKA9" s="1"/>
      <c r="HKC9" s="1"/>
      <c r="HKE9" s="1"/>
      <c r="HKG9" s="1"/>
      <c r="HKI9" s="1"/>
      <c r="HKK9" s="1"/>
      <c r="HKM9" s="1"/>
      <c r="HKO9" s="1"/>
      <c r="HKQ9" s="1"/>
      <c r="HKS9" s="1"/>
      <c r="HKU9" s="1"/>
      <c r="HKW9" s="1"/>
      <c r="HKY9" s="1"/>
      <c r="HLA9" s="1"/>
      <c r="HLC9" s="1"/>
      <c r="HLE9" s="1"/>
      <c r="HLG9" s="1"/>
      <c r="HLI9" s="1"/>
      <c r="HLK9" s="1"/>
      <c r="HLM9" s="1"/>
      <c r="HLO9" s="1"/>
      <c r="HLQ9" s="1"/>
      <c r="HLS9" s="1"/>
      <c r="HLU9" s="1"/>
      <c r="HLW9" s="1"/>
      <c r="HLY9" s="1"/>
      <c r="HMA9" s="1"/>
      <c r="HMC9" s="1"/>
      <c r="HME9" s="1"/>
      <c r="HMG9" s="1"/>
      <c r="HMI9" s="1"/>
      <c r="HMK9" s="1"/>
      <c r="HMM9" s="1"/>
      <c r="HMO9" s="1"/>
      <c r="HMQ9" s="1"/>
      <c r="HMS9" s="1"/>
      <c r="HMU9" s="1"/>
      <c r="HMW9" s="1"/>
      <c r="HMY9" s="1"/>
      <c r="HNA9" s="1"/>
      <c r="HNC9" s="1"/>
      <c r="HNE9" s="1"/>
      <c r="HNG9" s="1"/>
      <c r="HNI9" s="1"/>
      <c r="HNK9" s="1"/>
      <c r="HNM9" s="1"/>
      <c r="HNO9" s="1"/>
      <c r="HNQ9" s="1"/>
      <c r="HNS9" s="1"/>
      <c r="HNU9" s="1"/>
      <c r="HNW9" s="1"/>
      <c r="HNY9" s="1"/>
      <c r="HOA9" s="1"/>
      <c r="HOC9" s="1"/>
      <c r="HOE9" s="1"/>
      <c r="HOG9" s="1"/>
      <c r="HOI9" s="1"/>
      <c r="HOK9" s="1"/>
      <c r="HOM9" s="1"/>
      <c r="HOO9" s="1"/>
      <c r="HOQ9" s="1"/>
      <c r="HOS9" s="1"/>
      <c r="HOU9" s="1"/>
      <c r="HOW9" s="1"/>
      <c r="HOY9" s="1"/>
      <c r="HPA9" s="1"/>
      <c r="HPC9" s="1"/>
      <c r="HPE9" s="1"/>
      <c r="HPG9" s="1"/>
      <c r="HPI9" s="1"/>
      <c r="HPK9" s="1"/>
      <c r="HPM9" s="1"/>
      <c r="HPO9" s="1"/>
      <c r="HPQ9" s="1"/>
      <c r="HPS9" s="1"/>
      <c r="HPU9" s="1"/>
      <c r="HPW9" s="1"/>
      <c r="HPY9" s="1"/>
      <c r="HQA9" s="1"/>
      <c r="HQC9" s="1"/>
      <c r="HQE9" s="1"/>
      <c r="HQG9" s="1"/>
      <c r="HQI9" s="1"/>
      <c r="HQK9" s="1"/>
      <c r="HQM9" s="1"/>
      <c r="HQO9" s="1"/>
      <c r="HQQ9" s="1"/>
      <c r="HQS9" s="1"/>
      <c r="HQU9" s="1"/>
      <c r="HQW9" s="1"/>
      <c r="HQY9" s="1"/>
      <c r="HRA9" s="1"/>
      <c r="HRC9" s="1"/>
      <c r="HRE9" s="1"/>
      <c r="HRG9" s="1"/>
      <c r="HRI9" s="1"/>
      <c r="HRK9" s="1"/>
      <c r="HRM9" s="1"/>
      <c r="HRO9" s="1"/>
      <c r="HRQ9" s="1"/>
      <c r="HRS9" s="1"/>
      <c r="HRU9" s="1"/>
      <c r="HRW9" s="1"/>
      <c r="HRY9" s="1"/>
      <c r="HSA9" s="1"/>
      <c r="HSC9" s="1"/>
      <c r="HSE9" s="1"/>
      <c r="HSG9" s="1"/>
      <c r="HSI9" s="1"/>
      <c r="HSK9" s="1"/>
      <c r="HSM9" s="1"/>
      <c r="HSO9" s="1"/>
      <c r="HSQ9" s="1"/>
      <c r="HSS9" s="1"/>
      <c r="HSU9" s="1"/>
      <c r="HSW9" s="1"/>
      <c r="HSY9" s="1"/>
      <c r="HTA9" s="1"/>
      <c r="HTC9" s="1"/>
      <c r="HTE9" s="1"/>
      <c r="HTG9" s="1"/>
      <c r="HTI9" s="1"/>
      <c r="HTK9" s="1"/>
      <c r="HTM9" s="1"/>
      <c r="HTO9" s="1"/>
      <c r="HTQ9" s="1"/>
      <c r="HTS9" s="1"/>
      <c r="HTU9" s="1"/>
      <c r="HTW9" s="1"/>
      <c r="HTY9" s="1"/>
      <c r="HUA9" s="1"/>
      <c r="HUC9" s="1"/>
      <c r="HUE9" s="1"/>
      <c r="HUG9" s="1"/>
      <c r="HUI9" s="1"/>
      <c r="HUK9" s="1"/>
      <c r="HUM9" s="1"/>
      <c r="HUO9" s="1"/>
      <c r="HUQ9" s="1"/>
      <c r="HUS9" s="1"/>
      <c r="HUU9" s="1"/>
      <c r="HUW9" s="1"/>
      <c r="HUY9" s="1"/>
      <c r="HVA9" s="1"/>
      <c r="HVC9" s="1"/>
      <c r="HVE9" s="1"/>
      <c r="HVG9" s="1"/>
      <c r="HVI9" s="1"/>
      <c r="HVK9" s="1"/>
      <c r="HVM9" s="1"/>
      <c r="HVO9" s="1"/>
      <c r="HVQ9" s="1"/>
      <c r="HVS9" s="1"/>
      <c r="HVU9" s="1"/>
      <c r="HVW9" s="1"/>
      <c r="HVY9" s="1"/>
      <c r="HWA9" s="1"/>
      <c r="HWC9" s="1"/>
      <c r="HWE9" s="1"/>
      <c r="HWG9" s="1"/>
      <c r="HWI9" s="1"/>
      <c r="HWK9" s="1"/>
      <c r="HWM9" s="1"/>
      <c r="HWO9" s="1"/>
      <c r="HWQ9" s="1"/>
      <c r="HWS9" s="1"/>
      <c r="HWU9" s="1"/>
      <c r="HWW9" s="1"/>
      <c r="HWY9" s="1"/>
      <c r="HXA9" s="1"/>
      <c r="HXC9" s="1"/>
      <c r="HXE9" s="1"/>
      <c r="HXG9" s="1"/>
      <c r="HXI9" s="1"/>
      <c r="HXK9" s="1"/>
      <c r="HXM9" s="1"/>
      <c r="HXO9" s="1"/>
      <c r="HXQ9" s="1"/>
      <c r="HXS9" s="1"/>
      <c r="HXU9" s="1"/>
      <c r="HXW9" s="1"/>
      <c r="HXY9" s="1"/>
      <c r="HYA9" s="1"/>
      <c r="HYC9" s="1"/>
      <c r="HYE9" s="1"/>
      <c r="HYG9" s="1"/>
      <c r="HYI9" s="1"/>
      <c r="HYK9" s="1"/>
      <c r="HYM9" s="1"/>
      <c r="HYO9" s="1"/>
      <c r="HYQ9" s="1"/>
      <c r="HYS9" s="1"/>
      <c r="HYU9" s="1"/>
      <c r="HYW9" s="1"/>
      <c r="HYY9" s="1"/>
      <c r="HZA9" s="1"/>
      <c r="HZC9" s="1"/>
      <c r="HZE9" s="1"/>
      <c r="HZG9" s="1"/>
      <c r="HZI9" s="1"/>
      <c r="HZK9" s="1"/>
      <c r="HZM9" s="1"/>
      <c r="HZO9" s="1"/>
      <c r="HZQ9" s="1"/>
      <c r="HZS9" s="1"/>
      <c r="HZU9" s="1"/>
      <c r="HZW9" s="1"/>
      <c r="HZY9" s="1"/>
      <c r="IAA9" s="1"/>
      <c r="IAC9" s="1"/>
      <c r="IAE9" s="1"/>
      <c r="IAG9" s="1"/>
      <c r="IAI9" s="1"/>
      <c r="IAK9" s="1"/>
      <c r="IAM9" s="1"/>
      <c r="IAO9" s="1"/>
      <c r="IAQ9" s="1"/>
      <c r="IAS9" s="1"/>
      <c r="IAU9" s="1"/>
      <c r="IAW9" s="1"/>
      <c r="IAY9" s="1"/>
      <c r="IBA9" s="1"/>
      <c r="IBC9" s="1"/>
      <c r="IBE9" s="1"/>
      <c r="IBG9" s="1"/>
      <c r="IBI9" s="1"/>
      <c r="IBK9" s="1"/>
      <c r="IBM9" s="1"/>
      <c r="IBO9" s="1"/>
      <c r="IBQ9" s="1"/>
      <c r="IBS9" s="1"/>
      <c r="IBU9" s="1"/>
      <c r="IBW9" s="1"/>
      <c r="IBY9" s="1"/>
      <c r="ICA9" s="1"/>
      <c r="ICC9" s="1"/>
      <c r="ICE9" s="1"/>
      <c r="ICG9" s="1"/>
      <c r="ICI9" s="1"/>
      <c r="ICK9" s="1"/>
      <c r="ICM9" s="1"/>
      <c r="ICO9" s="1"/>
      <c r="ICQ9" s="1"/>
      <c r="ICS9" s="1"/>
      <c r="ICU9" s="1"/>
      <c r="ICW9" s="1"/>
      <c r="ICY9" s="1"/>
      <c r="IDA9" s="1"/>
      <c r="IDC9" s="1"/>
      <c r="IDE9" s="1"/>
      <c r="IDG9" s="1"/>
      <c r="IDI9" s="1"/>
      <c r="IDK9" s="1"/>
      <c r="IDM9" s="1"/>
      <c r="IDO9" s="1"/>
      <c r="IDQ9" s="1"/>
      <c r="IDS9" s="1"/>
      <c r="IDU9" s="1"/>
      <c r="IDW9" s="1"/>
      <c r="IDY9" s="1"/>
      <c r="IEA9" s="1"/>
      <c r="IEC9" s="1"/>
      <c r="IEE9" s="1"/>
      <c r="IEG9" s="1"/>
      <c r="IEI9" s="1"/>
      <c r="IEK9" s="1"/>
      <c r="IEM9" s="1"/>
      <c r="IEO9" s="1"/>
      <c r="IEQ9" s="1"/>
      <c r="IES9" s="1"/>
      <c r="IEU9" s="1"/>
      <c r="IEW9" s="1"/>
      <c r="IEY9" s="1"/>
      <c r="IFA9" s="1"/>
      <c r="IFC9" s="1"/>
      <c r="IFE9" s="1"/>
      <c r="IFG9" s="1"/>
      <c r="IFI9" s="1"/>
      <c r="IFK9" s="1"/>
      <c r="IFM9" s="1"/>
      <c r="IFO9" s="1"/>
      <c r="IFQ9" s="1"/>
      <c r="IFS9" s="1"/>
      <c r="IFU9" s="1"/>
      <c r="IFW9" s="1"/>
      <c r="IFY9" s="1"/>
      <c r="IGA9" s="1"/>
      <c r="IGC9" s="1"/>
      <c r="IGE9" s="1"/>
      <c r="IGG9" s="1"/>
      <c r="IGI9" s="1"/>
      <c r="IGK9" s="1"/>
      <c r="IGM9" s="1"/>
      <c r="IGO9" s="1"/>
      <c r="IGQ9" s="1"/>
      <c r="IGS9" s="1"/>
      <c r="IGU9" s="1"/>
      <c r="IGW9" s="1"/>
      <c r="IGY9" s="1"/>
      <c r="IHA9" s="1"/>
      <c r="IHC9" s="1"/>
      <c r="IHE9" s="1"/>
      <c r="IHG9" s="1"/>
      <c r="IHI9" s="1"/>
      <c r="IHK9" s="1"/>
      <c r="IHM9" s="1"/>
      <c r="IHO9" s="1"/>
      <c r="IHQ9" s="1"/>
      <c r="IHS9" s="1"/>
      <c r="IHU9" s="1"/>
      <c r="IHW9" s="1"/>
      <c r="IHY9" s="1"/>
      <c r="IIA9" s="1"/>
      <c r="IIC9" s="1"/>
      <c r="IIE9" s="1"/>
      <c r="IIG9" s="1"/>
      <c r="III9" s="1"/>
      <c r="IIK9" s="1"/>
      <c r="IIM9" s="1"/>
      <c r="IIO9" s="1"/>
      <c r="IIQ9" s="1"/>
      <c r="IIS9" s="1"/>
      <c r="IIU9" s="1"/>
      <c r="IIW9" s="1"/>
      <c r="IIY9" s="1"/>
      <c r="IJA9" s="1"/>
      <c r="IJC9" s="1"/>
      <c r="IJE9" s="1"/>
      <c r="IJG9" s="1"/>
      <c r="IJI9" s="1"/>
      <c r="IJK9" s="1"/>
      <c r="IJM9" s="1"/>
      <c r="IJO9" s="1"/>
      <c r="IJQ9" s="1"/>
      <c r="IJS9" s="1"/>
      <c r="IJU9" s="1"/>
      <c r="IJW9" s="1"/>
      <c r="IJY9" s="1"/>
      <c r="IKA9" s="1"/>
      <c r="IKC9" s="1"/>
      <c r="IKE9" s="1"/>
      <c r="IKG9" s="1"/>
      <c r="IKI9" s="1"/>
      <c r="IKK9" s="1"/>
      <c r="IKM9" s="1"/>
      <c r="IKO9" s="1"/>
      <c r="IKQ9" s="1"/>
      <c r="IKS9" s="1"/>
      <c r="IKU9" s="1"/>
      <c r="IKW9" s="1"/>
      <c r="IKY9" s="1"/>
      <c r="ILA9" s="1"/>
      <c r="ILC9" s="1"/>
      <c r="ILE9" s="1"/>
      <c r="ILG9" s="1"/>
      <c r="ILI9" s="1"/>
      <c r="ILK9" s="1"/>
      <c r="ILM9" s="1"/>
      <c r="ILO9" s="1"/>
      <c r="ILQ9" s="1"/>
      <c r="ILS9" s="1"/>
      <c r="ILU9" s="1"/>
      <c r="ILW9" s="1"/>
      <c r="ILY9" s="1"/>
      <c r="IMA9" s="1"/>
      <c r="IMC9" s="1"/>
      <c r="IME9" s="1"/>
      <c r="IMG9" s="1"/>
      <c r="IMI9" s="1"/>
      <c r="IMK9" s="1"/>
      <c r="IMM9" s="1"/>
      <c r="IMO9" s="1"/>
      <c r="IMQ9" s="1"/>
      <c r="IMS9" s="1"/>
      <c r="IMU9" s="1"/>
      <c r="IMW9" s="1"/>
      <c r="IMY9" s="1"/>
      <c r="INA9" s="1"/>
      <c r="INC9" s="1"/>
      <c r="INE9" s="1"/>
      <c r="ING9" s="1"/>
      <c r="INI9" s="1"/>
      <c r="INK9" s="1"/>
      <c r="INM9" s="1"/>
      <c r="INO9" s="1"/>
      <c r="INQ9" s="1"/>
      <c r="INS9" s="1"/>
      <c r="INU9" s="1"/>
      <c r="INW9" s="1"/>
      <c r="INY9" s="1"/>
      <c r="IOA9" s="1"/>
      <c r="IOC9" s="1"/>
      <c r="IOE9" s="1"/>
      <c r="IOG9" s="1"/>
      <c r="IOI9" s="1"/>
      <c r="IOK9" s="1"/>
      <c r="IOM9" s="1"/>
      <c r="IOO9" s="1"/>
      <c r="IOQ9" s="1"/>
      <c r="IOS9" s="1"/>
      <c r="IOU9" s="1"/>
      <c r="IOW9" s="1"/>
      <c r="IOY9" s="1"/>
      <c r="IPA9" s="1"/>
      <c r="IPC9" s="1"/>
      <c r="IPE9" s="1"/>
      <c r="IPG9" s="1"/>
      <c r="IPI9" s="1"/>
      <c r="IPK9" s="1"/>
      <c r="IPM9" s="1"/>
      <c r="IPO9" s="1"/>
      <c r="IPQ9" s="1"/>
      <c r="IPS9" s="1"/>
      <c r="IPU9" s="1"/>
      <c r="IPW9" s="1"/>
      <c r="IPY9" s="1"/>
      <c r="IQA9" s="1"/>
      <c r="IQC9" s="1"/>
      <c r="IQE9" s="1"/>
      <c r="IQG9" s="1"/>
      <c r="IQI9" s="1"/>
      <c r="IQK9" s="1"/>
      <c r="IQM9" s="1"/>
      <c r="IQO9" s="1"/>
      <c r="IQQ9" s="1"/>
      <c r="IQS9" s="1"/>
      <c r="IQU9" s="1"/>
      <c r="IQW9" s="1"/>
      <c r="IQY9" s="1"/>
      <c r="IRA9" s="1"/>
      <c r="IRC9" s="1"/>
      <c r="IRE9" s="1"/>
      <c r="IRG9" s="1"/>
      <c r="IRI9" s="1"/>
      <c r="IRK9" s="1"/>
      <c r="IRM9" s="1"/>
      <c r="IRO9" s="1"/>
      <c r="IRQ9" s="1"/>
      <c r="IRS9" s="1"/>
      <c r="IRU9" s="1"/>
      <c r="IRW9" s="1"/>
      <c r="IRY9" s="1"/>
      <c r="ISA9" s="1"/>
      <c r="ISC9" s="1"/>
      <c r="ISE9" s="1"/>
      <c r="ISG9" s="1"/>
      <c r="ISI9" s="1"/>
      <c r="ISK9" s="1"/>
      <c r="ISM9" s="1"/>
      <c r="ISO9" s="1"/>
      <c r="ISQ9" s="1"/>
      <c r="ISS9" s="1"/>
      <c r="ISU9" s="1"/>
      <c r="ISW9" s="1"/>
      <c r="ISY9" s="1"/>
      <c r="ITA9" s="1"/>
      <c r="ITC9" s="1"/>
      <c r="ITE9" s="1"/>
      <c r="ITG9" s="1"/>
      <c r="ITI9" s="1"/>
      <c r="ITK9" s="1"/>
      <c r="ITM9" s="1"/>
      <c r="ITO9" s="1"/>
      <c r="ITQ9" s="1"/>
      <c r="ITS9" s="1"/>
      <c r="ITU9" s="1"/>
      <c r="ITW9" s="1"/>
      <c r="ITY9" s="1"/>
      <c r="IUA9" s="1"/>
      <c r="IUC9" s="1"/>
      <c r="IUE9" s="1"/>
      <c r="IUG9" s="1"/>
      <c r="IUI9" s="1"/>
      <c r="IUK9" s="1"/>
      <c r="IUM9" s="1"/>
      <c r="IUO9" s="1"/>
      <c r="IUQ9" s="1"/>
      <c r="IUS9" s="1"/>
      <c r="IUU9" s="1"/>
      <c r="IUW9" s="1"/>
      <c r="IUY9" s="1"/>
      <c r="IVA9" s="1"/>
      <c r="IVC9" s="1"/>
      <c r="IVE9" s="1"/>
      <c r="IVG9" s="1"/>
      <c r="IVI9" s="1"/>
      <c r="IVK9" s="1"/>
      <c r="IVM9" s="1"/>
      <c r="IVO9" s="1"/>
      <c r="IVQ9" s="1"/>
      <c r="IVS9" s="1"/>
      <c r="IVU9" s="1"/>
      <c r="IVW9" s="1"/>
      <c r="IVY9" s="1"/>
      <c r="IWA9" s="1"/>
      <c r="IWC9" s="1"/>
      <c r="IWE9" s="1"/>
      <c r="IWG9" s="1"/>
      <c r="IWI9" s="1"/>
      <c r="IWK9" s="1"/>
      <c r="IWM9" s="1"/>
      <c r="IWO9" s="1"/>
      <c r="IWQ9" s="1"/>
      <c r="IWS9" s="1"/>
      <c r="IWU9" s="1"/>
      <c r="IWW9" s="1"/>
      <c r="IWY9" s="1"/>
      <c r="IXA9" s="1"/>
      <c r="IXC9" s="1"/>
      <c r="IXE9" s="1"/>
      <c r="IXG9" s="1"/>
      <c r="IXI9" s="1"/>
      <c r="IXK9" s="1"/>
      <c r="IXM9" s="1"/>
      <c r="IXO9" s="1"/>
      <c r="IXQ9" s="1"/>
      <c r="IXS9" s="1"/>
      <c r="IXU9" s="1"/>
      <c r="IXW9" s="1"/>
      <c r="IXY9" s="1"/>
      <c r="IYA9" s="1"/>
      <c r="IYC9" s="1"/>
      <c r="IYE9" s="1"/>
      <c r="IYG9" s="1"/>
      <c r="IYI9" s="1"/>
      <c r="IYK9" s="1"/>
      <c r="IYM9" s="1"/>
      <c r="IYO9" s="1"/>
      <c r="IYQ9" s="1"/>
      <c r="IYS9" s="1"/>
      <c r="IYU9" s="1"/>
      <c r="IYW9" s="1"/>
      <c r="IYY9" s="1"/>
      <c r="IZA9" s="1"/>
      <c r="IZC9" s="1"/>
      <c r="IZE9" s="1"/>
      <c r="IZG9" s="1"/>
      <c r="IZI9" s="1"/>
      <c r="IZK9" s="1"/>
      <c r="IZM9" s="1"/>
      <c r="IZO9" s="1"/>
      <c r="IZQ9" s="1"/>
      <c r="IZS9" s="1"/>
      <c r="IZU9" s="1"/>
      <c r="IZW9" s="1"/>
      <c r="IZY9" s="1"/>
      <c r="JAA9" s="1"/>
      <c r="JAC9" s="1"/>
      <c r="JAE9" s="1"/>
      <c r="JAG9" s="1"/>
      <c r="JAI9" s="1"/>
      <c r="JAK9" s="1"/>
      <c r="JAM9" s="1"/>
      <c r="JAO9" s="1"/>
      <c r="JAQ9" s="1"/>
      <c r="JAS9" s="1"/>
      <c r="JAU9" s="1"/>
      <c r="JAW9" s="1"/>
      <c r="JAY9" s="1"/>
      <c r="JBA9" s="1"/>
      <c r="JBC9" s="1"/>
      <c r="JBE9" s="1"/>
      <c r="JBG9" s="1"/>
      <c r="JBI9" s="1"/>
      <c r="JBK9" s="1"/>
      <c r="JBM9" s="1"/>
      <c r="JBO9" s="1"/>
      <c r="JBQ9" s="1"/>
      <c r="JBS9" s="1"/>
      <c r="JBU9" s="1"/>
      <c r="JBW9" s="1"/>
      <c r="JBY9" s="1"/>
      <c r="JCA9" s="1"/>
      <c r="JCC9" s="1"/>
      <c r="JCE9" s="1"/>
      <c r="JCG9" s="1"/>
      <c r="JCI9" s="1"/>
      <c r="JCK9" s="1"/>
      <c r="JCM9" s="1"/>
      <c r="JCO9" s="1"/>
      <c r="JCQ9" s="1"/>
      <c r="JCS9" s="1"/>
      <c r="JCU9" s="1"/>
      <c r="JCW9" s="1"/>
      <c r="JCY9" s="1"/>
      <c r="JDA9" s="1"/>
      <c r="JDC9" s="1"/>
      <c r="JDE9" s="1"/>
      <c r="JDG9" s="1"/>
      <c r="JDI9" s="1"/>
      <c r="JDK9" s="1"/>
      <c r="JDM9" s="1"/>
      <c r="JDO9" s="1"/>
      <c r="JDQ9" s="1"/>
      <c r="JDS9" s="1"/>
      <c r="JDU9" s="1"/>
      <c r="JDW9" s="1"/>
      <c r="JDY9" s="1"/>
      <c r="JEA9" s="1"/>
      <c r="JEC9" s="1"/>
      <c r="JEE9" s="1"/>
      <c r="JEG9" s="1"/>
      <c r="JEI9" s="1"/>
      <c r="JEK9" s="1"/>
      <c r="JEM9" s="1"/>
      <c r="JEO9" s="1"/>
      <c r="JEQ9" s="1"/>
      <c r="JES9" s="1"/>
      <c r="JEU9" s="1"/>
      <c r="JEW9" s="1"/>
      <c r="JEY9" s="1"/>
      <c r="JFA9" s="1"/>
      <c r="JFC9" s="1"/>
      <c r="JFE9" s="1"/>
      <c r="JFG9" s="1"/>
      <c r="JFI9" s="1"/>
      <c r="JFK9" s="1"/>
      <c r="JFM9" s="1"/>
      <c r="JFO9" s="1"/>
      <c r="JFQ9" s="1"/>
      <c r="JFS9" s="1"/>
      <c r="JFU9" s="1"/>
      <c r="JFW9" s="1"/>
      <c r="JFY9" s="1"/>
      <c r="JGA9" s="1"/>
      <c r="JGC9" s="1"/>
      <c r="JGE9" s="1"/>
      <c r="JGG9" s="1"/>
      <c r="JGI9" s="1"/>
      <c r="JGK9" s="1"/>
      <c r="JGM9" s="1"/>
      <c r="JGO9" s="1"/>
      <c r="JGQ9" s="1"/>
      <c r="JGS9" s="1"/>
      <c r="JGU9" s="1"/>
      <c r="JGW9" s="1"/>
      <c r="JGY9" s="1"/>
      <c r="JHA9" s="1"/>
      <c r="JHC9" s="1"/>
      <c r="JHE9" s="1"/>
      <c r="JHG9" s="1"/>
      <c r="JHI9" s="1"/>
      <c r="JHK9" s="1"/>
      <c r="JHM9" s="1"/>
      <c r="JHO9" s="1"/>
      <c r="JHQ9" s="1"/>
      <c r="JHS9" s="1"/>
      <c r="JHU9" s="1"/>
      <c r="JHW9" s="1"/>
      <c r="JHY9" s="1"/>
      <c r="JIA9" s="1"/>
      <c r="JIC9" s="1"/>
      <c r="JIE9" s="1"/>
      <c r="JIG9" s="1"/>
      <c r="JII9" s="1"/>
      <c r="JIK9" s="1"/>
      <c r="JIM9" s="1"/>
      <c r="JIO9" s="1"/>
      <c r="JIQ9" s="1"/>
      <c r="JIS9" s="1"/>
      <c r="JIU9" s="1"/>
      <c r="JIW9" s="1"/>
      <c r="JIY9" s="1"/>
      <c r="JJA9" s="1"/>
      <c r="JJC9" s="1"/>
      <c r="JJE9" s="1"/>
      <c r="JJG9" s="1"/>
      <c r="JJI9" s="1"/>
      <c r="JJK9" s="1"/>
      <c r="JJM9" s="1"/>
      <c r="JJO9" s="1"/>
      <c r="JJQ9" s="1"/>
      <c r="JJS9" s="1"/>
      <c r="JJU9" s="1"/>
      <c r="JJW9" s="1"/>
      <c r="JJY9" s="1"/>
      <c r="JKA9" s="1"/>
      <c r="JKC9" s="1"/>
      <c r="JKE9" s="1"/>
      <c r="JKG9" s="1"/>
      <c r="JKI9" s="1"/>
      <c r="JKK9" s="1"/>
      <c r="JKM9" s="1"/>
      <c r="JKO9" s="1"/>
      <c r="JKQ9" s="1"/>
      <c r="JKS9" s="1"/>
      <c r="JKU9" s="1"/>
      <c r="JKW9" s="1"/>
      <c r="JKY9" s="1"/>
      <c r="JLA9" s="1"/>
      <c r="JLC9" s="1"/>
      <c r="JLE9" s="1"/>
      <c r="JLG9" s="1"/>
      <c r="JLI9" s="1"/>
      <c r="JLK9" s="1"/>
      <c r="JLM9" s="1"/>
      <c r="JLO9" s="1"/>
      <c r="JLQ9" s="1"/>
      <c r="JLS9" s="1"/>
      <c r="JLU9" s="1"/>
      <c r="JLW9" s="1"/>
      <c r="JLY9" s="1"/>
      <c r="JMA9" s="1"/>
      <c r="JMC9" s="1"/>
      <c r="JME9" s="1"/>
      <c r="JMG9" s="1"/>
      <c r="JMI9" s="1"/>
      <c r="JMK9" s="1"/>
      <c r="JMM9" s="1"/>
      <c r="JMO9" s="1"/>
      <c r="JMQ9" s="1"/>
      <c r="JMS9" s="1"/>
      <c r="JMU9" s="1"/>
      <c r="JMW9" s="1"/>
      <c r="JMY9" s="1"/>
      <c r="JNA9" s="1"/>
      <c r="JNC9" s="1"/>
      <c r="JNE9" s="1"/>
      <c r="JNG9" s="1"/>
      <c r="JNI9" s="1"/>
      <c r="JNK9" s="1"/>
      <c r="JNM9" s="1"/>
      <c r="JNO9" s="1"/>
      <c r="JNQ9" s="1"/>
      <c r="JNS9" s="1"/>
      <c r="JNU9" s="1"/>
      <c r="JNW9" s="1"/>
      <c r="JNY9" s="1"/>
      <c r="JOA9" s="1"/>
      <c r="JOC9" s="1"/>
      <c r="JOE9" s="1"/>
      <c r="JOG9" s="1"/>
      <c r="JOI9" s="1"/>
      <c r="JOK9" s="1"/>
      <c r="JOM9" s="1"/>
      <c r="JOO9" s="1"/>
      <c r="JOQ9" s="1"/>
      <c r="JOS9" s="1"/>
      <c r="JOU9" s="1"/>
      <c r="JOW9" s="1"/>
      <c r="JOY9" s="1"/>
      <c r="JPA9" s="1"/>
      <c r="JPC9" s="1"/>
      <c r="JPE9" s="1"/>
      <c r="JPG9" s="1"/>
      <c r="JPI9" s="1"/>
      <c r="JPK9" s="1"/>
      <c r="JPM9" s="1"/>
      <c r="JPO9" s="1"/>
      <c r="JPQ9" s="1"/>
      <c r="JPS9" s="1"/>
      <c r="JPU9" s="1"/>
      <c r="JPW9" s="1"/>
      <c r="JPY9" s="1"/>
      <c r="JQA9" s="1"/>
      <c r="JQC9" s="1"/>
      <c r="JQE9" s="1"/>
      <c r="JQG9" s="1"/>
      <c r="JQI9" s="1"/>
      <c r="JQK9" s="1"/>
      <c r="JQM9" s="1"/>
      <c r="JQO9" s="1"/>
      <c r="JQQ9" s="1"/>
      <c r="JQS9" s="1"/>
      <c r="JQU9" s="1"/>
      <c r="JQW9" s="1"/>
      <c r="JQY9" s="1"/>
      <c r="JRA9" s="1"/>
      <c r="JRC9" s="1"/>
      <c r="JRE9" s="1"/>
      <c r="JRG9" s="1"/>
      <c r="JRI9" s="1"/>
      <c r="JRK9" s="1"/>
      <c r="JRM9" s="1"/>
      <c r="JRO9" s="1"/>
      <c r="JRQ9" s="1"/>
      <c r="JRS9" s="1"/>
      <c r="JRU9" s="1"/>
      <c r="JRW9" s="1"/>
      <c r="JRY9" s="1"/>
      <c r="JSA9" s="1"/>
      <c r="JSC9" s="1"/>
      <c r="JSE9" s="1"/>
      <c r="JSG9" s="1"/>
      <c r="JSI9" s="1"/>
      <c r="JSK9" s="1"/>
      <c r="JSM9" s="1"/>
      <c r="JSO9" s="1"/>
      <c r="JSQ9" s="1"/>
      <c r="JSS9" s="1"/>
      <c r="JSU9" s="1"/>
      <c r="JSW9" s="1"/>
      <c r="JSY9" s="1"/>
      <c r="JTA9" s="1"/>
      <c r="JTC9" s="1"/>
      <c r="JTE9" s="1"/>
      <c r="JTG9" s="1"/>
      <c r="JTI9" s="1"/>
      <c r="JTK9" s="1"/>
      <c r="JTM9" s="1"/>
      <c r="JTO9" s="1"/>
      <c r="JTQ9" s="1"/>
      <c r="JTS9" s="1"/>
      <c r="JTU9" s="1"/>
      <c r="JTW9" s="1"/>
      <c r="JTY9" s="1"/>
      <c r="JUA9" s="1"/>
      <c r="JUC9" s="1"/>
      <c r="JUE9" s="1"/>
      <c r="JUG9" s="1"/>
      <c r="JUI9" s="1"/>
      <c r="JUK9" s="1"/>
      <c r="JUM9" s="1"/>
      <c r="JUO9" s="1"/>
      <c r="JUQ9" s="1"/>
      <c r="JUS9" s="1"/>
      <c r="JUU9" s="1"/>
      <c r="JUW9" s="1"/>
      <c r="JUY9" s="1"/>
      <c r="JVA9" s="1"/>
      <c r="JVC9" s="1"/>
      <c r="JVE9" s="1"/>
      <c r="JVG9" s="1"/>
      <c r="JVI9" s="1"/>
      <c r="JVK9" s="1"/>
      <c r="JVM9" s="1"/>
      <c r="JVO9" s="1"/>
      <c r="JVQ9" s="1"/>
      <c r="JVS9" s="1"/>
      <c r="JVU9" s="1"/>
      <c r="JVW9" s="1"/>
      <c r="JVY9" s="1"/>
      <c r="JWA9" s="1"/>
      <c r="JWC9" s="1"/>
      <c r="JWE9" s="1"/>
      <c r="JWG9" s="1"/>
      <c r="JWI9" s="1"/>
      <c r="JWK9" s="1"/>
      <c r="JWM9" s="1"/>
      <c r="JWO9" s="1"/>
      <c r="JWQ9" s="1"/>
      <c r="JWS9" s="1"/>
      <c r="JWU9" s="1"/>
      <c r="JWW9" s="1"/>
      <c r="JWY9" s="1"/>
      <c r="JXA9" s="1"/>
      <c r="JXC9" s="1"/>
      <c r="JXE9" s="1"/>
      <c r="JXG9" s="1"/>
      <c r="JXI9" s="1"/>
      <c r="JXK9" s="1"/>
      <c r="JXM9" s="1"/>
      <c r="JXO9" s="1"/>
      <c r="JXQ9" s="1"/>
      <c r="JXS9" s="1"/>
      <c r="JXU9" s="1"/>
      <c r="JXW9" s="1"/>
      <c r="JXY9" s="1"/>
      <c r="JYA9" s="1"/>
      <c r="JYC9" s="1"/>
      <c r="JYE9" s="1"/>
      <c r="JYG9" s="1"/>
      <c r="JYI9" s="1"/>
      <c r="JYK9" s="1"/>
      <c r="JYM9" s="1"/>
      <c r="JYO9" s="1"/>
      <c r="JYQ9" s="1"/>
      <c r="JYS9" s="1"/>
      <c r="JYU9" s="1"/>
      <c r="JYW9" s="1"/>
      <c r="JYY9" s="1"/>
      <c r="JZA9" s="1"/>
      <c r="JZC9" s="1"/>
      <c r="JZE9" s="1"/>
      <c r="JZG9" s="1"/>
      <c r="JZI9" s="1"/>
      <c r="JZK9" s="1"/>
      <c r="JZM9" s="1"/>
      <c r="JZO9" s="1"/>
      <c r="JZQ9" s="1"/>
      <c r="JZS9" s="1"/>
      <c r="JZU9" s="1"/>
      <c r="JZW9" s="1"/>
      <c r="JZY9" s="1"/>
      <c r="KAA9" s="1"/>
      <c r="KAC9" s="1"/>
      <c r="KAE9" s="1"/>
      <c r="KAG9" s="1"/>
      <c r="KAI9" s="1"/>
      <c r="KAK9" s="1"/>
      <c r="KAM9" s="1"/>
      <c r="KAO9" s="1"/>
      <c r="KAQ9" s="1"/>
      <c r="KAS9" s="1"/>
      <c r="KAU9" s="1"/>
      <c r="KAW9" s="1"/>
      <c r="KAY9" s="1"/>
      <c r="KBA9" s="1"/>
      <c r="KBC9" s="1"/>
      <c r="KBE9" s="1"/>
      <c r="KBG9" s="1"/>
      <c r="KBI9" s="1"/>
      <c r="KBK9" s="1"/>
      <c r="KBM9" s="1"/>
      <c r="KBO9" s="1"/>
      <c r="KBQ9" s="1"/>
      <c r="KBS9" s="1"/>
      <c r="KBU9" s="1"/>
      <c r="KBW9" s="1"/>
      <c r="KBY9" s="1"/>
      <c r="KCA9" s="1"/>
      <c r="KCC9" s="1"/>
      <c r="KCE9" s="1"/>
      <c r="KCG9" s="1"/>
      <c r="KCI9" s="1"/>
      <c r="KCK9" s="1"/>
      <c r="KCM9" s="1"/>
      <c r="KCO9" s="1"/>
      <c r="KCQ9" s="1"/>
      <c r="KCS9" s="1"/>
      <c r="KCU9" s="1"/>
      <c r="KCW9" s="1"/>
      <c r="KCY9" s="1"/>
      <c r="KDA9" s="1"/>
      <c r="KDC9" s="1"/>
      <c r="KDE9" s="1"/>
      <c r="KDG9" s="1"/>
      <c r="KDI9" s="1"/>
      <c r="KDK9" s="1"/>
      <c r="KDM9" s="1"/>
      <c r="KDO9" s="1"/>
      <c r="KDQ9" s="1"/>
      <c r="KDS9" s="1"/>
      <c r="KDU9" s="1"/>
      <c r="KDW9" s="1"/>
      <c r="KDY9" s="1"/>
      <c r="KEA9" s="1"/>
      <c r="KEC9" s="1"/>
      <c r="KEE9" s="1"/>
      <c r="KEG9" s="1"/>
      <c r="KEI9" s="1"/>
      <c r="KEK9" s="1"/>
      <c r="KEM9" s="1"/>
      <c r="KEO9" s="1"/>
      <c r="KEQ9" s="1"/>
      <c r="KES9" s="1"/>
      <c r="KEU9" s="1"/>
      <c r="KEW9" s="1"/>
      <c r="KEY9" s="1"/>
      <c r="KFA9" s="1"/>
      <c r="KFC9" s="1"/>
      <c r="KFE9" s="1"/>
      <c r="KFG9" s="1"/>
      <c r="KFI9" s="1"/>
      <c r="KFK9" s="1"/>
      <c r="KFM9" s="1"/>
      <c r="KFO9" s="1"/>
      <c r="KFQ9" s="1"/>
      <c r="KFS9" s="1"/>
      <c r="KFU9" s="1"/>
      <c r="KFW9" s="1"/>
      <c r="KFY9" s="1"/>
      <c r="KGA9" s="1"/>
      <c r="KGC9" s="1"/>
      <c r="KGE9" s="1"/>
      <c r="KGG9" s="1"/>
      <c r="KGI9" s="1"/>
      <c r="KGK9" s="1"/>
      <c r="KGM9" s="1"/>
      <c r="KGO9" s="1"/>
      <c r="KGQ9" s="1"/>
      <c r="KGS9" s="1"/>
      <c r="KGU9" s="1"/>
      <c r="KGW9" s="1"/>
      <c r="KGY9" s="1"/>
      <c r="KHA9" s="1"/>
      <c r="KHC9" s="1"/>
      <c r="KHE9" s="1"/>
      <c r="KHG9" s="1"/>
      <c r="KHI9" s="1"/>
      <c r="KHK9" s="1"/>
      <c r="KHM9" s="1"/>
      <c r="KHO9" s="1"/>
      <c r="KHQ9" s="1"/>
      <c r="KHS9" s="1"/>
      <c r="KHU9" s="1"/>
      <c r="KHW9" s="1"/>
      <c r="KHY9" s="1"/>
      <c r="KIA9" s="1"/>
      <c r="KIC9" s="1"/>
      <c r="KIE9" s="1"/>
      <c r="KIG9" s="1"/>
      <c r="KII9" s="1"/>
      <c r="KIK9" s="1"/>
      <c r="KIM9" s="1"/>
      <c r="KIO9" s="1"/>
      <c r="KIQ9" s="1"/>
      <c r="KIS9" s="1"/>
      <c r="KIU9" s="1"/>
      <c r="KIW9" s="1"/>
      <c r="KIY9" s="1"/>
      <c r="KJA9" s="1"/>
      <c r="KJC9" s="1"/>
      <c r="KJE9" s="1"/>
      <c r="KJG9" s="1"/>
      <c r="KJI9" s="1"/>
      <c r="KJK9" s="1"/>
      <c r="KJM9" s="1"/>
      <c r="KJO9" s="1"/>
      <c r="KJQ9" s="1"/>
      <c r="KJS9" s="1"/>
      <c r="KJU9" s="1"/>
      <c r="KJW9" s="1"/>
      <c r="KJY9" s="1"/>
      <c r="KKA9" s="1"/>
      <c r="KKC9" s="1"/>
      <c r="KKE9" s="1"/>
      <c r="KKG9" s="1"/>
      <c r="KKI9" s="1"/>
      <c r="KKK9" s="1"/>
      <c r="KKM9" s="1"/>
      <c r="KKO9" s="1"/>
      <c r="KKQ9" s="1"/>
      <c r="KKS9" s="1"/>
      <c r="KKU9" s="1"/>
      <c r="KKW9" s="1"/>
      <c r="KKY9" s="1"/>
      <c r="KLA9" s="1"/>
      <c r="KLC9" s="1"/>
      <c r="KLE9" s="1"/>
      <c r="KLG9" s="1"/>
      <c r="KLI9" s="1"/>
      <c r="KLK9" s="1"/>
      <c r="KLM9" s="1"/>
      <c r="KLO9" s="1"/>
      <c r="KLQ9" s="1"/>
      <c r="KLS9" s="1"/>
      <c r="KLU9" s="1"/>
      <c r="KLW9" s="1"/>
      <c r="KLY9" s="1"/>
      <c r="KMA9" s="1"/>
      <c r="KMC9" s="1"/>
      <c r="KME9" s="1"/>
      <c r="KMG9" s="1"/>
      <c r="KMI9" s="1"/>
      <c r="KMK9" s="1"/>
      <c r="KMM9" s="1"/>
      <c r="KMO9" s="1"/>
      <c r="KMQ9" s="1"/>
      <c r="KMS9" s="1"/>
      <c r="KMU9" s="1"/>
      <c r="KMW9" s="1"/>
      <c r="KMY9" s="1"/>
      <c r="KNA9" s="1"/>
      <c r="KNC9" s="1"/>
      <c r="KNE9" s="1"/>
      <c r="KNG9" s="1"/>
      <c r="KNI9" s="1"/>
      <c r="KNK9" s="1"/>
      <c r="KNM9" s="1"/>
      <c r="KNO9" s="1"/>
      <c r="KNQ9" s="1"/>
      <c r="KNS9" s="1"/>
      <c r="KNU9" s="1"/>
      <c r="KNW9" s="1"/>
      <c r="KNY9" s="1"/>
      <c r="KOA9" s="1"/>
      <c r="KOC9" s="1"/>
      <c r="KOE9" s="1"/>
      <c r="KOG9" s="1"/>
      <c r="KOI9" s="1"/>
      <c r="KOK9" s="1"/>
      <c r="KOM9" s="1"/>
      <c r="KOO9" s="1"/>
      <c r="KOQ9" s="1"/>
      <c r="KOS9" s="1"/>
      <c r="KOU9" s="1"/>
      <c r="KOW9" s="1"/>
      <c r="KOY9" s="1"/>
      <c r="KPA9" s="1"/>
      <c r="KPC9" s="1"/>
      <c r="KPE9" s="1"/>
      <c r="KPG9" s="1"/>
      <c r="KPI9" s="1"/>
      <c r="KPK9" s="1"/>
      <c r="KPM9" s="1"/>
      <c r="KPO9" s="1"/>
      <c r="KPQ9" s="1"/>
      <c r="KPS9" s="1"/>
      <c r="KPU9" s="1"/>
      <c r="KPW9" s="1"/>
      <c r="KPY9" s="1"/>
      <c r="KQA9" s="1"/>
      <c r="KQC9" s="1"/>
      <c r="KQE9" s="1"/>
      <c r="KQG9" s="1"/>
      <c r="KQI9" s="1"/>
      <c r="KQK9" s="1"/>
      <c r="KQM9" s="1"/>
      <c r="KQO9" s="1"/>
      <c r="KQQ9" s="1"/>
      <c r="KQS9" s="1"/>
      <c r="KQU9" s="1"/>
      <c r="KQW9" s="1"/>
      <c r="KQY9" s="1"/>
      <c r="KRA9" s="1"/>
      <c r="KRC9" s="1"/>
      <c r="KRE9" s="1"/>
      <c r="KRG9" s="1"/>
      <c r="KRI9" s="1"/>
      <c r="KRK9" s="1"/>
      <c r="KRM9" s="1"/>
      <c r="KRO9" s="1"/>
      <c r="KRQ9" s="1"/>
      <c r="KRS9" s="1"/>
      <c r="KRU9" s="1"/>
      <c r="KRW9" s="1"/>
      <c r="KRY9" s="1"/>
      <c r="KSA9" s="1"/>
      <c r="KSC9" s="1"/>
      <c r="KSE9" s="1"/>
      <c r="KSG9" s="1"/>
      <c r="KSI9" s="1"/>
      <c r="KSK9" s="1"/>
      <c r="KSM9" s="1"/>
      <c r="KSO9" s="1"/>
      <c r="KSQ9" s="1"/>
      <c r="KSS9" s="1"/>
      <c r="KSU9" s="1"/>
      <c r="KSW9" s="1"/>
      <c r="KSY9" s="1"/>
      <c r="KTA9" s="1"/>
      <c r="KTC9" s="1"/>
      <c r="KTE9" s="1"/>
      <c r="KTG9" s="1"/>
      <c r="KTI9" s="1"/>
      <c r="KTK9" s="1"/>
      <c r="KTM9" s="1"/>
      <c r="KTO9" s="1"/>
      <c r="KTQ9" s="1"/>
      <c r="KTS9" s="1"/>
      <c r="KTU9" s="1"/>
      <c r="KTW9" s="1"/>
      <c r="KTY9" s="1"/>
      <c r="KUA9" s="1"/>
      <c r="KUC9" s="1"/>
      <c r="KUE9" s="1"/>
      <c r="KUG9" s="1"/>
      <c r="KUI9" s="1"/>
      <c r="KUK9" s="1"/>
      <c r="KUM9" s="1"/>
      <c r="KUO9" s="1"/>
      <c r="KUQ9" s="1"/>
      <c r="KUS9" s="1"/>
      <c r="KUU9" s="1"/>
      <c r="KUW9" s="1"/>
      <c r="KUY9" s="1"/>
      <c r="KVA9" s="1"/>
      <c r="KVC9" s="1"/>
      <c r="KVE9" s="1"/>
      <c r="KVG9" s="1"/>
      <c r="KVI9" s="1"/>
      <c r="KVK9" s="1"/>
      <c r="KVM9" s="1"/>
      <c r="KVO9" s="1"/>
      <c r="KVQ9" s="1"/>
      <c r="KVS9" s="1"/>
      <c r="KVU9" s="1"/>
      <c r="KVW9" s="1"/>
      <c r="KVY9" s="1"/>
      <c r="KWA9" s="1"/>
      <c r="KWC9" s="1"/>
      <c r="KWE9" s="1"/>
      <c r="KWG9" s="1"/>
      <c r="KWI9" s="1"/>
      <c r="KWK9" s="1"/>
      <c r="KWM9" s="1"/>
      <c r="KWO9" s="1"/>
      <c r="KWQ9" s="1"/>
      <c r="KWS9" s="1"/>
      <c r="KWU9" s="1"/>
      <c r="KWW9" s="1"/>
      <c r="KWY9" s="1"/>
      <c r="KXA9" s="1"/>
      <c r="KXC9" s="1"/>
      <c r="KXE9" s="1"/>
      <c r="KXG9" s="1"/>
      <c r="KXI9" s="1"/>
      <c r="KXK9" s="1"/>
      <c r="KXM9" s="1"/>
      <c r="KXO9" s="1"/>
      <c r="KXQ9" s="1"/>
      <c r="KXS9" s="1"/>
      <c r="KXU9" s="1"/>
      <c r="KXW9" s="1"/>
      <c r="KXY9" s="1"/>
      <c r="KYA9" s="1"/>
      <c r="KYC9" s="1"/>
      <c r="KYE9" s="1"/>
      <c r="KYG9" s="1"/>
      <c r="KYI9" s="1"/>
      <c r="KYK9" s="1"/>
      <c r="KYM9" s="1"/>
      <c r="KYO9" s="1"/>
      <c r="KYQ9" s="1"/>
      <c r="KYS9" s="1"/>
      <c r="KYU9" s="1"/>
      <c r="KYW9" s="1"/>
      <c r="KYY9" s="1"/>
      <c r="KZA9" s="1"/>
      <c r="KZC9" s="1"/>
      <c r="KZE9" s="1"/>
      <c r="KZG9" s="1"/>
      <c r="KZI9" s="1"/>
      <c r="KZK9" s="1"/>
      <c r="KZM9" s="1"/>
      <c r="KZO9" s="1"/>
      <c r="KZQ9" s="1"/>
      <c r="KZS9" s="1"/>
      <c r="KZU9" s="1"/>
      <c r="KZW9" s="1"/>
      <c r="KZY9" s="1"/>
      <c r="LAA9" s="1"/>
      <c r="LAC9" s="1"/>
      <c r="LAE9" s="1"/>
      <c r="LAG9" s="1"/>
      <c r="LAI9" s="1"/>
      <c r="LAK9" s="1"/>
      <c r="LAM9" s="1"/>
      <c r="LAO9" s="1"/>
      <c r="LAQ9" s="1"/>
      <c r="LAS9" s="1"/>
      <c r="LAU9" s="1"/>
      <c r="LAW9" s="1"/>
      <c r="LAY9" s="1"/>
      <c r="LBA9" s="1"/>
      <c r="LBC9" s="1"/>
      <c r="LBE9" s="1"/>
      <c r="LBG9" s="1"/>
      <c r="LBI9" s="1"/>
      <c r="LBK9" s="1"/>
      <c r="LBM9" s="1"/>
      <c r="LBO9" s="1"/>
      <c r="LBQ9" s="1"/>
      <c r="LBS9" s="1"/>
      <c r="LBU9" s="1"/>
      <c r="LBW9" s="1"/>
      <c r="LBY9" s="1"/>
      <c r="LCA9" s="1"/>
      <c r="LCC9" s="1"/>
      <c r="LCE9" s="1"/>
      <c r="LCG9" s="1"/>
      <c r="LCI9" s="1"/>
      <c r="LCK9" s="1"/>
      <c r="LCM9" s="1"/>
      <c r="LCO9" s="1"/>
      <c r="LCQ9" s="1"/>
      <c r="LCS9" s="1"/>
      <c r="LCU9" s="1"/>
      <c r="LCW9" s="1"/>
      <c r="LCY9" s="1"/>
      <c r="LDA9" s="1"/>
      <c r="LDC9" s="1"/>
      <c r="LDE9" s="1"/>
      <c r="LDG9" s="1"/>
      <c r="LDI9" s="1"/>
      <c r="LDK9" s="1"/>
      <c r="LDM9" s="1"/>
      <c r="LDO9" s="1"/>
      <c r="LDQ9" s="1"/>
      <c r="LDS9" s="1"/>
      <c r="LDU9" s="1"/>
      <c r="LDW9" s="1"/>
      <c r="LDY9" s="1"/>
      <c r="LEA9" s="1"/>
      <c r="LEC9" s="1"/>
      <c r="LEE9" s="1"/>
      <c r="LEG9" s="1"/>
      <c r="LEI9" s="1"/>
      <c r="LEK9" s="1"/>
      <c r="LEM9" s="1"/>
      <c r="LEO9" s="1"/>
      <c r="LEQ9" s="1"/>
      <c r="LES9" s="1"/>
      <c r="LEU9" s="1"/>
      <c r="LEW9" s="1"/>
      <c r="LEY9" s="1"/>
      <c r="LFA9" s="1"/>
      <c r="LFC9" s="1"/>
      <c r="LFE9" s="1"/>
      <c r="LFG9" s="1"/>
      <c r="LFI9" s="1"/>
      <c r="LFK9" s="1"/>
      <c r="LFM9" s="1"/>
      <c r="LFO9" s="1"/>
      <c r="LFQ9" s="1"/>
      <c r="LFS9" s="1"/>
      <c r="LFU9" s="1"/>
      <c r="LFW9" s="1"/>
      <c r="LFY9" s="1"/>
      <c r="LGA9" s="1"/>
      <c r="LGC9" s="1"/>
      <c r="LGE9" s="1"/>
      <c r="LGG9" s="1"/>
      <c r="LGI9" s="1"/>
      <c r="LGK9" s="1"/>
      <c r="LGM9" s="1"/>
      <c r="LGO9" s="1"/>
      <c r="LGQ9" s="1"/>
      <c r="LGS9" s="1"/>
      <c r="LGU9" s="1"/>
      <c r="LGW9" s="1"/>
      <c r="LGY9" s="1"/>
      <c r="LHA9" s="1"/>
      <c r="LHC9" s="1"/>
      <c r="LHE9" s="1"/>
      <c r="LHG9" s="1"/>
      <c r="LHI9" s="1"/>
      <c r="LHK9" s="1"/>
      <c r="LHM9" s="1"/>
      <c r="LHO9" s="1"/>
      <c r="LHQ9" s="1"/>
      <c r="LHS9" s="1"/>
      <c r="LHU9" s="1"/>
      <c r="LHW9" s="1"/>
      <c r="LHY9" s="1"/>
      <c r="LIA9" s="1"/>
      <c r="LIC9" s="1"/>
      <c r="LIE9" s="1"/>
      <c r="LIG9" s="1"/>
      <c r="LII9" s="1"/>
      <c r="LIK9" s="1"/>
      <c r="LIM9" s="1"/>
      <c r="LIO9" s="1"/>
      <c r="LIQ9" s="1"/>
      <c r="LIS9" s="1"/>
      <c r="LIU9" s="1"/>
      <c r="LIW9" s="1"/>
      <c r="LIY9" s="1"/>
      <c r="LJA9" s="1"/>
      <c r="LJC9" s="1"/>
      <c r="LJE9" s="1"/>
      <c r="LJG9" s="1"/>
      <c r="LJI9" s="1"/>
      <c r="LJK9" s="1"/>
      <c r="LJM9" s="1"/>
      <c r="LJO9" s="1"/>
      <c r="LJQ9" s="1"/>
      <c r="LJS9" s="1"/>
      <c r="LJU9" s="1"/>
      <c r="LJW9" s="1"/>
      <c r="LJY9" s="1"/>
      <c r="LKA9" s="1"/>
      <c r="LKC9" s="1"/>
      <c r="LKE9" s="1"/>
      <c r="LKG9" s="1"/>
      <c r="LKI9" s="1"/>
      <c r="LKK9" s="1"/>
      <c r="LKM9" s="1"/>
      <c r="LKO9" s="1"/>
      <c r="LKQ9" s="1"/>
      <c r="LKS9" s="1"/>
      <c r="LKU9" s="1"/>
      <c r="LKW9" s="1"/>
      <c r="LKY9" s="1"/>
      <c r="LLA9" s="1"/>
      <c r="LLC9" s="1"/>
      <c r="LLE9" s="1"/>
      <c r="LLG9" s="1"/>
      <c r="LLI9" s="1"/>
      <c r="LLK9" s="1"/>
      <c r="LLM9" s="1"/>
      <c r="LLO9" s="1"/>
      <c r="LLQ9" s="1"/>
      <c r="LLS9" s="1"/>
      <c r="LLU9" s="1"/>
      <c r="LLW9" s="1"/>
      <c r="LLY9" s="1"/>
      <c r="LMA9" s="1"/>
      <c r="LMC9" s="1"/>
      <c r="LME9" s="1"/>
      <c r="LMG9" s="1"/>
      <c r="LMI9" s="1"/>
      <c r="LMK9" s="1"/>
      <c r="LMM9" s="1"/>
      <c r="LMO9" s="1"/>
      <c r="LMQ9" s="1"/>
      <c r="LMS9" s="1"/>
      <c r="LMU9" s="1"/>
      <c r="LMW9" s="1"/>
      <c r="LMY9" s="1"/>
      <c r="LNA9" s="1"/>
      <c r="LNC9" s="1"/>
      <c r="LNE9" s="1"/>
      <c r="LNG9" s="1"/>
      <c r="LNI9" s="1"/>
      <c r="LNK9" s="1"/>
      <c r="LNM9" s="1"/>
      <c r="LNO9" s="1"/>
      <c r="LNQ9" s="1"/>
      <c r="LNS9" s="1"/>
      <c r="LNU9" s="1"/>
      <c r="LNW9" s="1"/>
      <c r="LNY9" s="1"/>
      <c r="LOA9" s="1"/>
      <c r="LOC9" s="1"/>
      <c r="LOE9" s="1"/>
      <c r="LOG9" s="1"/>
      <c r="LOI9" s="1"/>
      <c r="LOK9" s="1"/>
      <c r="LOM9" s="1"/>
      <c r="LOO9" s="1"/>
      <c r="LOQ9" s="1"/>
      <c r="LOS9" s="1"/>
      <c r="LOU9" s="1"/>
      <c r="LOW9" s="1"/>
      <c r="LOY9" s="1"/>
      <c r="LPA9" s="1"/>
      <c r="LPC9" s="1"/>
      <c r="LPE9" s="1"/>
      <c r="LPG9" s="1"/>
      <c r="LPI9" s="1"/>
      <c r="LPK9" s="1"/>
      <c r="LPM9" s="1"/>
      <c r="LPO9" s="1"/>
      <c r="LPQ9" s="1"/>
      <c r="LPS9" s="1"/>
      <c r="LPU9" s="1"/>
      <c r="LPW9" s="1"/>
      <c r="LPY9" s="1"/>
      <c r="LQA9" s="1"/>
      <c r="LQC9" s="1"/>
      <c r="LQE9" s="1"/>
      <c r="LQG9" s="1"/>
      <c r="LQI9" s="1"/>
      <c r="LQK9" s="1"/>
      <c r="LQM9" s="1"/>
      <c r="LQO9" s="1"/>
      <c r="LQQ9" s="1"/>
      <c r="LQS9" s="1"/>
      <c r="LQU9" s="1"/>
      <c r="LQW9" s="1"/>
      <c r="LQY9" s="1"/>
      <c r="LRA9" s="1"/>
      <c r="LRC9" s="1"/>
      <c r="LRE9" s="1"/>
      <c r="LRG9" s="1"/>
      <c r="LRI9" s="1"/>
      <c r="LRK9" s="1"/>
      <c r="LRM9" s="1"/>
      <c r="LRO9" s="1"/>
      <c r="LRQ9" s="1"/>
      <c r="LRS9" s="1"/>
      <c r="LRU9" s="1"/>
      <c r="LRW9" s="1"/>
      <c r="LRY9" s="1"/>
      <c r="LSA9" s="1"/>
      <c r="LSC9" s="1"/>
      <c r="LSE9" s="1"/>
      <c r="LSG9" s="1"/>
      <c r="LSI9" s="1"/>
      <c r="LSK9" s="1"/>
      <c r="LSM9" s="1"/>
      <c r="LSO9" s="1"/>
      <c r="LSQ9" s="1"/>
      <c r="LSS9" s="1"/>
      <c r="LSU9" s="1"/>
      <c r="LSW9" s="1"/>
      <c r="LSY9" s="1"/>
      <c r="LTA9" s="1"/>
      <c r="LTC9" s="1"/>
      <c r="LTE9" s="1"/>
      <c r="LTG9" s="1"/>
      <c r="LTI9" s="1"/>
      <c r="LTK9" s="1"/>
      <c r="LTM9" s="1"/>
      <c r="LTO9" s="1"/>
      <c r="LTQ9" s="1"/>
      <c r="LTS9" s="1"/>
      <c r="LTU9" s="1"/>
      <c r="LTW9" s="1"/>
      <c r="LTY9" s="1"/>
      <c r="LUA9" s="1"/>
      <c r="LUC9" s="1"/>
      <c r="LUE9" s="1"/>
      <c r="LUG9" s="1"/>
      <c r="LUI9" s="1"/>
      <c r="LUK9" s="1"/>
      <c r="LUM9" s="1"/>
      <c r="LUO9" s="1"/>
      <c r="LUQ9" s="1"/>
      <c r="LUS9" s="1"/>
      <c r="LUU9" s="1"/>
      <c r="LUW9" s="1"/>
      <c r="LUY9" s="1"/>
      <c r="LVA9" s="1"/>
      <c r="LVC9" s="1"/>
      <c r="LVE9" s="1"/>
      <c r="LVG9" s="1"/>
      <c r="LVI9" s="1"/>
      <c r="LVK9" s="1"/>
      <c r="LVM9" s="1"/>
      <c r="LVO9" s="1"/>
      <c r="LVQ9" s="1"/>
      <c r="LVS9" s="1"/>
      <c r="LVU9" s="1"/>
      <c r="LVW9" s="1"/>
      <c r="LVY9" s="1"/>
      <c r="LWA9" s="1"/>
      <c r="LWC9" s="1"/>
      <c r="LWE9" s="1"/>
      <c r="LWG9" s="1"/>
      <c r="LWI9" s="1"/>
      <c r="LWK9" s="1"/>
      <c r="LWM9" s="1"/>
      <c r="LWO9" s="1"/>
      <c r="LWQ9" s="1"/>
      <c r="LWS9" s="1"/>
      <c r="LWU9" s="1"/>
      <c r="LWW9" s="1"/>
      <c r="LWY9" s="1"/>
      <c r="LXA9" s="1"/>
      <c r="LXC9" s="1"/>
      <c r="LXE9" s="1"/>
      <c r="LXG9" s="1"/>
      <c r="LXI9" s="1"/>
      <c r="LXK9" s="1"/>
      <c r="LXM9" s="1"/>
      <c r="LXO9" s="1"/>
      <c r="LXQ9" s="1"/>
      <c r="LXS9" s="1"/>
      <c r="LXU9" s="1"/>
      <c r="LXW9" s="1"/>
      <c r="LXY9" s="1"/>
      <c r="LYA9" s="1"/>
      <c r="LYC9" s="1"/>
      <c r="LYE9" s="1"/>
      <c r="LYG9" s="1"/>
      <c r="LYI9" s="1"/>
      <c r="LYK9" s="1"/>
      <c r="LYM9" s="1"/>
      <c r="LYO9" s="1"/>
      <c r="LYQ9" s="1"/>
      <c r="LYS9" s="1"/>
      <c r="LYU9" s="1"/>
      <c r="LYW9" s="1"/>
      <c r="LYY9" s="1"/>
      <c r="LZA9" s="1"/>
      <c r="LZC9" s="1"/>
      <c r="LZE9" s="1"/>
      <c r="LZG9" s="1"/>
      <c r="LZI9" s="1"/>
      <c r="LZK9" s="1"/>
      <c r="LZM9" s="1"/>
      <c r="LZO9" s="1"/>
      <c r="LZQ9" s="1"/>
      <c r="LZS9" s="1"/>
      <c r="LZU9" s="1"/>
      <c r="LZW9" s="1"/>
      <c r="LZY9" s="1"/>
      <c r="MAA9" s="1"/>
      <c r="MAC9" s="1"/>
      <c r="MAE9" s="1"/>
      <c r="MAG9" s="1"/>
      <c r="MAI9" s="1"/>
      <c r="MAK9" s="1"/>
      <c r="MAM9" s="1"/>
      <c r="MAO9" s="1"/>
      <c r="MAQ9" s="1"/>
      <c r="MAS9" s="1"/>
      <c r="MAU9" s="1"/>
      <c r="MAW9" s="1"/>
      <c r="MAY9" s="1"/>
      <c r="MBA9" s="1"/>
      <c r="MBC9" s="1"/>
      <c r="MBE9" s="1"/>
      <c r="MBG9" s="1"/>
      <c r="MBI9" s="1"/>
      <c r="MBK9" s="1"/>
      <c r="MBM9" s="1"/>
      <c r="MBO9" s="1"/>
      <c r="MBQ9" s="1"/>
      <c r="MBS9" s="1"/>
      <c r="MBU9" s="1"/>
      <c r="MBW9" s="1"/>
      <c r="MBY9" s="1"/>
      <c r="MCA9" s="1"/>
      <c r="MCC9" s="1"/>
      <c r="MCE9" s="1"/>
      <c r="MCG9" s="1"/>
      <c r="MCI9" s="1"/>
      <c r="MCK9" s="1"/>
      <c r="MCM9" s="1"/>
      <c r="MCO9" s="1"/>
      <c r="MCQ9" s="1"/>
      <c r="MCS9" s="1"/>
      <c r="MCU9" s="1"/>
      <c r="MCW9" s="1"/>
      <c r="MCY9" s="1"/>
      <c r="MDA9" s="1"/>
      <c r="MDC9" s="1"/>
      <c r="MDE9" s="1"/>
      <c r="MDG9" s="1"/>
      <c r="MDI9" s="1"/>
      <c r="MDK9" s="1"/>
      <c r="MDM9" s="1"/>
      <c r="MDO9" s="1"/>
      <c r="MDQ9" s="1"/>
      <c r="MDS9" s="1"/>
      <c r="MDU9" s="1"/>
      <c r="MDW9" s="1"/>
      <c r="MDY9" s="1"/>
      <c r="MEA9" s="1"/>
      <c r="MEC9" s="1"/>
      <c r="MEE9" s="1"/>
      <c r="MEG9" s="1"/>
      <c r="MEI9" s="1"/>
      <c r="MEK9" s="1"/>
      <c r="MEM9" s="1"/>
      <c r="MEO9" s="1"/>
      <c r="MEQ9" s="1"/>
      <c r="MES9" s="1"/>
      <c r="MEU9" s="1"/>
      <c r="MEW9" s="1"/>
      <c r="MEY9" s="1"/>
      <c r="MFA9" s="1"/>
      <c r="MFC9" s="1"/>
      <c r="MFE9" s="1"/>
      <c r="MFG9" s="1"/>
      <c r="MFI9" s="1"/>
      <c r="MFK9" s="1"/>
      <c r="MFM9" s="1"/>
      <c r="MFO9" s="1"/>
      <c r="MFQ9" s="1"/>
      <c r="MFS9" s="1"/>
      <c r="MFU9" s="1"/>
      <c r="MFW9" s="1"/>
      <c r="MFY9" s="1"/>
      <c r="MGA9" s="1"/>
      <c r="MGC9" s="1"/>
      <c r="MGE9" s="1"/>
      <c r="MGG9" s="1"/>
      <c r="MGI9" s="1"/>
      <c r="MGK9" s="1"/>
      <c r="MGM9" s="1"/>
      <c r="MGO9" s="1"/>
      <c r="MGQ9" s="1"/>
      <c r="MGS9" s="1"/>
      <c r="MGU9" s="1"/>
      <c r="MGW9" s="1"/>
      <c r="MGY9" s="1"/>
      <c r="MHA9" s="1"/>
      <c r="MHC9" s="1"/>
      <c r="MHE9" s="1"/>
      <c r="MHG9" s="1"/>
      <c r="MHI9" s="1"/>
      <c r="MHK9" s="1"/>
      <c r="MHM9" s="1"/>
      <c r="MHO9" s="1"/>
      <c r="MHQ9" s="1"/>
      <c r="MHS9" s="1"/>
      <c r="MHU9" s="1"/>
      <c r="MHW9" s="1"/>
      <c r="MHY9" s="1"/>
      <c r="MIA9" s="1"/>
      <c r="MIC9" s="1"/>
      <c r="MIE9" s="1"/>
      <c r="MIG9" s="1"/>
      <c r="MII9" s="1"/>
      <c r="MIK9" s="1"/>
      <c r="MIM9" s="1"/>
      <c r="MIO9" s="1"/>
      <c r="MIQ9" s="1"/>
      <c r="MIS9" s="1"/>
      <c r="MIU9" s="1"/>
      <c r="MIW9" s="1"/>
      <c r="MIY9" s="1"/>
      <c r="MJA9" s="1"/>
      <c r="MJC9" s="1"/>
      <c r="MJE9" s="1"/>
      <c r="MJG9" s="1"/>
      <c r="MJI9" s="1"/>
      <c r="MJK9" s="1"/>
      <c r="MJM9" s="1"/>
      <c r="MJO9" s="1"/>
      <c r="MJQ9" s="1"/>
      <c r="MJS9" s="1"/>
      <c r="MJU9" s="1"/>
      <c r="MJW9" s="1"/>
      <c r="MJY9" s="1"/>
      <c r="MKA9" s="1"/>
      <c r="MKC9" s="1"/>
      <c r="MKE9" s="1"/>
      <c r="MKG9" s="1"/>
      <c r="MKI9" s="1"/>
      <c r="MKK9" s="1"/>
      <c r="MKM9" s="1"/>
      <c r="MKO9" s="1"/>
      <c r="MKQ9" s="1"/>
      <c r="MKS9" s="1"/>
      <c r="MKU9" s="1"/>
      <c r="MKW9" s="1"/>
      <c r="MKY9" s="1"/>
      <c r="MLA9" s="1"/>
      <c r="MLC9" s="1"/>
      <c r="MLE9" s="1"/>
      <c r="MLG9" s="1"/>
      <c r="MLI9" s="1"/>
      <c r="MLK9" s="1"/>
      <c r="MLM9" s="1"/>
      <c r="MLO9" s="1"/>
      <c r="MLQ9" s="1"/>
      <c r="MLS9" s="1"/>
      <c r="MLU9" s="1"/>
      <c r="MLW9" s="1"/>
      <c r="MLY9" s="1"/>
      <c r="MMA9" s="1"/>
      <c r="MMC9" s="1"/>
      <c r="MME9" s="1"/>
      <c r="MMG9" s="1"/>
      <c r="MMI9" s="1"/>
      <c r="MMK9" s="1"/>
      <c r="MMM9" s="1"/>
      <c r="MMO9" s="1"/>
      <c r="MMQ9" s="1"/>
      <c r="MMS9" s="1"/>
      <c r="MMU9" s="1"/>
      <c r="MMW9" s="1"/>
      <c r="MMY9" s="1"/>
      <c r="MNA9" s="1"/>
      <c r="MNC9" s="1"/>
      <c r="MNE9" s="1"/>
      <c r="MNG9" s="1"/>
      <c r="MNI9" s="1"/>
      <c r="MNK9" s="1"/>
      <c r="MNM9" s="1"/>
      <c r="MNO9" s="1"/>
      <c r="MNQ9" s="1"/>
      <c r="MNS9" s="1"/>
      <c r="MNU9" s="1"/>
      <c r="MNW9" s="1"/>
      <c r="MNY9" s="1"/>
      <c r="MOA9" s="1"/>
      <c r="MOC9" s="1"/>
      <c r="MOE9" s="1"/>
      <c r="MOG9" s="1"/>
      <c r="MOI9" s="1"/>
      <c r="MOK9" s="1"/>
      <c r="MOM9" s="1"/>
      <c r="MOO9" s="1"/>
      <c r="MOQ9" s="1"/>
      <c r="MOS9" s="1"/>
      <c r="MOU9" s="1"/>
      <c r="MOW9" s="1"/>
      <c r="MOY9" s="1"/>
      <c r="MPA9" s="1"/>
      <c r="MPC9" s="1"/>
      <c r="MPE9" s="1"/>
      <c r="MPG9" s="1"/>
      <c r="MPI9" s="1"/>
      <c r="MPK9" s="1"/>
      <c r="MPM9" s="1"/>
      <c r="MPO9" s="1"/>
      <c r="MPQ9" s="1"/>
      <c r="MPS9" s="1"/>
      <c r="MPU9" s="1"/>
      <c r="MPW9" s="1"/>
      <c r="MPY9" s="1"/>
      <c r="MQA9" s="1"/>
      <c r="MQC9" s="1"/>
      <c r="MQE9" s="1"/>
      <c r="MQG9" s="1"/>
      <c r="MQI9" s="1"/>
      <c r="MQK9" s="1"/>
      <c r="MQM9" s="1"/>
      <c r="MQO9" s="1"/>
      <c r="MQQ9" s="1"/>
      <c r="MQS9" s="1"/>
      <c r="MQU9" s="1"/>
      <c r="MQW9" s="1"/>
      <c r="MQY9" s="1"/>
      <c r="MRA9" s="1"/>
      <c r="MRC9" s="1"/>
      <c r="MRE9" s="1"/>
      <c r="MRG9" s="1"/>
      <c r="MRI9" s="1"/>
      <c r="MRK9" s="1"/>
      <c r="MRM9" s="1"/>
      <c r="MRO9" s="1"/>
      <c r="MRQ9" s="1"/>
      <c r="MRS9" s="1"/>
      <c r="MRU9" s="1"/>
      <c r="MRW9" s="1"/>
      <c r="MRY9" s="1"/>
      <c r="MSA9" s="1"/>
      <c r="MSC9" s="1"/>
      <c r="MSE9" s="1"/>
      <c r="MSG9" s="1"/>
      <c r="MSI9" s="1"/>
      <c r="MSK9" s="1"/>
      <c r="MSM9" s="1"/>
      <c r="MSO9" s="1"/>
      <c r="MSQ9" s="1"/>
      <c r="MSS9" s="1"/>
      <c r="MSU9" s="1"/>
      <c r="MSW9" s="1"/>
      <c r="MSY9" s="1"/>
      <c r="MTA9" s="1"/>
      <c r="MTC9" s="1"/>
      <c r="MTE9" s="1"/>
      <c r="MTG9" s="1"/>
      <c r="MTI9" s="1"/>
      <c r="MTK9" s="1"/>
      <c r="MTM9" s="1"/>
      <c r="MTO9" s="1"/>
      <c r="MTQ9" s="1"/>
      <c r="MTS9" s="1"/>
      <c r="MTU9" s="1"/>
      <c r="MTW9" s="1"/>
      <c r="MTY9" s="1"/>
      <c r="MUA9" s="1"/>
      <c r="MUC9" s="1"/>
      <c r="MUE9" s="1"/>
      <c r="MUG9" s="1"/>
      <c r="MUI9" s="1"/>
      <c r="MUK9" s="1"/>
      <c r="MUM9" s="1"/>
      <c r="MUO9" s="1"/>
      <c r="MUQ9" s="1"/>
      <c r="MUS9" s="1"/>
      <c r="MUU9" s="1"/>
      <c r="MUW9" s="1"/>
      <c r="MUY9" s="1"/>
      <c r="MVA9" s="1"/>
      <c r="MVC9" s="1"/>
      <c r="MVE9" s="1"/>
      <c r="MVG9" s="1"/>
      <c r="MVI9" s="1"/>
      <c r="MVK9" s="1"/>
      <c r="MVM9" s="1"/>
      <c r="MVO9" s="1"/>
      <c r="MVQ9" s="1"/>
      <c r="MVS9" s="1"/>
      <c r="MVU9" s="1"/>
      <c r="MVW9" s="1"/>
      <c r="MVY9" s="1"/>
      <c r="MWA9" s="1"/>
      <c r="MWC9" s="1"/>
      <c r="MWE9" s="1"/>
      <c r="MWG9" s="1"/>
      <c r="MWI9" s="1"/>
      <c r="MWK9" s="1"/>
      <c r="MWM9" s="1"/>
      <c r="MWO9" s="1"/>
      <c r="MWQ9" s="1"/>
      <c r="MWS9" s="1"/>
      <c r="MWU9" s="1"/>
      <c r="MWW9" s="1"/>
      <c r="MWY9" s="1"/>
      <c r="MXA9" s="1"/>
      <c r="MXC9" s="1"/>
      <c r="MXE9" s="1"/>
      <c r="MXG9" s="1"/>
      <c r="MXI9" s="1"/>
      <c r="MXK9" s="1"/>
      <c r="MXM9" s="1"/>
      <c r="MXO9" s="1"/>
      <c r="MXQ9" s="1"/>
      <c r="MXS9" s="1"/>
      <c r="MXU9" s="1"/>
      <c r="MXW9" s="1"/>
      <c r="MXY9" s="1"/>
      <c r="MYA9" s="1"/>
      <c r="MYC9" s="1"/>
      <c r="MYE9" s="1"/>
      <c r="MYG9" s="1"/>
      <c r="MYI9" s="1"/>
      <c r="MYK9" s="1"/>
      <c r="MYM9" s="1"/>
      <c r="MYO9" s="1"/>
      <c r="MYQ9" s="1"/>
      <c r="MYS9" s="1"/>
      <c r="MYU9" s="1"/>
      <c r="MYW9" s="1"/>
      <c r="MYY9" s="1"/>
      <c r="MZA9" s="1"/>
      <c r="MZC9" s="1"/>
      <c r="MZE9" s="1"/>
      <c r="MZG9" s="1"/>
      <c r="MZI9" s="1"/>
      <c r="MZK9" s="1"/>
      <c r="MZM9" s="1"/>
      <c r="MZO9" s="1"/>
      <c r="MZQ9" s="1"/>
      <c r="MZS9" s="1"/>
      <c r="MZU9" s="1"/>
      <c r="MZW9" s="1"/>
      <c r="MZY9" s="1"/>
      <c r="NAA9" s="1"/>
      <c r="NAC9" s="1"/>
      <c r="NAE9" s="1"/>
      <c r="NAG9" s="1"/>
      <c r="NAI9" s="1"/>
      <c r="NAK9" s="1"/>
      <c r="NAM9" s="1"/>
      <c r="NAO9" s="1"/>
      <c r="NAQ9" s="1"/>
      <c r="NAS9" s="1"/>
      <c r="NAU9" s="1"/>
      <c r="NAW9" s="1"/>
      <c r="NAY9" s="1"/>
      <c r="NBA9" s="1"/>
      <c r="NBC9" s="1"/>
      <c r="NBE9" s="1"/>
      <c r="NBG9" s="1"/>
      <c r="NBI9" s="1"/>
      <c r="NBK9" s="1"/>
      <c r="NBM9" s="1"/>
      <c r="NBO9" s="1"/>
      <c r="NBQ9" s="1"/>
      <c r="NBS9" s="1"/>
      <c r="NBU9" s="1"/>
      <c r="NBW9" s="1"/>
      <c r="NBY9" s="1"/>
      <c r="NCA9" s="1"/>
      <c r="NCC9" s="1"/>
      <c r="NCE9" s="1"/>
      <c r="NCG9" s="1"/>
      <c r="NCI9" s="1"/>
      <c r="NCK9" s="1"/>
      <c r="NCM9" s="1"/>
      <c r="NCO9" s="1"/>
      <c r="NCQ9" s="1"/>
      <c r="NCS9" s="1"/>
      <c r="NCU9" s="1"/>
      <c r="NCW9" s="1"/>
      <c r="NCY9" s="1"/>
      <c r="NDA9" s="1"/>
      <c r="NDC9" s="1"/>
      <c r="NDE9" s="1"/>
      <c r="NDG9" s="1"/>
      <c r="NDI9" s="1"/>
      <c r="NDK9" s="1"/>
      <c r="NDM9" s="1"/>
      <c r="NDO9" s="1"/>
      <c r="NDQ9" s="1"/>
      <c r="NDS9" s="1"/>
      <c r="NDU9" s="1"/>
      <c r="NDW9" s="1"/>
      <c r="NDY9" s="1"/>
      <c r="NEA9" s="1"/>
      <c r="NEC9" s="1"/>
      <c r="NEE9" s="1"/>
      <c r="NEG9" s="1"/>
      <c r="NEI9" s="1"/>
      <c r="NEK9" s="1"/>
      <c r="NEM9" s="1"/>
      <c r="NEO9" s="1"/>
      <c r="NEQ9" s="1"/>
      <c r="NES9" s="1"/>
      <c r="NEU9" s="1"/>
      <c r="NEW9" s="1"/>
      <c r="NEY9" s="1"/>
      <c r="NFA9" s="1"/>
      <c r="NFC9" s="1"/>
      <c r="NFE9" s="1"/>
      <c r="NFG9" s="1"/>
      <c r="NFI9" s="1"/>
      <c r="NFK9" s="1"/>
      <c r="NFM9" s="1"/>
      <c r="NFO9" s="1"/>
      <c r="NFQ9" s="1"/>
      <c r="NFS9" s="1"/>
      <c r="NFU9" s="1"/>
      <c r="NFW9" s="1"/>
      <c r="NFY9" s="1"/>
      <c r="NGA9" s="1"/>
      <c r="NGC9" s="1"/>
      <c r="NGE9" s="1"/>
      <c r="NGG9" s="1"/>
      <c r="NGI9" s="1"/>
      <c r="NGK9" s="1"/>
      <c r="NGM9" s="1"/>
      <c r="NGO9" s="1"/>
      <c r="NGQ9" s="1"/>
      <c r="NGS9" s="1"/>
      <c r="NGU9" s="1"/>
      <c r="NGW9" s="1"/>
      <c r="NGY9" s="1"/>
      <c r="NHA9" s="1"/>
      <c r="NHC9" s="1"/>
      <c r="NHE9" s="1"/>
      <c r="NHG9" s="1"/>
      <c r="NHI9" s="1"/>
      <c r="NHK9" s="1"/>
      <c r="NHM9" s="1"/>
      <c r="NHO9" s="1"/>
      <c r="NHQ9" s="1"/>
      <c r="NHS9" s="1"/>
      <c r="NHU9" s="1"/>
      <c r="NHW9" s="1"/>
      <c r="NHY9" s="1"/>
      <c r="NIA9" s="1"/>
      <c r="NIC9" s="1"/>
      <c r="NIE9" s="1"/>
      <c r="NIG9" s="1"/>
      <c r="NII9" s="1"/>
      <c r="NIK9" s="1"/>
      <c r="NIM9" s="1"/>
      <c r="NIO9" s="1"/>
      <c r="NIQ9" s="1"/>
      <c r="NIS9" s="1"/>
      <c r="NIU9" s="1"/>
      <c r="NIW9" s="1"/>
      <c r="NIY9" s="1"/>
      <c r="NJA9" s="1"/>
      <c r="NJC9" s="1"/>
      <c r="NJE9" s="1"/>
      <c r="NJG9" s="1"/>
      <c r="NJI9" s="1"/>
      <c r="NJK9" s="1"/>
      <c r="NJM9" s="1"/>
      <c r="NJO9" s="1"/>
      <c r="NJQ9" s="1"/>
      <c r="NJS9" s="1"/>
      <c r="NJU9" s="1"/>
      <c r="NJW9" s="1"/>
      <c r="NJY9" s="1"/>
      <c r="NKA9" s="1"/>
      <c r="NKC9" s="1"/>
      <c r="NKE9" s="1"/>
      <c r="NKG9" s="1"/>
      <c r="NKI9" s="1"/>
      <c r="NKK9" s="1"/>
      <c r="NKM9" s="1"/>
      <c r="NKO9" s="1"/>
      <c r="NKQ9" s="1"/>
      <c r="NKS9" s="1"/>
      <c r="NKU9" s="1"/>
      <c r="NKW9" s="1"/>
      <c r="NKY9" s="1"/>
      <c r="NLA9" s="1"/>
      <c r="NLC9" s="1"/>
      <c r="NLE9" s="1"/>
      <c r="NLG9" s="1"/>
      <c r="NLI9" s="1"/>
      <c r="NLK9" s="1"/>
      <c r="NLM9" s="1"/>
      <c r="NLO9" s="1"/>
      <c r="NLQ9" s="1"/>
      <c r="NLS9" s="1"/>
      <c r="NLU9" s="1"/>
      <c r="NLW9" s="1"/>
      <c r="NLY9" s="1"/>
      <c r="NMA9" s="1"/>
      <c r="NMC9" s="1"/>
      <c r="NME9" s="1"/>
      <c r="NMG9" s="1"/>
      <c r="NMI9" s="1"/>
      <c r="NMK9" s="1"/>
      <c r="NMM9" s="1"/>
      <c r="NMO9" s="1"/>
      <c r="NMQ9" s="1"/>
      <c r="NMS9" s="1"/>
      <c r="NMU9" s="1"/>
      <c r="NMW9" s="1"/>
      <c r="NMY9" s="1"/>
      <c r="NNA9" s="1"/>
      <c r="NNC9" s="1"/>
      <c r="NNE9" s="1"/>
      <c r="NNG9" s="1"/>
      <c r="NNI9" s="1"/>
      <c r="NNK9" s="1"/>
      <c r="NNM9" s="1"/>
      <c r="NNO9" s="1"/>
      <c r="NNQ9" s="1"/>
      <c r="NNS9" s="1"/>
      <c r="NNU9" s="1"/>
      <c r="NNW9" s="1"/>
      <c r="NNY9" s="1"/>
      <c r="NOA9" s="1"/>
      <c r="NOC9" s="1"/>
      <c r="NOE9" s="1"/>
      <c r="NOG9" s="1"/>
      <c r="NOI9" s="1"/>
      <c r="NOK9" s="1"/>
      <c r="NOM9" s="1"/>
      <c r="NOO9" s="1"/>
      <c r="NOQ9" s="1"/>
      <c r="NOS9" s="1"/>
      <c r="NOU9" s="1"/>
      <c r="NOW9" s="1"/>
      <c r="NOY9" s="1"/>
      <c r="NPA9" s="1"/>
      <c r="NPC9" s="1"/>
      <c r="NPE9" s="1"/>
      <c r="NPG9" s="1"/>
      <c r="NPI9" s="1"/>
      <c r="NPK9" s="1"/>
      <c r="NPM9" s="1"/>
      <c r="NPO9" s="1"/>
      <c r="NPQ9" s="1"/>
      <c r="NPS9" s="1"/>
      <c r="NPU9" s="1"/>
      <c r="NPW9" s="1"/>
      <c r="NPY9" s="1"/>
      <c r="NQA9" s="1"/>
      <c r="NQC9" s="1"/>
      <c r="NQE9" s="1"/>
      <c r="NQG9" s="1"/>
      <c r="NQI9" s="1"/>
      <c r="NQK9" s="1"/>
      <c r="NQM9" s="1"/>
      <c r="NQO9" s="1"/>
      <c r="NQQ9" s="1"/>
      <c r="NQS9" s="1"/>
      <c r="NQU9" s="1"/>
      <c r="NQW9" s="1"/>
      <c r="NQY9" s="1"/>
      <c r="NRA9" s="1"/>
      <c r="NRC9" s="1"/>
      <c r="NRE9" s="1"/>
      <c r="NRG9" s="1"/>
      <c r="NRI9" s="1"/>
      <c r="NRK9" s="1"/>
      <c r="NRM9" s="1"/>
      <c r="NRO9" s="1"/>
      <c r="NRQ9" s="1"/>
      <c r="NRS9" s="1"/>
      <c r="NRU9" s="1"/>
      <c r="NRW9" s="1"/>
      <c r="NRY9" s="1"/>
      <c r="NSA9" s="1"/>
      <c r="NSC9" s="1"/>
      <c r="NSE9" s="1"/>
      <c r="NSG9" s="1"/>
      <c r="NSI9" s="1"/>
      <c r="NSK9" s="1"/>
      <c r="NSM9" s="1"/>
      <c r="NSO9" s="1"/>
      <c r="NSQ9" s="1"/>
      <c r="NSS9" s="1"/>
      <c r="NSU9" s="1"/>
      <c r="NSW9" s="1"/>
      <c r="NSY9" s="1"/>
      <c r="NTA9" s="1"/>
      <c r="NTC9" s="1"/>
      <c r="NTE9" s="1"/>
      <c r="NTG9" s="1"/>
      <c r="NTI9" s="1"/>
      <c r="NTK9" s="1"/>
      <c r="NTM9" s="1"/>
      <c r="NTO9" s="1"/>
      <c r="NTQ9" s="1"/>
      <c r="NTS9" s="1"/>
      <c r="NTU9" s="1"/>
      <c r="NTW9" s="1"/>
      <c r="NTY9" s="1"/>
      <c r="NUA9" s="1"/>
      <c r="NUC9" s="1"/>
      <c r="NUE9" s="1"/>
      <c r="NUG9" s="1"/>
      <c r="NUI9" s="1"/>
      <c r="NUK9" s="1"/>
      <c r="NUM9" s="1"/>
      <c r="NUO9" s="1"/>
      <c r="NUQ9" s="1"/>
      <c r="NUS9" s="1"/>
      <c r="NUU9" s="1"/>
      <c r="NUW9" s="1"/>
      <c r="NUY9" s="1"/>
      <c r="NVA9" s="1"/>
      <c r="NVC9" s="1"/>
      <c r="NVE9" s="1"/>
      <c r="NVG9" s="1"/>
      <c r="NVI9" s="1"/>
      <c r="NVK9" s="1"/>
      <c r="NVM9" s="1"/>
      <c r="NVO9" s="1"/>
      <c r="NVQ9" s="1"/>
      <c r="NVS9" s="1"/>
      <c r="NVU9" s="1"/>
      <c r="NVW9" s="1"/>
      <c r="NVY9" s="1"/>
      <c r="NWA9" s="1"/>
      <c r="NWC9" s="1"/>
      <c r="NWE9" s="1"/>
      <c r="NWG9" s="1"/>
      <c r="NWI9" s="1"/>
      <c r="NWK9" s="1"/>
      <c r="NWM9" s="1"/>
      <c r="NWO9" s="1"/>
      <c r="NWQ9" s="1"/>
      <c r="NWS9" s="1"/>
      <c r="NWU9" s="1"/>
      <c r="NWW9" s="1"/>
      <c r="NWY9" s="1"/>
      <c r="NXA9" s="1"/>
      <c r="NXC9" s="1"/>
      <c r="NXE9" s="1"/>
      <c r="NXG9" s="1"/>
      <c r="NXI9" s="1"/>
      <c r="NXK9" s="1"/>
      <c r="NXM9" s="1"/>
      <c r="NXO9" s="1"/>
      <c r="NXQ9" s="1"/>
      <c r="NXS9" s="1"/>
      <c r="NXU9" s="1"/>
      <c r="NXW9" s="1"/>
      <c r="NXY9" s="1"/>
      <c r="NYA9" s="1"/>
      <c r="NYC9" s="1"/>
      <c r="NYE9" s="1"/>
      <c r="NYG9" s="1"/>
      <c r="NYI9" s="1"/>
      <c r="NYK9" s="1"/>
      <c r="NYM9" s="1"/>
      <c r="NYO9" s="1"/>
      <c r="NYQ9" s="1"/>
      <c r="NYS9" s="1"/>
      <c r="NYU9" s="1"/>
      <c r="NYW9" s="1"/>
      <c r="NYY9" s="1"/>
      <c r="NZA9" s="1"/>
      <c r="NZC9" s="1"/>
      <c r="NZE9" s="1"/>
      <c r="NZG9" s="1"/>
      <c r="NZI9" s="1"/>
      <c r="NZK9" s="1"/>
      <c r="NZM9" s="1"/>
      <c r="NZO9" s="1"/>
      <c r="NZQ9" s="1"/>
      <c r="NZS9" s="1"/>
      <c r="NZU9" s="1"/>
      <c r="NZW9" s="1"/>
      <c r="NZY9" s="1"/>
      <c r="OAA9" s="1"/>
      <c r="OAC9" s="1"/>
      <c r="OAE9" s="1"/>
      <c r="OAG9" s="1"/>
      <c r="OAI9" s="1"/>
      <c r="OAK9" s="1"/>
      <c r="OAM9" s="1"/>
      <c r="OAO9" s="1"/>
      <c r="OAQ9" s="1"/>
      <c r="OAS9" s="1"/>
      <c r="OAU9" s="1"/>
      <c r="OAW9" s="1"/>
      <c r="OAY9" s="1"/>
      <c r="OBA9" s="1"/>
      <c r="OBC9" s="1"/>
      <c r="OBE9" s="1"/>
      <c r="OBG9" s="1"/>
      <c r="OBI9" s="1"/>
      <c r="OBK9" s="1"/>
      <c r="OBM9" s="1"/>
      <c r="OBO9" s="1"/>
      <c r="OBQ9" s="1"/>
      <c r="OBS9" s="1"/>
      <c r="OBU9" s="1"/>
      <c r="OBW9" s="1"/>
      <c r="OBY9" s="1"/>
      <c r="OCA9" s="1"/>
      <c r="OCC9" s="1"/>
      <c r="OCE9" s="1"/>
      <c r="OCG9" s="1"/>
      <c r="OCI9" s="1"/>
      <c r="OCK9" s="1"/>
      <c r="OCM9" s="1"/>
      <c r="OCO9" s="1"/>
      <c r="OCQ9" s="1"/>
      <c r="OCS9" s="1"/>
      <c r="OCU9" s="1"/>
      <c r="OCW9" s="1"/>
      <c r="OCY9" s="1"/>
      <c r="ODA9" s="1"/>
      <c r="ODC9" s="1"/>
      <c r="ODE9" s="1"/>
      <c r="ODG9" s="1"/>
      <c r="ODI9" s="1"/>
      <c r="ODK9" s="1"/>
      <c r="ODM9" s="1"/>
      <c r="ODO9" s="1"/>
      <c r="ODQ9" s="1"/>
      <c r="ODS9" s="1"/>
      <c r="ODU9" s="1"/>
      <c r="ODW9" s="1"/>
      <c r="ODY9" s="1"/>
      <c r="OEA9" s="1"/>
      <c r="OEC9" s="1"/>
      <c r="OEE9" s="1"/>
      <c r="OEG9" s="1"/>
      <c r="OEI9" s="1"/>
      <c r="OEK9" s="1"/>
      <c r="OEM9" s="1"/>
      <c r="OEO9" s="1"/>
      <c r="OEQ9" s="1"/>
      <c r="OES9" s="1"/>
      <c r="OEU9" s="1"/>
      <c r="OEW9" s="1"/>
      <c r="OEY9" s="1"/>
      <c r="OFA9" s="1"/>
      <c r="OFC9" s="1"/>
      <c r="OFE9" s="1"/>
      <c r="OFG9" s="1"/>
      <c r="OFI9" s="1"/>
      <c r="OFK9" s="1"/>
      <c r="OFM9" s="1"/>
      <c r="OFO9" s="1"/>
      <c r="OFQ9" s="1"/>
      <c r="OFS9" s="1"/>
      <c r="OFU9" s="1"/>
      <c r="OFW9" s="1"/>
      <c r="OFY9" s="1"/>
      <c r="OGA9" s="1"/>
      <c r="OGC9" s="1"/>
      <c r="OGE9" s="1"/>
      <c r="OGG9" s="1"/>
      <c r="OGI9" s="1"/>
      <c r="OGK9" s="1"/>
      <c r="OGM9" s="1"/>
      <c r="OGO9" s="1"/>
      <c r="OGQ9" s="1"/>
      <c r="OGS9" s="1"/>
      <c r="OGU9" s="1"/>
      <c r="OGW9" s="1"/>
      <c r="OGY9" s="1"/>
      <c r="OHA9" s="1"/>
      <c r="OHC9" s="1"/>
      <c r="OHE9" s="1"/>
      <c r="OHG9" s="1"/>
      <c r="OHI9" s="1"/>
      <c r="OHK9" s="1"/>
      <c r="OHM9" s="1"/>
      <c r="OHO9" s="1"/>
      <c r="OHQ9" s="1"/>
      <c r="OHS9" s="1"/>
      <c r="OHU9" s="1"/>
      <c r="OHW9" s="1"/>
      <c r="OHY9" s="1"/>
      <c r="OIA9" s="1"/>
      <c r="OIC9" s="1"/>
      <c r="OIE9" s="1"/>
      <c r="OIG9" s="1"/>
      <c r="OII9" s="1"/>
      <c r="OIK9" s="1"/>
      <c r="OIM9" s="1"/>
      <c r="OIO9" s="1"/>
      <c r="OIQ9" s="1"/>
      <c r="OIS9" s="1"/>
      <c r="OIU9" s="1"/>
      <c r="OIW9" s="1"/>
      <c r="OIY9" s="1"/>
      <c r="OJA9" s="1"/>
      <c r="OJC9" s="1"/>
      <c r="OJE9" s="1"/>
      <c r="OJG9" s="1"/>
      <c r="OJI9" s="1"/>
      <c r="OJK9" s="1"/>
      <c r="OJM9" s="1"/>
      <c r="OJO9" s="1"/>
      <c r="OJQ9" s="1"/>
      <c r="OJS9" s="1"/>
      <c r="OJU9" s="1"/>
      <c r="OJW9" s="1"/>
      <c r="OJY9" s="1"/>
      <c r="OKA9" s="1"/>
      <c r="OKC9" s="1"/>
      <c r="OKE9" s="1"/>
      <c r="OKG9" s="1"/>
      <c r="OKI9" s="1"/>
      <c r="OKK9" s="1"/>
      <c r="OKM9" s="1"/>
      <c r="OKO9" s="1"/>
      <c r="OKQ9" s="1"/>
      <c r="OKS9" s="1"/>
      <c r="OKU9" s="1"/>
      <c r="OKW9" s="1"/>
      <c r="OKY9" s="1"/>
      <c r="OLA9" s="1"/>
      <c r="OLC9" s="1"/>
      <c r="OLE9" s="1"/>
      <c r="OLG9" s="1"/>
      <c r="OLI9" s="1"/>
      <c r="OLK9" s="1"/>
      <c r="OLM9" s="1"/>
      <c r="OLO9" s="1"/>
      <c r="OLQ9" s="1"/>
      <c r="OLS9" s="1"/>
      <c r="OLU9" s="1"/>
      <c r="OLW9" s="1"/>
      <c r="OLY9" s="1"/>
      <c r="OMA9" s="1"/>
      <c r="OMC9" s="1"/>
      <c r="OME9" s="1"/>
      <c r="OMG9" s="1"/>
      <c r="OMI9" s="1"/>
      <c r="OMK9" s="1"/>
      <c r="OMM9" s="1"/>
      <c r="OMO9" s="1"/>
      <c r="OMQ9" s="1"/>
      <c r="OMS9" s="1"/>
      <c r="OMU9" s="1"/>
      <c r="OMW9" s="1"/>
      <c r="OMY9" s="1"/>
      <c r="ONA9" s="1"/>
      <c r="ONC9" s="1"/>
      <c r="ONE9" s="1"/>
      <c r="ONG9" s="1"/>
      <c r="ONI9" s="1"/>
      <c r="ONK9" s="1"/>
      <c r="ONM9" s="1"/>
      <c r="ONO9" s="1"/>
      <c r="ONQ9" s="1"/>
      <c r="ONS9" s="1"/>
      <c r="ONU9" s="1"/>
      <c r="ONW9" s="1"/>
      <c r="ONY9" s="1"/>
      <c r="OOA9" s="1"/>
      <c r="OOC9" s="1"/>
      <c r="OOE9" s="1"/>
      <c r="OOG9" s="1"/>
      <c r="OOI9" s="1"/>
      <c r="OOK9" s="1"/>
      <c r="OOM9" s="1"/>
      <c r="OOO9" s="1"/>
      <c r="OOQ9" s="1"/>
      <c r="OOS9" s="1"/>
      <c r="OOU9" s="1"/>
      <c r="OOW9" s="1"/>
      <c r="OOY9" s="1"/>
      <c r="OPA9" s="1"/>
      <c r="OPC9" s="1"/>
      <c r="OPE9" s="1"/>
      <c r="OPG9" s="1"/>
      <c r="OPI9" s="1"/>
      <c r="OPK9" s="1"/>
      <c r="OPM9" s="1"/>
      <c r="OPO9" s="1"/>
      <c r="OPQ9" s="1"/>
      <c r="OPS9" s="1"/>
      <c r="OPU9" s="1"/>
      <c r="OPW9" s="1"/>
      <c r="OPY9" s="1"/>
      <c r="OQA9" s="1"/>
      <c r="OQC9" s="1"/>
      <c r="OQE9" s="1"/>
      <c r="OQG9" s="1"/>
      <c r="OQI9" s="1"/>
      <c r="OQK9" s="1"/>
      <c r="OQM9" s="1"/>
      <c r="OQO9" s="1"/>
      <c r="OQQ9" s="1"/>
      <c r="OQS9" s="1"/>
      <c r="OQU9" s="1"/>
      <c r="OQW9" s="1"/>
      <c r="OQY9" s="1"/>
      <c r="ORA9" s="1"/>
      <c r="ORC9" s="1"/>
      <c r="ORE9" s="1"/>
      <c r="ORG9" s="1"/>
      <c r="ORI9" s="1"/>
      <c r="ORK9" s="1"/>
      <c r="ORM9" s="1"/>
      <c r="ORO9" s="1"/>
      <c r="ORQ9" s="1"/>
      <c r="ORS9" s="1"/>
      <c r="ORU9" s="1"/>
      <c r="ORW9" s="1"/>
      <c r="ORY9" s="1"/>
      <c r="OSA9" s="1"/>
      <c r="OSC9" s="1"/>
      <c r="OSE9" s="1"/>
      <c r="OSG9" s="1"/>
      <c r="OSI9" s="1"/>
      <c r="OSK9" s="1"/>
      <c r="OSM9" s="1"/>
      <c r="OSO9" s="1"/>
      <c r="OSQ9" s="1"/>
      <c r="OSS9" s="1"/>
      <c r="OSU9" s="1"/>
      <c r="OSW9" s="1"/>
      <c r="OSY9" s="1"/>
      <c r="OTA9" s="1"/>
      <c r="OTC9" s="1"/>
      <c r="OTE9" s="1"/>
      <c r="OTG9" s="1"/>
      <c r="OTI9" s="1"/>
      <c r="OTK9" s="1"/>
      <c r="OTM9" s="1"/>
      <c r="OTO9" s="1"/>
      <c r="OTQ9" s="1"/>
      <c r="OTS9" s="1"/>
      <c r="OTU9" s="1"/>
      <c r="OTW9" s="1"/>
      <c r="OTY9" s="1"/>
      <c r="OUA9" s="1"/>
      <c r="OUC9" s="1"/>
      <c r="OUE9" s="1"/>
      <c r="OUG9" s="1"/>
      <c r="OUI9" s="1"/>
      <c r="OUK9" s="1"/>
      <c r="OUM9" s="1"/>
      <c r="OUO9" s="1"/>
      <c r="OUQ9" s="1"/>
      <c r="OUS9" s="1"/>
      <c r="OUU9" s="1"/>
      <c r="OUW9" s="1"/>
      <c r="OUY9" s="1"/>
      <c r="OVA9" s="1"/>
      <c r="OVC9" s="1"/>
      <c r="OVE9" s="1"/>
      <c r="OVG9" s="1"/>
      <c r="OVI9" s="1"/>
      <c r="OVK9" s="1"/>
      <c r="OVM9" s="1"/>
      <c r="OVO9" s="1"/>
      <c r="OVQ9" s="1"/>
      <c r="OVS9" s="1"/>
      <c r="OVU9" s="1"/>
      <c r="OVW9" s="1"/>
      <c r="OVY9" s="1"/>
      <c r="OWA9" s="1"/>
      <c r="OWC9" s="1"/>
      <c r="OWE9" s="1"/>
      <c r="OWG9" s="1"/>
      <c r="OWI9" s="1"/>
      <c r="OWK9" s="1"/>
      <c r="OWM9" s="1"/>
      <c r="OWO9" s="1"/>
      <c r="OWQ9" s="1"/>
      <c r="OWS9" s="1"/>
      <c r="OWU9" s="1"/>
      <c r="OWW9" s="1"/>
      <c r="OWY9" s="1"/>
      <c r="OXA9" s="1"/>
      <c r="OXC9" s="1"/>
      <c r="OXE9" s="1"/>
      <c r="OXG9" s="1"/>
      <c r="OXI9" s="1"/>
      <c r="OXK9" s="1"/>
      <c r="OXM9" s="1"/>
      <c r="OXO9" s="1"/>
      <c r="OXQ9" s="1"/>
      <c r="OXS9" s="1"/>
      <c r="OXU9" s="1"/>
      <c r="OXW9" s="1"/>
      <c r="OXY9" s="1"/>
      <c r="OYA9" s="1"/>
      <c r="OYC9" s="1"/>
      <c r="OYE9" s="1"/>
      <c r="OYG9" s="1"/>
      <c r="OYI9" s="1"/>
      <c r="OYK9" s="1"/>
      <c r="OYM9" s="1"/>
      <c r="OYO9" s="1"/>
      <c r="OYQ9" s="1"/>
      <c r="OYS9" s="1"/>
      <c r="OYU9" s="1"/>
      <c r="OYW9" s="1"/>
      <c r="OYY9" s="1"/>
      <c r="OZA9" s="1"/>
      <c r="OZC9" s="1"/>
      <c r="OZE9" s="1"/>
      <c r="OZG9" s="1"/>
      <c r="OZI9" s="1"/>
      <c r="OZK9" s="1"/>
      <c r="OZM9" s="1"/>
      <c r="OZO9" s="1"/>
      <c r="OZQ9" s="1"/>
      <c r="OZS9" s="1"/>
      <c r="OZU9" s="1"/>
      <c r="OZW9" s="1"/>
      <c r="OZY9" s="1"/>
      <c r="PAA9" s="1"/>
      <c r="PAC9" s="1"/>
      <c r="PAE9" s="1"/>
      <c r="PAG9" s="1"/>
      <c r="PAI9" s="1"/>
      <c r="PAK9" s="1"/>
      <c r="PAM9" s="1"/>
      <c r="PAO9" s="1"/>
      <c r="PAQ9" s="1"/>
      <c r="PAS9" s="1"/>
      <c r="PAU9" s="1"/>
      <c r="PAW9" s="1"/>
      <c r="PAY9" s="1"/>
      <c r="PBA9" s="1"/>
      <c r="PBC9" s="1"/>
      <c r="PBE9" s="1"/>
      <c r="PBG9" s="1"/>
      <c r="PBI9" s="1"/>
      <c r="PBK9" s="1"/>
      <c r="PBM9" s="1"/>
      <c r="PBO9" s="1"/>
      <c r="PBQ9" s="1"/>
      <c r="PBS9" s="1"/>
      <c r="PBU9" s="1"/>
      <c r="PBW9" s="1"/>
      <c r="PBY9" s="1"/>
      <c r="PCA9" s="1"/>
      <c r="PCC9" s="1"/>
      <c r="PCE9" s="1"/>
      <c r="PCG9" s="1"/>
      <c r="PCI9" s="1"/>
      <c r="PCK9" s="1"/>
      <c r="PCM9" s="1"/>
      <c r="PCO9" s="1"/>
      <c r="PCQ9" s="1"/>
      <c r="PCS9" s="1"/>
      <c r="PCU9" s="1"/>
      <c r="PCW9" s="1"/>
      <c r="PCY9" s="1"/>
      <c r="PDA9" s="1"/>
      <c r="PDC9" s="1"/>
      <c r="PDE9" s="1"/>
      <c r="PDG9" s="1"/>
      <c r="PDI9" s="1"/>
      <c r="PDK9" s="1"/>
      <c r="PDM9" s="1"/>
      <c r="PDO9" s="1"/>
      <c r="PDQ9" s="1"/>
      <c r="PDS9" s="1"/>
      <c r="PDU9" s="1"/>
      <c r="PDW9" s="1"/>
      <c r="PDY9" s="1"/>
      <c r="PEA9" s="1"/>
      <c r="PEC9" s="1"/>
      <c r="PEE9" s="1"/>
      <c r="PEG9" s="1"/>
      <c r="PEI9" s="1"/>
      <c r="PEK9" s="1"/>
      <c r="PEM9" s="1"/>
      <c r="PEO9" s="1"/>
      <c r="PEQ9" s="1"/>
      <c r="PES9" s="1"/>
      <c r="PEU9" s="1"/>
      <c r="PEW9" s="1"/>
      <c r="PEY9" s="1"/>
      <c r="PFA9" s="1"/>
      <c r="PFC9" s="1"/>
      <c r="PFE9" s="1"/>
      <c r="PFG9" s="1"/>
      <c r="PFI9" s="1"/>
      <c r="PFK9" s="1"/>
      <c r="PFM9" s="1"/>
      <c r="PFO9" s="1"/>
      <c r="PFQ9" s="1"/>
      <c r="PFS9" s="1"/>
      <c r="PFU9" s="1"/>
      <c r="PFW9" s="1"/>
      <c r="PFY9" s="1"/>
      <c r="PGA9" s="1"/>
      <c r="PGC9" s="1"/>
      <c r="PGE9" s="1"/>
      <c r="PGG9" s="1"/>
      <c r="PGI9" s="1"/>
      <c r="PGK9" s="1"/>
      <c r="PGM9" s="1"/>
      <c r="PGO9" s="1"/>
      <c r="PGQ9" s="1"/>
      <c r="PGS9" s="1"/>
      <c r="PGU9" s="1"/>
      <c r="PGW9" s="1"/>
      <c r="PGY9" s="1"/>
      <c r="PHA9" s="1"/>
      <c r="PHC9" s="1"/>
      <c r="PHE9" s="1"/>
      <c r="PHG9" s="1"/>
      <c r="PHI9" s="1"/>
      <c r="PHK9" s="1"/>
      <c r="PHM9" s="1"/>
      <c r="PHO9" s="1"/>
      <c r="PHQ9" s="1"/>
      <c r="PHS9" s="1"/>
      <c r="PHU9" s="1"/>
      <c r="PHW9" s="1"/>
      <c r="PHY9" s="1"/>
      <c r="PIA9" s="1"/>
      <c r="PIC9" s="1"/>
      <c r="PIE9" s="1"/>
      <c r="PIG9" s="1"/>
      <c r="PII9" s="1"/>
      <c r="PIK9" s="1"/>
      <c r="PIM9" s="1"/>
      <c r="PIO9" s="1"/>
      <c r="PIQ9" s="1"/>
      <c r="PIS9" s="1"/>
      <c r="PIU9" s="1"/>
      <c r="PIW9" s="1"/>
      <c r="PIY9" s="1"/>
      <c r="PJA9" s="1"/>
      <c r="PJC9" s="1"/>
      <c r="PJE9" s="1"/>
      <c r="PJG9" s="1"/>
      <c r="PJI9" s="1"/>
      <c r="PJK9" s="1"/>
      <c r="PJM9" s="1"/>
      <c r="PJO9" s="1"/>
      <c r="PJQ9" s="1"/>
      <c r="PJS9" s="1"/>
      <c r="PJU9" s="1"/>
      <c r="PJW9" s="1"/>
      <c r="PJY9" s="1"/>
      <c r="PKA9" s="1"/>
      <c r="PKC9" s="1"/>
      <c r="PKE9" s="1"/>
      <c r="PKG9" s="1"/>
      <c r="PKI9" s="1"/>
      <c r="PKK9" s="1"/>
      <c r="PKM9" s="1"/>
      <c r="PKO9" s="1"/>
      <c r="PKQ9" s="1"/>
      <c r="PKS9" s="1"/>
      <c r="PKU9" s="1"/>
      <c r="PKW9" s="1"/>
      <c r="PKY9" s="1"/>
      <c r="PLA9" s="1"/>
      <c r="PLC9" s="1"/>
      <c r="PLE9" s="1"/>
      <c r="PLG9" s="1"/>
      <c r="PLI9" s="1"/>
      <c r="PLK9" s="1"/>
      <c r="PLM9" s="1"/>
      <c r="PLO9" s="1"/>
      <c r="PLQ9" s="1"/>
      <c r="PLS9" s="1"/>
      <c r="PLU9" s="1"/>
      <c r="PLW9" s="1"/>
      <c r="PLY9" s="1"/>
      <c r="PMA9" s="1"/>
      <c r="PMC9" s="1"/>
      <c r="PME9" s="1"/>
      <c r="PMG9" s="1"/>
      <c r="PMI9" s="1"/>
      <c r="PMK9" s="1"/>
      <c r="PMM9" s="1"/>
      <c r="PMO9" s="1"/>
      <c r="PMQ9" s="1"/>
      <c r="PMS9" s="1"/>
      <c r="PMU9" s="1"/>
      <c r="PMW9" s="1"/>
      <c r="PMY9" s="1"/>
      <c r="PNA9" s="1"/>
      <c r="PNC9" s="1"/>
      <c r="PNE9" s="1"/>
      <c r="PNG9" s="1"/>
      <c r="PNI9" s="1"/>
      <c r="PNK9" s="1"/>
      <c r="PNM9" s="1"/>
      <c r="PNO9" s="1"/>
      <c r="PNQ9" s="1"/>
      <c r="PNS9" s="1"/>
      <c r="PNU9" s="1"/>
      <c r="PNW9" s="1"/>
      <c r="PNY9" s="1"/>
      <c r="POA9" s="1"/>
      <c r="POC9" s="1"/>
      <c r="POE9" s="1"/>
      <c r="POG9" s="1"/>
      <c r="POI9" s="1"/>
      <c r="POK9" s="1"/>
      <c r="POM9" s="1"/>
      <c r="POO9" s="1"/>
      <c r="POQ9" s="1"/>
      <c r="POS9" s="1"/>
      <c r="POU9" s="1"/>
      <c r="POW9" s="1"/>
      <c r="POY9" s="1"/>
      <c r="PPA9" s="1"/>
      <c r="PPC9" s="1"/>
      <c r="PPE9" s="1"/>
      <c r="PPG9" s="1"/>
      <c r="PPI9" s="1"/>
      <c r="PPK9" s="1"/>
      <c r="PPM9" s="1"/>
      <c r="PPO9" s="1"/>
      <c r="PPQ9" s="1"/>
      <c r="PPS9" s="1"/>
      <c r="PPU9" s="1"/>
      <c r="PPW9" s="1"/>
      <c r="PPY9" s="1"/>
      <c r="PQA9" s="1"/>
      <c r="PQC9" s="1"/>
      <c r="PQE9" s="1"/>
      <c r="PQG9" s="1"/>
      <c r="PQI9" s="1"/>
      <c r="PQK9" s="1"/>
      <c r="PQM9" s="1"/>
      <c r="PQO9" s="1"/>
      <c r="PQQ9" s="1"/>
      <c r="PQS9" s="1"/>
      <c r="PQU9" s="1"/>
      <c r="PQW9" s="1"/>
      <c r="PQY9" s="1"/>
      <c r="PRA9" s="1"/>
      <c r="PRC9" s="1"/>
      <c r="PRE9" s="1"/>
      <c r="PRG9" s="1"/>
      <c r="PRI9" s="1"/>
      <c r="PRK9" s="1"/>
      <c r="PRM9" s="1"/>
      <c r="PRO9" s="1"/>
      <c r="PRQ9" s="1"/>
      <c r="PRS9" s="1"/>
      <c r="PRU9" s="1"/>
      <c r="PRW9" s="1"/>
      <c r="PRY9" s="1"/>
      <c r="PSA9" s="1"/>
      <c r="PSC9" s="1"/>
      <c r="PSE9" s="1"/>
      <c r="PSG9" s="1"/>
      <c r="PSI9" s="1"/>
      <c r="PSK9" s="1"/>
      <c r="PSM9" s="1"/>
      <c r="PSO9" s="1"/>
      <c r="PSQ9" s="1"/>
      <c r="PSS9" s="1"/>
      <c r="PSU9" s="1"/>
      <c r="PSW9" s="1"/>
      <c r="PSY9" s="1"/>
      <c r="PTA9" s="1"/>
      <c r="PTC9" s="1"/>
      <c r="PTE9" s="1"/>
      <c r="PTG9" s="1"/>
      <c r="PTI9" s="1"/>
      <c r="PTK9" s="1"/>
      <c r="PTM9" s="1"/>
      <c r="PTO9" s="1"/>
      <c r="PTQ9" s="1"/>
      <c r="PTS9" s="1"/>
      <c r="PTU9" s="1"/>
      <c r="PTW9" s="1"/>
      <c r="PTY9" s="1"/>
      <c r="PUA9" s="1"/>
      <c r="PUC9" s="1"/>
      <c r="PUE9" s="1"/>
      <c r="PUG9" s="1"/>
      <c r="PUI9" s="1"/>
      <c r="PUK9" s="1"/>
      <c r="PUM9" s="1"/>
      <c r="PUO9" s="1"/>
      <c r="PUQ9" s="1"/>
      <c r="PUS9" s="1"/>
      <c r="PUU9" s="1"/>
      <c r="PUW9" s="1"/>
      <c r="PUY9" s="1"/>
      <c r="PVA9" s="1"/>
      <c r="PVC9" s="1"/>
      <c r="PVE9" s="1"/>
      <c r="PVG9" s="1"/>
      <c r="PVI9" s="1"/>
      <c r="PVK9" s="1"/>
      <c r="PVM9" s="1"/>
      <c r="PVO9" s="1"/>
      <c r="PVQ9" s="1"/>
      <c r="PVS9" s="1"/>
      <c r="PVU9" s="1"/>
      <c r="PVW9" s="1"/>
      <c r="PVY9" s="1"/>
      <c r="PWA9" s="1"/>
      <c r="PWC9" s="1"/>
      <c r="PWE9" s="1"/>
      <c r="PWG9" s="1"/>
      <c r="PWI9" s="1"/>
      <c r="PWK9" s="1"/>
      <c r="PWM9" s="1"/>
      <c r="PWO9" s="1"/>
      <c r="PWQ9" s="1"/>
      <c r="PWS9" s="1"/>
      <c r="PWU9" s="1"/>
      <c r="PWW9" s="1"/>
      <c r="PWY9" s="1"/>
      <c r="PXA9" s="1"/>
      <c r="PXC9" s="1"/>
      <c r="PXE9" s="1"/>
      <c r="PXG9" s="1"/>
      <c r="PXI9" s="1"/>
      <c r="PXK9" s="1"/>
      <c r="PXM9" s="1"/>
      <c r="PXO9" s="1"/>
      <c r="PXQ9" s="1"/>
      <c r="PXS9" s="1"/>
      <c r="PXU9" s="1"/>
      <c r="PXW9" s="1"/>
      <c r="PXY9" s="1"/>
      <c r="PYA9" s="1"/>
      <c r="PYC9" s="1"/>
      <c r="PYE9" s="1"/>
      <c r="PYG9" s="1"/>
      <c r="PYI9" s="1"/>
      <c r="PYK9" s="1"/>
      <c r="PYM9" s="1"/>
      <c r="PYO9" s="1"/>
      <c r="PYQ9" s="1"/>
      <c r="PYS9" s="1"/>
      <c r="PYU9" s="1"/>
      <c r="PYW9" s="1"/>
      <c r="PYY9" s="1"/>
      <c r="PZA9" s="1"/>
      <c r="PZC9" s="1"/>
      <c r="PZE9" s="1"/>
      <c r="PZG9" s="1"/>
      <c r="PZI9" s="1"/>
      <c r="PZK9" s="1"/>
      <c r="PZM9" s="1"/>
      <c r="PZO9" s="1"/>
      <c r="PZQ9" s="1"/>
      <c r="PZS9" s="1"/>
      <c r="PZU9" s="1"/>
      <c r="PZW9" s="1"/>
      <c r="PZY9" s="1"/>
      <c r="QAA9" s="1"/>
      <c r="QAC9" s="1"/>
      <c r="QAE9" s="1"/>
      <c r="QAG9" s="1"/>
      <c r="QAI9" s="1"/>
      <c r="QAK9" s="1"/>
      <c r="QAM9" s="1"/>
      <c r="QAO9" s="1"/>
      <c r="QAQ9" s="1"/>
      <c r="QAS9" s="1"/>
      <c r="QAU9" s="1"/>
      <c r="QAW9" s="1"/>
      <c r="QAY9" s="1"/>
      <c r="QBA9" s="1"/>
      <c r="QBC9" s="1"/>
      <c r="QBE9" s="1"/>
      <c r="QBG9" s="1"/>
      <c r="QBI9" s="1"/>
      <c r="QBK9" s="1"/>
      <c r="QBM9" s="1"/>
      <c r="QBO9" s="1"/>
      <c r="QBQ9" s="1"/>
      <c r="QBS9" s="1"/>
      <c r="QBU9" s="1"/>
      <c r="QBW9" s="1"/>
      <c r="QBY9" s="1"/>
      <c r="QCA9" s="1"/>
      <c r="QCC9" s="1"/>
      <c r="QCE9" s="1"/>
      <c r="QCG9" s="1"/>
      <c r="QCI9" s="1"/>
      <c r="QCK9" s="1"/>
      <c r="QCM9" s="1"/>
      <c r="QCO9" s="1"/>
      <c r="QCQ9" s="1"/>
      <c r="QCS9" s="1"/>
      <c r="QCU9" s="1"/>
      <c r="QCW9" s="1"/>
      <c r="QCY9" s="1"/>
      <c r="QDA9" s="1"/>
      <c r="QDC9" s="1"/>
      <c r="QDE9" s="1"/>
      <c r="QDG9" s="1"/>
      <c r="QDI9" s="1"/>
      <c r="QDK9" s="1"/>
      <c r="QDM9" s="1"/>
      <c r="QDO9" s="1"/>
      <c r="QDQ9" s="1"/>
      <c r="QDS9" s="1"/>
      <c r="QDU9" s="1"/>
      <c r="QDW9" s="1"/>
      <c r="QDY9" s="1"/>
      <c r="QEA9" s="1"/>
      <c r="QEC9" s="1"/>
      <c r="QEE9" s="1"/>
      <c r="QEG9" s="1"/>
      <c r="QEI9" s="1"/>
      <c r="QEK9" s="1"/>
      <c r="QEM9" s="1"/>
      <c r="QEO9" s="1"/>
      <c r="QEQ9" s="1"/>
      <c r="QES9" s="1"/>
      <c r="QEU9" s="1"/>
      <c r="QEW9" s="1"/>
      <c r="QEY9" s="1"/>
      <c r="QFA9" s="1"/>
      <c r="QFC9" s="1"/>
      <c r="QFE9" s="1"/>
      <c r="QFG9" s="1"/>
      <c r="QFI9" s="1"/>
      <c r="QFK9" s="1"/>
      <c r="QFM9" s="1"/>
      <c r="QFO9" s="1"/>
      <c r="QFQ9" s="1"/>
      <c r="QFS9" s="1"/>
      <c r="QFU9" s="1"/>
      <c r="QFW9" s="1"/>
      <c r="QFY9" s="1"/>
      <c r="QGA9" s="1"/>
      <c r="QGC9" s="1"/>
      <c r="QGE9" s="1"/>
      <c r="QGG9" s="1"/>
      <c r="QGI9" s="1"/>
      <c r="QGK9" s="1"/>
      <c r="QGM9" s="1"/>
      <c r="QGO9" s="1"/>
      <c r="QGQ9" s="1"/>
      <c r="QGS9" s="1"/>
      <c r="QGU9" s="1"/>
      <c r="QGW9" s="1"/>
      <c r="QGY9" s="1"/>
      <c r="QHA9" s="1"/>
      <c r="QHC9" s="1"/>
      <c r="QHE9" s="1"/>
      <c r="QHG9" s="1"/>
      <c r="QHI9" s="1"/>
      <c r="QHK9" s="1"/>
      <c r="QHM9" s="1"/>
      <c r="QHO9" s="1"/>
      <c r="QHQ9" s="1"/>
      <c r="QHS9" s="1"/>
      <c r="QHU9" s="1"/>
      <c r="QHW9" s="1"/>
      <c r="QHY9" s="1"/>
      <c r="QIA9" s="1"/>
      <c r="QIC9" s="1"/>
      <c r="QIE9" s="1"/>
      <c r="QIG9" s="1"/>
      <c r="QII9" s="1"/>
      <c r="QIK9" s="1"/>
      <c r="QIM9" s="1"/>
      <c r="QIO9" s="1"/>
      <c r="QIQ9" s="1"/>
      <c r="QIS9" s="1"/>
      <c r="QIU9" s="1"/>
      <c r="QIW9" s="1"/>
      <c r="QIY9" s="1"/>
      <c r="QJA9" s="1"/>
      <c r="QJC9" s="1"/>
      <c r="QJE9" s="1"/>
      <c r="QJG9" s="1"/>
      <c r="QJI9" s="1"/>
      <c r="QJK9" s="1"/>
      <c r="QJM9" s="1"/>
      <c r="QJO9" s="1"/>
      <c r="QJQ9" s="1"/>
      <c r="QJS9" s="1"/>
      <c r="QJU9" s="1"/>
      <c r="QJW9" s="1"/>
      <c r="QJY9" s="1"/>
      <c r="QKA9" s="1"/>
      <c r="QKC9" s="1"/>
      <c r="QKE9" s="1"/>
      <c r="QKG9" s="1"/>
      <c r="QKI9" s="1"/>
      <c r="QKK9" s="1"/>
      <c r="QKM9" s="1"/>
      <c r="QKO9" s="1"/>
      <c r="QKQ9" s="1"/>
      <c r="QKS9" s="1"/>
      <c r="QKU9" s="1"/>
      <c r="QKW9" s="1"/>
      <c r="QKY9" s="1"/>
      <c r="QLA9" s="1"/>
      <c r="QLC9" s="1"/>
      <c r="QLE9" s="1"/>
      <c r="QLG9" s="1"/>
      <c r="QLI9" s="1"/>
      <c r="QLK9" s="1"/>
      <c r="QLM9" s="1"/>
      <c r="QLO9" s="1"/>
      <c r="QLQ9" s="1"/>
      <c r="QLS9" s="1"/>
      <c r="QLU9" s="1"/>
      <c r="QLW9" s="1"/>
      <c r="QLY9" s="1"/>
      <c r="QMA9" s="1"/>
      <c r="QMC9" s="1"/>
      <c r="QME9" s="1"/>
      <c r="QMG9" s="1"/>
      <c r="QMI9" s="1"/>
      <c r="QMK9" s="1"/>
      <c r="QMM9" s="1"/>
      <c r="QMO9" s="1"/>
      <c r="QMQ9" s="1"/>
      <c r="QMS9" s="1"/>
      <c r="QMU9" s="1"/>
      <c r="QMW9" s="1"/>
      <c r="QMY9" s="1"/>
      <c r="QNA9" s="1"/>
      <c r="QNC9" s="1"/>
      <c r="QNE9" s="1"/>
      <c r="QNG9" s="1"/>
      <c r="QNI9" s="1"/>
      <c r="QNK9" s="1"/>
      <c r="QNM9" s="1"/>
      <c r="QNO9" s="1"/>
      <c r="QNQ9" s="1"/>
      <c r="QNS9" s="1"/>
      <c r="QNU9" s="1"/>
      <c r="QNW9" s="1"/>
      <c r="QNY9" s="1"/>
      <c r="QOA9" s="1"/>
      <c r="QOC9" s="1"/>
      <c r="QOE9" s="1"/>
      <c r="QOG9" s="1"/>
      <c r="QOI9" s="1"/>
      <c r="QOK9" s="1"/>
      <c r="QOM9" s="1"/>
      <c r="QOO9" s="1"/>
      <c r="QOQ9" s="1"/>
      <c r="QOS9" s="1"/>
      <c r="QOU9" s="1"/>
      <c r="QOW9" s="1"/>
      <c r="QOY9" s="1"/>
      <c r="QPA9" s="1"/>
      <c r="QPC9" s="1"/>
      <c r="QPE9" s="1"/>
      <c r="QPG9" s="1"/>
      <c r="QPI9" s="1"/>
      <c r="QPK9" s="1"/>
      <c r="QPM9" s="1"/>
      <c r="QPO9" s="1"/>
      <c r="QPQ9" s="1"/>
      <c r="QPS9" s="1"/>
      <c r="QPU9" s="1"/>
      <c r="QPW9" s="1"/>
      <c r="QPY9" s="1"/>
      <c r="QQA9" s="1"/>
      <c r="QQC9" s="1"/>
      <c r="QQE9" s="1"/>
      <c r="QQG9" s="1"/>
      <c r="QQI9" s="1"/>
      <c r="QQK9" s="1"/>
      <c r="QQM9" s="1"/>
      <c r="QQO9" s="1"/>
      <c r="QQQ9" s="1"/>
      <c r="QQS9" s="1"/>
      <c r="QQU9" s="1"/>
      <c r="QQW9" s="1"/>
      <c r="QQY9" s="1"/>
      <c r="QRA9" s="1"/>
      <c r="QRC9" s="1"/>
      <c r="QRE9" s="1"/>
      <c r="QRG9" s="1"/>
      <c r="QRI9" s="1"/>
      <c r="QRK9" s="1"/>
      <c r="QRM9" s="1"/>
      <c r="QRO9" s="1"/>
      <c r="QRQ9" s="1"/>
      <c r="QRS9" s="1"/>
      <c r="QRU9" s="1"/>
      <c r="QRW9" s="1"/>
      <c r="QRY9" s="1"/>
      <c r="QSA9" s="1"/>
      <c r="QSC9" s="1"/>
      <c r="QSE9" s="1"/>
      <c r="QSG9" s="1"/>
      <c r="QSI9" s="1"/>
      <c r="QSK9" s="1"/>
      <c r="QSM9" s="1"/>
      <c r="QSO9" s="1"/>
      <c r="QSQ9" s="1"/>
      <c r="QSS9" s="1"/>
      <c r="QSU9" s="1"/>
      <c r="QSW9" s="1"/>
      <c r="QSY9" s="1"/>
      <c r="QTA9" s="1"/>
      <c r="QTC9" s="1"/>
      <c r="QTE9" s="1"/>
      <c r="QTG9" s="1"/>
      <c r="QTI9" s="1"/>
      <c r="QTK9" s="1"/>
      <c r="QTM9" s="1"/>
      <c r="QTO9" s="1"/>
      <c r="QTQ9" s="1"/>
      <c r="QTS9" s="1"/>
      <c r="QTU9" s="1"/>
      <c r="QTW9" s="1"/>
      <c r="QTY9" s="1"/>
      <c r="QUA9" s="1"/>
      <c r="QUC9" s="1"/>
      <c r="QUE9" s="1"/>
      <c r="QUG9" s="1"/>
      <c r="QUI9" s="1"/>
      <c r="QUK9" s="1"/>
      <c r="QUM9" s="1"/>
      <c r="QUO9" s="1"/>
      <c r="QUQ9" s="1"/>
      <c r="QUS9" s="1"/>
      <c r="QUU9" s="1"/>
      <c r="QUW9" s="1"/>
      <c r="QUY9" s="1"/>
      <c r="QVA9" s="1"/>
      <c r="QVC9" s="1"/>
      <c r="QVE9" s="1"/>
      <c r="QVG9" s="1"/>
      <c r="QVI9" s="1"/>
      <c r="QVK9" s="1"/>
      <c r="QVM9" s="1"/>
      <c r="QVO9" s="1"/>
      <c r="QVQ9" s="1"/>
      <c r="QVS9" s="1"/>
      <c r="QVU9" s="1"/>
      <c r="QVW9" s="1"/>
      <c r="QVY9" s="1"/>
      <c r="QWA9" s="1"/>
      <c r="QWC9" s="1"/>
      <c r="QWE9" s="1"/>
      <c r="QWG9" s="1"/>
      <c r="QWI9" s="1"/>
      <c r="QWK9" s="1"/>
      <c r="QWM9" s="1"/>
      <c r="QWO9" s="1"/>
      <c r="QWQ9" s="1"/>
      <c r="QWS9" s="1"/>
      <c r="QWU9" s="1"/>
      <c r="QWW9" s="1"/>
      <c r="QWY9" s="1"/>
      <c r="QXA9" s="1"/>
      <c r="QXC9" s="1"/>
      <c r="QXE9" s="1"/>
      <c r="QXG9" s="1"/>
      <c r="QXI9" s="1"/>
      <c r="QXK9" s="1"/>
      <c r="QXM9" s="1"/>
      <c r="QXO9" s="1"/>
      <c r="QXQ9" s="1"/>
      <c r="QXS9" s="1"/>
      <c r="QXU9" s="1"/>
      <c r="QXW9" s="1"/>
      <c r="QXY9" s="1"/>
      <c r="QYA9" s="1"/>
      <c r="QYC9" s="1"/>
      <c r="QYE9" s="1"/>
      <c r="QYG9" s="1"/>
      <c r="QYI9" s="1"/>
      <c r="QYK9" s="1"/>
      <c r="QYM9" s="1"/>
      <c r="QYO9" s="1"/>
      <c r="QYQ9" s="1"/>
      <c r="QYS9" s="1"/>
      <c r="QYU9" s="1"/>
      <c r="QYW9" s="1"/>
      <c r="QYY9" s="1"/>
      <c r="QZA9" s="1"/>
      <c r="QZC9" s="1"/>
      <c r="QZE9" s="1"/>
      <c r="QZG9" s="1"/>
      <c r="QZI9" s="1"/>
      <c r="QZK9" s="1"/>
      <c r="QZM9" s="1"/>
      <c r="QZO9" s="1"/>
      <c r="QZQ9" s="1"/>
      <c r="QZS9" s="1"/>
      <c r="QZU9" s="1"/>
      <c r="QZW9" s="1"/>
      <c r="QZY9" s="1"/>
      <c r="RAA9" s="1"/>
      <c r="RAC9" s="1"/>
      <c r="RAE9" s="1"/>
      <c r="RAG9" s="1"/>
      <c r="RAI9" s="1"/>
      <c r="RAK9" s="1"/>
      <c r="RAM9" s="1"/>
      <c r="RAO9" s="1"/>
      <c r="RAQ9" s="1"/>
      <c r="RAS9" s="1"/>
      <c r="RAU9" s="1"/>
      <c r="RAW9" s="1"/>
      <c r="RAY9" s="1"/>
      <c r="RBA9" s="1"/>
      <c r="RBC9" s="1"/>
      <c r="RBE9" s="1"/>
      <c r="RBG9" s="1"/>
      <c r="RBI9" s="1"/>
      <c r="RBK9" s="1"/>
      <c r="RBM9" s="1"/>
      <c r="RBO9" s="1"/>
      <c r="RBQ9" s="1"/>
      <c r="RBS9" s="1"/>
      <c r="RBU9" s="1"/>
      <c r="RBW9" s="1"/>
      <c r="RBY9" s="1"/>
      <c r="RCA9" s="1"/>
      <c r="RCC9" s="1"/>
      <c r="RCE9" s="1"/>
      <c r="RCG9" s="1"/>
      <c r="RCI9" s="1"/>
      <c r="RCK9" s="1"/>
      <c r="RCM9" s="1"/>
      <c r="RCO9" s="1"/>
      <c r="RCQ9" s="1"/>
      <c r="RCS9" s="1"/>
      <c r="RCU9" s="1"/>
      <c r="RCW9" s="1"/>
      <c r="RCY9" s="1"/>
      <c r="RDA9" s="1"/>
      <c r="RDC9" s="1"/>
      <c r="RDE9" s="1"/>
      <c r="RDG9" s="1"/>
      <c r="RDI9" s="1"/>
      <c r="RDK9" s="1"/>
      <c r="RDM9" s="1"/>
      <c r="RDO9" s="1"/>
      <c r="RDQ9" s="1"/>
      <c r="RDS9" s="1"/>
      <c r="RDU9" s="1"/>
      <c r="RDW9" s="1"/>
      <c r="RDY9" s="1"/>
      <c r="REA9" s="1"/>
      <c r="REC9" s="1"/>
      <c r="REE9" s="1"/>
      <c r="REG9" s="1"/>
      <c r="REI9" s="1"/>
      <c r="REK9" s="1"/>
      <c r="REM9" s="1"/>
      <c r="REO9" s="1"/>
      <c r="REQ9" s="1"/>
      <c r="RES9" s="1"/>
      <c r="REU9" s="1"/>
      <c r="REW9" s="1"/>
      <c r="REY9" s="1"/>
      <c r="RFA9" s="1"/>
      <c r="RFC9" s="1"/>
      <c r="RFE9" s="1"/>
      <c r="RFG9" s="1"/>
      <c r="RFI9" s="1"/>
      <c r="RFK9" s="1"/>
      <c r="RFM9" s="1"/>
      <c r="RFO9" s="1"/>
      <c r="RFQ9" s="1"/>
      <c r="RFS9" s="1"/>
      <c r="RFU9" s="1"/>
      <c r="RFW9" s="1"/>
      <c r="RFY9" s="1"/>
      <c r="RGA9" s="1"/>
      <c r="RGC9" s="1"/>
      <c r="RGE9" s="1"/>
      <c r="RGG9" s="1"/>
      <c r="RGI9" s="1"/>
      <c r="RGK9" s="1"/>
      <c r="RGM9" s="1"/>
      <c r="RGO9" s="1"/>
      <c r="RGQ9" s="1"/>
      <c r="RGS9" s="1"/>
      <c r="RGU9" s="1"/>
      <c r="RGW9" s="1"/>
      <c r="RGY9" s="1"/>
      <c r="RHA9" s="1"/>
      <c r="RHC9" s="1"/>
      <c r="RHE9" s="1"/>
      <c r="RHG9" s="1"/>
      <c r="RHI9" s="1"/>
      <c r="RHK9" s="1"/>
      <c r="RHM9" s="1"/>
      <c r="RHO9" s="1"/>
      <c r="RHQ9" s="1"/>
      <c r="RHS9" s="1"/>
      <c r="RHU9" s="1"/>
      <c r="RHW9" s="1"/>
      <c r="RHY9" s="1"/>
      <c r="RIA9" s="1"/>
      <c r="RIC9" s="1"/>
      <c r="RIE9" s="1"/>
      <c r="RIG9" s="1"/>
      <c r="RII9" s="1"/>
      <c r="RIK9" s="1"/>
      <c r="RIM9" s="1"/>
      <c r="RIO9" s="1"/>
      <c r="RIQ9" s="1"/>
      <c r="RIS9" s="1"/>
      <c r="RIU9" s="1"/>
      <c r="RIW9" s="1"/>
      <c r="RIY9" s="1"/>
      <c r="RJA9" s="1"/>
      <c r="RJC9" s="1"/>
      <c r="RJE9" s="1"/>
      <c r="RJG9" s="1"/>
      <c r="RJI9" s="1"/>
      <c r="RJK9" s="1"/>
      <c r="RJM9" s="1"/>
      <c r="RJO9" s="1"/>
      <c r="RJQ9" s="1"/>
      <c r="RJS9" s="1"/>
      <c r="RJU9" s="1"/>
      <c r="RJW9" s="1"/>
      <c r="RJY9" s="1"/>
      <c r="RKA9" s="1"/>
      <c r="RKC9" s="1"/>
      <c r="RKE9" s="1"/>
      <c r="RKG9" s="1"/>
      <c r="RKI9" s="1"/>
      <c r="RKK9" s="1"/>
      <c r="RKM9" s="1"/>
      <c r="RKO9" s="1"/>
      <c r="RKQ9" s="1"/>
      <c r="RKS9" s="1"/>
      <c r="RKU9" s="1"/>
      <c r="RKW9" s="1"/>
      <c r="RKY9" s="1"/>
      <c r="RLA9" s="1"/>
      <c r="RLC9" s="1"/>
      <c r="RLE9" s="1"/>
      <c r="RLG9" s="1"/>
      <c r="RLI9" s="1"/>
      <c r="RLK9" s="1"/>
      <c r="RLM9" s="1"/>
      <c r="RLO9" s="1"/>
      <c r="RLQ9" s="1"/>
      <c r="RLS9" s="1"/>
      <c r="RLU9" s="1"/>
      <c r="RLW9" s="1"/>
      <c r="RLY9" s="1"/>
      <c r="RMA9" s="1"/>
      <c r="RMC9" s="1"/>
      <c r="RME9" s="1"/>
      <c r="RMG9" s="1"/>
      <c r="RMI9" s="1"/>
      <c r="RMK9" s="1"/>
      <c r="RMM9" s="1"/>
      <c r="RMO9" s="1"/>
      <c r="RMQ9" s="1"/>
      <c r="RMS9" s="1"/>
      <c r="RMU9" s="1"/>
      <c r="RMW9" s="1"/>
      <c r="RMY9" s="1"/>
      <c r="RNA9" s="1"/>
      <c r="RNC9" s="1"/>
      <c r="RNE9" s="1"/>
      <c r="RNG9" s="1"/>
      <c r="RNI9" s="1"/>
      <c r="RNK9" s="1"/>
      <c r="RNM9" s="1"/>
      <c r="RNO9" s="1"/>
      <c r="RNQ9" s="1"/>
      <c r="RNS9" s="1"/>
      <c r="RNU9" s="1"/>
      <c r="RNW9" s="1"/>
      <c r="RNY9" s="1"/>
      <c r="ROA9" s="1"/>
      <c r="ROC9" s="1"/>
      <c r="ROE9" s="1"/>
      <c r="ROG9" s="1"/>
      <c r="ROI9" s="1"/>
      <c r="ROK9" s="1"/>
      <c r="ROM9" s="1"/>
      <c r="ROO9" s="1"/>
      <c r="ROQ9" s="1"/>
      <c r="ROS9" s="1"/>
      <c r="ROU9" s="1"/>
      <c r="ROW9" s="1"/>
      <c r="ROY9" s="1"/>
      <c r="RPA9" s="1"/>
      <c r="RPC9" s="1"/>
      <c r="RPE9" s="1"/>
      <c r="RPG9" s="1"/>
      <c r="RPI9" s="1"/>
      <c r="RPK9" s="1"/>
      <c r="RPM9" s="1"/>
      <c r="RPO9" s="1"/>
      <c r="RPQ9" s="1"/>
      <c r="RPS9" s="1"/>
      <c r="RPU9" s="1"/>
      <c r="RPW9" s="1"/>
      <c r="RPY9" s="1"/>
      <c r="RQA9" s="1"/>
      <c r="RQC9" s="1"/>
      <c r="RQE9" s="1"/>
      <c r="RQG9" s="1"/>
      <c r="RQI9" s="1"/>
      <c r="RQK9" s="1"/>
      <c r="RQM9" s="1"/>
      <c r="RQO9" s="1"/>
      <c r="RQQ9" s="1"/>
      <c r="RQS9" s="1"/>
      <c r="RQU9" s="1"/>
      <c r="RQW9" s="1"/>
      <c r="RQY9" s="1"/>
      <c r="RRA9" s="1"/>
      <c r="RRC9" s="1"/>
      <c r="RRE9" s="1"/>
      <c r="RRG9" s="1"/>
      <c r="RRI9" s="1"/>
      <c r="RRK9" s="1"/>
      <c r="RRM9" s="1"/>
      <c r="RRO9" s="1"/>
      <c r="RRQ9" s="1"/>
      <c r="RRS9" s="1"/>
      <c r="RRU9" s="1"/>
      <c r="RRW9" s="1"/>
      <c r="RRY9" s="1"/>
      <c r="RSA9" s="1"/>
      <c r="RSC9" s="1"/>
      <c r="RSE9" s="1"/>
      <c r="RSG9" s="1"/>
      <c r="RSI9" s="1"/>
      <c r="RSK9" s="1"/>
      <c r="RSM9" s="1"/>
      <c r="RSO9" s="1"/>
      <c r="RSQ9" s="1"/>
      <c r="RSS9" s="1"/>
      <c r="RSU9" s="1"/>
      <c r="RSW9" s="1"/>
      <c r="RSY9" s="1"/>
      <c r="RTA9" s="1"/>
      <c r="RTC9" s="1"/>
      <c r="RTE9" s="1"/>
      <c r="RTG9" s="1"/>
      <c r="RTI9" s="1"/>
      <c r="RTK9" s="1"/>
      <c r="RTM9" s="1"/>
      <c r="RTO9" s="1"/>
      <c r="RTQ9" s="1"/>
      <c r="RTS9" s="1"/>
      <c r="RTU9" s="1"/>
      <c r="RTW9" s="1"/>
      <c r="RTY9" s="1"/>
      <c r="RUA9" s="1"/>
      <c r="RUC9" s="1"/>
      <c r="RUE9" s="1"/>
      <c r="RUG9" s="1"/>
      <c r="RUI9" s="1"/>
      <c r="RUK9" s="1"/>
      <c r="RUM9" s="1"/>
      <c r="RUO9" s="1"/>
      <c r="RUQ9" s="1"/>
      <c r="RUS9" s="1"/>
      <c r="RUU9" s="1"/>
      <c r="RUW9" s="1"/>
      <c r="RUY9" s="1"/>
      <c r="RVA9" s="1"/>
      <c r="RVC9" s="1"/>
      <c r="RVE9" s="1"/>
      <c r="RVG9" s="1"/>
      <c r="RVI9" s="1"/>
      <c r="RVK9" s="1"/>
      <c r="RVM9" s="1"/>
      <c r="RVO9" s="1"/>
      <c r="RVQ9" s="1"/>
      <c r="RVS9" s="1"/>
      <c r="RVU9" s="1"/>
      <c r="RVW9" s="1"/>
      <c r="RVY9" s="1"/>
      <c r="RWA9" s="1"/>
      <c r="RWC9" s="1"/>
      <c r="RWE9" s="1"/>
      <c r="RWG9" s="1"/>
      <c r="RWI9" s="1"/>
      <c r="RWK9" s="1"/>
      <c r="RWM9" s="1"/>
      <c r="RWO9" s="1"/>
      <c r="RWQ9" s="1"/>
      <c r="RWS9" s="1"/>
      <c r="RWU9" s="1"/>
      <c r="RWW9" s="1"/>
      <c r="RWY9" s="1"/>
      <c r="RXA9" s="1"/>
      <c r="RXC9" s="1"/>
      <c r="RXE9" s="1"/>
      <c r="RXG9" s="1"/>
      <c r="RXI9" s="1"/>
      <c r="RXK9" s="1"/>
      <c r="RXM9" s="1"/>
      <c r="RXO9" s="1"/>
      <c r="RXQ9" s="1"/>
      <c r="RXS9" s="1"/>
      <c r="RXU9" s="1"/>
      <c r="RXW9" s="1"/>
      <c r="RXY9" s="1"/>
      <c r="RYA9" s="1"/>
      <c r="RYC9" s="1"/>
      <c r="RYE9" s="1"/>
      <c r="RYG9" s="1"/>
      <c r="RYI9" s="1"/>
      <c r="RYK9" s="1"/>
      <c r="RYM9" s="1"/>
      <c r="RYO9" s="1"/>
      <c r="RYQ9" s="1"/>
      <c r="RYS9" s="1"/>
      <c r="RYU9" s="1"/>
      <c r="RYW9" s="1"/>
      <c r="RYY9" s="1"/>
      <c r="RZA9" s="1"/>
      <c r="RZC9" s="1"/>
      <c r="RZE9" s="1"/>
      <c r="RZG9" s="1"/>
      <c r="RZI9" s="1"/>
      <c r="RZK9" s="1"/>
      <c r="RZM9" s="1"/>
      <c r="RZO9" s="1"/>
      <c r="RZQ9" s="1"/>
      <c r="RZS9" s="1"/>
      <c r="RZU9" s="1"/>
      <c r="RZW9" s="1"/>
      <c r="RZY9" s="1"/>
      <c r="SAA9" s="1"/>
      <c r="SAC9" s="1"/>
      <c r="SAE9" s="1"/>
      <c r="SAG9" s="1"/>
      <c r="SAI9" s="1"/>
      <c r="SAK9" s="1"/>
      <c r="SAM9" s="1"/>
      <c r="SAO9" s="1"/>
      <c r="SAQ9" s="1"/>
      <c r="SAS9" s="1"/>
      <c r="SAU9" s="1"/>
      <c r="SAW9" s="1"/>
      <c r="SAY9" s="1"/>
      <c r="SBA9" s="1"/>
      <c r="SBC9" s="1"/>
      <c r="SBE9" s="1"/>
      <c r="SBG9" s="1"/>
      <c r="SBI9" s="1"/>
      <c r="SBK9" s="1"/>
      <c r="SBM9" s="1"/>
      <c r="SBO9" s="1"/>
      <c r="SBQ9" s="1"/>
      <c r="SBS9" s="1"/>
      <c r="SBU9" s="1"/>
      <c r="SBW9" s="1"/>
      <c r="SBY9" s="1"/>
      <c r="SCA9" s="1"/>
      <c r="SCC9" s="1"/>
      <c r="SCE9" s="1"/>
      <c r="SCG9" s="1"/>
      <c r="SCI9" s="1"/>
      <c r="SCK9" s="1"/>
      <c r="SCM9" s="1"/>
      <c r="SCO9" s="1"/>
      <c r="SCQ9" s="1"/>
      <c r="SCS9" s="1"/>
      <c r="SCU9" s="1"/>
      <c r="SCW9" s="1"/>
      <c r="SCY9" s="1"/>
      <c r="SDA9" s="1"/>
      <c r="SDC9" s="1"/>
      <c r="SDE9" s="1"/>
      <c r="SDG9" s="1"/>
      <c r="SDI9" s="1"/>
      <c r="SDK9" s="1"/>
      <c r="SDM9" s="1"/>
      <c r="SDO9" s="1"/>
      <c r="SDQ9" s="1"/>
      <c r="SDS9" s="1"/>
      <c r="SDU9" s="1"/>
      <c r="SDW9" s="1"/>
      <c r="SDY9" s="1"/>
      <c r="SEA9" s="1"/>
      <c r="SEC9" s="1"/>
      <c r="SEE9" s="1"/>
      <c r="SEG9" s="1"/>
      <c r="SEI9" s="1"/>
      <c r="SEK9" s="1"/>
      <c r="SEM9" s="1"/>
      <c r="SEO9" s="1"/>
      <c r="SEQ9" s="1"/>
      <c r="SES9" s="1"/>
      <c r="SEU9" s="1"/>
      <c r="SEW9" s="1"/>
      <c r="SEY9" s="1"/>
      <c r="SFA9" s="1"/>
      <c r="SFC9" s="1"/>
      <c r="SFE9" s="1"/>
      <c r="SFG9" s="1"/>
      <c r="SFI9" s="1"/>
      <c r="SFK9" s="1"/>
      <c r="SFM9" s="1"/>
      <c r="SFO9" s="1"/>
      <c r="SFQ9" s="1"/>
      <c r="SFS9" s="1"/>
      <c r="SFU9" s="1"/>
      <c r="SFW9" s="1"/>
      <c r="SFY9" s="1"/>
      <c r="SGA9" s="1"/>
      <c r="SGC9" s="1"/>
      <c r="SGE9" s="1"/>
      <c r="SGG9" s="1"/>
      <c r="SGI9" s="1"/>
      <c r="SGK9" s="1"/>
      <c r="SGM9" s="1"/>
      <c r="SGO9" s="1"/>
      <c r="SGQ9" s="1"/>
      <c r="SGS9" s="1"/>
      <c r="SGU9" s="1"/>
      <c r="SGW9" s="1"/>
      <c r="SGY9" s="1"/>
      <c r="SHA9" s="1"/>
      <c r="SHC9" s="1"/>
      <c r="SHE9" s="1"/>
      <c r="SHG9" s="1"/>
      <c r="SHI9" s="1"/>
      <c r="SHK9" s="1"/>
      <c r="SHM9" s="1"/>
      <c r="SHO9" s="1"/>
      <c r="SHQ9" s="1"/>
      <c r="SHS9" s="1"/>
      <c r="SHU9" s="1"/>
      <c r="SHW9" s="1"/>
      <c r="SHY9" s="1"/>
      <c r="SIA9" s="1"/>
      <c r="SIC9" s="1"/>
      <c r="SIE9" s="1"/>
      <c r="SIG9" s="1"/>
      <c r="SII9" s="1"/>
      <c r="SIK9" s="1"/>
      <c r="SIM9" s="1"/>
      <c r="SIO9" s="1"/>
      <c r="SIQ9" s="1"/>
      <c r="SIS9" s="1"/>
      <c r="SIU9" s="1"/>
      <c r="SIW9" s="1"/>
      <c r="SIY9" s="1"/>
      <c r="SJA9" s="1"/>
      <c r="SJC9" s="1"/>
      <c r="SJE9" s="1"/>
      <c r="SJG9" s="1"/>
      <c r="SJI9" s="1"/>
      <c r="SJK9" s="1"/>
      <c r="SJM9" s="1"/>
      <c r="SJO9" s="1"/>
      <c r="SJQ9" s="1"/>
      <c r="SJS9" s="1"/>
      <c r="SJU9" s="1"/>
      <c r="SJW9" s="1"/>
      <c r="SJY9" s="1"/>
      <c r="SKA9" s="1"/>
      <c r="SKC9" s="1"/>
      <c r="SKE9" s="1"/>
      <c r="SKG9" s="1"/>
      <c r="SKI9" s="1"/>
      <c r="SKK9" s="1"/>
      <c r="SKM9" s="1"/>
      <c r="SKO9" s="1"/>
      <c r="SKQ9" s="1"/>
      <c r="SKS9" s="1"/>
      <c r="SKU9" s="1"/>
      <c r="SKW9" s="1"/>
      <c r="SKY9" s="1"/>
      <c r="SLA9" s="1"/>
      <c r="SLC9" s="1"/>
      <c r="SLE9" s="1"/>
      <c r="SLG9" s="1"/>
      <c r="SLI9" s="1"/>
      <c r="SLK9" s="1"/>
      <c r="SLM9" s="1"/>
      <c r="SLO9" s="1"/>
      <c r="SLQ9" s="1"/>
      <c r="SLS9" s="1"/>
      <c r="SLU9" s="1"/>
      <c r="SLW9" s="1"/>
      <c r="SLY9" s="1"/>
      <c r="SMA9" s="1"/>
      <c r="SMC9" s="1"/>
      <c r="SME9" s="1"/>
      <c r="SMG9" s="1"/>
      <c r="SMI9" s="1"/>
      <c r="SMK9" s="1"/>
      <c r="SMM9" s="1"/>
      <c r="SMO9" s="1"/>
      <c r="SMQ9" s="1"/>
      <c r="SMS9" s="1"/>
      <c r="SMU9" s="1"/>
      <c r="SMW9" s="1"/>
      <c r="SMY9" s="1"/>
      <c r="SNA9" s="1"/>
      <c r="SNC9" s="1"/>
      <c r="SNE9" s="1"/>
      <c r="SNG9" s="1"/>
      <c r="SNI9" s="1"/>
      <c r="SNK9" s="1"/>
      <c r="SNM9" s="1"/>
      <c r="SNO9" s="1"/>
      <c r="SNQ9" s="1"/>
      <c r="SNS9" s="1"/>
      <c r="SNU9" s="1"/>
      <c r="SNW9" s="1"/>
      <c r="SNY9" s="1"/>
      <c r="SOA9" s="1"/>
      <c r="SOC9" s="1"/>
      <c r="SOE9" s="1"/>
      <c r="SOG9" s="1"/>
      <c r="SOI9" s="1"/>
      <c r="SOK9" s="1"/>
      <c r="SOM9" s="1"/>
      <c r="SOO9" s="1"/>
      <c r="SOQ9" s="1"/>
      <c r="SOS9" s="1"/>
      <c r="SOU9" s="1"/>
      <c r="SOW9" s="1"/>
      <c r="SOY9" s="1"/>
      <c r="SPA9" s="1"/>
      <c r="SPC9" s="1"/>
      <c r="SPE9" s="1"/>
      <c r="SPG9" s="1"/>
      <c r="SPI9" s="1"/>
      <c r="SPK9" s="1"/>
      <c r="SPM9" s="1"/>
      <c r="SPO9" s="1"/>
      <c r="SPQ9" s="1"/>
      <c r="SPS9" s="1"/>
      <c r="SPU9" s="1"/>
      <c r="SPW9" s="1"/>
      <c r="SPY9" s="1"/>
      <c r="SQA9" s="1"/>
      <c r="SQC9" s="1"/>
      <c r="SQE9" s="1"/>
      <c r="SQG9" s="1"/>
      <c r="SQI9" s="1"/>
      <c r="SQK9" s="1"/>
      <c r="SQM9" s="1"/>
      <c r="SQO9" s="1"/>
      <c r="SQQ9" s="1"/>
      <c r="SQS9" s="1"/>
      <c r="SQU9" s="1"/>
      <c r="SQW9" s="1"/>
      <c r="SQY9" s="1"/>
      <c r="SRA9" s="1"/>
      <c r="SRC9" s="1"/>
      <c r="SRE9" s="1"/>
      <c r="SRG9" s="1"/>
      <c r="SRI9" s="1"/>
      <c r="SRK9" s="1"/>
      <c r="SRM9" s="1"/>
      <c r="SRO9" s="1"/>
      <c r="SRQ9" s="1"/>
      <c r="SRS9" s="1"/>
      <c r="SRU9" s="1"/>
      <c r="SRW9" s="1"/>
      <c r="SRY9" s="1"/>
      <c r="SSA9" s="1"/>
      <c r="SSC9" s="1"/>
      <c r="SSE9" s="1"/>
      <c r="SSG9" s="1"/>
      <c r="SSI9" s="1"/>
      <c r="SSK9" s="1"/>
      <c r="SSM9" s="1"/>
      <c r="SSO9" s="1"/>
      <c r="SSQ9" s="1"/>
      <c r="SSS9" s="1"/>
      <c r="SSU9" s="1"/>
      <c r="SSW9" s="1"/>
      <c r="SSY9" s="1"/>
      <c r="STA9" s="1"/>
      <c r="STC9" s="1"/>
      <c r="STE9" s="1"/>
      <c r="STG9" s="1"/>
      <c r="STI9" s="1"/>
      <c r="STK9" s="1"/>
      <c r="STM9" s="1"/>
      <c r="STO9" s="1"/>
      <c r="STQ9" s="1"/>
      <c r="STS9" s="1"/>
      <c r="STU9" s="1"/>
      <c r="STW9" s="1"/>
      <c r="STY9" s="1"/>
      <c r="SUA9" s="1"/>
      <c r="SUC9" s="1"/>
      <c r="SUE9" s="1"/>
      <c r="SUG9" s="1"/>
      <c r="SUI9" s="1"/>
      <c r="SUK9" s="1"/>
      <c r="SUM9" s="1"/>
      <c r="SUO9" s="1"/>
      <c r="SUQ9" s="1"/>
      <c r="SUS9" s="1"/>
      <c r="SUU9" s="1"/>
      <c r="SUW9" s="1"/>
      <c r="SUY9" s="1"/>
      <c r="SVA9" s="1"/>
      <c r="SVC9" s="1"/>
      <c r="SVE9" s="1"/>
      <c r="SVG9" s="1"/>
      <c r="SVI9" s="1"/>
      <c r="SVK9" s="1"/>
      <c r="SVM9" s="1"/>
      <c r="SVO9" s="1"/>
      <c r="SVQ9" s="1"/>
      <c r="SVS9" s="1"/>
      <c r="SVU9" s="1"/>
      <c r="SVW9" s="1"/>
      <c r="SVY9" s="1"/>
      <c r="SWA9" s="1"/>
      <c r="SWC9" s="1"/>
      <c r="SWE9" s="1"/>
      <c r="SWG9" s="1"/>
      <c r="SWI9" s="1"/>
      <c r="SWK9" s="1"/>
      <c r="SWM9" s="1"/>
      <c r="SWO9" s="1"/>
      <c r="SWQ9" s="1"/>
      <c r="SWS9" s="1"/>
      <c r="SWU9" s="1"/>
      <c r="SWW9" s="1"/>
      <c r="SWY9" s="1"/>
      <c r="SXA9" s="1"/>
      <c r="SXC9" s="1"/>
      <c r="SXE9" s="1"/>
      <c r="SXG9" s="1"/>
      <c r="SXI9" s="1"/>
      <c r="SXK9" s="1"/>
      <c r="SXM9" s="1"/>
      <c r="SXO9" s="1"/>
      <c r="SXQ9" s="1"/>
      <c r="SXS9" s="1"/>
      <c r="SXU9" s="1"/>
      <c r="SXW9" s="1"/>
      <c r="SXY9" s="1"/>
      <c r="SYA9" s="1"/>
      <c r="SYC9" s="1"/>
      <c r="SYE9" s="1"/>
      <c r="SYG9" s="1"/>
      <c r="SYI9" s="1"/>
      <c r="SYK9" s="1"/>
      <c r="SYM9" s="1"/>
      <c r="SYO9" s="1"/>
      <c r="SYQ9" s="1"/>
      <c r="SYS9" s="1"/>
      <c r="SYU9" s="1"/>
      <c r="SYW9" s="1"/>
      <c r="SYY9" s="1"/>
      <c r="SZA9" s="1"/>
      <c r="SZC9" s="1"/>
      <c r="SZE9" s="1"/>
      <c r="SZG9" s="1"/>
      <c r="SZI9" s="1"/>
      <c r="SZK9" s="1"/>
      <c r="SZM9" s="1"/>
      <c r="SZO9" s="1"/>
      <c r="SZQ9" s="1"/>
      <c r="SZS9" s="1"/>
      <c r="SZU9" s="1"/>
      <c r="SZW9" s="1"/>
      <c r="SZY9" s="1"/>
      <c r="TAA9" s="1"/>
      <c r="TAC9" s="1"/>
      <c r="TAE9" s="1"/>
      <c r="TAG9" s="1"/>
      <c r="TAI9" s="1"/>
      <c r="TAK9" s="1"/>
      <c r="TAM9" s="1"/>
      <c r="TAO9" s="1"/>
      <c r="TAQ9" s="1"/>
      <c r="TAS9" s="1"/>
      <c r="TAU9" s="1"/>
      <c r="TAW9" s="1"/>
      <c r="TAY9" s="1"/>
      <c r="TBA9" s="1"/>
      <c r="TBC9" s="1"/>
      <c r="TBE9" s="1"/>
      <c r="TBG9" s="1"/>
      <c r="TBI9" s="1"/>
      <c r="TBK9" s="1"/>
      <c r="TBM9" s="1"/>
      <c r="TBO9" s="1"/>
      <c r="TBQ9" s="1"/>
      <c r="TBS9" s="1"/>
      <c r="TBU9" s="1"/>
      <c r="TBW9" s="1"/>
      <c r="TBY9" s="1"/>
      <c r="TCA9" s="1"/>
      <c r="TCC9" s="1"/>
      <c r="TCE9" s="1"/>
      <c r="TCG9" s="1"/>
      <c r="TCI9" s="1"/>
      <c r="TCK9" s="1"/>
      <c r="TCM9" s="1"/>
      <c r="TCO9" s="1"/>
      <c r="TCQ9" s="1"/>
      <c r="TCS9" s="1"/>
      <c r="TCU9" s="1"/>
      <c r="TCW9" s="1"/>
      <c r="TCY9" s="1"/>
      <c r="TDA9" s="1"/>
      <c r="TDC9" s="1"/>
      <c r="TDE9" s="1"/>
      <c r="TDG9" s="1"/>
      <c r="TDI9" s="1"/>
      <c r="TDK9" s="1"/>
      <c r="TDM9" s="1"/>
      <c r="TDO9" s="1"/>
      <c r="TDQ9" s="1"/>
      <c r="TDS9" s="1"/>
      <c r="TDU9" s="1"/>
      <c r="TDW9" s="1"/>
      <c r="TDY9" s="1"/>
      <c r="TEA9" s="1"/>
      <c r="TEC9" s="1"/>
      <c r="TEE9" s="1"/>
      <c r="TEG9" s="1"/>
      <c r="TEI9" s="1"/>
      <c r="TEK9" s="1"/>
      <c r="TEM9" s="1"/>
      <c r="TEO9" s="1"/>
      <c r="TEQ9" s="1"/>
      <c r="TES9" s="1"/>
      <c r="TEU9" s="1"/>
      <c r="TEW9" s="1"/>
      <c r="TEY9" s="1"/>
      <c r="TFA9" s="1"/>
      <c r="TFC9" s="1"/>
      <c r="TFE9" s="1"/>
      <c r="TFG9" s="1"/>
      <c r="TFI9" s="1"/>
      <c r="TFK9" s="1"/>
      <c r="TFM9" s="1"/>
      <c r="TFO9" s="1"/>
      <c r="TFQ9" s="1"/>
      <c r="TFS9" s="1"/>
      <c r="TFU9" s="1"/>
      <c r="TFW9" s="1"/>
      <c r="TFY9" s="1"/>
      <c r="TGA9" s="1"/>
      <c r="TGC9" s="1"/>
      <c r="TGE9" s="1"/>
      <c r="TGG9" s="1"/>
      <c r="TGI9" s="1"/>
      <c r="TGK9" s="1"/>
      <c r="TGM9" s="1"/>
      <c r="TGO9" s="1"/>
      <c r="TGQ9" s="1"/>
      <c r="TGS9" s="1"/>
      <c r="TGU9" s="1"/>
      <c r="TGW9" s="1"/>
      <c r="TGY9" s="1"/>
      <c r="THA9" s="1"/>
      <c r="THC9" s="1"/>
      <c r="THE9" s="1"/>
      <c r="THG9" s="1"/>
      <c r="THI9" s="1"/>
      <c r="THK9" s="1"/>
      <c r="THM9" s="1"/>
      <c r="THO9" s="1"/>
      <c r="THQ9" s="1"/>
      <c r="THS9" s="1"/>
      <c r="THU9" s="1"/>
      <c r="THW9" s="1"/>
      <c r="THY9" s="1"/>
      <c r="TIA9" s="1"/>
      <c r="TIC9" s="1"/>
      <c r="TIE9" s="1"/>
      <c r="TIG9" s="1"/>
      <c r="TII9" s="1"/>
      <c r="TIK9" s="1"/>
      <c r="TIM9" s="1"/>
      <c r="TIO9" s="1"/>
      <c r="TIQ9" s="1"/>
      <c r="TIS9" s="1"/>
      <c r="TIU9" s="1"/>
      <c r="TIW9" s="1"/>
      <c r="TIY9" s="1"/>
      <c r="TJA9" s="1"/>
      <c r="TJC9" s="1"/>
      <c r="TJE9" s="1"/>
      <c r="TJG9" s="1"/>
      <c r="TJI9" s="1"/>
      <c r="TJK9" s="1"/>
      <c r="TJM9" s="1"/>
      <c r="TJO9" s="1"/>
      <c r="TJQ9" s="1"/>
      <c r="TJS9" s="1"/>
      <c r="TJU9" s="1"/>
      <c r="TJW9" s="1"/>
      <c r="TJY9" s="1"/>
      <c r="TKA9" s="1"/>
      <c r="TKC9" s="1"/>
      <c r="TKE9" s="1"/>
      <c r="TKG9" s="1"/>
      <c r="TKI9" s="1"/>
      <c r="TKK9" s="1"/>
      <c r="TKM9" s="1"/>
      <c r="TKO9" s="1"/>
      <c r="TKQ9" s="1"/>
      <c r="TKS9" s="1"/>
      <c r="TKU9" s="1"/>
      <c r="TKW9" s="1"/>
      <c r="TKY9" s="1"/>
      <c r="TLA9" s="1"/>
      <c r="TLC9" s="1"/>
      <c r="TLE9" s="1"/>
      <c r="TLG9" s="1"/>
      <c r="TLI9" s="1"/>
      <c r="TLK9" s="1"/>
      <c r="TLM9" s="1"/>
      <c r="TLO9" s="1"/>
      <c r="TLQ9" s="1"/>
      <c r="TLS9" s="1"/>
      <c r="TLU9" s="1"/>
      <c r="TLW9" s="1"/>
      <c r="TLY9" s="1"/>
      <c r="TMA9" s="1"/>
      <c r="TMC9" s="1"/>
      <c r="TME9" s="1"/>
      <c r="TMG9" s="1"/>
      <c r="TMI9" s="1"/>
      <c r="TMK9" s="1"/>
      <c r="TMM9" s="1"/>
      <c r="TMO9" s="1"/>
      <c r="TMQ9" s="1"/>
      <c r="TMS9" s="1"/>
      <c r="TMU9" s="1"/>
      <c r="TMW9" s="1"/>
      <c r="TMY9" s="1"/>
      <c r="TNA9" s="1"/>
      <c r="TNC9" s="1"/>
      <c r="TNE9" s="1"/>
      <c r="TNG9" s="1"/>
      <c r="TNI9" s="1"/>
      <c r="TNK9" s="1"/>
      <c r="TNM9" s="1"/>
      <c r="TNO9" s="1"/>
      <c r="TNQ9" s="1"/>
      <c r="TNS9" s="1"/>
      <c r="TNU9" s="1"/>
      <c r="TNW9" s="1"/>
      <c r="TNY9" s="1"/>
      <c r="TOA9" s="1"/>
      <c r="TOC9" s="1"/>
      <c r="TOE9" s="1"/>
      <c r="TOG9" s="1"/>
      <c r="TOI9" s="1"/>
      <c r="TOK9" s="1"/>
      <c r="TOM9" s="1"/>
      <c r="TOO9" s="1"/>
      <c r="TOQ9" s="1"/>
      <c r="TOS9" s="1"/>
      <c r="TOU9" s="1"/>
      <c r="TOW9" s="1"/>
      <c r="TOY9" s="1"/>
      <c r="TPA9" s="1"/>
      <c r="TPC9" s="1"/>
      <c r="TPE9" s="1"/>
      <c r="TPG9" s="1"/>
      <c r="TPI9" s="1"/>
      <c r="TPK9" s="1"/>
      <c r="TPM9" s="1"/>
      <c r="TPO9" s="1"/>
      <c r="TPQ9" s="1"/>
      <c r="TPS9" s="1"/>
      <c r="TPU9" s="1"/>
      <c r="TPW9" s="1"/>
      <c r="TPY9" s="1"/>
      <c r="TQA9" s="1"/>
      <c r="TQC9" s="1"/>
      <c r="TQE9" s="1"/>
      <c r="TQG9" s="1"/>
      <c r="TQI9" s="1"/>
      <c r="TQK9" s="1"/>
      <c r="TQM9" s="1"/>
      <c r="TQO9" s="1"/>
      <c r="TQQ9" s="1"/>
      <c r="TQS9" s="1"/>
      <c r="TQU9" s="1"/>
      <c r="TQW9" s="1"/>
      <c r="TQY9" s="1"/>
      <c r="TRA9" s="1"/>
      <c r="TRC9" s="1"/>
      <c r="TRE9" s="1"/>
      <c r="TRG9" s="1"/>
      <c r="TRI9" s="1"/>
      <c r="TRK9" s="1"/>
      <c r="TRM9" s="1"/>
      <c r="TRO9" s="1"/>
      <c r="TRQ9" s="1"/>
      <c r="TRS9" s="1"/>
      <c r="TRU9" s="1"/>
      <c r="TRW9" s="1"/>
      <c r="TRY9" s="1"/>
      <c r="TSA9" s="1"/>
      <c r="TSC9" s="1"/>
      <c r="TSE9" s="1"/>
      <c r="TSG9" s="1"/>
      <c r="TSI9" s="1"/>
      <c r="TSK9" s="1"/>
      <c r="TSM9" s="1"/>
      <c r="TSO9" s="1"/>
      <c r="TSQ9" s="1"/>
      <c r="TSS9" s="1"/>
      <c r="TSU9" s="1"/>
      <c r="TSW9" s="1"/>
      <c r="TSY9" s="1"/>
      <c r="TTA9" s="1"/>
      <c r="TTC9" s="1"/>
      <c r="TTE9" s="1"/>
      <c r="TTG9" s="1"/>
      <c r="TTI9" s="1"/>
      <c r="TTK9" s="1"/>
      <c r="TTM9" s="1"/>
      <c r="TTO9" s="1"/>
      <c r="TTQ9" s="1"/>
      <c r="TTS9" s="1"/>
      <c r="TTU9" s="1"/>
      <c r="TTW9" s="1"/>
      <c r="TTY9" s="1"/>
      <c r="TUA9" s="1"/>
      <c r="TUC9" s="1"/>
      <c r="TUE9" s="1"/>
      <c r="TUG9" s="1"/>
      <c r="TUI9" s="1"/>
      <c r="TUK9" s="1"/>
      <c r="TUM9" s="1"/>
      <c r="TUO9" s="1"/>
      <c r="TUQ9" s="1"/>
      <c r="TUS9" s="1"/>
      <c r="TUU9" s="1"/>
      <c r="TUW9" s="1"/>
      <c r="TUY9" s="1"/>
      <c r="TVA9" s="1"/>
      <c r="TVC9" s="1"/>
      <c r="TVE9" s="1"/>
      <c r="TVG9" s="1"/>
      <c r="TVI9" s="1"/>
      <c r="TVK9" s="1"/>
      <c r="TVM9" s="1"/>
      <c r="TVO9" s="1"/>
      <c r="TVQ9" s="1"/>
      <c r="TVS9" s="1"/>
      <c r="TVU9" s="1"/>
      <c r="TVW9" s="1"/>
      <c r="TVY9" s="1"/>
      <c r="TWA9" s="1"/>
      <c r="TWC9" s="1"/>
      <c r="TWE9" s="1"/>
      <c r="TWG9" s="1"/>
      <c r="TWI9" s="1"/>
      <c r="TWK9" s="1"/>
      <c r="TWM9" s="1"/>
      <c r="TWO9" s="1"/>
      <c r="TWQ9" s="1"/>
      <c r="TWS9" s="1"/>
      <c r="TWU9" s="1"/>
      <c r="TWW9" s="1"/>
      <c r="TWY9" s="1"/>
      <c r="TXA9" s="1"/>
      <c r="TXC9" s="1"/>
      <c r="TXE9" s="1"/>
      <c r="TXG9" s="1"/>
      <c r="TXI9" s="1"/>
      <c r="TXK9" s="1"/>
      <c r="TXM9" s="1"/>
      <c r="TXO9" s="1"/>
      <c r="TXQ9" s="1"/>
      <c r="TXS9" s="1"/>
      <c r="TXU9" s="1"/>
      <c r="TXW9" s="1"/>
      <c r="TXY9" s="1"/>
      <c r="TYA9" s="1"/>
      <c r="TYC9" s="1"/>
      <c r="TYE9" s="1"/>
      <c r="TYG9" s="1"/>
      <c r="TYI9" s="1"/>
      <c r="TYK9" s="1"/>
      <c r="TYM9" s="1"/>
      <c r="TYO9" s="1"/>
      <c r="TYQ9" s="1"/>
      <c r="TYS9" s="1"/>
      <c r="TYU9" s="1"/>
      <c r="TYW9" s="1"/>
      <c r="TYY9" s="1"/>
      <c r="TZA9" s="1"/>
      <c r="TZC9" s="1"/>
      <c r="TZE9" s="1"/>
      <c r="TZG9" s="1"/>
      <c r="TZI9" s="1"/>
      <c r="TZK9" s="1"/>
      <c r="TZM9" s="1"/>
      <c r="TZO9" s="1"/>
      <c r="TZQ9" s="1"/>
      <c r="TZS9" s="1"/>
      <c r="TZU9" s="1"/>
      <c r="TZW9" s="1"/>
      <c r="TZY9" s="1"/>
      <c r="UAA9" s="1"/>
      <c r="UAC9" s="1"/>
      <c r="UAE9" s="1"/>
      <c r="UAG9" s="1"/>
      <c r="UAI9" s="1"/>
      <c r="UAK9" s="1"/>
      <c r="UAM9" s="1"/>
      <c r="UAO9" s="1"/>
      <c r="UAQ9" s="1"/>
      <c r="UAS9" s="1"/>
      <c r="UAU9" s="1"/>
      <c r="UAW9" s="1"/>
      <c r="UAY9" s="1"/>
      <c r="UBA9" s="1"/>
      <c r="UBC9" s="1"/>
      <c r="UBE9" s="1"/>
      <c r="UBG9" s="1"/>
      <c r="UBI9" s="1"/>
      <c r="UBK9" s="1"/>
      <c r="UBM9" s="1"/>
      <c r="UBO9" s="1"/>
      <c r="UBQ9" s="1"/>
      <c r="UBS9" s="1"/>
      <c r="UBU9" s="1"/>
      <c r="UBW9" s="1"/>
      <c r="UBY9" s="1"/>
      <c r="UCA9" s="1"/>
      <c r="UCC9" s="1"/>
      <c r="UCE9" s="1"/>
      <c r="UCG9" s="1"/>
      <c r="UCI9" s="1"/>
      <c r="UCK9" s="1"/>
      <c r="UCM9" s="1"/>
      <c r="UCO9" s="1"/>
      <c r="UCQ9" s="1"/>
      <c r="UCS9" s="1"/>
      <c r="UCU9" s="1"/>
      <c r="UCW9" s="1"/>
      <c r="UCY9" s="1"/>
      <c r="UDA9" s="1"/>
      <c r="UDC9" s="1"/>
      <c r="UDE9" s="1"/>
      <c r="UDG9" s="1"/>
      <c r="UDI9" s="1"/>
      <c r="UDK9" s="1"/>
      <c r="UDM9" s="1"/>
      <c r="UDO9" s="1"/>
      <c r="UDQ9" s="1"/>
      <c r="UDS9" s="1"/>
      <c r="UDU9" s="1"/>
      <c r="UDW9" s="1"/>
      <c r="UDY9" s="1"/>
      <c r="UEA9" s="1"/>
      <c r="UEC9" s="1"/>
      <c r="UEE9" s="1"/>
      <c r="UEG9" s="1"/>
      <c r="UEI9" s="1"/>
      <c r="UEK9" s="1"/>
      <c r="UEM9" s="1"/>
      <c r="UEO9" s="1"/>
      <c r="UEQ9" s="1"/>
      <c r="UES9" s="1"/>
      <c r="UEU9" s="1"/>
      <c r="UEW9" s="1"/>
      <c r="UEY9" s="1"/>
      <c r="UFA9" s="1"/>
      <c r="UFC9" s="1"/>
      <c r="UFE9" s="1"/>
      <c r="UFG9" s="1"/>
      <c r="UFI9" s="1"/>
      <c r="UFK9" s="1"/>
      <c r="UFM9" s="1"/>
      <c r="UFO9" s="1"/>
      <c r="UFQ9" s="1"/>
      <c r="UFS9" s="1"/>
      <c r="UFU9" s="1"/>
      <c r="UFW9" s="1"/>
      <c r="UFY9" s="1"/>
      <c r="UGA9" s="1"/>
      <c r="UGC9" s="1"/>
      <c r="UGE9" s="1"/>
      <c r="UGG9" s="1"/>
      <c r="UGI9" s="1"/>
      <c r="UGK9" s="1"/>
      <c r="UGM9" s="1"/>
      <c r="UGO9" s="1"/>
      <c r="UGQ9" s="1"/>
      <c r="UGS9" s="1"/>
      <c r="UGU9" s="1"/>
      <c r="UGW9" s="1"/>
      <c r="UGY9" s="1"/>
      <c r="UHA9" s="1"/>
      <c r="UHC9" s="1"/>
      <c r="UHE9" s="1"/>
      <c r="UHG9" s="1"/>
      <c r="UHI9" s="1"/>
      <c r="UHK9" s="1"/>
      <c r="UHM9" s="1"/>
      <c r="UHO9" s="1"/>
      <c r="UHQ9" s="1"/>
      <c r="UHS9" s="1"/>
      <c r="UHU9" s="1"/>
      <c r="UHW9" s="1"/>
      <c r="UHY9" s="1"/>
      <c r="UIA9" s="1"/>
      <c r="UIC9" s="1"/>
      <c r="UIE9" s="1"/>
      <c r="UIG9" s="1"/>
      <c r="UII9" s="1"/>
      <c r="UIK9" s="1"/>
      <c r="UIM9" s="1"/>
      <c r="UIO9" s="1"/>
      <c r="UIQ9" s="1"/>
      <c r="UIS9" s="1"/>
      <c r="UIU9" s="1"/>
      <c r="UIW9" s="1"/>
      <c r="UIY9" s="1"/>
      <c r="UJA9" s="1"/>
      <c r="UJC9" s="1"/>
      <c r="UJE9" s="1"/>
      <c r="UJG9" s="1"/>
      <c r="UJI9" s="1"/>
      <c r="UJK9" s="1"/>
      <c r="UJM9" s="1"/>
      <c r="UJO9" s="1"/>
      <c r="UJQ9" s="1"/>
      <c r="UJS9" s="1"/>
      <c r="UJU9" s="1"/>
      <c r="UJW9" s="1"/>
      <c r="UJY9" s="1"/>
      <c r="UKA9" s="1"/>
      <c r="UKC9" s="1"/>
      <c r="UKE9" s="1"/>
      <c r="UKG9" s="1"/>
      <c r="UKI9" s="1"/>
      <c r="UKK9" s="1"/>
      <c r="UKM9" s="1"/>
      <c r="UKO9" s="1"/>
      <c r="UKQ9" s="1"/>
      <c r="UKS9" s="1"/>
      <c r="UKU9" s="1"/>
      <c r="UKW9" s="1"/>
      <c r="UKY9" s="1"/>
      <c r="ULA9" s="1"/>
      <c r="ULC9" s="1"/>
      <c r="ULE9" s="1"/>
      <c r="ULG9" s="1"/>
      <c r="ULI9" s="1"/>
      <c r="ULK9" s="1"/>
      <c r="ULM9" s="1"/>
      <c r="ULO9" s="1"/>
      <c r="ULQ9" s="1"/>
      <c r="ULS9" s="1"/>
      <c r="ULU9" s="1"/>
      <c r="ULW9" s="1"/>
      <c r="ULY9" s="1"/>
      <c r="UMA9" s="1"/>
      <c r="UMC9" s="1"/>
      <c r="UME9" s="1"/>
      <c r="UMG9" s="1"/>
      <c r="UMI9" s="1"/>
      <c r="UMK9" s="1"/>
      <c r="UMM9" s="1"/>
      <c r="UMO9" s="1"/>
      <c r="UMQ9" s="1"/>
      <c r="UMS9" s="1"/>
      <c r="UMU9" s="1"/>
      <c r="UMW9" s="1"/>
      <c r="UMY9" s="1"/>
      <c r="UNA9" s="1"/>
      <c r="UNC9" s="1"/>
      <c r="UNE9" s="1"/>
      <c r="UNG9" s="1"/>
      <c r="UNI9" s="1"/>
      <c r="UNK9" s="1"/>
      <c r="UNM9" s="1"/>
      <c r="UNO9" s="1"/>
      <c r="UNQ9" s="1"/>
      <c r="UNS9" s="1"/>
      <c r="UNU9" s="1"/>
      <c r="UNW9" s="1"/>
      <c r="UNY9" s="1"/>
      <c r="UOA9" s="1"/>
      <c r="UOC9" s="1"/>
      <c r="UOE9" s="1"/>
      <c r="UOG9" s="1"/>
      <c r="UOI9" s="1"/>
      <c r="UOK9" s="1"/>
      <c r="UOM9" s="1"/>
      <c r="UOO9" s="1"/>
      <c r="UOQ9" s="1"/>
      <c r="UOS9" s="1"/>
      <c r="UOU9" s="1"/>
      <c r="UOW9" s="1"/>
      <c r="UOY9" s="1"/>
      <c r="UPA9" s="1"/>
      <c r="UPC9" s="1"/>
      <c r="UPE9" s="1"/>
      <c r="UPG9" s="1"/>
      <c r="UPI9" s="1"/>
      <c r="UPK9" s="1"/>
      <c r="UPM9" s="1"/>
      <c r="UPO9" s="1"/>
      <c r="UPQ9" s="1"/>
      <c r="UPS9" s="1"/>
      <c r="UPU9" s="1"/>
      <c r="UPW9" s="1"/>
      <c r="UPY9" s="1"/>
      <c r="UQA9" s="1"/>
      <c r="UQC9" s="1"/>
      <c r="UQE9" s="1"/>
      <c r="UQG9" s="1"/>
      <c r="UQI9" s="1"/>
      <c r="UQK9" s="1"/>
      <c r="UQM9" s="1"/>
      <c r="UQO9" s="1"/>
      <c r="UQQ9" s="1"/>
      <c r="UQS9" s="1"/>
      <c r="UQU9" s="1"/>
      <c r="UQW9" s="1"/>
      <c r="UQY9" s="1"/>
      <c r="URA9" s="1"/>
      <c r="URC9" s="1"/>
      <c r="URE9" s="1"/>
      <c r="URG9" s="1"/>
      <c r="URI9" s="1"/>
      <c r="URK9" s="1"/>
      <c r="URM9" s="1"/>
      <c r="URO9" s="1"/>
      <c r="URQ9" s="1"/>
      <c r="URS9" s="1"/>
      <c r="URU9" s="1"/>
      <c r="URW9" s="1"/>
      <c r="URY9" s="1"/>
      <c r="USA9" s="1"/>
      <c r="USC9" s="1"/>
      <c r="USE9" s="1"/>
      <c r="USG9" s="1"/>
      <c r="USI9" s="1"/>
      <c r="USK9" s="1"/>
      <c r="USM9" s="1"/>
      <c r="USO9" s="1"/>
      <c r="USQ9" s="1"/>
      <c r="USS9" s="1"/>
      <c r="USU9" s="1"/>
      <c r="USW9" s="1"/>
      <c r="USY9" s="1"/>
      <c r="UTA9" s="1"/>
      <c r="UTC9" s="1"/>
      <c r="UTE9" s="1"/>
      <c r="UTG9" s="1"/>
      <c r="UTI9" s="1"/>
      <c r="UTK9" s="1"/>
      <c r="UTM9" s="1"/>
      <c r="UTO9" s="1"/>
      <c r="UTQ9" s="1"/>
      <c r="UTS9" s="1"/>
      <c r="UTU9" s="1"/>
      <c r="UTW9" s="1"/>
      <c r="UTY9" s="1"/>
      <c r="UUA9" s="1"/>
      <c r="UUC9" s="1"/>
      <c r="UUE9" s="1"/>
      <c r="UUG9" s="1"/>
      <c r="UUI9" s="1"/>
      <c r="UUK9" s="1"/>
      <c r="UUM9" s="1"/>
      <c r="UUO9" s="1"/>
      <c r="UUQ9" s="1"/>
      <c r="UUS9" s="1"/>
      <c r="UUU9" s="1"/>
      <c r="UUW9" s="1"/>
      <c r="UUY9" s="1"/>
      <c r="UVA9" s="1"/>
      <c r="UVC9" s="1"/>
      <c r="UVE9" s="1"/>
      <c r="UVG9" s="1"/>
      <c r="UVI9" s="1"/>
      <c r="UVK9" s="1"/>
      <c r="UVM9" s="1"/>
      <c r="UVO9" s="1"/>
      <c r="UVQ9" s="1"/>
      <c r="UVS9" s="1"/>
      <c r="UVU9" s="1"/>
      <c r="UVW9" s="1"/>
      <c r="UVY9" s="1"/>
      <c r="UWA9" s="1"/>
      <c r="UWC9" s="1"/>
      <c r="UWE9" s="1"/>
      <c r="UWG9" s="1"/>
      <c r="UWI9" s="1"/>
      <c r="UWK9" s="1"/>
      <c r="UWM9" s="1"/>
      <c r="UWO9" s="1"/>
      <c r="UWQ9" s="1"/>
      <c r="UWS9" s="1"/>
      <c r="UWU9" s="1"/>
      <c r="UWW9" s="1"/>
      <c r="UWY9" s="1"/>
      <c r="UXA9" s="1"/>
      <c r="UXC9" s="1"/>
      <c r="UXE9" s="1"/>
      <c r="UXG9" s="1"/>
      <c r="UXI9" s="1"/>
      <c r="UXK9" s="1"/>
      <c r="UXM9" s="1"/>
      <c r="UXO9" s="1"/>
      <c r="UXQ9" s="1"/>
      <c r="UXS9" s="1"/>
      <c r="UXU9" s="1"/>
      <c r="UXW9" s="1"/>
      <c r="UXY9" s="1"/>
      <c r="UYA9" s="1"/>
      <c r="UYC9" s="1"/>
      <c r="UYE9" s="1"/>
      <c r="UYG9" s="1"/>
      <c r="UYI9" s="1"/>
      <c r="UYK9" s="1"/>
      <c r="UYM9" s="1"/>
      <c r="UYO9" s="1"/>
      <c r="UYQ9" s="1"/>
      <c r="UYS9" s="1"/>
      <c r="UYU9" s="1"/>
      <c r="UYW9" s="1"/>
      <c r="UYY9" s="1"/>
      <c r="UZA9" s="1"/>
      <c r="UZC9" s="1"/>
      <c r="UZE9" s="1"/>
      <c r="UZG9" s="1"/>
      <c r="UZI9" s="1"/>
      <c r="UZK9" s="1"/>
      <c r="UZM9" s="1"/>
      <c r="UZO9" s="1"/>
      <c r="UZQ9" s="1"/>
      <c r="UZS9" s="1"/>
      <c r="UZU9" s="1"/>
      <c r="UZW9" s="1"/>
      <c r="UZY9" s="1"/>
      <c r="VAA9" s="1"/>
      <c r="VAC9" s="1"/>
      <c r="VAE9" s="1"/>
      <c r="VAG9" s="1"/>
      <c r="VAI9" s="1"/>
      <c r="VAK9" s="1"/>
      <c r="VAM9" s="1"/>
      <c r="VAO9" s="1"/>
      <c r="VAQ9" s="1"/>
      <c r="VAS9" s="1"/>
      <c r="VAU9" s="1"/>
      <c r="VAW9" s="1"/>
      <c r="VAY9" s="1"/>
      <c r="VBA9" s="1"/>
      <c r="VBC9" s="1"/>
      <c r="VBE9" s="1"/>
      <c r="VBG9" s="1"/>
      <c r="VBI9" s="1"/>
      <c r="VBK9" s="1"/>
      <c r="VBM9" s="1"/>
      <c r="VBO9" s="1"/>
      <c r="VBQ9" s="1"/>
      <c r="VBS9" s="1"/>
      <c r="VBU9" s="1"/>
      <c r="VBW9" s="1"/>
      <c r="VBY9" s="1"/>
      <c r="VCA9" s="1"/>
      <c r="VCC9" s="1"/>
      <c r="VCE9" s="1"/>
      <c r="VCG9" s="1"/>
      <c r="VCI9" s="1"/>
      <c r="VCK9" s="1"/>
      <c r="VCM9" s="1"/>
      <c r="VCO9" s="1"/>
      <c r="VCQ9" s="1"/>
      <c r="VCS9" s="1"/>
      <c r="VCU9" s="1"/>
      <c r="VCW9" s="1"/>
      <c r="VCY9" s="1"/>
      <c r="VDA9" s="1"/>
      <c r="VDC9" s="1"/>
      <c r="VDE9" s="1"/>
      <c r="VDG9" s="1"/>
      <c r="VDI9" s="1"/>
      <c r="VDK9" s="1"/>
      <c r="VDM9" s="1"/>
      <c r="VDO9" s="1"/>
      <c r="VDQ9" s="1"/>
      <c r="VDS9" s="1"/>
      <c r="VDU9" s="1"/>
      <c r="VDW9" s="1"/>
      <c r="VDY9" s="1"/>
      <c r="VEA9" s="1"/>
      <c r="VEC9" s="1"/>
      <c r="VEE9" s="1"/>
      <c r="VEG9" s="1"/>
      <c r="VEI9" s="1"/>
      <c r="VEK9" s="1"/>
      <c r="VEM9" s="1"/>
      <c r="VEO9" s="1"/>
      <c r="VEQ9" s="1"/>
      <c r="VES9" s="1"/>
      <c r="VEU9" s="1"/>
      <c r="VEW9" s="1"/>
      <c r="VEY9" s="1"/>
      <c r="VFA9" s="1"/>
      <c r="VFC9" s="1"/>
      <c r="VFE9" s="1"/>
      <c r="VFG9" s="1"/>
      <c r="VFI9" s="1"/>
      <c r="VFK9" s="1"/>
      <c r="VFM9" s="1"/>
      <c r="VFO9" s="1"/>
      <c r="VFQ9" s="1"/>
      <c r="VFS9" s="1"/>
      <c r="VFU9" s="1"/>
      <c r="VFW9" s="1"/>
      <c r="VFY9" s="1"/>
      <c r="VGA9" s="1"/>
      <c r="VGC9" s="1"/>
      <c r="VGE9" s="1"/>
      <c r="VGG9" s="1"/>
      <c r="VGI9" s="1"/>
      <c r="VGK9" s="1"/>
      <c r="VGM9" s="1"/>
      <c r="VGO9" s="1"/>
      <c r="VGQ9" s="1"/>
      <c r="VGS9" s="1"/>
      <c r="VGU9" s="1"/>
      <c r="VGW9" s="1"/>
      <c r="VGY9" s="1"/>
      <c r="VHA9" s="1"/>
      <c r="VHC9" s="1"/>
      <c r="VHE9" s="1"/>
      <c r="VHG9" s="1"/>
      <c r="VHI9" s="1"/>
      <c r="VHK9" s="1"/>
      <c r="VHM9" s="1"/>
      <c r="VHO9" s="1"/>
      <c r="VHQ9" s="1"/>
      <c r="VHS9" s="1"/>
      <c r="VHU9" s="1"/>
      <c r="VHW9" s="1"/>
      <c r="VHY9" s="1"/>
      <c r="VIA9" s="1"/>
      <c r="VIC9" s="1"/>
      <c r="VIE9" s="1"/>
      <c r="VIG9" s="1"/>
      <c r="VII9" s="1"/>
      <c r="VIK9" s="1"/>
      <c r="VIM9" s="1"/>
      <c r="VIO9" s="1"/>
      <c r="VIQ9" s="1"/>
      <c r="VIS9" s="1"/>
      <c r="VIU9" s="1"/>
      <c r="VIW9" s="1"/>
      <c r="VIY9" s="1"/>
      <c r="VJA9" s="1"/>
      <c r="VJC9" s="1"/>
      <c r="VJE9" s="1"/>
      <c r="VJG9" s="1"/>
      <c r="VJI9" s="1"/>
      <c r="VJK9" s="1"/>
      <c r="VJM9" s="1"/>
      <c r="VJO9" s="1"/>
      <c r="VJQ9" s="1"/>
      <c r="VJS9" s="1"/>
      <c r="VJU9" s="1"/>
      <c r="VJW9" s="1"/>
      <c r="VJY9" s="1"/>
      <c r="VKA9" s="1"/>
      <c r="VKC9" s="1"/>
      <c r="VKE9" s="1"/>
      <c r="VKG9" s="1"/>
      <c r="VKI9" s="1"/>
      <c r="VKK9" s="1"/>
      <c r="VKM9" s="1"/>
      <c r="VKO9" s="1"/>
      <c r="VKQ9" s="1"/>
      <c r="VKS9" s="1"/>
      <c r="VKU9" s="1"/>
      <c r="VKW9" s="1"/>
      <c r="VKY9" s="1"/>
      <c r="VLA9" s="1"/>
      <c r="VLC9" s="1"/>
      <c r="VLE9" s="1"/>
      <c r="VLG9" s="1"/>
      <c r="VLI9" s="1"/>
      <c r="VLK9" s="1"/>
      <c r="VLM9" s="1"/>
      <c r="VLO9" s="1"/>
      <c r="VLQ9" s="1"/>
      <c r="VLS9" s="1"/>
      <c r="VLU9" s="1"/>
      <c r="VLW9" s="1"/>
      <c r="VLY9" s="1"/>
      <c r="VMA9" s="1"/>
      <c r="VMC9" s="1"/>
      <c r="VME9" s="1"/>
      <c r="VMG9" s="1"/>
      <c r="VMI9" s="1"/>
      <c r="VMK9" s="1"/>
      <c r="VMM9" s="1"/>
      <c r="VMO9" s="1"/>
      <c r="VMQ9" s="1"/>
      <c r="VMS9" s="1"/>
      <c r="VMU9" s="1"/>
      <c r="VMW9" s="1"/>
      <c r="VMY9" s="1"/>
      <c r="VNA9" s="1"/>
      <c r="VNC9" s="1"/>
      <c r="VNE9" s="1"/>
      <c r="VNG9" s="1"/>
      <c r="VNI9" s="1"/>
      <c r="VNK9" s="1"/>
      <c r="VNM9" s="1"/>
      <c r="VNO9" s="1"/>
      <c r="VNQ9" s="1"/>
      <c r="VNS9" s="1"/>
      <c r="VNU9" s="1"/>
      <c r="VNW9" s="1"/>
      <c r="VNY9" s="1"/>
      <c r="VOA9" s="1"/>
      <c r="VOC9" s="1"/>
      <c r="VOE9" s="1"/>
      <c r="VOG9" s="1"/>
      <c r="VOI9" s="1"/>
      <c r="VOK9" s="1"/>
      <c r="VOM9" s="1"/>
      <c r="VOO9" s="1"/>
      <c r="VOQ9" s="1"/>
      <c r="VOS9" s="1"/>
      <c r="VOU9" s="1"/>
      <c r="VOW9" s="1"/>
      <c r="VOY9" s="1"/>
      <c r="VPA9" s="1"/>
      <c r="VPC9" s="1"/>
      <c r="VPE9" s="1"/>
      <c r="VPG9" s="1"/>
      <c r="VPI9" s="1"/>
      <c r="VPK9" s="1"/>
      <c r="VPM9" s="1"/>
      <c r="VPO9" s="1"/>
      <c r="VPQ9" s="1"/>
      <c r="VPS9" s="1"/>
      <c r="VPU9" s="1"/>
      <c r="VPW9" s="1"/>
      <c r="VPY9" s="1"/>
      <c r="VQA9" s="1"/>
      <c r="VQC9" s="1"/>
      <c r="VQE9" s="1"/>
      <c r="VQG9" s="1"/>
      <c r="VQI9" s="1"/>
      <c r="VQK9" s="1"/>
      <c r="VQM9" s="1"/>
      <c r="VQO9" s="1"/>
      <c r="VQQ9" s="1"/>
      <c r="VQS9" s="1"/>
      <c r="VQU9" s="1"/>
      <c r="VQW9" s="1"/>
      <c r="VQY9" s="1"/>
      <c r="VRA9" s="1"/>
      <c r="VRC9" s="1"/>
      <c r="VRE9" s="1"/>
      <c r="VRG9" s="1"/>
      <c r="VRI9" s="1"/>
      <c r="VRK9" s="1"/>
      <c r="VRM9" s="1"/>
      <c r="VRO9" s="1"/>
      <c r="VRQ9" s="1"/>
      <c r="VRS9" s="1"/>
      <c r="VRU9" s="1"/>
      <c r="VRW9" s="1"/>
      <c r="VRY9" s="1"/>
      <c r="VSA9" s="1"/>
      <c r="VSC9" s="1"/>
      <c r="VSE9" s="1"/>
      <c r="VSG9" s="1"/>
      <c r="VSI9" s="1"/>
      <c r="VSK9" s="1"/>
      <c r="VSM9" s="1"/>
      <c r="VSO9" s="1"/>
      <c r="VSQ9" s="1"/>
      <c r="VSS9" s="1"/>
      <c r="VSU9" s="1"/>
      <c r="VSW9" s="1"/>
      <c r="VSY9" s="1"/>
      <c r="VTA9" s="1"/>
      <c r="VTC9" s="1"/>
      <c r="VTE9" s="1"/>
      <c r="VTG9" s="1"/>
      <c r="VTI9" s="1"/>
      <c r="VTK9" s="1"/>
      <c r="VTM9" s="1"/>
      <c r="VTO9" s="1"/>
      <c r="VTQ9" s="1"/>
      <c r="VTS9" s="1"/>
      <c r="VTU9" s="1"/>
      <c r="VTW9" s="1"/>
      <c r="VTY9" s="1"/>
      <c r="VUA9" s="1"/>
      <c r="VUC9" s="1"/>
      <c r="VUE9" s="1"/>
      <c r="VUG9" s="1"/>
      <c r="VUI9" s="1"/>
      <c r="VUK9" s="1"/>
      <c r="VUM9" s="1"/>
      <c r="VUO9" s="1"/>
      <c r="VUQ9" s="1"/>
      <c r="VUS9" s="1"/>
      <c r="VUU9" s="1"/>
      <c r="VUW9" s="1"/>
      <c r="VUY9" s="1"/>
      <c r="VVA9" s="1"/>
      <c r="VVC9" s="1"/>
      <c r="VVE9" s="1"/>
      <c r="VVG9" s="1"/>
      <c r="VVI9" s="1"/>
      <c r="VVK9" s="1"/>
      <c r="VVM9" s="1"/>
      <c r="VVO9" s="1"/>
      <c r="VVQ9" s="1"/>
      <c r="VVS9" s="1"/>
      <c r="VVU9" s="1"/>
      <c r="VVW9" s="1"/>
      <c r="VVY9" s="1"/>
      <c r="VWA9" s="1"/>
      <c r="VWC9" s="1"/>
      <c r="VWE9" s="1"/>
      <c r="VWG9" s="1"/>
      <c r="VWI9" s="1"/>
      <c r="VWK9" s="1"/>
      <c r="VWM9" s="1"/>
      <c r="VWO9" s="1"/>
      <c r="VWQ9" s="1"/>
      <c r="VWS9" s="1"/>
      <c r="VWU9" s="1"/>
      <c r="VWW9" s="1"/>
      <c r="VWY9" s="1"/>
      <c r="VXA9" s="1"/>
      <c r="VXC9" s="1"/>
      <c r="VXE9" s="1"/>
      <c r="VXG9" s="1"/>
      <c r="VXI9" s="1"/>
      <c r="VXK9" s="1"/>
      <c r="VXM9" s="1"/>
      <c r="VXO9" s="1"/>
      <c r="VXQ9" s="1"/>
      <c r="VXS9" s="1"/>
      <c r="VXU9" s="1"/>
      <c r="VXW9" s="1"/>
      <c r="VXY9" s="1"/>
      <c r="VYA9" s="1"/>
      <c r="VYC9" s="1"/>
      <c r="VYE9" s="1"/>
      <c r="VYG9" s="1"/>
      <c r="VYI9" s="1"/>
      <c r="VYK9" s="1"/>
      <c r="VYM9" s="1"/>
      <c r="VYO9" s="1"/>
      <c r="VYQ9" s="1"/>
      <c r="VYS9" s="1"/>
      <c r="VYU9" s="1"/>
      <c r="VYW9" s="1"/>
      <c r="VYY9" s="1"/>
      <c r="VZA9" s="1"/>
      <c r="VZC9" s="1"/>
      <c r="VZE9" s="1"/>
      <c r="VZG9" s="1"/>
      <c r="VZI9" s="1"/>
      <c r="VZK9" s="1"/>
      <c r="VZM9" s="1"/>
      <c r="VZO9" s="1"/>
      <c r="VZQ9" s="1"/>
      <c r="VZS9" s="1"/>
      <c r="VZU9" s="1"/>
      <c r="VZW9" s="1"/>
      <c r="VZY9" s="1"/>
      <c r="WAA9" s="1"/>
      <c r="WAC9" s="1"/>
      <c r="WAE9" s="1"/>
      <c r="WAG9" s="1"/>
      <c r="WAI9" s="1"/>
      <c r="WAK9" s="1"/>
      <c r="WAM9" s="1"/>
      <c r="WAO9" s="1"/>
      <c r="WAQ9" s="1"/>
      <c r="WAS9" s="1"/>
      <c r="WAU9" s="1"/>
      <c r="WAW9" s="1"/>
      <c r="WAY9" s="1"/>
      <c r="WBA9" s="1"/>
      <c r="WBC9" s="1"/>
      <c r="WBE9" s="1"/>
      <c r="WBG9" s="1"/>
      <c r="WBI9" s="1"/>
      <c r="WBK9" s="1"/>
      <c r="WBM9" s="1"/>
      <c r="WBO9" s="1"/>
      <c r="WBQ9" s="1"/>
      <c r="WBS9" s="1"/>
      <c r="WBU9" s="1"/>
      <c r="WBW9" s="1"/>
      <c r="WBY9" s="1"/>
      <c r="WCA9" s="1"/>
      <c r="WCC9" s="1"/>
      <c r="WCE9" s="1"/>
      <c r="WCG9" s="1"/>
      <c r="WCI9" s="1"/>
      <c r="WCK9" s="1"/>
      <c r="WCM9" s="1"/>
      <c r="WCO9" s="1"/>
      <c r="WCQ9" s="1"/>
      <c r="WCS9" s="1"/>
      <c r="WCU9" s="1"/>
      <c r="WCW9" s="1"/>
      <c r="WCY9" s="1"/>
      <c r="WDA9" s="1"/>
      <c r="WDC9" s="1"/>
      <c r="WDE9" s="1"/>
      <c r="WDG9" s="1"/>
      <c r="WDI9" s="1"/>
      <c r="WDK9" s="1"/>
      <c r="WDM9" s="1"/>
      <c r="WDO9" s="1"/>
      <c r="WDQ9" s="1"/>
      <c r="WDS9" s="1"/>
      <c r="WDU9" s="1"/>
      <c r="WDW9" s="1"/>
      <c r="WDY9" s="1"/>
      <c r="WEA9" s="1"/>
      <c r="WEC9" s="1"/>
      <c r="WEE9" s="1"/>
      <c r="WEG9" s="1"/>
      <c r="WEI9" s="1"/>
      <c r="WEK9" s="1"/>
      <c r="WEM9" s="1"/>
      <c r="WEO9" s="1"/>
      <c r="WEQ9" s="1"/>
      <c r="WES9" s="1"/>
      <c r="WEU9" s="1"/>
      <c r="WEW9" s="1"/>
      <c r="WEY9" s="1"/>
      <c r="WFA9" s="1"/>
      <c r="WFC9" s="1"/>
      <c r="WFE9" s="1"/>
      <c r="WFG9" s="1"/>
      <c r="WFI9" s="1"/>
      <c r="WFK9" s="1"/>
      <c r="WFM9" s="1"/>
      <c r="WFO9" s="1"/>
      <c r="WFQ9" s="1"/>
      <c r="WFS9" s="1"/>
      <c r="WFU9" s="1"/>
      <c r="WFW9" s="1"/>
      <c r="WFY9" s="1"/>
      <c r="WGA9" s="1"/>
      <c r="WGC9" s="1"/>
      <c r="WGE9" s="1"/>
      <c r="WGG9" s="1"/>
      <c r="WGI9" s="1"/>
      <c r="WGK9" s="1"/>
      <c r="WGM9" s="1"/>
      <c r="WGO9" s="1"/>
      <c r="WGQ9" s="1"/>
      <c r="WGS9" s="1"/>
      <c r="WGU9" s="1"/>
      <c r="WGW9" s="1"/>
      <c r="WGY9" s="1"/>
      <c r="WHA9" s="1"/>
      <c r="WHC9" s="1"/>
      <c r="WHE9" s="1"/>
      <c r="WHG9" s="1"/>
      <c r="WHI9" s="1"/>
      <c r="WHK9" s="1"/>
      <c r="WHM9" s="1"/>
      <c r="WHO9" s="1"/>
      <c r="WHQ9" s="1"/>
      <c r="WHS9" s="1"/>
      <c r="WHU9" s="1"/>
      <c r="WHW9" s="1"/>
      <c r="WHY9" s="1"/>
      <c r="WIA9" s="1"/>
      <c r="WIC9" s="1"/>
      <c r="WIE9" s="1"/>
      <c r="WIG9" s="1"/>
      <c r="WII9" s="1"/>
      <c r="WIK9" s="1"/>
      <c r="WIM9" s="1"/>
      <c r="WIO9" s="1"/>
      <c r="WIQ9" s="1"/>
      <c r="WIS9" s="1"/>
      <c r="WIU9" s="1"/>
      <c r="WIW9" s="1"/>
      <c r="WIY9" s="1"/>
      <c r="WJA9" s="1"/>
      <c r="WJC9" s="1"/>
      <c r="WJE9" s="1"/>
      <c r="WJG9" s="1"/>
      <c r="WJI9" s="1"/>
      <c r="WJK9" s="1"/>
      <c r="WJM9" s="1"/>
      <c r="WJO9" s="1"/>
      <c r="WJQ9" s="1"/>
      <c r="WJS9" s="1"/>
      <c r="WJU9" s="1"/>
      <c r="WJW9" s="1"/>
      <c r="WJY9" s="1"/>
      <c r="WKA9" s="1"/>
      <c r="WKC9" s="1"/>
      <c r="WKE9" s="1"/>
      <c r="WKG9" s="1"/>
      <c r="WKI9" s="1"/>
      <c r="WKK9" s="1"/>
      <c r="WKM9" s="1"/>
      <c r="WKO9" s="1"/>
      <c r="WKQ9" s="1"/>
      <c r="WKS9" s="1"/>
      <c r="WKU9" s="1"/>
      <c r="WKW9" s="1"/>
      <c r="WKY9" s="1"/>
      <c r="WLA9" s="1"/>
      <c r="WLC9" s="1"/>
      <c r="WLE9" s="1"/>
      <c r="WLG9" s="1"/>
      <c r="WLI9" s="1"/>
      <c r="WLK9" s="1"/>
      <c r="WLM9" s="1"/>
      <c r="WLO9" s="1"/>
      <c r="WLQ9" s="1"/>
      <c r="WLS9" s="1"/>
      <c r="WLU9" s="1"/>
      <c r="WLW9" s="1"/>
      <c r="WLY9" s="1"/>
      <c r="WMA9" s="1"/>
      <c r="WMC9" s="1"/>
      <c r="WME9" s="1"/>
      <c r="WMG9" s="1"/>
      <c r="WMI9" s="1"/>
      <c r="WMK9" s="1"/>
      <c r="WMM9" s="1"/>
      <c r="WMO9" s="1"/>
      <c r="WMQ9" s="1"/>
      <c r="WMS9" s="1"/>
      <c r="WMU9" s="1"/>
      <c r="WMW9" s="1"/>
      <c r="WMY9" s="1"/>
      <c r="WNA9" s="1"/>
      <c r="WNC9" s="1"/>
      <c r="WNE9" s="1"/>
      <c r="WNG9" s="1"/>
      <c r="WNI9" s="1"/>
      <c r="WNK9" s="1"/>
      <c r="WNM9" s="1"/>
      <c r="WNO9" s="1"/>
      <c r="WNQ9" s="1"/>
      <c r="WNS9" s="1"/>
      <c r="WNU9" s="1"/>
      <c r="WNW9" s="1"/>
      <c r="WNY9" s="1"/>
      <c r="WOA9" s="1"/>
      <c r="WOC9" s="1"/>
      <c r="WOE9" s="1"/>
      <c r="WOG9" s="1"/>
      <c r="WOI9" s="1"/>
      <c r="WOK9" s="1"/>
      <c r="WOM9" s="1"/>
      <c r="WOO9" s="1"/>
      <c r="WOQ9" s="1"/>
      <c r="WOS9" s="1"/>
      <c r="WOU9" s="1"/>
      <c r="WOW9" s="1"/>
      <c r="WOY9" s="1"/>
      <c r="WPA9" s="1"/>
      <c r="WPC9" s="1"/>
      <c r="WPE9" s="1"/>
      <c r="WPG9" s="1"/>
      <c r="WPI9" s="1"/>
      <c r="WPK9" s="1"/>
      <c r="WPM9" s="1"/>
      <c r="WPO9" s="1"/>
      <c r="WPQ9" s="1"/>
      <c r="WPS9" s="1"/>
      <c r="WPU9" s="1"/>
      <c r="WPW9" s="1"/>
      <c r="WPY9" s="1"/>
      <c r="WQA9" s="1"/>
      <c r="WQC9" s="1"/>
      <c r="WQE9" s="1"/>
      <c r="WQG9" s="1"/>
      <c r="WQI9" s="1"/>
      <c r="WQK9" s="1"/>
      <c r="WQM9" s="1"/>
      <c r="WQO9" s="1"/>
      <c r="WQQ9" s="1"/>
      <c r="WQS9" s="1"/>
      <c r="WQU9" s="1"/>
      <c r="WQW9" s="1"/>
      <c r="WQY9" s="1"/>
      <c r="WRA9" s="1"/>
      <c r="WRC9" s="1"/>
      <c r="WRE9" s="1"/>
      <c r="WRG9" s="1"/>
      <c r="WRI9" s="1"/>
      <c r="WRK9" s="1"/>
      <c r="WRM9" s="1"/>
      <c r="WRO9" s="1"/>
      <c r="WRQ9" s="1"/>
      <c r="WRS9" s="1"/>
      <c r="WRU9" s="1"/>
      <c r="WRW9" s="1"/>
      <c r="WRY9" s="1"/>
      <c r="WSA9" s="1"/>
      <c r="WSC9" s="1"/>
      <c r="WSE9" s="1"/>
      <c r="WSG9" s="1"/>
      <c r="WSI9" s="1"/>
      <c r="WSK9" s="1"/>
      <c r="WSM9" s="1"/>
      <c r="WSO9" s="1"/>
      <c r="WSQ9" s="1"/>
      <c r="WSS9" s="1"/>
      <c r="WSU9" s="1"/>
      <c r="WSW9" s="1"/>
      <c r="WSY9" s="1"/>
      <c r="WTA9" s="1"/>
      <c r="WTC9" s="1"/>
      <c r="WTE9" s="1"/>
      <c r="WTG9" s="1"/>
      <c r="WTI9" s="1"/>
      <c r="WTK9" s="1"/>
      <c r="WTM9" s="1"/>
      <c r="WTO9" s="1"/>
      <c r="WTQ9" s="1"/>
      <c r="WTS9" s="1"/>
      <c r="WTU9" s="1"/>
      <c r="WTW9" s="1"/>
      <c r="WTY9" s="1"/>
      <c r="WUA9" s="1"/>
      <c r="WUC9" s="1"/>
      <c r="WUE9" s="1"/>
      <c r="WUG9" s="1"/>
      <c r="WUI9" s="1"/>
      <c r="WUK9" s="1"/>
      <c r="WUM9" s="1"/>
      <c r="WUO9" s="1"/>
      <c r="WUQ9" s="1"/>
      <c r="WUS9" s="1"/>
      <c r="WUU9" s="1"/>
      <c r="WUW9" s="1"/>
      <c r="WUY9" s="1"/>
      <c r="WVA9" s="1"/>
      <c r="WVC9" s="1"/>
      <c r="WVE9" s="1"/>
      <c r="WVG9" s="1"/>
      <c r="WVI9" s="1"/>
      <c r="WVK9" s="1"/>
      <c r="WVM9" s="1"/>
      <c r="WVO9" s="1"/>
      <c r="WVQ9" s="1"/>
      <c r="WVS9" s="1"/>
      <c r="WVU9" s="1"/>
      <c r="WVW9" s="1"/>
      <c r="WVY9" s="1"/>
      <c r="WWA9" s="1"/>
      <c r="WWC9" s="1"/>
      <c r="WWE9" s="1"/>
      <c r="WWG9" s="1"/>
      <c r="WWI9" s="1"/>
      <c r="WWK9" s="1"/>
      <c r="WWM9" s="1"/>
      <c r="WWO9" s="1"/>
      <c r="WWQ9" s="1"/>
      <c r="WWS9" s="1"/>
      <c r="WWU9" s="1"/>
      <c r="WWW9" s="1"/>
      <c r="WWY9" s="1"/>
      <c r="WXA9" s="1"/>
      <c r="WXC9" s="1"/>
      <c r="WXE9" s="1"/>
      <c r="WXG9" s="1"/>
      <c r="WXI9" s="1"/>
      <c r="WXK9" s="1"/>
      <c r="WXM9" s="1"/>
      <c r="WXO9" s="1"/>
      <c r="WXQ9" s="1"/>
      <c r="WXS9" s="1"/>
      <c r="WXU9" s="1"/>
      <c r="WXW9" s="1"/>
      <c r="WXY9" s="1"/>
      <c r="WYA9" s="1"/>
      <c r="WYC9" s="1"/>
      <c r="WYE9" s="1"/>
      <c r="WYG9" s="1"/>
      <c r="WYI9" s="1"/>
      <c r="WYK9" s="1"/>
      <c r="WYM9" s="1"/>
      <c r="WYO9" s="1"/>
      <c r="WYQ9" s="1"/>
      <c r="WYS9" s="1"/>
      <c r="WYU9" s="1"/>
      <c r="WYW9" s="1"/>
      <c r="WYY9" s="1"/>
      <c r="WZA9" s="1"/>
      <c r="WZC9" s="1"/>
      <c r="WZE9" s="1"/>
      <c r="WZG9" s="1"/>
      <c r="WZI9" s="1"/>
      <c r="WZK9" s="1"/>
      <c r="WZM9" s="1"/>
      <c r="WZO9" s="1"/>
      <c r="WZQ9" s="1"/>
      <c r="WZS9" s="1"/>
      <c r="WZU9" s="1"/>
      <c r="WZW9" s="1"/>
      <c r="WZY9" s="1"/>
      <c r="XAA9" s="1"/>
      <c r="XAC9" s="1"/>
      <c r="XAE9" s="1"/>
      <c r="XAG9" s="1"/>
      <c r="XAI9" s="1"/>
      <c r="XAK9" s="1"/>
      <c r="XAM9" s="1"/>
      <c r="XAO9" s="1"/>
      <c r="XAQ9" s="1"/>
      <c r="XAS9" s="1"/>
      <c r="XAU9" s="1"/>
      <c r="XAW9" s="1"/>
      <c r="XAY9" s="1"/>
      <c r="XBA9" s="1"/>
      <c r="XBC9" s="1"/>
      <c r="XBE9" s="1"/>
      <c r="XBG9" s="1"/>
      <c r="XBI9" s="1"/>
      <c r="XBK9" s="1"/>
      <c r="XBM9" s="1"/>
      <c r="XBO9" s="1"/>
      <c r="XBQ9" s="1"/>
      <c r="XBS9" s="1"/>
      <c r="XBU9" s="1"/>
      <c r="XBW9" s="1"/>
      <c r="XBY9" s="1"/>
      <c r="XCA9" s="1"/>
      <c r="XCC9" s="1"/>
      <c r="XCE9" s="1"/>
      <c r="XCG9" s="1"/>
      <c r="XCI9" s="1"/>
      <c r="XCK9" s="1"/>
      <c r="XCM9" s="1"/>
      <c r="XCO9" s="1"/>
      <c r="XCQ9" s="1"/>
      <c r="XCS9" s="1"/>
      <c r="XCU9" s="1"/>
      <c r="XCW9" s="1"/>
      <c r="XCY9" s="1"/>
      <c r="XDA9" s="1"/>
      <c r="XDC9" s="1"/>
      <c r="XDE9" s="1"/>
      <c r="XDG9" s="1"/>
      <c r="XDI9" s="1"/>
      <c r="XDK9" s="1"/>
      <c r="XDM9" s="1"/>
      <c r="XDO9" s="1"/>
      <c r="XDQ9" s="1"/>
      <c r="XDS9" s="1"/>
      <c r="XDU9" s="1"/>
      <c r="XDW9" s="1"/>
      <c r="XDY9" s="1"/>
      <c r="XEA9" s="1"/>
      <c r="XEC9" s="1"/>
      <c r="XEE9" s="1"/>
      <c r="XEG9" s="1"/>
      <c r="XEI9" s="1"/>
      <c r="XEK9" s="1"/>
      <c r="XEM9" s="1"/>
      <c r="XEO9" s="1"/>
      <c r="XEQ9" s="1"/>
      <c r="XES9" s="1"/>
      <c r="XEU9" s="1"/>
      <c r="XEW9" s="1"/>
      <c r="XEY9" s="1"/>
      <c r="XFA9" s="1"/>
      <c r="XFC9" s="1"/>
    </row>
    <row r="10" spans="1:1023 1025:2047 2049:3071 3073:4095 4097:5119 5121:6143 6145:7167 7169:8191 8193:9215 9217:10239 10241:11263 11265:12287 12289:13311 13313:14335 14337:15359 15361:16383" ht="48" x14ac:dyDescent="0.2">
      <c r="A10" s="16" t="s">
        <v>236</v>
      </c>
      <c r="B10" s="17" t="s">
        <v>235</v>
      </c>
      <c r="C10" s="18" t="s">
        <v>8</v>
      </c>
      <c r="D10" s="19">
        <v>0</v>
      </c>
      <c r="E10" s="19">
        <v>0</v>
      </c>
      <c r="F10" s="19">
        <v>1</v>
      </c>
      <c r="G10" s="19">
        <v>0</v>
      </c>
    </row>
    <row r="11" spans="1:1023 1025:2047 2049:3071 3073:4095 4097:5119 5121:6143 6145:7167 7169:8191 8193:9215 9217:10239 10241:11263 11265:12287 12289:13311 13313:14335 14337:15359 15361:16383" ht="48" x14ac:dyDescent="0.2">
      <c r="A11" s="16" t="s">
        <v>250</v>
      </c>
      <c r="B11" s="17" t="s">
        <v>249</v>
      </c>
      <c r="C11" s="18" t="s">
        <v>8</v>
      </c>
      <c r="D11" s="19">
        <v>0</v>
      </c>
      <c r="E11" s="19">
        <v>0</v>
      </c>
      <c r="F11" s="19">
        <v>0</v>
      </c>
      <c r="G11" s="19">
        <v>1</v>
      </c>
    </row>
    <row r="12" spans="1:1023 1025:2047 2049:3071 3073:4095 4097:5119 5121:6143 6145:7167 7169:8191 8193:9215 9217:10239 10241:11263 11265:12287 12289:13311 13313:14335 14337:15359 15361:16383" ht="48" x14ac:dyDescent="0.2">
      <c r="A12" s="16" t="s">
        <v>247</v>
      </c>
      <c r="B12" s="17" t="s">
        <v>214</v>
      </c>
      <c r="C12" s="18" t="s">
        <v>8</v>
      </c>
      <c r="D12" s="19">
        <v>0</v>
      </c>
      <c r="E12" s="19">
        <v>0</v>
      </c>
      <c r="F12" s="19">
        <v>0</v>
      </c>
      <c r="G12" s="19">
        <v>3</v>
      </c>
    </row>
    <row r="13" spans="1:1023 1025:2047 2049:3071 3073:4095 4097:5119 5121:6143 6145:7167 7169:8191 8193:9215 9217:10239 10241:11263 11265:12287 12289:13311 13313:14335 14337:15359 15361:16383" ht="16" x14ac:dyDescent="0.2">
      <c r="A13" s="16" t="s">
        <v>246</v>
      </c>
      <c r="B13" s="17" t="s">
        <v>240</v>
      </c>
      <c r="C13" s="18" t="s">
        <v>8</v>
      </c>
      <c r="D13" s="19">
        <v>0</v>
      </c>
      <c r="E13" s="19">
        <v>0</v>
      </c>
      <c r="F13" s="19">
        <v>0</v>
      </c>
      <c r="G13" s="19">
        <v>1</v>
      </c>
    </row>
    <row r="14" spans="1:1023 1025:2047 2049:3071 3073:4095 4097:5119 5121:6143 6145:7167 7169:8191 8193:9215 9217:10239 10241:11263 11265:12287 12289:13311 13313:14335 14337:15359 15361:16383" ht="48" x14ac:dyDescent="0.2">
      <c r="A14" s="16" t="s">
        <v>219</v>
      </c>
      <c r="B14" s="17" t="s">
        <v>239</v>
      </c>
      <c r="C14" s="18" t="s">
        <v>79</v>
      </c>
      <c r="D14" s="19">
        <v>0</v>
      </c>
      <c r="E14" s="19">
        <v>0</v>
      </c>
      <c r="F14" s="19">
        <v>0</v>
      </c>
      <c r="G14" s="19">
        <v>1</v>
      </c>
    </row>
    <row r="15" spans="1:1023 1025:2047 2049:3071 3073:4095 4097:5119 5121:6143 6145:7167 7169:8191 8193:9215 9217:10239 10241:11263 11265:12287 12289:13311 13313:14335 14337:15359 15361:16383" ht="48" x14ac:dyDescent="0.2">
      <c r="A15" s="16" t="s">
        <v>221</v>
      </c>
      <c r="B15" s="17" t="s">
        <v>241</v>
      </c>
      <c r="C15" s="18" t="s">
        <v>79</v>
      </c>
      <c r="D15" s="19">
        <v>0</v>
      </c>
      <c r="E15" s="19">
        <v>0</v>
      </c>
      <c r="F15" s="19">
        <v>0</v>
      </c>
      <c r="G15" s="19">
        <v>1</v>
      </c>
    </row>
    <row r="16" spans="1:1023 1025:2047 2049:3071 3073:4095 4097:5119 5121:6143 6145:7167 7169:8191 8193:9215 9217:10239 10241:11263 11265:12287 12289:13311 13313:14335 14337:15359 15361:16383" ht="48" x14ac:dyDescent="0.2">
      <c r="A16" s="16" t="s">
        <v>217</v>
      </c>
      <c r="B16" s="17" t="s">
        <v>242</v>
      </c>
      <c r="C16" s="18" t="s">
        <v>8</v>
      </c>
      <c r="D16" s="19">
        <v>0</v>
      </c>
      <c r="E16" s="19">
        <v>0</v>
      </c>
      <c r="F16" s="19">
        <v>0</v>
      </c>
      <c r="G16" s="19">
        <v>1</v>
      </c>
    </row>
    <row r="17" spans="1:7" ht="16" x14ac:dyDescent="0.2">
      <c r="A17" s="16" t="s">
        <v>78</v>
      </c>
      <c r="B17" s="17" t="s">
        <v>244</v>
      </c>
      <c r="C17" s="18" t="s">
        <v>8</v>
      </c>
      <c r="D17" s="19">
        <v>0</v>
      </c>
      <c r="E17" s="19">
        <v>0</v>
      </c>
      <c r="F17" s="19">
        <v>0</v>
      </c>
      <c r="G17" s="19">
        <v>1</v>
      </c>
    </row>
    <row r="18" spans="1:7" ht="32" x14ac:dyDescent="0.2">
      <c r="A18" s="16" t="s">
        <v>243</v>
      </c>
      <c r="B18" s="17" t="s">
        <v>245</v>
      </c>
      <c r="C18" s="18" t="s">
        <v>8</v>
      </c>
      <c r="D18" s="19">
        <v>0</v>
      </c>
      <c r="E18" s="19">
        <v>0</v>
      </c>
      <c r="F18" s="19">
        <v>0</v>
      </c>
      <c r="G18" s="19">
        <v>1</v>
      </c>
    </row>
    <row r="20" spans="1:7" x14ac:dyDescent="0.2">
      <c r="A20" s="14" t="s">
        <v>178</v>
      </c>
      <c r="B20" s="11"/>
      <c r="C20" s="12"/>
      <c r="D20" s="13"/>
      <c r="E20" s="13"/>
      <c r="F20" s="13"/>
      <c r="G20" s="13"/>
    </row>
    <row r="21" spans="1:7" x14ac:dyDescent="0.2">
      <c r="A21" s="15" t="s">
        <v>224</v>
      </c>
      <c r="B21" s="11"/>
      <c r="C21" s="12"/>
      <c r="D21" s="13"/>
      <c r="E21" s="13"/>
      <c r="F21" s="13"/>
      <c r="G21" s="13"/>
    </row>
    <row r="22" spans="1:7" ht="16" x14ac:dyDescent="0.2">
      <c r="A22" s="16" t="s">
        <v>74</v>
      </c>
      <c r="B22" s="17" t="s">
        <v>225</v>
      </c>
      <c r="C22" s="18"/>
      <c r="D22" s="19">
        <v>1</v>
      </c>
      <c r="E22" s="19">
        <v>1</v>
      </c>
      <c r="F22" s="19">
        <v>1</v>
      </c>
      <c r="G22" s="19">
        <v>1</v>
      </c>
    </row>
    <row r="23" spans="1:7" ht="16" x14ac:dyDescent="0.2">
      <c r="A23" s="16" t="s">
        <v>70</v>
      </c>
      <c r="B23" s="17" t="s">
        <v>34</v>
      </c>
      <c r="C23" s="18"/>
      <c r="D23" s="19">
        <v>1</v>
      </c>
      <c r="E23" s="19">
        <v>1</v>
      </c>
      <c r="F23" s="19">
        <v>1</v>
      </c>
      <c r="G23" s="19">
        <v>1</v>
      </c>
    </row>
    <row r="24" spans="1:7" ht="16" x14ac:dyDescent="0.2">
      <c r="A24" s="16" t="s">
        <v>70</v>
      </c>
      <c r="B24" s="17" t="s">
        <v>33</v>
      </c>
      <c r="C24" s="18"/>
      <c r="D24" s="19">
        <v>1</v>
      </c>
      <c r="E24" s="19">
        <v>1</v>
      </c>
      <c r="F24" s="19">
        <v>1</v>
      </c>
      <c r="G24" s="19">
        <v>1</v>
      </c>
    </row>
    <row r="25" spans="1:7" ht="48" x14ac:dyDescent="0.2">
      <c r="A25" s="16" t="s">
        <v>71</v>
      </c>
      <c r="B25" s="17" t="s">
        <v>226</v>
      </c>
      <c r="C25" s="18"/>
      <c r="D25" s="19">
        <v>1</v>
      </c>
      <c r="E25" s="19">
        <v>1</v>
      </c>
      <c r="F25" s="19">
        <v>1</v>
      </c>
      <c r="G25" s="19">
        <v>1</v>
      </c>
    </row>
    <row r="26" spans="1:7" x14ac:dyDescent="0.2">
      <c r="A26" s="15" t="s">
        <v>228</v>
      </c>
      <c r="B26" s="11"/>
      <c r="C26" s="12"/>
      <c r="D26" s="13"/>
      <c r="E26" s="13"/>
      <c r="F26" s="13"/>
      <c r="G26" s="13"/>
    </row>
    <row r="27" spans="1:7" ht="16" x14ac:dyDescent="0.2">
      <c r="A27" s="10" t="s">
        <v>227</v>
      </c>
      <c r="B27" s="11" t="s">
        <v>232</v>
      </c>
      <c r="C27" s="12"/>
      <c r="D27" s="345" t="s">
        <v>231</v>
      </c>
      <c r="E27" s="345"/>
      <c r="F27" s="345"/>
      <c r="G27" s="345"/>
    </row>
    <row r="28" spans="1:7" x14ac:dyDescent="0.2">
      <c r="A28" s="10"/>
      <c r="B28" s="11"/>
      <c r="C28" s="12"/>
      <c r="D28" s="13"/>
      <c r="E28" s="13"/>
      <c r="F28" s="13"/>
      <c r="G28" s="13"/>
    </row>
    <row r="29" spans="1:7" ht="16" x14ac:dyDescent="0.2">
      <c r="A29" s="15" t="s">
        <v>10</v>
      </c>
      <c r="B29" s="17" t="s">
        <v>248</v>
      </c>
      <c r="C29" s="18" t="s">
        <v>8</v>
      </c>
      <c r="D29" s="19">
        <v>0</v>
      </c>
      <c r="E29" s="19">
        <v>0</v>
      </c>
      <c r="F29" s="19">
        <v>1</v>
      </c>
      <c r="G29" s="19">
        <v>0</v>
      </c>
    </row>
  </sheetData>
  <mergeCells count="2">
    <mergeCell ref="D6:G6"/>
    <mergeCell ref="D27:G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C56E-9352-5E44-93FE-CFB080922D01}">
  <dimension ref="A2:I9"/>
  <sheetViews>
    <sheetView workbookViewId="0">
      <selection activeCell="I10" sqref="I10"/>
    </sheetView>
  </sheetViews>
  <sheetFormatPr baseColWidth="10" defaultRowHeight="15" x14ac:dyDescent="0.2"/>
  <cols>
    <col min="1" max="1" width="12.1640625" bestFit="1" customWidth="1"/>
    <col min="8" max="8" width="11.33203125" bestFit="1" customWidth="1"/>
  </cols>
  <sheetData>
    <row r="2" spans="1:9" x14ac:dyDescent="0.2">
      <c r="B2" t="s">
        <v>166</v>
      </c>
      <c r="C2" t="s">
        <v>199</v>
      </c>
      <c r="D2" t="s">
        <v>167</v>
      </c>
      <c r="E2" t="s">
        <v>173</v>
      </c>
      <c r="F2" t="s">
        <v>169</v>
      </c>
      <c r="G2" t="s">
        <v>6</v>
      </c>
      <c r="H2" t="s">
        <v>176</v>
      </c>
    </row>
    <row r="3" spans="1:9" x14ac:dyDescent="0.2">
      <c r="A3" t="s">
        <v>165</v>
      </c>
      <c r="B3">
        <v>2</v>
      </c>
      <c r="D3" t="s">
        <v>168</v>
      </c>
      <c r="E3" t="s">
        <v>171</v>
      </c>
      <c r="F3" t="s">
        <v>174</v>
      </c>
      <c r="G3" s="6">
        <v>10500</v>
      </c>
      <c r="H3" s="4">
        <f t="shared" ref="H3:H9" si="0">G3/0.7/7.44</f>
        <v>2016.1290322580646</v>
      </c>
    </row>
    <row r="4" spans="1:9" x14ac:dyDescent="0.2">
      <c r="A4" t="s">
        <v>165</v>
      </c>
      <c r="B4">
        <v>2</v>
      </c>
      <c r="D4" t="s">
        <v>170</v>
      </c>
      <c r="E4" t="s">
        <v>172</v>
      </c>
      <c r="F4" t="s">
        <v>175</v>
      </c>
      <c r="G4">
        <v>2750</v>
      </c>
      <c r="H4" s="4">
        <f t="shared" si="0"/>
        <v>528.03379416282644</v>
      </c>
    </row>
    <row r="5" spans="1:9" x14ac:dyDescent="0.2">
      <c r="A5" t="s">
        <v>197</v>
      </c>
      <c r="B5">
        <v>1</v>
      </c>
      <c r="C5">
        <v>440</v>
      </c>
      <c r="D5" t="s">
        <v>168</v>
      </c>
      <c r="E5" t="s">
        <v>171</v>
      </c>
      <c r="F5" t="s">
        <v>198</v>
      </c>
      <c r="G5" s="6">
        <f>1800*7.45</f>
        <v>13410</v>
      </c>
      <c r="H5" s="4">
        <f t="shared" si="0"/>
        <v>2574.8847926267281</v>
      </c>
    </row>
    <row r="6" spans="1:9" x14ac:dyDescent="0.2">
      <c r="A6" t="s">
        <v>2</v>
      </c>
      <c r="B6">
        <v>1</v>
      </c>
      <c r="C6">
        <v>440</v>
      </c>
      <c r="D6" t="s">
        <v>168</v>
      </c>
      <c r="E6" t="s">
        <v>504</v>
      </c>
      <c r="F6" t="s">
        <v>24</v>
      </c>
      <c r="G6">
        <f>3500*7.45</f>
        <v>26075</v>
      </c>
      <c r="H6" s="4">
        <f t="shared" si="0"/>
        <v>5006.7204301075262</v>
      </c>
      <c r="I6" t="s">
        <v>505</v>
      </c>
    </row>
    <row r="7" spans="1:9" x14ac:dyDescent="0.2">
      <c r="A7" t="s">
        <v>525</v>
      </c>
      <c r="D7" t="s">
        <v>526</v>
      </c>
      <c r="E7" t="s">
        <v>171</v>
      </c>
      <c r="F7" t="s">
        <v>175</v>
      </c>
      <c r="G7">
        <v>30000</v>
      </c>
      <c r="H7" s="4">
        <f t="shared" si="0"/>
        <v>5760.3686635944705</v>
      </c>
      <c r="I7" t="s">
        <v>527</v>
      </c>
    </row>
    <row r="8" spans="1:9" x14ac:dyDescent="0.2">
      <c r="A8" t="s">
        <v>754</v>
      </c>
      <c r="E8" t="s">
        <v>172</v>
      </c>
      <c r="F8" t="s">
        <v>340</v>
      </c>
      <c r="G8" s="54">
        <f>4000*7</f>
        <v>28000</v>
      </c>
      <c r="H8" s="4">
        <f t="shared" si="0"/>
        <v>5376.3440860215051</v>
      </c>
      <c r="I8" t="s">
        <v>755</v>
      </c>
    </row>
    <row r="9" spans="1:9" x14ac:dyDescent="0.2">
      <c r="A9" t="s">
        <v>525</v>
      </c>
      <c r="B9">
        <v>2</v>
      </c>
      <c r="C9">
        <v>528</v>
      </c>
      <c r="D9" t="s">
        <v>168</v>
      </c>
      <c r="E9" t="s">
        <v>172</v>
      </c>
      <c r="F9" t="s">
        <v>419</v>
      </c>
      <c r="G9">
        <v>25152</v>
      </c>
      <c r="H9" s="4">
        <f t="shared" si="0"/>
        <v>4829.4930875576038</v>
      </c>
      <c r="I9" t="s">
        <v>1412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6AB5-B717-C141-8105-EFC8F9052A1A}">
  <sheetPr>
    <tabColor theme="7" tint="0.39997558519241921"/>
  </sheetPr>
  <dimension ref="A6:P106"/>
  <sheetViews>
    <sheetView topLeftCell="B1" zoomScale="110" zoomScaleNormal="110" workbookViewId="0">
      <selection activeCell="K4" sqref="K4"/>
    </sheetView>
  </sheetViews>
  <sheetFormatPr baseColWidth="10" defaultRowHeight="15" x14ac:dyDescent="0.2"/>
  <cols>
    <col min="1" max="1" width="11.6640625" bestFit="1" customWidth="1"/>
    <col min="4" max="4" width="42.6640625" bestFit="1" customWidth="1"/>
    <col min="5" max="5" width="3.83203125" bestFit="1" customWidth="1"/>
    <col min="6" max="6" width="7.6640625" style="3" bestFit="1" customWidth="1"/>
    <col min="7" max="7" width="10.33203125" style="3" bestFit="1" customWidth="1"/>
    <col min="8" max="8" width="11.1640625" bestFit="1" customWidth="1"/>
    <col min="9" max="9" width="11.1640625" style="3" bestFit="1" customWidth="1"/>
    <col min="10" max="10" width="10.83203125" style="3"/>
    <col min="11" max="11" width="10.83203125" customWidth="1"/>
    <col min="16" max="16" width="13.83203125" bestFit="1" customWidth="1"/>
  </cols>
  <sheetData>
    <row r="6" spans="1:13" ht="16" thickBot="1" x14ac:dyDescent="0.25"/>
    <row r="7" spans="1:13" ht="16" customHeight="1" thickBot="1" x14ac:dyDescent="0.25">
      <c r="A7" s="5" t="s">
        <v>75</v>
      </c>
      <c r="B7" s="37"/>
      <c r="C7" s="37"/>
      <c r="D7" s="38" t="s">
        <v>595</v>
      </c>
      <c r="E7" s="39"/>
      <c r="F7" s="346" t="s">
        <v>654</v>
      </c>
      <c r="G7" s="346"/>
      <c r="I7" s="51" t="s">
        <v>41</v>
      </c>
      <c r="L7" s="5" t="s">
        <v>263</v>
      </c>
    </row>
    <row r="8" spans="1:13" ht="16" thickBot="1" x14ac:dyDescent="0.25">
      <c r="B8" s="40"/>
      <c r="C8" s="40"/>
      <c r="D8" s="40" t="s">
        <v>596</v>
      </c>
      <c r="E8" s="41"/>
      <c r="F8" s="347" t="s">
        <v>87</v>
      </c>
      <c r="G8" s="347"/>
    </row>
    <row r="9" spans="1:13" ht="16" thickBot="1" x14ac:dyDescent="0.25">
      <c r="B9" s="40"/>
      <c r="C9" s="40"/>
      <c r="D9" s="40" t="s">
        <v>597</v>
      </c>
      <c r="E9" s="41"/>
      <c r="F9" s="348"/>
      <c r="G9" s="348"/>
    </row>
    <row r="10" spans="1:13" ht="16" thickBot="1" x14ac:dyDescent="0.25">
      <c r="B10" s="40"/>
      <c r="C10" s="40"/>
      <c r="D10" s="40" t="s">
        <v>598</v>
      </c>
      <c r="E10" s="41"/>
      <c r="F10" s="348"/>
      <c r="G10" s="348"/>
    </row>
    <row r="11" spans="1:13" ht="16" thickBot="1" x14ac:dyDescent="0.25">
      <c r="B11" s="40"/>
      <c r="C11" s="40"/>
      <c r="D11" s="40" t="s">
        <v>599</v>
      </c>
      <c r="E11" s="41"/>
      <c r="F11" s="348"/>
      <c r="G11" s="348"/>
    </row>
    <row r="12" spans="1:13" ht="16" thickBot="1" x14ac:dyDescent="0.25">
      <c r="B12" s="40"/>
      <c r="C12" s="40"/>
      <c r="D12" s="40" t="s">
        <v>600</v>
      </c>
      <c r="E12" s="41"/>
      <c r="F12" s="349"/>
      <c r="G12" s="349"/>
    </row>
    <row r="13" spans="1:13" ht="16" thickBot="1" x14ac:dyDescent="0.25">
      <c r="B13" s="40"/>
      <c r="C13" s="40"/>
      <c r="D13" s="40" t="s">
        <v>601</v>
      </c>
      <c r="E13" s="41" t="s">
        <v>21</v>
      </c>
      <c r="F13" s="50">
        <f>'External Prices'!W40</f>
        <v>95206</v>
      </c>
      <c r="G13" s="50" t="s">
        <v>87</v>
      </c>
      <c r="I13" s="50">
        <f>'External Prices'!X40</f>
        <v>117464</v>
      </c>
      <c r="J13" s="50" t="s">
        <v>87</v>
      </c>
      <c r="L13" s="50">
        <f>'External Prices'!Y40</f>
        <v>130198</v>
      </c>
      <c r="M13" s="50" t="s">
        <v>87</v>
      </c>
    </row>
    <row r="14" spans="1:13" ht="16" thickBot="1" x14ac:dyDescent="0.25">
      <c r="B14" s="40"/>
      <c r="C14" s="40"/>
      <c r="D14" s="42"/>
      <c r="E14" s="41"/>
      <c r="F14" s="50"/>
      <c r="G14" s="50"/>
      <c r="I14" s="50"/>
      <c r="J14" s="50"/>
      <c r="L14" s="50"/>
      <c r="M14" s="50"/>
    </row>
    <row r="15" spans="1:13" ht="16" thickBot="1" x14ac:dyDescent="0.25">
      <c r="B15" s="40"/>
      <c r="C15" s="40"/>
      <c r="D15" s="42" t="s">
        <v>602</v>
      </c>
      <c r="E15" s="41"/>
      <c r="F15" s="50"/>
      <c r="G15" s="50"/>
      <c r="I15" s="50"/>
      <c r="J15" s="50"/>
      <c r="L15" s="50"/>
      <c r="M15" s="50"/>
    </row>
    <row r="16" spans="1:13" ht="16" thickBot="1" x14ac:dyDescent="0.25">
      <c r="B16" s="40"/>
      <c r="C16" s="40"/>
      <c r="D16" s="40" t="s">
        <v>1268</v>
      </c>
      <c r="E16" s="41" t="s">
        <v>21</v>
      </c>
      <c r="F16" s="50">
        <f>'External Prices'!W54</f>
        <v>437.89976675882718</v>
      </c>
      <c r="G16" s="50" t="s">
        <v>1274</v>
      </c>
      <c r="I16" s="50">
        <f>'External Prices'!X54</f>
        <v>437.89976675882718</v>
      </c>
      <c r="J16" s="50" t="s">
        <v>1274</v>
      </c>
      <c r="L16" s="50"/>
      <c r="M16" s="50"/>
    </row>
    <row r="17" spans="2:13" ht="16" thickBot="1" x14ac:dyDescent="0.25">
      <c r="B17" s="40"/>
      <c r="C17" s="40"/>
      <c r="D17" s="40" t="s">
        <v>1270</v>
      </c>
      <c r="E17" s="41" t="s">
        <v>21</v>
      </c>
      <c r="F17" s="50">
        <f>'External Prices'!W55</f>
        <v>437.89976675882718</v>
      </c>
      <c r="G17" s="50" t="s">
        <v>1274</v>
      </c>
      <c r="I17" s="50">
        <f>'External Prices'!X55</f>
        <v>437.89976675882718</v>
      </c>
      <c r="J17" s="50" t="s">
        <v>1274</v>
      </c>
      <c r="L17" s="50"/>
      <c r="M17" s="50"/>
    </row>
    <row r="18" spans="2:13" ht="16" thickBot="1" x14ac:dyDescent="0.25">
      <c r="B18" s="40"/>
      <c r="C18" s="40"/>
      <c r="D18" s="40" t="s">
        <v>1269</v>
      </c>
      <c r="E18" s="41" t="s">
        <v>21</v>
      </c>
      <c r="F18" s="50">
        <f>'External Prices'!W56</f>
        <v>903.16826894008102</v>
      </c>
      <c r="G18" s="50" t="s">
        <v>1274</v>
      </c>
      <c r="I18" s="50">
        <f>'External Prices'!X56</f>
        <v>903.16826894008102</v>
      </c>
      <c r="J18" s="50" t="s">
        <v>1274</v>
      </c>
      <c r="L18" s="50"/>
      <c r="M18" s="50"/>
    </row>
    <row r="19" spans="2:13" ht="16" thickBot="1" x14ac:dyDescent="0.25">
      <c r="B19" s="40"/>
      <c r="C19" s="40"/>
      <c r="D19" s="40" t="s">
        <v>1271</v>
      </c>
      <c r="E19" s="41" t="s">
        <v>21</v>
      </c>
      <c r="F19" s="50">
        <f>'External Prices'!W57</f>
        <v>903.16826894008102</v>
      </c>
      <c r="G19" s="50" t="s">
        <v>1274</v>
      </c>
      <c r="I19" s="50">
        <f>'External Prices'!X57</f>
        <v>903.16826894008102</v>
      </c>
      <c r="J19" s="50" t="s">
        <v>1274</v>
      </c>
      <c r="L19" s="50"/>
      <c r="M19" s="50"/>
    </row>
    <row r="20" spans="2:13" ht="16" thickBot="1" x14ac:dyDescent="0.25">
      <c r="B20" s="40"/>
      <c r="C20" s="40"/>
      <c r="D20" s="40" t="s">
        <v>1266</v>
      </c>
      <c r="E20" s="41" t="s">
        <v>21</v>
      </c>
      <c r="F20" s="50">
        <f>'External Prices'!W58</f>
        <v>272.01303158665974</v>
      </c>
      <c r="G20" s="50" t="s">
        <v>1274</v>
      </c>
      <c r="I20" s="50">
        <f>'External Prices'!X58</f>
        <v>272.01303158665974</v>
      </c>
      <c r="J20" s="50" t="s">
        <v>1274</v>
      </c>
      <c r="L20" s="50"/>
      <c r="M20" s="50"/>
    </row>
    <row r="21" spans="2:13" ht="16" thickBot="1" x14ac:dyDescent="0.25">
      <c r="B21" s="40"/>
      <c r="C21" s="40"/>
      <c r="D21" s="40" t="s">
        <v>1273</v>
      </c>
      <c r="E21" s="41" t="s">
        <v>21</v>
      </c>
      <c r="F21" s="50">
        <f>'External Prices'!W59</f>
        <v>867.04153818247767</v>
      </c>
      <c r="G21" s="50" t="s">
        <v>1274</v>
      </c>
      <c r="I21" s="50">
        <f>'External Prices'!X59</f>
        <v>867.04153818247767</v>
      </c>
      <c r="J21" s="50" t="s">
        <v>1274</v>
      </c>
      <c r="L21" s="50"/>
      <c r="M21" s="50"/>
    </row>
    <row r="22" spans="2:13" ht="16" thickBot="1" x14ac:dyDescent="0.25">
      <c r="B22" s="40"/>
      <c r="C22" s="40"/>
      <c r="D22" s="40" t="s">
        <v>186</v>
      </c>
      <c r="E22" s="41" t="s">
        <v>21</v>
      </c>
      <c r="F22" s="50" t="str">
        <f>'External Prices'!W60</f>
        <v>Included</v>
      </c>
      <c r="G22" s="50" t="s">
        <v>87</v>
      </c>
      <c r="I22" s="50" t="str">
        <f>'External Prices'!X60</f>
        <v>Included</v>
      </c>
      <c r="J22" s="50" t="s">
        <v>87</v>
      </c>
      <c r="L22" s="50" t="str">
        <f>'External Prices'!Y60</f>
        <v>Included</v>
      </c>
      <c r="M22" s="50" t="s">
        <v>87</v>
      </c>
    </row>
    <row r="23" spans="2:13" ht="16" thickBot="1" x14ac:dyDescent="0.25">
      <c r="B23" s="40"/>
      <c r="C23" s="40"/>
      <c r="D23" s="40" t="s">
        <v>603</v>
      </c>
      <c r="E23" s="41" t="s">
        <v>21</v>
      </c>
      <c r="F23" s="50">
        <f>'External Prices'!W61</f>
        <v>642.71174338288438</v>
      </c>
      <c r="G23" s="50" t="s">
        <v>87</v>
      </c>
      <c r="I23" s="50">
        <f>'External Prices'!X61</f>
        <v>642.71174338288438</v>
      </c>
      <c r="J23" s="50" t="s">
        <v>87</v>
      </c>
      <c r="L23" s="50">
        <f>'External Prices'!Y61</f>
        <v>642.71174338288438</v>
      </c>
      <c r="M23" s="50" t="s">
        <v>87</v>
      </c>
    </row>
    <row r="24" spans="2:13" ht="16" thickBot="1" x14ac:dyDescent="0.25">
      <c r="B24" s="40"/>
      <c r="C24" s="40"/>
      <c r="D24" s="40" t="s">
        <v>604</v>
      </c>
      <c r="E24" s="41" t="s">
        <v>21</v>
      </c>
      <c r="F24" s="50" t="str">
        <f>'External Prices'!W62</f>
        <v>Included</v>
      </c>
      <c r="G24" s="50" t="s">
        <v>87</v>
      </c>
      <c r="I24" s="50" t="str">
        <f>'External Prices'!X62</f>
        <v>Included</v>
      </c>
      <c r="J24" s="50" t="s">
        <v>87</v>
      </c>
      <c r="L24" s="50" t="str">
        <f>'External Prices'!Y62</f>
        <v>Included</v>
      </c>
      <c r="M24" s="50" t="s">
        <v>87</v>
      </c>
    </row>
    <row r="25" spans="2:13" ht="16" thickBot="1" x14ac:dyDescent="0.25">
      <c r="B25" s="40"/>
      <c r="C25" s="40"/>
      <c r="D25" s="40" t="s">
        <v>605</v>
      </c>
      <c r="E25" s="41" t="s">
        <v>21</v>
      </c>
      <c r="F25" s="50" t="str">
        <f>'External Prices'!W62</f>
        <v>Included</v>
      </c>
      <c r="G25" s="50" t="s">
        <v>87</v>
      </c>
      <c r="I25" s="50" t="str">
        <f>'External Prices'!X62</f>
        <v>Included</v>
      </c>
      <c r="J25" s="50" t="s">
        <v>87</v>
      </c>
      <c r="L25" s="50" t="str">
        <f>'External Prices'!Y62</f>
        <v>Included</v>
      </c>
      <c r="M25" s="50" t="s">
        <v>87</v>
      </c>
    </row>
    <row r="26" spans="2:13" ht="16" thickBot="1" x14ac:dyDescent="0.25">
      <c r="B26" s="40"/>
      <c r="C26" s="40"/>
      <c r="D26" s="40" t="s">
        <v>607</v>
      </c>
      <c r="E26" s="41" t="s">
        <v>21</v>
      </c>
      <c r="F26" s="50">
        <f>'External Prices'!W63</f>
        <v>225.33293031242883</v>
      </c>
      <c r="G26" s="50" t="s">
        <v>87</v>
      </c>
      <c r="I26" s="50">
        <f>'External Prices'!X63</f>
        <v>225.33293031242883</v>
      </c>
      <c r="J26" s="50" t="s">
        <v>87</v>
      </c>
      <c r="L26" s="50">
        <f>'External Prices'!Y63</f>
        <v>225.33293031242883</v>
      </c>
      <c r="M26" s="50" t="s">
        <v>87</v>
      </c>
    </row>
    <row r="27" spans="2:13" ht="16" thickBot="1" x14ac:dyDescent="0.25">
      <c r="B27" s="40"/>
      <c r="C27" s="40"/>
      <c r="D27" s="40" t="s">
        <v>608</v>
      </c>
      <c r="E27" s="41" t="s">
        <v>21</v>
      </c>
      <c r="F27" s="50">
        <f>'External Prices'!W84</f>
        <v>796.08451720571759</v>
      </c>
      <c r="G27" s="50" t="s">
        <v>87</v>
      </c>
      <c r="I27" s="50">
        <f>'External Prices'!X84</f>
        <v>796.08451720571759</v>
      </c>
      <c r="J27" s="50" t="s">
        <v>87</v>
      </c>
      <c r="L27" s="50">
        <f>'External Prices'!Y84</f>
        <v>796.08451720571759</v>
      </c>
      <c r="M27" s="50" t="s">
        <v>87</v>
      </c>
    </row>
    <row r="28" spans="2:13" ht="16" thickBot="1" x14ac:dyDescent="0.25">
      <c r="B28" s="40"/>
      <c r="C28" s="40"/>
      <c r="D28" s="40" t="s">
        <v>609</v>
      </c>
      <c r="E28" s="41" t="s">
        <v>21</v>
      </c>
      <c r="F28" s="50">
        <f>'External Prices'!W86</f>
        <v>946.54847504432985</v>
      </c>
      <c r="G28" s="50" t="s">
        <v>87</v>
      </c>
      <c r="I28" s="50">
        <f>'External Prices'!X86</f>
        <v>946.54847504432985</v>
      </c>
      <c r="J28" s="50" t="s">
        <v>87</v>
      </c>
      <c r="L28" s="50">
        <f>'External Prices'!Y86</f>
        <v>946.54847504432985</v>
      </c>
      <c r="M28" s="50" t="s">
        <v>87</v>
      </c>
    </row>
    <row r="29" spans="2:13" ht="16" thickBot="1" x14ac:dyDescent="0.25">
      <c r="B29" s="40"/>
      <c r="C29" s="40"/>
      <c r="D29" s="40" t="s">
        <v>631</v>
      </c>
      <c r="E29" s="41" t="s">
        <v>21</v>
      </c>
      <c r="F29" s="50">
        <f>'External Prices'!W91*5</f>
        <v>2337.238936528317</v>
      </c>
      <c r="G29" s="50" t="s">
        <v>87</v>
      </c>
      <c r="I29" s="50">
        <f>'External Prices'!X91*5</f>
        <v>2337.238936528317</v>
      </c>
      <c r="J29" s="50" t="s">
        <v>87</v>
      </c>
      <c r="L29" s="50">
        <f>'External Prices'!Y91*5</f>
        <v>2337.238936528317</v>
      </c>
      <c r="M29" s="50" t="s">
        <v>87</v>
      </c>
    </row>
    <row r="30" spans="2:13" ht="16" thickBot="1" x14ac:dyDescent="0.25">
      <c r="B30" s="40"/>
      <c r="C30" s="40"/>
      <c r="D30" s="42"/>
      <c r="E30" s="41"/>
      <c r="F30" s="50"/>
      <c r="G30" s="50"/>
      <c r="I30" s="50"/>
      <c r="J30" s="50"/>
      <c r="L30" s="50"/>
      <c r="M30" s="50"/>
    </row>
    <row r="31" spans="2:13" ht="16" thickBot="1" x14ac:dyDescent="0.25">
      <c r="B31" s="40"/>
      <c r="C31" s="40"/>
      <c r="D31" s="42" t="s">
        <v>610</v>
      </c>
      <c r="E31" s="41"/>
      <c r="F31" s="50"/>
      <c r="G31" s="50"/>
      <c r="I31" s="50"/>
      <c r="J31" s="50"/>
      <c r="L31" s="50"/>
      <c r="M31" s="50"/>
    </row>
    <row r="32" spans="2:13" ht="16" thickBot="1" x14ac:dyDescent="0.25">
      <c r="B32" s="40"/>
      <c r="C32" s="40"/>
      <c r="D32" s="40" t="s">
        <v>1275</v>
      </c>
      <c r="E32" s="41"/>
      <c r="F32" s="50">
        <f>'External Prices'!W51</f>
        <v>23598.645205685105</v>
      </c>
      <c r="G32" s="50" t="s">
        <v>613</v>
      </c>
      <c r="I32" s="50">
        <f>'External Prices'!X51</f>
        <v>23598.645205685105</v>
      </c>
      <c r="J32" s="50" t="s">
        <v>613</v>
      </c>
      <c r="L32" s="50"/>
      <c r="M32" s="50" t="s">
        <v>613</v>
      </c>
    </row>
    <row r="33" spans="2:13" ht="16" thickBot="1" x14ac:dyDescent="0.25">
      <c r="B33" s="40"/>
      <c r="C33" s="40"/>
      <c r="D33" s="40" t="s">
        <v>1277</v>
      </c>
      <c r="E33" s="41" t="s">
        <v>21</v>
      </c>
      <c r="F33" s="50">
        <f>'External Prices'!W101</f>
        <v>578.02769212165197</v>
      </c>
      <c r="G33" s="50" t="s">
        <v>613</v>
      </c>
      <c r="I33" s="50">
        <f>'External Prices'!X101</f>
        <v>578.02769212165197</v>
      </c>
      <c r="J33" s="50" t="s">
        <v>613</v>
      </c>
      <c r="L33" s="50"/>
      <c r="M33" s="50" t="s">
        <v>613</v>
      </c>
    </row>
    <row r="34" spans="2:13" ht="16" thickBot="1" x14ac:dyDescent="0.25">
      <c r="B34" s="40"/>
      <c r="C34" s="40"/>
      <c r="D34" s="40" t="s">
        <v>1278</v>
      </c>
      <c r="E34" s="41" t="s">
        <v>21</v>
      </c>
      <c r="F34" s="50">
        <f>'External Prices'!W98</f>
        <v>2231.4905509536384</v>
      </c>
      <c r="G34" s="50" t="s">
        <v>613</v>
      </c>
      <c r="I34" s="50">
        <f>'External Prices'!X98</f>
        <v>2231.4905509536384</v>
      </c>
      <c r="J34" s="50" t="s">
        <v>613</v>
      </c>
      <c r="L34" s="50">
        <f>'External Prices'!Y98</f>
        <v>2231.4905509536384</v>
      </c>
      <c r="M34" s="50" t="s">
        <v>613</v>
      </c>
    </row>
    <row r="35" spans="2:13" ht="16" thickBot="1" x14ac:dyDescent="0.25">
      <c r="B35" s="40"/>
      <c r="C35" s="40"/>
      <c r="D35" s="40" t="s">
        <v>606</v>
      </c>
      <c r="E35" s="41" t="s">
        <v>21</v>
      </c>
      <c r="F35" s="50"/>
      <c r="G35" s="50" t="s">
        <v>613</v>
      </c>
      <c r="I35" s="50"/>
      <c r="J35" s="50" t="s">
        <v>613</v>
      </c>
      <c r="L35" s="50"/>
      <c r="M35" s="50" t="s">
        <v>613</v>
      </c>
    </row>
    <row r="36" spans="2:13" ht="16" thickBot="1" x14ac:dyDescent="0.25">
      <c r="B36" s="40"/>
      <c r="C36" s="40"/>
      <c r="D36" s="40" t="s">
        <v>632</v>
      </c>
      <c r="E36" s="41" t="s">
        <v>21</v>
      </c>
      <c r="F36" s="50"/>
      <c r="G36" s="50" t="s">
        <v>613</v>
      </c>
      <c r="I36" s="50"/>
      <c r="J36" s="50" t="s">
        <v>613</v>
      </c>
      <c r="L36" s="50"/>
      <c r="M36" s="50" t="s">
        <v>613</v>
      </c>
    </row>
    <row r="37" spans="2:13" ht="16" thickBot="1" x14ac:dyDescent="0.25">
      <c r="B37" s="40"/>
      <c r="C37" s="40"/>
      <c r="D37" s="40" t="s">
        <v>614</v>
      </c>
      <c r="E37" s="41" t="s">
        <v>21</v>
      </c>
      <c r="F37" s="50">
        <f>'External Prices'!W92</f>
        <v>1457.1359156594056</v>
      </c>
      <c r="G37" s="50" t="s">
        <v>613</v>
      </c>
      <c r="I37" s="50">
        <f>'External Prices'!X92</f>
        <v>1457.1359156594056</v>
      </c>
      <c r="J37" s="50" t="s">
        <v>613</v>
      </c>
      <c r="L37" s="50">
        <f>'External Prices'!Y92</f>
        <v>1457.1359156594056</v>
      </c>
      <c r="M37" s="50" t="s">
        <v>613</v>
      </c>
    </row>
    <row r="38" spans="2:13" ht="16" thickBot="1" x14ac:dyDescent="0.25">
      <c r="B38" s="40"/>
      <c r="C38" s="40"/>
      <c r="D38" s="55" t="s">
        <v>766</v>
      </c>
      <c r="E38" s="41" t="s">
        <v>21</v>
      </c>
      <c r="F38" s="50">
        <f>'External Prices'!W76</f>
        <v>313.88684469002055</v>
      </c>
      <c r="G38" s="50" t="s">
        <v>613</v>
      </c>
      <c r="I38" s="50">
        <f>'External Prices'!X76</f>
        <v>313.88684469002055</v>
      </c>
      <c r="J38" s="50" t="s">
        <v>613</v>
      </c>
      <c r="L38" s="50">
        <f>'External Prices'!Y76</f>
        <v>313.88684469002055</v>
      </c>
      <c r="M38" s="50" t="s">
        <v>613</v>
      </c>
    </row>
    <row r="39" spans="2:13" ht="16" thickBot="1" x14ac:dyDescent="0.25">
      <c r="B39" s="40"/>
      <c r="C39" s="40"/>
      <c r="D39" s="37" t="s">
        <v>763</v>
      </c>
      <c r="E39" s="41" t="s">
        <v>21</v>
      </c>
      <c r="F39" s="50">
        <f>'External Prices'!W88</f>
        <v>13775.923574581293</v>
      </c>
      <c r="G39" s="50" t="s">
        <v>613</v>
      </c>
      <c r="I39" s="50">
        <f>'External Prices'!X88</f>
        <v>13775.923574581293</v>
      </c>
      <c r="J39" s="50" t="s">
        <v>613</v>
      </c>
      <c r="L39" s="50">
        <f>'External Prices'!Y88</f>
        <v>13775.923574581293</v>
      </c>
      <c r="M39" s="50" t="s">
        <v>613</v>
      </c>
    </row>
    <row r="40" spans="2:13" ht="16" thickBot="1" x14ac:dyDescent="0.25">
      <c r="B40" s="40"/>
      <c r="C40" s="40"/>
      <c r="D40" s="40" t="s">
        <v>764</v>
      </c>
      <c r="E40" s="41" t="s">
        <v>21</v>
      </c>
      <c r="F40" s="50">
        <f>'External Prices'!W89</f>
        <v>23204.665383899497</v>
      </c>
      <c r="G40" s="50" t="s">
        <v>613</v>
      </c>
      <c r="I40" s="50">
        <f>'External Prices'!X89</f>
        <v>23204.665383899497</v>
      </c>
      <c r="J40" s="50" t="s">
        <v>613</v>
      </c>
      <c r="L40" s="50">
        <f>'External Prices'!Y89</f>
        <v>23204.665383899497</v>
      </c>
      <c r="M40" s="50" t="s">
        <v>613</v>
      </c>
    </row>
    <row r="41" spans="2:13" ht="31" thickBot="1" x14ac:dyDescent="0.25">
      <c r="B41" s="40"/>
      <c r="C41" s="40"/>
      <c r="D41" s="40" t="s">
        <v>765</v>
      </c>
      <c r="E41" s="41" t="s">
        <v>21</v>
      </c>
      <c r="F41" s="50">
        <f>'External Prices'!W90</f>
        <v>74796.84975144903</v>
      </c>
      <c r="G41" s="50" t="s">
        <v>613</v>
      </c>
      <c r="I41" s="50">
        <f>'External Prices'!X90</f>
        <v>74796.84975144903</v>
      </c>
      <c r="J41" s="50" t="s">
        <v>613</v>
      </c>
      <c r="L41" s="50">
        <f>'External Prices'!Y90</f>
        <v>74796.84975144903</v>
      </c>
      <c r="M41" s="50" t="s">
        <v>613</v>
      </c>
    </row>
    <row r="42" spans="2:13" ht="16" thickBot="1" x14ac:dyDescent="0.25">
      <c r="B42" s="40"/>
      <c r="C42" s="40"/>
      <c r="D42" s="40" t="s">
        <v>616</v>
      </c>
      <c r="E42" s="41" t="s">
        <v>21</v>
      </c>
      <c r="F42" s="50">
        <f>'External Prices'!W93</f>
        <v>578.02769212165197</v>
      </c>
      <c r="G42" s="50" t="s">
        <v>615</v>
      </c>
      <c r="I42" s="50">
        <f>'External Prices'!X93</f>
        <v>578.02769212165197</v>
      </c>
      <c r="J42" s="50" t="s">
        <v>615</v>
      </c>
      <c r="L42" s="50">
        <f>'External Prices'!Y93</f>
        <v>578.02769212165197</v>
      </c>
      <c r="M42" s="50" t="s">
        <v>615</v>
      </c>
    </row>
    <row r="43" spans="2:13" ht="16" thickBot="1" x14ac:dyDescent="0.25">
      <c r="B43" s="40"/>
      <c r="C43" s="40"/>
      <c r="D43" s="40" t="s">
        <v>617</v>
      </c>
      <c r="E43" s="41" t="s">
        <v>21</v>
      </c>
      <c r="F43" s="50">
        <f>'External Prices'!W94</f>
        <v>1252.4633968929272</v>
      </c>
      <c r="G43" s="50" t="s">
        <v>615</v>
      </c>
      <c r="I43" s="50">
        <f>'External Prices'!X94</f>
        <v>1252.4633968929272</v>
      </c>
      <c r="J43" s="50" t="s">
        <v>615</v>
      </c>
      <c r="L43" s="50">
        <f>'External Prices'!Y94</f>
        <v>1252.4633968929272</v>
      </c>
      <c r="M43" s="50" t="s">
        <v>615</v>
      </c>
    </row>
    <row r="44" spans="2:13" ht="16" thickBot="1" x14ac:dyDescent="0.25">
      <c r="B44" s="40"/>
      <c r="C44" s="40"/>
      <c r="D44" s="40" t="s">
        <v>633</v>
      </c>
      <c r="E44" s="41" t="s">
        <v>21</v>
      </c>
      <c r="F44" s="50"/>
      <c r="G44" s="50" t="s">
        <v>615</v>
      </c>
      <c r="I44" s="50"/>
      <c r="J44" s="50" t="s">
        <v>615</v>
      </c>
      <c r="L44" s="50"/>
      <c r="M44" s="50" t="s">
        <v>615</v>
      </c>
    </row>
    <row r="45" spans="2:13" ht="16" thickBot="1" x14ac:dyDescent="0.25">
      <c r="B45" s="40"/>
      <c r="C45" s="40"/>
      <c r="D45" s="40"/>
      <c r="E45" s="41"/>
      <c r="F45" s="50"/>
      <c r="G45" s="50"/>
      <c r="I45" s="50"/>
      <c r="J45" s="50"/>
      <c r="L45" s="50"/>
      <c r="M45" s="50"/>
    </row>
    <row r="46" spans="2:13" ht="16" thickBot="1" x14ac:dyDescent="0.25">
      <c r="B46" s="40"/>
      <c r="C46" s="40"/>
      <c r="D46" s="40" t="s">
        <v>618</v>
      </c>
      <c r="E46" s="41" t="s">
        <v>21</v>
      </c>
      <c r="F46" s="50"/>
      <c r="G46" s="50">
        <f>SUM(F13:F29)</f>
        <v>103975.10724364061</v>
      </c>
      <c r="I46" s="50"/>
      <c r="J46" s="50">
        <f>SUM(I13:I29)</f>
        <v>126233.10724364061</v>
      </c>
      <c r="L46" s="50"/>
      <c r="M46" s="50">
        <f>SUM(L13:L29)</f>
        <v>135145.91660247371</v>
      </c>
    </row>
    <row r="47" spans="2:13" ht="16" thickBot="1" x14ac:dyDescent="0.25">
      <c r="B47" s="40"/>
      <c r="C47" s="40"/>
      <c r="D47" s="40" t="s">
        <v>619</v>
      </c>
      <c r="E47" s="41" t="s">
        <v>21</v>
      </c>
      <c r="F47" s="50"/>
      <c r="G47" s="50">
        <v>0</v>
      </c>
      <c r="I47" s="50"/>
      <c r="J47" s="50">
        <v>0</v>
      </c>
      <c r="L47" s="50"/>
      <c r="M47" s="50">
        <v>0</v>
      </c>
    </row>
    <row r="48" spans="2:13" ht="16" thickBot="1" x14ac:dyDescent="0.25">
      <c r="B48" s="40"/>
      <c r="C48" s="40"/>
      <c r="D48" s="40"/>
      <c r="E48" s="41"/>
      <c r="F48" s="50"/>
      <c r="G48" s="50"/>
      <c r="I48" s="50"/>
      <c r="J48" s="50"/>
      <c r="L48" s="50"/>
      <c r="M48" s="50"/>
    </row>
    <row r="49" spans="1:16" ht="16" thickBot="1" x14ac:dyDescent="0.25">
      <c r="B49" s="40"/>
      <c r="C49" s="40"/>
      <c r="D49" s="40" t="s">
        <v>620</v>
      </c>
      <c r="E49" s="41" t="s">
        <v>21</v>
      </c>
      <c r="F49" s="50"/>
      <c r="G49" s="50">
        <f>SUM(G46:G47)</f>
        <v>103975.10724364061</v>
      </c>
      <c r="I49" s="50"/>
      <c r="J49" s="50">
        <f>SUM(J46:J47)</f>
        <v>126233.10724364061</v>
      </c>
      <c r="L49" s="50"/>
      <c r="M49" s="50">
        <f>SUM(M46:M47)</f>
        <v>135145.91660247371</v>
      </c>
      <c r="O49" s="52"/>
      <c r="P49" s="52"/>
    </row>
    <row r="50" spans="1:16" ht="16" thickBot="1" x14ac:dyDescent="0.25">
      <c r="B50" s="40"/>
      <c r="C50" s="40"/>
      <c r="D50" s="40"/>
      <c r="E50" s="41"/>
      <c r="F50" s="50"/>
      <c r="G50" s="50"/>
      <c r="O50" s="23"/>
    </row>
    <row r="51" spans="1:16" ht="16" thickBot="1" x14ac:dyDescent="0.25">
      <c r="B51" s="40"/>
      <c r="C51" s="40"/>
      <c r="D51" s="350" t="s">
        <v>621</v>
      </c>
      <c r="E51" s="350"/>
      <c r="F51" s="350"/>
      <c r="G51" s="350"/>
    </row>
    <row r="52" spans="1:16" ht="16" thickBot="1" x14ac:dyDescent="0.25">
      <c r="B52" s="40"/>
      <c r="C52" s="40"/>
      <c r="D52" s="40"/>
      <c r="E52" s="41"/>
      <c r="F52" s="50"/>
      <c r="G52" s="50"/>
    </row>
    <row r="53" spans="1:16" ht="16" thickBot="1" x14ac:dyDescent="0.25">
      <c r="B53" s="40"/>
      <c r="C53" s="40"/>
      <c r="D53" s="350" t="s">
        <v>622</v>
      </c>
      <c r="E53" s="350"/>
      <c r="F53" s="350"/>
      <c r="G53" s="350"/>
    </row>
    <row r="56" spans="1:16" ht="16" thickBot="1" x14ac:dyDescent="0.25"/>
    <row r="57" spans="1:16" ht="16" thickBot="1" x14ac:dyDescent="0.25">
      <c r="A57" s="5" t="s">
        <v>66</v>
      </c>
      <c r="B57" s="37"/>
      <c r="C57" s="37"/>
      <c r="D57" s="38" t="s">
        <v>595</v>
      </c>
      <c r="E57" s="39"/>
      <c r="F57" s="346" t="s">
        <v>630</v>
      </c>
      <c r="G57" s="346"/>
      <c r="H57" s="5"/>
      <c r="I57" s="51" t="s">
        <v>62</v>
      </c>
      <c r="L57" s="5" t="s">
        <v>104</v>
      </c>
    </row>
    <row r="58" spans="1:16" ht="16" thickBot="1" x14ac:dyDescent="0.25">
      <c r="B58" s="40"/>
      <c r="C58" s="40"/>
      <c r="D58" s="40" t="s">
        <v>596</v>
      </c>
      <c r="E58" s="41"/>
      <c r="F58" s="347" t="s">
        <v>87</v>
      </c>
      <c r="G58" s="347"/>
    </row>
    <row r="59" spans="1:16" ht="16" thickBot="1" x14ac:dyDescent="0.25">
      <c r="B59" s="40"/>
      <c r="C59" s="40"/>
      <c r="D59" s="40" t="s">
        <v>597</v>
      </c>
      <c r="E59" s="41"/>
      <c r="F59" s="348"/>
      <c r="G59" s="348"/>
    </row>
    <row r="60" spans="1:16" ht="16" thickBot="1" x14ac:dyDescent="0.25">
      <c r="B60" s="40"/>
      <c r="C60" s="40"/>
      <c r="D60" s="40" t="s">
        <v>598</v>
      </c>
      <c r="E60" s="41"/>
      <c r="F60" s="348"/>
      <c r="G60" s="348"/>
    </row>
    <row r="61" spans="1:16" ht="16" thickBot="1" x14ac:dyDescent="0.25">
      <c r="B61" s="40"/>
      <c r="C61" s="40"/>
      <c r="D61" s="40" t="s">
        <v>599</v>
      </c>
      <c r="E61" s="41"/>
      <c r="F61" s="348"/>
      <c r="G61" s="348"/>
    </row>
    <row r="62" spans="1:16" ht="16" thickBot="1" x14ac:dyDescent="0.25">
      <c r="B62" s="40"/>
      <c r="C62" s="40"/>
      <c r="D62" s="40" t="s">
        <v>600</v>
      </c>
      <c r="E62" s="41"/>
      <c r="F62" s="349"/>
      <c r="G62" s="349"/>
    </row>
    <row r="63" spans="1:16" ht="16" thickBot="1" x14ac:dyDescent="0.25">
      <c r="B63" s="40"/>
      <c r="C63" s="40"/>
      <c r="D63" s="40" t="s">
        <v>601</v>
      </c>
      <c r="E63" s="41" t="s">
        <v>21</v>
      </c>
      <c r="F63" s="50">
        <f>'External Prices'!Z40</f>
        <v>120644</v>
      </c>
      <c r="G63" s="50" t="s">
        <v>87</v>
      </c>
      <c r="I63" s="50">
        <f>'External Prices'!AA40</f>
        <v>148861</v>
      </c>
      <c r="J63" s="50" t="s">
        <v>87</v>
      </c>
      <c r="L63" s="50">
        <f>'External Prices'!AB40</f>
        <v>170773</v>
      </c>
      <c r="M63" s="50" t="s">
        <v>87</v>
      </c>
    </row>
    <row r="64" spans="1:16" ht="16" thickBot="1" x14ac:dyDescent="0.25">
      <c r="B64" s="40"/>
      <c r="C64" s="40"/>
      <c r="D64" s="42"/>
      <c r="E64" s="41"/>
      <c r="F64" s="50"/>
      <c r="G64" s="50"/>
      <c r="I64" s="50"/>
      <c r="J64" s="50"/>
      <c r="L64" s="50"/>
      <c r="M64" s="50"/>
    </row>
    <row r="65" spans="2:13" ht="16" thickBot="1" x14ac:dyDescent="0.25">
      <c r="B65" s="40"/>
      <c r="C65" s="40"/>
      <c r="D65" s="42" t="s">
        <v>602</v>
      </c>
      <c r="E65" s="41"/>
      <c r="F65" s="50"/>
      <c r="G65" s="50"/>
      <c r="I65" s="50"/>
      <c r="J65" s="50"/>
      <c r="L65" s="50"/>
      <c r="M65" s="50"/>
    </row>
    <row r="66" spans="2:13" ht="16" thickBot="1" x14ac:dyDescent="0.25">
      <c r="B66" s="40"/>
      <c r="C66" s="40"/>
      <c r="D66" s="40" t="s">
        <v>1268</v>
      </c>
      <c r="E66" s="41"/>
      <c r="F66" s="50">
        <f>'External Prices'!Z54</f>
        <v>437.89976675882718</v>
      </c>
      <c r="G66" s="50" t="s">
        <v>1274</v>
      </c>
      <c r="I66" s="50">
        <f>'External Prices'!AA54</f>
        <v>437.89976675882718</v>
      </c>
      <c r="J66" s="50" t="s">
        <v>1274</v>
      </c>
      <c r="L66" s="50"/>
      <c r="M66" s="50"/>
    </row>
    <row r="67" spans="2:13" ht="16" thickBot="1" x14ac:dyDescent="0.25">
      <c r="B67" s="40"/>
      <c r="C67" s="40"/>
      <c r="D67" s="40" t="s">
        <v>1270</v>
      </c>
      <c r="E67" s="41"/>
      <c r="F67" s="50">
        <f>'External Prices'!Z55</f>
        <v>437.89976675882718</v>
      </c>
      <c r="G67" s="50" t="s">
        <v>1274</v>
      </c>
      <c r="I67" s="50">
        <f>'External Prices'!AA55</f>
        <v>437.89976675882718</v>
      </c>
      <c r="J67" s="50" t="s">
        <v>1274</v>
      </c>
      <c r="L67" s="50"/>
      <c r="M67" s="50"/>
    </row>
    <row r="68" spans="2:13" ht="16" thickBot="1" x14ac:dyDescent="0.25">
      <c r="B68" s="40"/>
      <c r="C68" s="40"/>
      <c r="D68" s="40" t="s">
        <v>1269</v>
      </c>
      <c r="E68" s="41"/>
      <c r="F68" s="50">
        <f>'External Prices'!Z56</f>
        <v>903.16826894008102</v>
      </c>
      <c r="G68" s="50" t="s">
        <v>1274</v>
      </c>
      <c r="I68" s="50">
        <f>'External Prices'!AA56</f>
        <v>903.16826894008102</v>
      </c>
      <c r="J68" s="50" t="s">
        <v>1274</v>
      </c>
      <c r="L68" s="50"/>
      <c r="M68" s="50"/>
    </row>
    <row r="69" spans="2:13" ht="16" thickBot="1" x14ac:dyDescent="0.25">
      <c r="B69" s="40"/>
      <c r="C69" s="40"/>
      <c r="D69" s="40" t="s">
        <v>1271</v>
      </c>
      <c r="E69" s="41"/>
      <c r="F69" s="50">
        <f>'External Prices'!Z57</f>
        <v>903.16826894008102</v>
      </c>
      <c r="G69" s="50" t="s">
        <v>1274</v>
      </c>
      <c r="I69" s="50">
        <f>'External Prices'!AA57</f>
        <v>903.16826894008102</v>
      </c>
      <c r="J69" s="50" t="s">
        <v>1274</v>
      </c>
      <c r="L69" s="50"/>
      <c r="M69" s="50"/>
    </row>
    <row r="70" spans="2:13" ht="16" thickBot="1" x14ac:dyDescent="0.25">
      <c r="B70" s="40"/>
      <c r="C70" s="40"/>
      <c r="D70" s="40" t="s">
        <v>1266</v>
      </c>
      <c r="E70" s="41"/>
      <c r="F70" s="50">
        <f>'External Prices'!Z58</f>
        <v>272.01303158665974</v>
      </c>
      <c r="G70" s="50" t="s">
        <v>1274</v>
      </c>
      <c r="I70" s="50">
        <f>'External Prices'!AA58</f>
        <v>272.01303158665974</v>
      </c>
      <c r="J70" s="50" t="s">
        <v>1274</v>
      </c>
      <c r="L70" s="50"/>
      <c r="M70" s="50"/>
    </row>
    <row r="71" spans="2:13" ht="16" thickBot="1" x14ac:dyDescent="0.25">
      <c r="B71" s="40"/>
      <c r="C71" s="40"/>
      <c r="D71" s="40" t="s">
        <v>1273</v>
      </c>
      <c r="E71" s="41"/>
      <c r="F71" s="50">
        <f>'External Prices'!Z59</f>
        <v>867.04153818247767</v>
      </c>
      <c r="G71" s="50" t="s">
        <v>1274</v>
      </c>
      <c r="I71" s="50">
        <f>'External Prices'!AA59</f>
        <v>867.04153818247767</v>
      </c>
      <c r="J71" s="50" t="s">
        <v>1274</v>
      </c>
      <c r="L71" s="50"/>
      <c r="M71" s="50"/>
    </row>
    <row r="72" spans="2:13" ht="16" thickBot="1" x14ac:dyDescent="0.25">
      <c r="B72" s="40"/>
      <c r="C72" s="40"/>
      <c r="D72" s="40" t="s">
        <v>186</v>
      </c>
      <c r="E72" s="41" t="s">
        <v>21</v>
      </c>
      <c r="F72" s="50" t="str">
        <f>'External Prices'!Z60</f>
        <v>Included</v>
      </c>
      <c r="G72" s="50" t="s">
        <v>87</v>
      </c>
      <c r="I72" s="50" t="str">
        <f>'External Prices'!AA60</f>
        <v>Included</v>
      </c>
      <c r="J72" s="50" t="s">
        <v>87</v>
      </c>
      <c r="L72" s="50" t="str">
        <f>'External Prices'!AB60</f>
        <v>Included</v>
      </c>
      <c r="M72" s="50" t="s">
        <v>87</v>
      </c>
    </row>
    <row r="73" spans="2:13" ht="16" thickBot="1" x14ac:dyDescent="0.25">
      <c r="B73" s="40"/>
      <c r="C73" s="40"/>
      <c r="D73" s="40" t="s">
        <v>603</v>
      </c>
      <c r="E73" s="41" t="s">
        <v>21</v>
      </c>
      <c r="F73" s="50">
        <f>'External Prices'!Z61</f>
        <v>642.71174338288438</v>
      </c>
      <c r="G73" s="50" t="s">
        <v>87</v>
      </c>
      <c r="I73" s="50">
        <f>'External Prices'!AA61</f>
        <v>642.71174338288438</v>
      </c>
      <c r="J73" s="50" t="s">
        <v>87</v>
      </c>
      <c r="L73" s="50">
        <f>'External Prices'!AB61</f>
        <v>642.71174338288438</v>
      </c>
      <c r="M73" s="50" t="s">
        <v>87</v>
      </c>
    </row>
    <row r="74" spans="2:13" ht="16" thickBot="1" x14ac:dyDescent="0.25">
      <c r="B74" s="40"/>
      <c r="C74" s="40"/>
      <c r="D74" s="40" t="s">
        <v>604</v>
      </c>
      <c r="E74" s="41" t="s">
        <v>21</v>
      </c>
      <c r="F74" s="50" t="str">
        <f>'External Prices'!Z62</f>
        <v>Included</v>
      </c>
      <c r="G74" s="50" t="s">
        <v>87</v>
      </c>
      <c r="I74" s="50" t="str">
        <f>'External Prices'!AA62</f>
        <v>Included</v>
      </c>
      <c r="J74" s="50" t="s">
        <v>87</v>
      </c>
      <c r="L74" s="50" t="str">
        <f>'External Prices'!AB62</f>
        <v>Included</v>
      </c>
      <c r="M74" s="50" t="s">
        <v>87</v>
      </c>
    </row>
    <row r="75" spans="2:13" ht="16" thickBot="1" x14ac:dyDescent="0.25">
      <c r="B75" s="40"/>
      <c r="C75" s="40"/>
      <c r="D75" s="40" t="s">
        <v>605</v>
      </c>
      <c r="E75" s="41" t="s">
        <v>21</v>
      </c>
      <c r="F75" s="50" t="str">
        <f>'External Prices'!Z62</f>
        <v>Included</v>
      </c>
      <c r="G75" s="50" t="s">
        <v>87</v>
      </c>
      <c r="I75" s="50" t="str">
        <f>'External Prices'!AA62</f>
        <v>Included</v>
      </c>
      <c r="J75" s="50" t="s">
        <v>87</v>
      </c>
      <c r="L75" s="50" t="str">
        <f>'External Prices'!AB62</f>
        <v>Included</v>
      </c>
      <c r="M75" s="50" t="s">
        <v>87</v>
      </c>
    </row>
    <row r="76" spans="2:13" ht="16" thickBot="1" x14ac:dyDescent="0.25">
      <c r="B76" s="40"/>
      <c r="C76" s="40"/>
      <c r="D76" s="40" t="s">
        <v>607</v>
      </c>
      <c r="E76" s="41" t="s">
        <v>21</v>
      </c>
      <c r="F76" s="50">
        <f>'External Prices'!Z63</f>
        <v>225.33293031242883</v>
      </c>
      <c r="G76" s="50" t="s">
        <v>87</v>
      </c>
      <c r="I76" s="50">
        <f>'External Prices'!AA63</f>
        <v>225.33293031242883</v>
      </c>
      <c r="J76" s="50" t="s">
        <v>87</v>
      </c>
      <c r="L76" s="50">
        <f>'External Prices'!AB63</f>
        <v>225.33293031242883</v>
      </c>
      <c r="M76" s="50" t="s">
        <v>87</v>
      </c>
    </row>
    <row r="77" spans="2:13" ht="16" thickBot="1" x14ac:dyDescent="0.25">
      <c r="B77" s="40"/>
      <c r="C77" s="40"/>
      <c r="D77" s="40" t="s">
        <v>609</v>
      </c>
      <c r="E77" s="41" t="s">
        <v>21</v>
      </c>
      <c r="F77" s="50">
        <f>'External Prices'!Z86</f>
        <v>946.54847504432985</v>
      </c>
      <c r="G77" s="50" t="s">
        <v>87</v>
      </c>
      <c r="I77" s="50">
        <f>'External Prices'!AA86</f>
        <v>946.54847504432985</v>
      </c>
      <c r="J77" s="50" t="s">
        <v>87</v>
      </c>
      <c r="L77" s="50">
        <f>'External Prices'!AB86</f>
        <v>946.54847504432985</v>
      </c>
      <c r="M77" s="50" t="s">
        <v>87</v>
      </c>
    </row>
    <row r="78" spans="2:13" ht="16" thickBot="1" x14ac:dyDescent="0.25">
      <c r="B78" s="40"/>
      <c r="C78" s="40"/>
      <c r="D78" s="40" t="s">
        <v>631</v>
      </c>
      <c r="E78" s="41" t="s">
        <v>21</v>
      </c>
      <c r="F78" s="56">
        <f>'External Prices'!Z91*5</f>
        <v>2337.238936528317</v>
      </c>
      <c r="G78" s="50" t="s">
        <v>87</v>
      </c>
      <c r="I78" s="56">
        <f>'External Prices'!AA91*5</f>
        <v>2337.238936528317</v>
      </c>
      <c r="J78" s="50" t="s">
        <v>87</v>
      </c>
      <c r="L78" s="56">
        <f>'External Prices'!AB91*5</f>
        <v>2337.238936528317</v>
      </c>
      <c r="M78" s="50" t="s">
        <v>87</v>
      </c>
    </row>
    <row r="79" spans="2:13" ht="16" thickBot="1" x14ac:dyDescent="0.25">
      <c r="B79" s="40"/>
      <c r="C79" s="40"/>
      <c r="D79" s="42"/>
      <c r="E79" s="41"/>
      <c r="F79" s="50"/>
      <c r="G79" s="50"/>
      <c r="I79" s="50"/>
      <c r="J79" s="50"/>
      <c r="L79" s="50"/>
      <c r="M79" s="50"/>
    </row>
    <row r="80" spans="2:13" ht="16" thickBot="1" x14ac:dyDescent="0.25">
      <c r="B80" s="40"/>
      <c r="C80" s="40"/>
      <c r="D80" s="42" t="s">
        <v>610</v>
      </c>
      <c r="E80" s="41"/>
      <c r="F80" s="50"/>
      <c r="G80" s="50"/>
      <c r="I80" s="50"/>
      <c r="J80" s="50"/>
      <c r="L80" s="50"/>
      <c r="M80" s="50"/>
    </row>
    <row r="81" spans="2:13" ht="31" thickBot="1" x14ac:dyDescent="0.25">
      <c r="B81" s="40"/>
      <c r="C81" s="40"/>
      <c r="D81" s="40" t="s">
        <v>762</v>
      </c>
      <c r="E81" s="41" t="s">
        <v>21</v>
      </c>
      <c r="F81" s="50"/>
      <c r="G81" s="50" t="s">
        <v>613</v>
      </c>
      <c r="I81" s="50"/>
      <c r="J81" s="50" t="s">
        <v>613</v>
      </c>
      <c r="L81" s="50"/>
      <c r="M81" s="50" t="s">
        <v>613</v>
      </c>
    </row>
    <row r="82" spans="2:13" ht="16" thickBot="1" x14ac:dyDescent="0.25">
      <c r="B82" s="40"/>
      <c r="C82" s="40"/>
      <c r="D82" s="40" t="s">
        <v>611</v>
      </c>
      <c r="E82" s="41" t="s">
        <v>21</v>
      </c>
      <c r="F82" s="50"/>
      <c r="G82" s="50" t="s">
        <v>613</v>
      </c>
      <c r="I82" s="50"/>
      <c r="J82" s="50" t="s">
        <v>613</v>
      </c>
      <c r="L82" s="50"/>
      <c r="M82" s="50" t="s">
        <v>613</v>
      </c>
    </row>
    <row r="83" spans="2:13" ht="16" thickBot="1" x14ac:dyDescent="0.25">
      <c r="B83" s="40"/>
      <c r="C83" s="40"/>
      <c r="D83" s="40" t="s">
        <v>612</v>
      </c>
      <c r="E83" s="41" t="s">
        <v>21</v>
      </c>
      <c r="F83" s="50">
        <f>'External Prices'!Z98</f>
        <v>2231.4905509536384</v>
      </c>
      <c r="G83" s="50" t="s">
        <v>613</v>
      </c>
      <c r="I83" s="50">
        <f>'External Prices'!AA98</f>
        <v>2231.4905509536384</v>
      </c>
      <c r="J83" s="50" t="s">
        <v>613</v>
      </c>
      <c r="L83" s="50">
        <f>'External Prices'!AB98</f>
        <v>2231.4905509536384</v>
      </c>
      <c r="M83" s="50" t="s">
        <v>613</v>
      </c>
    </row>
    <row r="84" spans="2:13" ht="16" thickBot="1" x14ac:dyDescent="0.25">
      <c r="B84" s="40"/>
      <c r="C84" s="40"/>
      <c r="D84" s="40" t="s">
        <v>606</v>
      </c>
      <c r="E84" s="41" t="s">
        <v>21</v>
      </c>
      <c r="F84" s="50"/>
      <c r="G84" s="50" t="s">
        <v>613</v>
      </c>
      <c r="I84" s="50"/>
      <c r="J84" s="50" t="s">
        <v>613</v>
      </c>
      <c r="L84" s="50"/>
      <c r="M84" s="50" t="s">
        <v>613</v>
      </c>
    </row>
    <row r="85" spans="2:13" ht="16" thickBot="1" x14ac:dyDescent="0.25">
      <c r="B85" s="40"/>
      <c r="C85" s="40"/>
      <c r="D85" s="40" t="s">
        <v>632</v>
      </c>
      <c r="E85" s="41" t="s">
        <v>21</v>
      </c>
      <c r="F85" s="50"/>
      <c r="G85" s="50" t="s">
        <v>613</v>
      </c>
      <c r="I85" s="50"/>
      <c r="J85" s="50" t="s">
        <v>613</v>
      </c>
      <c r="L85" s="50"/>
      <c r="M85" s="50" t="s">
        <v>613</v>
      </c>
    </row>
    <row r="86" spans="2:13" ht="16" thickBot="1" x14ac:dyDescent="0.25">
      <c r="B86" s="40"/>
      <c r="C86" s="40"/>
      <c r="D86" s="40" t="s">
        <v>614</v>
      </c>
      <c r="E86" s="41" t="s">
        <v>21</v>
      </c>
      <c r="F86" s="50">
        <f>'External Prices'!Z92</f>
        <v>1457.1359156594056</v>
      </c>
      <c r="G86" s="50" t="s">
        <v>613</v>
      </c>
      <c r="I86" s="50">
        <f>'External Prices'!AA92</f>
        <v>1457.1359156594056</v>
      </c>
      <c r="J86" s="50" t="s">
        <v>613</v>
      </c>
      <c r="L86" s="50">
        <f>'External Prices'!AB92</f>
        <v>1457.1359156594056</v>
      </c>
      <c r="M86" s="50" t="s">
        <v>613</v>
      </c>
    </row>
    <row r="87" spans="2:13" ht="16" thickBot="1" x14ac:dyDescent="0.25">
      <c r="B87" s="40"/>
      <c r="C87" s="40"/>
      <c r="D87" s="37" t="s">
        <v>763</v>
      </c>
      <c r="E87" s="41" t="s">
        <v>21</v>
      </c>
      <c r="F87" s="50">
        <f>'External Prices'!Z88</f>
        <v>13775.923574581293</v>
      </c>
      <c r="G87" s="50" t="s">
        <v>613</v>
      </c>
      <c r="I87" s="50">
        <f>'External Prices'!AA88</f>
        <v>13775.923574581293</v>
      </c>
      <c r="J87" s="50" t="s">
        <v>613</v>
      </c>
      <c r="L87" s="50">
        <f>'External Prices'!AB88</f>
        <v>13775.923574581293</v>
      </c>
      <c r="M87" s="50" t="s">
        <v>613</v>
      </c>
    </row>
    <row r="88" spans="2:13" ht="16" thickBot="1" x14ac:dyDescent="0.25">
      <c r="B88" s="40"/>
      <c r="C88" s="40"/>
      <c r="D88" s="40" t="s">
        <v>764</v>
      </c>
      <c r="E88" s="41" t="s">
        <v>21</v>
      </c>
      <c r="F88" s="50">
        <f>'External Prices'!Z89</f>
        <v>23204.665383899497</v>
      </c>
      <c r="G88" s="50" t="s">
        <v>613</v>
      </c>
      <c r="I88" s="50">
        <f>'External Prices'!AA89</f>
        <v>23204.665383899497</v>
      </c>
      <c r="J88" s="50" t="s">
        <v>613</v>
      </c>
      <c r="L88" s="50">
        <f>'External Prices'!AB89</f>
        <v>23204.665383899497</v>
      </c>
      <c r="M88" s="50" t="s">
        <v>613</v>
      </c>
    </row>
    <row r="89" spans="2:13" ht="31" thickBot="1" x14ac:dyDescent="0.25">
      <c r="B89" s="40"/>
      <c r="C89" s="40"/>
      <c r="D89" s="40" t="s">
        <v>765</v>
      </c>
      <c r="E89" s="41" t="s">
        <v>21</v>
      </c>
      <c r="F89" s="50">
        <f>'External Prices'!Z90</f>
        <v>74796.84975144903</v>
      </c>
      <c r="G89" s="50" t="s">
        <v>613</v>
      </c>
      <c r="I89" s="50">
        <f>'External Prices'!AA90</f>
        <v>74796.84975144903</v>
      </c>
      <c r="J89" s="50" t="s">
        <v>613</v>
      </c>
      <c r="L89" s="50">
        <f>'External Prices'!AB90</f>
        <v>74796.84975144903</v>
      </c>
      <c r="M89" s="50" t="s">
        <v>613</v>
      </c>
    </row>
    <row r="90" spans="2:13" ht="16" thickBot="1" x14ac:dyDescent="0.25">
      <c r="B90" s="40"/>
      <c r="C90" s="40"/>
      <c r="D90" s="40" t="s">
        <v>616</v>
      </c>
      <c r="E90" s="41" t="s">
        <v>21</v>
      </c>
      <c r="F90" s="50">
        <f>'External Prices'!Z93</f>
        <v>578.02769212165197</v>
      </c>
      <c r="G90" s="50" t="s">
        <v>615</v>
      </c>
      <c r="I90" s="50">
        <f>'External Prices'!AA93</f>
        <v>578.02769212165197</v>
      </c>
      <c r="J90" s="50" t="s">
        <v>615</v>
      </c>
      <c r="L90" s="50">
        <f>'External Prices'!AB93</f>
        <v>578.02769212165197</v>
      </c>
      <c r="M90" s="50" t="s">
        <v>615</v>
      </c>
    </row>
    <row r="91" spans="2:13" ht="16" thickBot="1" x14ac:dyDescent="0.25">
      <c r="B91" s="40"/>
      <c r="C91" s="40"/>
      <c r="D91" s="40" t="s">
        <v>617</v>
      </c>
      <c r="E91" s="41" t="s">
        <v>21</v>
      </c>
      <c r="F91" s="50">
        <f>'External Prices'!Z94</f>
        <v>1252.4633968929272</v>
      </c>
      <c r="G91" s="50" t="s">
        <v>615</v>
      </c>
      <c r="I91" s="50">
        <f>'External Prices'!AA94</f>
        <v>1252.4633968929272</v>
      </c>
      <c r="J91" s="50" t="s">
        <v>615</v>
      </c>
      <c r="L91" s="50">
        <f>'External Prices'!AB94</f>
        <v>1252.4633968929272</v>
      </c>
      <c r="M91" s="50" t="s">
        <v>615</v>
      </c>
    </row>
    <row r="92" spans="2:13" ht="16" thickBot="1" x14ac:dyDescent="0.25">
      <c r="B92" s="40"/>
      <c r="C92" s="40"/>
      <c r="D92" s="40" t="s">
        <v>633</v>
      </c>
      <c r="E92" s="41" t="s">
        <v>21</v>
      </c>
      <c r="F92" s="50"/>
      <c r="G92" s="50" t="s">
        <v>615</v>
      </c>
      <c r="I92" s="50"/>
      <c r="J92" s="50" t="s">
        <v>615</v>
      </c>
      <c r="L92" s="50"/>
      <c r="M92" s="50" t="s">
        <v>615</v>
      </c>
    </row>
    <row r="93" spans="2:13" ht="16" thickBot="1" x14ac:dyDescent="0.25">
      <c r="B93" s="40"/>
      <c r="C93" s="40"/>
      <c r="D93" s="40"/>
      <c r="E93" s="41"/>
      <c r="F93" s="50"/>
      <c r="G93" s="50"/>
      <c r="I93" s="50"/>
      <c r="J93" s="50"/>
      <c r="L93" s="50"/>
      <c r="M93" s="50"/>
    </row>
    <row r="94" spans="2:13" ht="16" thickBot="1" x14ac:dyDescent="0.25">
      <c r="B94" s="40"/>
      <c r="C94" s="40"/>
      <c r="D94" s="40" t="s">
        <v>618</v>
      </c>
      <c r="E94" s="41" t="s">
        <v>21</v>
      </c>
      <c r="F94" s="50"/>
      <c r="G94" s="50">
        <f>SUM(F63:F78)</f>
        <v>128617.02272643489</v>
      </c>
      <c r="I94" s="50"/>
      <c r="J94" s="50">
        <f>SUM(I63:I78)</f>
        <v>156834.02272643498</v>
      </c>
      <c r="L94" s="50"/>
      <c r="M94" s="50">
        <f>SUM(L63:L78)</f>
        <v>174924.83208526799</v>
      </c>
    </row>
    <row r="95" spans="2:13" ht="16" thickBot="1" x14ac:dyDescent="0.25">
      <c r="B95" s="40"/>
      <c r="C95" s="40"/>
      <c r="D95" s="40" t="s">
        <v>619</v>
      </c>
      <c r="E95" s="41" t="s">
        <v>21</v>
      </c>
      <c r="F95" s="50"/>
      <c r="G95" s="50">
        <v>0</v>
      </c>
      <c r="I95" s="50"/>
      <c r="J95" s="50">
        <v>0</v>
      </c>
      <c r="L95" s="50"/>
      <c r="M95" s="50">
        <v>0</v>
      </c>
    </row>
    <row r="96" spans="2:13" ht="16" thickBot="1" x14ac:dyDescent="0.25">
      <c r="B96" s="40"/>
      <c r="C96" s="40"/>
      <c r="D96" s="40"/>
      <c r="E96" s="41"/>
      <c r="F96" s="50"/>
      <c r="G96" s="50"/>
      <c r="I96" s="50"/>
      <c r="J96" s="50"/>
      <c r="L96" s="50"/>
      <c r="M96" s="50"/>
    </row>
    <row r="97" spans="1:13" ht="16" thickBot="1" x14ac:dyDescent="0.25">
      <c r="B97" s="40"/>
      <c r="C97" s="40"/>
      <c r="D97" s="40" t="s">
        <v>620</v>
      </c>
      <c r="E97" s="41" t="s">
        <v>21</v>
      </c>
      <c r="F97" s="50"/>
      <c r="G97" s="50">
        <f>SUM(G94:G95)</f>
        <v>128617.02272643489</v>
      </c>
      <c r="I97" s="50"/>
      <c r="J97" s="50">
        <f>SUM(J94:J95)</f>
        <v>156834.02272643498</v>
      </c>
      <c r="L97" s="50"/>
      <c r="M97" s="50">
        <f>SUM(M94:M95)</f>
        <v>174924.83208526799</v>
      </c>
    </row>
    <row r="98" spans="1:13" ht="16" thickBot="1" x14ac:dyDescent="0.25">
      <c r="B98" s="40"/>
      <c r="C98" s="40"/>
      <c r="D98" s="40"/>
      <c r="E98" s="41"/>
      <c r="F98" s="50"/>
      <c r="G98" s="50"/>
    </row>
    <row r="99" spans="1:13" ht="16" thickBot="1" x14ac:dyDescent="0.25">
      <c r="B99" s="40"/>
      <c r="C99" s="40"/>
      <c r="D99" s="350" t="s">
        <v>621</v>
      </c>
      <c r="E99" s="350"/>
      <c r="F99" s="350"/>
      <c r="G99" s="350"/>
    </row>
    <row r="100" spans="1:13" ht="16" thickBot="1" x14ac:dyDescent="0.25">
      <c r="B100" s="40"/>
      <c r="C100" s="40"/>
      <c r="D100" s="40"/>
      <c r="E100" s="41"/>
      <c r="F100" s="50"/>
      <c r="G100" s="50"/>
    </row>
    <row r="101" spans="1:13" ht="16" thickBot="1" x14ac:dyDescent="0.25">
      <c r="B101" s="40"/>
      <c r="C101" s="40"/>
      <c r="D101" s="350" t="s">
        <v>622</v>
      </c>
      <c r="E101" s="350"/>
      <c r="F101" s="350"/>
      <c r="G101" s="350"/>
    </row>
    <row r="106" spans="1:13" x14ac:dyDescent="0.2">
      <c r="A106" s="5" t="s">
        <v>756</v>
      </c>
    </row>
  </sheetData>
  <mergeCells count="8">
    <mergeCell ref="F7:G7"/>
    <mergeCell ref="F8:G12"/>
    <mergeCell ref="F58:G62"/>
    <mergeCell ref="D99:G99"/>
    <mergeCell ref="D101:G101"/>
    <mergeCell ref="F57:G57"/>
    <mergeCell ref="D51:G51"/>
    <mergeCell ref="D53:G5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57BC-EC30-C242-BCA9-6F8029543424}">
  <sheetPr>
    <tabColor rgb="FFFF0000"/>
  </sheetPr>
  <dimension ref="B8:N26"/>
  <sheetViews>
    <sheetView workbookViewId="0">
      <selection activeCell="N24" sqref="N24"/>
    </sheetView>
  </sheetViews>
  <sheetFormatPr baseColWidth="10" defaultRowHeight="15" x14ac:dyDescent="0.2"/>
  <cols>
    <col min="7" max="7" width="20.1640625" bestFit="1" customWidth="1"/>
    <col min="8" max="8" width="9.1640625" bestFit="1" customWidth="1"/>
  </cols>
  <sheetData>
    <row r="8" spans="2:14" x14ac:dyDescent="0.2">
      <c r="B8" t="s">
        <v>768</v>
      </c>
      <c r="C8">
        <v>110000</v>
      </c>
      <c r="L8" s="27">
        <v>0.5</v>
      </c>
      <c r="M8">
        <v>12</v>
      </c>
      <c r="N8" s="57">
        <f>1+M8/100</f>
        <v>1.1200000000000001</v>
      </c>
    </row>
    <row r="9" spans="2:14" x14ac:dyDescent="0.2">
      <c r="B9" t="s">
        <v>769</v>
      </c>
      <c r="C9" s="33">
        <v>0.7</v>
      </c>
      <c r="E9" t="s">
        <v>771</v>
      </c>
      <c r="F9" t="s">
        <v>92</v>
      </c>
      <c r="L9" s="27">
        <v>0.6</v>
      </c>
      <c r="M9">
        <v>18</v>
      </c>
      <c r="N9" s="57">
        <v>1.18</v>
      </c>
    </row>
    <row r="10" spans="2:14" x14ac:dyDescent="0.2">
      <c r="B10" t="s">
        <v>770</v>
      </c>
      <c r="C10">
        <v>12</v>
      </c>
      <c r="D10" s="57">
        <f>1+C10/100</f>
        <v>1.1200000000000001</v>
      </c>
      <c r="E10" s="3">
        <f>($C$8-$C$8*$C$9)*D10/C10</f>
        <v>3080</v>
      </c>
      <c r="F10" s="23">
        <f>$C$8*$C$9+E10*C10</f>
        <v>113960</v>
      </c>
      <c r="L10" s="27">
        <v>0.7</v>
      </c>
      <c r="M10">
        <v>24</v>
      </c>
      <c r="N10" s="57">
        <f>1+M10/100</f>
        <v>1.24</v>
      </c>
    </row>
    <row r="11" spans="2:14" x14ac:dyDescent="0.2">
      <c r="C11">
        <v>24</v>
      </c>
      <c r="D11" s="57">
        <f>1+C11/100</f>
        <v>1.24</v>
      </c>
      <c r="E11" s="3">
        <f>($C$8-$C$8*$C$9)*D11/C11</f>
        <v>1705</v>
      </c>
      <c r="F11" s="23">
        <f>$C$8*$C$9+E11*C11</f>
        <v>117920</v>
      </c>
      <c r="L11" s="27">
        <v>0.8</v>
      </c>
      <c r="M11">
        <v>36</v>
      </c>
      <c r="N11" s="57">
        <f>1+M11/100</f>
        <v>1.3599999999999999</v>
      </c>
    </row>
    <row r="12" spans="2:14" x14ac:dyDescent="0.2">
      <c r="C12">
        <v>36</v>
      </c>
      <c r="D12" s="57">
        <f>1+C12/100</f>
        <v>1.3599999999999999</v>
      </c>
      <c r="E12" s="3">
        <f>($C$8-$C$8*$C$9)*D12/C12</f>
        <v>1246.6666666666665</v>
      </c>
      <c r="F12" s="23">
        <f>$C$8*$C$9+E12*C12</f>
        <v>121880</v>
      </c>
      <c r="L12" s="27">
        <v>0.9</v>
      </c>
      <c r="M12">
        <v>48</v>
      </c>
      <c r="N12" s="57">
        <f>1+M12/100</f>
        <v>1.48</v>
      </c>
    </row>
    <row r="13" spans="2:14" x14ac:dyDescent="0.2">
      <c r="C13">
        <v>48</v>
      </c>
      <c r="D13" s="57">
        <f>1+C13/100</f>
        <v>1.48</v>
      </c>
      <c r="E13" s="3">
        <f>($C$8-$C$8*$C$9)*D13/C13</f>
        <v>1017.5</v>
      </c>
      <c r="F13" s="23">
        <f>$C$8*$C$9+E13*C13</f>
        <v>125840</v>
      </c>
      <c r="L13" s="27">
        <v>1</v>
      </c>
      <c r="M13">
        <v>60</v>
      </c>
      <c r="N13" s="57">
        <f>1+M13/100</f>
        <v>1.6</v>
      </c>
    </row>
    <row r="14" spans="2:14" x14ac:dyDescent="0.2">
      <c r="C14">
        <v>60</v>
      </c>
      <c r="D14" s="57">
        <f>1+C14/100</f>
        <v>1.6</v>
      </c>
      <c r="E14" s="3">
        <f>($C$8-$C$8*$C$9)*D14/C14</f>
        <v>880</v>
      </c>
      <c r="F14" s="23">
        <f>$C$8*$C$9+E14*C14</f>
        <v>129800</v>
      </c>
    </row>
    <row r="21" spans="7:9" x14ac:dyDescent="0.2">
      <c r="G21" t="s">
        <v>772</v>
      </c>
      <c r="H21" s="58">
        <v>100000</v>
      </c>
    </row>
    <row r="22" spans="7:9" x14ac:dyDescent="0.2">
      <c r="G22" t="s">
        <v>773</v>
      </c>
      <c r="H22" s="33">
        <v>0.5</v>
      </c>
      <c r="I22" s="23">
        <f>$H$21*$H$22</f>
        <v>50000</v>
      </c>
    </row>
    <row r="23" spans="7:9" x14ac:dyDescent="0.2">
      <c r="G23" t="s">
        <v>774</v>
      </c>
      <c r="H23">
        <v>60</v>
      </c>
    </row>
    <row r="24" spans="7:9" x14ac:dyDescent="0.2">
      <c r="G24" t="s">
        <v>775</v>
      </c>
      <c r="H24" s="59">
        <f>($H$21-$H$21*$H$22)*(VLOOKUP(H23,M8:N13,2)/H23)</f>
        <v>1333.3333333333335</v>
      </c>
    </row>
    <row r="25" spans="7:9" x14ac:dyDescent="0.2">
      <c r="G25" t="s">
        <v>776</v>
      </c>
      <c r="H25" s="23"/>
      <c r="I25" s="59">
        <f>$H$23*$H$24</f>
        <v>80000.000000000015</v>
      </c>
    </row>
    <row r="26" spans="7:9" x14ac:dyDescent="0.2">
      <c r="G26" t="s">
        <v>777</v>
      </c>
      <c r="I26" s="23">
        <f>I22+I25</f>
        <v>130000.00000000001</v>
      </c>
    </row>
  </sheetData>
  <dataValidations count="2">
    <dataValidation type="list" allowBlank="1" showInputMessage="1" showErrorMessage="1" sqref="C9 H22" xr:uid="{B513A236-9B9D-D045-86A1-71C246F3D768}">
      <formula1>$L$8:$L$13</formula1>
    </dataValidation>
    <dataValidation type="list" allowBlank="1" showInputMessage="1" showErrorMessage="1" sqref="H23" xr:uid="{EB4175A5-71A5-A24D-BCAD-B9E0BB37E89A}">
      <formula1>$M$8:$M$13</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F68E-1C18-C54F-98A2-12D22717420B}">
  <sheetPr>
    <tabColor rgb="FFFF0000"/>
  </sheetPr>
  <dimension ref="A1:R114"/>
  <sheetViews>
    <sheetView zoomScale="75" workbookViewId="0">
      <pane ySplit="1" topLeftCell="A75" activePane="bottomLeft" state="frozen"/>
      <selection pane="bottomLeft" activeCell="F106" sqref="F106"/>
    </sheetView>
  </sheetViews>
  <sheetFormatPr baseColWidth="10" defaultColWidth="19.83203125" defaultRowHeight="16" x14ac:dyDescent="0.2"/>
  <cols>
    <col min="1" max="1" width="19.83203125" style="75"/>
    <col min="2" max="2" width="129.5" style="75" customWidth="1"/>
    <col min="3" max="3" width="6" style="75" customWidth="1"/>
    <col min="4" max="4" width="14.83203125" style="75" customWidth="1"/>
    <col min="5" max="5" width="14.33203125" style="78" customWidth="1"/>
    <col min="6" max="6" width="9.5" style="78" bestFit="1" customWidth="1"/>
    <col min="7" max="7" width="9.5" style="78" customWidth="1"/>
    <col min="8" max="16384" width="19.83203125" style="76"/>
  </cols>
  <sheetData>
    <row r="1" spans="1:12" x14ac:dyDescent="0.2">
      <c r="A1" s="75" t="s">
        <v>1120</v>
      </c>
      <c r="B1" s="75" t="s">
        <v>1121</v>
      </c>
      <c r="C1" s="75" t="s">
        <v>1122</v>
      </c>
      <c r="D1" s="75" t="s">
        <v>1123</v>
      </c>
      <c r="E1" s="80" t="s">
        <v>1127</v>
      </c>
      <c r="F1" s="80" t="s">
        <v>1126</v>
      </c>
      <c r="G1" s="80" t="s">
        <v>1174</v>
      </c>
      <c r="H1" s="76" t="s">
        <v>1128</v>
      </c>
    </row>
    <row r="2" spans="1:12" ht="17" x14ac:dyDescent="0.2">
      <c r="A2" s="77" t="s">
        <v>1026</v>
      </c>
      <c r="B2" s="77" t="s">
        <v>1027</v>
      </c>
      <c r="C2" s="77" t="s">
        <v>1136</v>
      </c>
      <c r="D2" s="77" t="s">
        <v>1145</v>
      </c>
      <c r="E2" s="79">
        <v>4</v>
      </c>
      <c r="F2" s="327">
        <v>32.467779999999998</v>
      </c>
      <c r="G2" s="79" t="s">
        <v>1175</v>
      </c>
      <c r="H2" s="76">
        <v>36421238</v>
      </c>
      <c r="I2" s="76" t="s">
        <v>1137</v>
      </c>
    </row>
    <row r="3" spans="1:12" ht="17" x14ac:dyDescent="0.2">
      <c r="A3" s="77" t="s">
        <v>967</v>
      </c>
      <c r="B3" s="77" t="s">
        <v>1051</v>
      </c>
      <c r="C3" s="77" t="s">
        <v>1136</v>
      </c>
      <c r="D3" s="77" t="s">
        <v>1125</v>
      </c>
      <c r="E3" s="79">
        <v>5</v>
      </c>
      <c r="F3" s="327">
        <v>4.7340900000000019</v>
      </c>
      <c r="G3" s="79" t="s">
        <v>1175</v>
      </c>
      <c r="H3" s="76">
        <v>36418794</v>
      </c>
      <c r="I3" s="76" t="s">
        <v>1159</v>
      </c>
    </row>
    <row r="4" spans="1:12" ht="17" x14ac:dyDescent="0.2">
      <c r="A4" s="77" t="s">
        <v>968</v>
      </c>
      <c r="B4" s="77" t="s">
        <v>1052</v>
      </c>
      <c r="C4" s="77" t="s">
        <v>1136</v>
      </c>
      <c r="D4" s="77" t="s">
        <v>1125</v>
      </c>
      <c r="E4" s="79">
        <v>35</v>
      </c>
      <c r="F4" s="327">
        <v>6.4853100000000019</v>
      </c>
      <c r="G4" s="79" t="s">
        <v>1175</v>
      </c>
      <c r="H4" s="76">
        <v>36418794</v>
      </c>
      <c r="I4" s="76" t="s">
        <v>1159</v>
      </c>
    </row>
    <row r="5" spans="1:12" ht="17" x14ac:dyDescent="0.2">
      <c r="A5" s="77" t="s">
        <v>969</v>
      </c>
      <c r="B5" s="77" t="s">
        <v>1053</v>
      </c>
      <c r="C5" s="77" t="s">
        <v>1136</v>
      </c>
      <c r="D5" s="77" t="s">
        <v>1125</v>
      </c>
      <c r="E5" s="79">
        <v>4</v>
      </c>
      <c r="F5" s="327">
        <v>7.3133100000000022</v>
      </c>
      <c r="G5" s="79" t="s">
        <v>1175</v>
      </c>
      <c r="H5" s="76">
        <v>36418794</v>
      </c>
      <c r="I5" s="76" t="s">
        <v>1159</v>
      </c>
    </row>
    <row r="6" spans="1:12" ht="17" x14ac:dyDescent="0.2">
      <c r="A6" s="77" t="s">
        <v>991</v>
      </c>
      <c r="B6" s="77" t="s">
        <v>1054</v>
      </c>
      <c r="C6" s="77" t="s">
        <v>1139</v>
      </c>
      <c r="D6" s="77" t="s">
        <v>1143</v>
      </c>
      <c r="E6" s="79">
        <v>48</v>
      </c>
      <c r="F6" s="327">
        <v>5.6686500000000004</v>
      </c>
      <c r="G6" s="79" t="s">
        <v>1175</v>
      </c>
      <c r="H6" s="76">
        <v>36418794</v>
      </c>
      <c r="I6" s="76" t="s">
        <v>1159</v>
      </c>
    </row>
    <row r="7" spans="1:12" ht="17" x14ac:dyDescent="0.2">
      <c r="A7" s="77" t="s">
        <v>992</v>
      </c>
      <c r="B7" s="77" t="s">
        <v>1028</v>
      </c>
      <c r="C7" s="77" t="s">
        <v>1139</v>
      </c>
      <c r="D7" s="77" t="s">
        <v>1143</v>
      </c>
      <c r="E7" s="79">
        <v>10</v>
      </c>
      <c r="F7" s="327">
        <v>6.9029999999999996</v>
      </c>
      <c r="G7" s="79" t="s">
        <v>1175</v>
      </c>
      <c r="H7" s="76">
        <v>36421238</v>
      </c>
      <c r="I7" s="76" t="s">
        <v>1137</v>
      </c>
      <c r="K7" s="76">
        <v>36418794</v>
      </c>
      <c r="L7" s="76" t="s">
        <v>1159</v>
      </c>
    </row>
    <row r="8" spans="1:12" ht="17" x14ac:dyDescent="0.2">
      <c r="A8" s="77" t="s">
        <v>970</v>
      </c>
      <c r="B8" s="77" t="s">
        <v>1029</v>
      </c>
      <c r="C8" s="77" t="s">
        <v>1136</v>
      </c>
      <c r="D8" s="77" t="s">
        <v>1125</v>
      </c>
      <c r="E8" s="79">
        <v>42</v>
      </c>
      <c r="F8" s="327">
        <v>6.992460000000003</v>
      </c>
      <c r="G8" s="79" t="s">
        <v>1175</v>
      </c>
      <c r="H8" s="76">
        <v>36421238</v>
      </c>
      <c r="I8" s="76" t="s">
        <v>1137</v>
      </c>
      <c r="K8" s="76">
        <v>36418794</v>
      </c>
      <c r="L8" s="76" t="s">
        <v>1159</v>
      </c>
    </row>
    <row r="9" spans="1:12" ht="17" x14ac:dyDescent="0.2">
      <c r="A9" s="77" t="s">
        <v>971</v>
      </c>
      <c r="B9" s="77" t="s">
        <v>1055</v>
      </c>
      <c r="C9" s="77" t="s">
        <v>1136</v>
      </c>
      <c r="D9" s="77" t="s">
        <v>1125</v>
      </c>
      <c r="E9" s="79">
        <v>10</v>
      </c>
      <c r="F9" s="327">
        <v>8.1288900000000037</v>
      </c>
      <c r="G9" s="79" t="s">
        <v>1175</v>
      </c>
      <c r="H9" s="76">
        <v>36418794</v>
      </c>
      <c r="I9" s="76" t="s">
        <v>1159</v>
      </c>
    </row>
    <row r="10" spans="1:12" ht="17" x14ac:dyDescent="0.2">
      <c r="A10" s="77" t="s">
        <v>972</v>
      </c>
      <c r="B10" s="77" t="s">
        <v>1056</v>
      </c>
      <c r="C10" s="77" t="s">
        <v>1136</v>
      </c>
      <c r="D10" s="77" t="s">
        <v>1125</v>
      </c>
      <c r="E10" s="79">
        <v>8</v>
      </c>
      <c r="F10" s="327">
        <v>8.3131200000000014</v>
      </c>
      <c r="G10" s="79" t="s">
        <v>1175</v>
      </c>
      <c r="H10" s="76">
        <v>36418794</v>
      </c>
      <c r="I10" s="76" t="s">
        <v>1159</v>
      </c>
    </row>
    <row r="11" spans="1:12" ht="17" x14ac:dyDescent="0.2">
      <c r="A11" s="77" t="s">
        <v>996</v>
      </c>
      <c r="B11" s="77" t="s">
        <v>1057</v>
      </c>
      <c r="C11" s="77" t="s">
        <v>37</v>
      </c>
      <c r="D11" s="77" t="s">
        <v>1138</v>
      </c>
      <c r="E11" s="79">
        <v>10</v>
      </c>
      <c r="F11" s="327">
        <v>12.255750000000001</v>
      </c>
      <c r="G11" s="79" t="s">
        <v>159</v>
      </c>
      <c r="H11" s="76">
        <v>36415223</v>
      </c>
      <c r="I11" s="76" t="s">
        <v>1148</v>
      </c>
    </row>
    <row r="12" spans="1:12" ht="17" x14ac:dyDescent="0.2">
      <c r="A12" s="77" t="s">
        <v>976</v>
      </c>
      <c r="B12" s="77" t="s">
        <v>1030</v>
      </c>
      <c r="C12" s="77" t="s">
        <v>1136</v>
      </c>
      <c r="D12" s="77" t="s">
        <v>1140</v>
      </c>
      <c r="E12" s="79">
        <v>30</v>
      </c>
      <c r="F12" s="327">
        <v>3.346649999999999</v>
      </c>
      <c r="G12" s="79" t="s">
        <v>1175</v>
      </c>
      <c r="H12" s="76">
        <v>36421238</v>
      </c>
      <c r="I12" s="76" t="s">
        <v>1137</v>
      </c>
      <c r="K12" s="76">
        <v>36418794</v>
      </c>
      <c r="L12" s="76" t="s">
        <v>1159</v>
      </c>
    </row>
    <row r="13" spans="1:12" ht="17" x14ac:dyDescent="0.2">
      <c r="A13" s="77" t="s">
        <v>977</v>
      </c>
      <c r="B13" s="77" t="s">
        <v>1058</v>
      </c>
      <c r="C13" s="77" t="s">
        <v>1136</v>
      </c>
      <c r="D13" s="77" t="s">
        <v>1140</v>
      </c>
      <c r="E13" s="79">
        <v>35</v>
      </c>
      <c r="F13" s="327">
        <v>3.4149899999999991</v>
      </c>
      <c r="G13" s="79" t="s">
        <v>1175</v>
      </c>
      <c r="H13" s="76">
        <v>36418794</v>
      </c>
      <c r="I13" s="76" t="s">
        <v>1159</v>
      </c>
    </row>
    <row r="14" spans="1:12" ht="17" x14ac:dyDescent="0.2">
      <c r="A14" s="77" t="s">
        <v>978</v>
      </c>
      <c r="B14" s="77" t="s">
        <v>1031</v>
      </c>
      <c r="C14" s="77" t="s">
        <v>1139</v>
      </c>
      <c r="D14" s="77" t="s">
        <v>1140</v>
      </c>
      <c r="E14" s="79">
        <f>4+8</f>
        <v>12</v>
      </c>
      <c r="F14" s="327">
        <v>3.8069399999999995</v>
      </c>
      <c r="G14" s="79" t="s">
        <v>1175</v>
      </c>
      <c r="H14" s="76">
        <v>36421238</v>
      </c>
      <c r="I14" s="76" t="s">
        <v>1137</v>
      </c>
      <c r="K14" s="76">
        <v>36418794</v>
      </c>
      <c r="L14" s="76" t="s">
        <v>1159</v>
      </c>
    </row>
    <row r="15" spans="1:12" ht="17" x14ac:dyDescent="0.2">
      <c r="A15" s="77" t="s">
        <v>973</v>
      </c>
      <c r="B15" s="77" t="s">
        <v>1032</v>
      </c>
      <c r="C15" s="77" t="s">
        <v>37</v>
      </c>
      <c r="D15" s="77" t="s">
        <v>1138</v>
      </c>
      <c r="E15" s="79">
        <v>12</v>
      </c>
      <c r="F15" s="327">
        <v>11.438700000000001</v>
      </c>
      <c r="G15" s="79" t="s">
        <v>1175</v>
      </c>
      <c r="H15" s="76">
        <v>36421238</v>
      </c>
      <c r="I15" s="76" t="s">
        <v>1137</v>
      </c>
      <c r="K15" s="76">
        <v>36418794</v>
      </c>
      <c r="L15" s="76" t="s">
        <v>1159</v>
      </c>
    </row>
    <row r="16" spans="1:12" ht="17" x14ac:dyDescent="0.2">
      <c r="A16" s="77" t="s">
        <v>974</v>
      </c>
      <c r="B16" s="77" t="s">
        <v>1059</v>
      </c>
      <c r="C16" s="77" t="s">
        <v>37</v>
      </c>
      <c r="D16" s="77" t="s">
        <v>1138</v>
      </c>
      <c r="E16" s="79">
        <v>120</v>
      </c>
      <c r="F16" s="327">
        <v>14.176865000000001</v>
      </c>
      <c r="G16" s="79" t="s">
        <v>1175</v>
      </c>
      <c r="H16" s="76">
        <v>36418794</v>
      </c>
      <c r="I16" s="76" t="s">
        <v>1159</v>
      </c>
    </row>
    <row r="17" spans="1:18" ht="17" x14ac:dyDescent="0.2">
      <c r="A17" s="77" t="s">
        <v>975</v>
      </c>
      <c r="B17" s="77" t="s">
        <v>1060</v>
      </c>
      <c r="C17" s="77" t="s">
        <v>37</v>
      </c>
      <c r="D17" s="77" t="s">
        <v>1138</v>
      </c>
      <c r="E17" s="79">
        <v>32</v>
      </c>
      <c r="F17" s="327">
        <v>16.01418</v>
      </c>
      <c r="G17" s="79" t="s">
        <v>1175</v>
      </c>
      <c r="H17" s="76">
        <v>36418794</v>
      </c>
      <c r="I17" s="76" t="s">
        <v>1159</v>
      </c>
    </row>
    <row r="18" spans="1:18" ht="17" x14ac:dyDescent="0.2">
      <c r="A18" s="77" t="s">
        <v>875</v>
      </c>
      <c r="B18" s="77" t="s">
        <v>876</v>
      </c>
      <c r="C18" s="77" t="s">
        <v>37</v>
      </c>
      <c r="D18" s="77" t="s">
        <v>1149</v>
      </c>
      <c r="E18" s="79">
        <v>29</v>
      </c>
      <c r="F18" s="327">
        <v>7.5600000000000005</v>
      </c>
      <c r="G18" s="79" t="s">
        <v>1176</v>
      </c>
      <c r="H18" s="76">
        <v>36409448</v>
      </c>
      <c r="I18" s="76" t="s">
        <v>1152</v>
      </c>
      <c r="K18" s="76">
        <v>36404827</v>
      </c>
      <c r="L18" s="76" t="s">
        <v>1155</v>
      </c>
      <c r="N18" s="82">
        <v>36411715</v>
      </c>
      <c r="O18" s="82" t="s">
        <v>1167</v>
      </c>
    </row>
    <row r="19" spans="1:18" ht="17" x14ac:dyDescent="0.2">
      <c r="A19" s="77" t="s">
        <v>994</v>
      </c>
      <c r="B19" s="77" t="s">
        <v>1061</v>
      </c>
      <c r="C19" s="77" t="s">
        <v>37</v>
      </c>
      <c r="D19" s="77" t="s">
        <v>1147</v>
      </c>
      <c r="E19" s="79">
        <v>29</v>
      </c>
      <c r="F19" s="327">
        <v>62.910000000000004</v>
      </c>
      <c r="G19" s="79" t="s">
        <v>1176</v>
      </c>
      <c r="H19" s="76">
        <v>36415223</v>
      </c>
      <c r="I19" s="76" t="s">
        <v>1148</v>
      </c>
      <c r="K19" s="76">
        <v>36409448</v>
      </c>
      <c r="L19" s="76" t="s">
        <v>1152</v>
      </c>
      <c r="N19" s="76">
        <v>36404827</v>
      </c>
      <c r="O19" s="76" t="s">
        <v>1155</v>
      </c>
      <c r="Q19" s="82">
        <v>36411715</v>
      </c>
      <c r="R19" s="82" t="s">
        <v>1167</v>
      </c>
    </row>
    <row r="20" spans="1:18" ht="17" x14ac:dyDescent="0.2">
      <c r="A20" s="77" t="s">
        <v>997</v>
      </c>
      <c r="B20" s="77" t="s">
        <v>1062</v>
      </c>
      <c r="C20" s="77" t="s">
        <v>37</v>
      </c>
      <c r="D20" s="77" t="s">
        <v>1147</v>
      </c>
      <c r="E20" s="79">
        <v>4</v>
      </c>
      <c r="F20" s="327">
        <v>66.960000000000008</v>
      </c>
      <c r="G20" s="79" t="s">
        <v>1175</v>
      </c>
      <c r="H20" s="82">
        <v>36411715</v>
      </c>
      <c r="I20" s="82" t="s">
        <v>1167</v>
      </c>
    </row>
    <row r="21" spans="1:18" ht="17" x14ac:dyDescent="0.2">
      <c r="A21" s="77" t="s">
        <v>1024</v>
      </c>
      <c r="B21" s="77" t="s">
        <v>1063</v>
      </c>
      <c r="C21" s="77" t="s">
        <v>37</v>
      </c>
      <c r="D21" s="77" t="s">
        <v>1147</v>
      </c>
      <c r="E21" s="79">
        <v>8</v>
      </c>
      <c r="F21" s="327">
        <v>81.27000000000001</v>
      </c>
      <c r="G21" s="79" t="s">
        <v>159</v>
      </c>
      <c r="H21" s="76">
        <v>36409448</v>
      </c>
      <c r="I21" s="76" t="s">
        <v>1152</v>
      </c>
      <c r="K21" s="76">
        <v>36404827</v>
      </c>
      <c r="L21" s="76" t="s">
        <v>1155</v>
      </c>
    </row>
    <row r="22" spans="1:18" ht="17" x14ac:dyDescent="0.2">
      <c r="A22" s="77" t="s">
        <v>891</v>
      </c>
      <c r="B22" s="77" t="s">
        <v>892</v>
      </c>
      <c r="C22" s="77" t="s">
        <v>37</v>
      </c>
      <c r="D22" s="77" t="s">
        <v>1157</v>
      </c>
      <c r="E22" s="79">
        <v>8</v>
      </c>
      <c r="F22" s="327">
        <v>95.039999999999992</v>
      </c>
      <c r="G22" s="79" t="s">
        <v>159</v>
      </c>
      <c r="H22" s="76">
        <v>36404827</v>
      </c>
      <c r="I22" s="76" t="s">
        <v>1155</v>
      </c>
    </row>
    <row r="23" spans="1:18" ht="17" x14ac:dyDescent="0.2">
      <c r="A23" s="77" t="s">
        <v>947</v>
      </c>
      <c r="B23" s="77" t="s">
        <v>1064</v>
      </c>
      <c r="C23" s="77" t="s">
        <v>1124</v>
      </c>
      <c r="D23" s="77" t="s">
        <v>1158</v>
      </c>
      <c r="E23" s="79">
        <v>12</v>
      </c>
      <c r="F23" s="327">
        <v>4.7465000000000011</v>
      </c>
      <c r="G23" s="79" t="s">
        <v>1175</v>
      </c>
      <c r="H23" s="76">
        <v>36418793</v>
      </c>
      <c r="I23" s="76" t="s">
        <v>1159</v>
      </c>
    </row>
    <row r="24" spans="1:18" ht="17" x14ac:dyDescent="0.2">
      <c r="A24" s="77" t="s">
        <v>948</v>
      </c>
      <c r="B24" s="77" t="s">
        <v>1065</v>
      </c>
      <c r="C24" s="77" t="s">
        <v>1124</v>
      </c>
      <c r="D24" s="77" t="s">
        <v>1158</v>
      </c>
      <c r="E24" s="79">
        <v>264</v>
      </c>
      <c r="F24" s="327">
        <v>6.5945000000000009</v>
      </c>
      <c r="G24" s="79" t="s">
        <v>1175</v>
      </c>
      <c r="H24" s="76">
        <v>36418793</v>
      </c>
      <c r="I24" s="76" t="s">
        <v>1159</v>
      </c>
    </row>
    <row r="25" spans="1:18" ht="17" x14ac:dyDescent="0.2">
      <c r="A25" s="77" t="s">
        <v>949</v>
      </c>
      <c r="B25" s="77" t="s">
        <v>1066</v>
      </c>
      <c r="C25" s="77" t="s">
        <v>1124</v>
      </c>
      <c r="D25" s="77" t="s">
        <v>1158</v>
      </c>
      <c r="E25" s="79">
        <v>192</v>
      </c>
      <c r="F25" s="327">
        <v>8.5359999999999996</v>
      </c>
      <c r="G25" s="79" t="s">
        <v>1175</v>
      </c>
      <c r="H25" s="76">
        <v>36418793</v>
      </c>
      <c r="I25" s="76" t="s">
        <v>1159</v>
      </c>
    </row>
    <row r="26" spans="1:18" ht="17" x14ac:dyDescent="0.2">
      <c r="A26" s="77" t="s">
        <v>950</v>
      </c>
      <c r="B26" s="77" t="s">
        <v>1067</v>
      </c>
      <c r="C26" s="77" t="s">
        <v>1124</v>
      </c>
      <c r="D26" s="77" t="s">
        <v>1160</v>
      </c>
      <c r="E26" s="79">
        <v>6</v>
      </c>
      <c r="F26" s="327">
        <v>15.312000000000001</v>
      </c>
      <c r="G26" s="79" t="s">
        <v>1175</v>
      </c>
      <c r="H26" s="76">
        <v>36418794</v>
      </c>
      <c r="I26" s="76" t="s">
        <v>1159</v>
      </c>
      <c r="K26" s="328"/>
    </row>
    <row r="27" spans="1:18" ht="17" x14ac:dyDescent="0.2">
      <c r="A27" s="77" t="s">
        <v>1033</v>
      </c>
      <c r="B27" s="77" t="s">
        <v>1034</v>
      </c>
      <c r="C27" s="77" t="s">
        <v>37</v>
      </c>
      <c r="D27" s="77" t="s">
        <v>1142</v>
      </c>
      <c r="E27" s="79">
        <v>10</v>
      </c>
      <c r="F27" s="327">
        <v>1.0015200000000006</v>
      </c>
      <c r="G27" s="79" t="s">
        <v>1175</v>
      </c>
      <c r="H27" s="76">
        <v>36421238</v>
      </c>
      <c r="I27" s="76" t="s">
        <v>1137</v>
      </c>
    </row>
    <row r="28" spans="1:18" ht="17" x14ac:dyDescent="0.2">
      <c r="A28" s="77" t="s">
        <v>1035</v>
      </c>
      <c r="B28" s="77" t="s">
        <v>1036</v>
      </c>
      <c r="C28" s="77" t="s">
        <v>1144</v>
      </c>
      <c r="D28" s="77" t="s">
        <v>1142</v>
      </c>
      <c r="E28" s="79">
        <v>20</v>
      </c>
      <c r="F28" s="327">
        <v>1.1575260000000005</v>
      </c>
      <c r="G28" s="79" t="s">
        <v>1175</v>
      </c>
      <c r="H28" s="76">
        <v>36421238</v>
      </c>
      <c r="I28" s="76" t="s">
        <v>1137</v>
      </c>
    </row>
    <row r="29" spans="1:18" ht="17" x14ac:dyDescent="0.2">
      <c r="A29" s="77" t="s">
        <v>1037</v>
      </c>
      <c r="B29" s="77" t="s">
        <v>1038</v>
      </c>
      <c r="C29" s="77" t="s">
        <v>1144</v>
      </c>
      <c r="D29" s="77" t="s">
        <v>1142</v>
      </c>
      <c r="E29" s="79">
        <v>10</v>
      </c>
      <c r="F29" s="327">
        <v>1.1787120000000006</v>
      </c>
      <c r="G29" s="79" t="s">
        <v>1175</v>
      </c>
      <c r="H29" s="76">
        <v>36421238</v>
      </c>
      <c r="I29" s="76" t="s">
        <v>1137</v>
      </c>
    </row>
    <row r="30" spans="1:18" ht="17" x14ac:dyDescent="0.2">
      <c r="A30" s="77" t="s">
        <v>985</v>
      </c>
      <c r="B30" s="77" t="s">
        <v>1039</v>
      </c>
      <c r="C30" s="77" t="s">
        <v>1141</v>
      </c>
      <c r="D30" s="77" t="s">
        <v>1142</v>
      </c>
      <c r="E30" s="79">
        <v>40</v>
      </c>
      <c r="F30" s="327">
        <v>0.52965000000000029</v>
      </c>
      <c r="G30" s="79" t="s">
        <v>1175</v>
      </c>
      <c r="H30" s="76">
        <v>36421238</v>
      </c>
      <c r="I30" s="76" t="s">
        <v>1137</v>
      </c>
      <c r="K30" s="76">
        <v>36418794</v>
      </c>
      <c r="L30" s="76" t="s">
        <v>1159</v>
      </c>
    </row>
    <row r="31" spans="1:18" ht="17" x14ac:dyDescent="0.2">
      <c r="A31" s="77" t="s">
        <v>986</v>
      </c>
      <c r="B31" s="77" t="s">
        <v>1040</v>
      </c>
      <c r="C31" s="77" t="s">
        <v>1141</v>
      </c>
      <c r="D31" s="77" t="s">
        <v>1142</v>
      </c>
      <c r="E31" s="79">
        <v>60</v>
      </c>
      <c r="F31" s="327">
        <v>0.52965000000000029</v>
      </c>
      <c r="G31" s="79" t="s">
        <v>1175</v>
      </c>
      <c r="H31" s="76">
        <v>36421238</v>
      </c>
      <c r="I31" s="76" t="s">
        <v>1137</v>
      </c>
      <c r="K31" s="76">
        <v>36418794</v>
      </c>
      <c r="L31" s="76" t="s">
        <v>1159</v>
      </c>
    </row>
    <row r="32" spans="1:18" ht="17" x14ac:dyDescent="0.2">
      <c r="A32" s="77" t="s">
        <v>987</v>
      </c>
      <c r="B32" s="77" t="s">
        <v>1041</v>
      </c>
      <c r="C32" s="77" t="s">
        <v>1141</v>
      </c>
      <c r="D32" s="77" t="s">
        <v>1142</v>
      </c>
      <c r="E32" s="79">
        <v>35</v>
      </c>
      <c r="F32" s="327">
        <v>0.64906200000000036</v>
      </c>
      <c r="G32" s="79" t="s">
        <v>1175</v>
      </c>
      <c r="H32" s="82">
        <v>36421238</v>
      </c>
      <c r="I32" s="82" t="s">
        <v>1137</v>
      </c>
      <c r="K32" s="76">
        <v>36418794</v>
      </c>
      <c r="L32" s="76" t="s">
        <v>1159</v>
      </c>
    </row>
    <row r="33" spans="1:18" ht="17" x14ac:dyDescent="0.2">
      <c r="A33" s="77" t="s">
        <v>951</v>
      </c>
      <c r="B33" s="77" t="s">
        <v>1068</v>
      </c>
      <c r="C33" s="77" t="s">
        <v>1139</v>
      </c>
      <c r="D33" s="77">
        <v>73072310</v>
      </c>
      <c r="E33" s="79">
        <v>10</v>
      </c>
      <c r="F33" s="79">
        <v>2.9877759999999993</v>
      </c>
      <c r="G33" s="79" t="s">
        <v>1175</v>
      </c>
      <c r="H33" s="76">
        <v>36418794</v>
      </c>
      <c r="I33" s="76" t="s">
        <v>1159</v>
      </c>
    </row>
    <row r="34" spans="1:18" ht="17" x14ac:dyDescent="0.2">
      <c r="A34" s="77" t="s">
        <v>952</v>
      </c>
      <c r="B34" s="77" t="s">
        <v>1069</v>
      </c>
      <c r="C34" s="77" t="s">
        <v>1139</v>
      </c>
      <c r="D34" s="77">
        <v>73072310</v>
      </c>
      <c r="E34" s="79">
        <v>210</v>
      </c>
      <c r="F34" s="79">
        <v>3.7580619999999993</v>
      </c>
      <c r="G34" s="79" t="s">
        <v>1175</v>
      </c>
      <c r="H34" s="76">
        <v>36418794</v>
      </c>
      <c r="I34" s="76" t="s">
        <v>1159</v>
      </c>
    </row>
    <row r="35" spans="1:18" ht="17" x14ac:dyDescent="0.2">
      <c r="A35" s="77" t="s">
        <v>953</v>
      </c>
      <c r="B35" s="77" t="s">
        <v>1070</v>
      </c>
      <c r="C35" s="77" t="s">
        <v>1139</v>
      </c>
      <c r="D35" s="77">
        <v>73072310</v>
      </c>
      <c r="E35" s="79">
        <v>70</v>
      </c>
      <c r="F35" s="79">
        <v>4.4561999999999991</v>
      </c>
      <c r="G35" s="79" t="s">
        <v>1175</v>
      </c>
      <c r="H35" s="76">
        <v>36418795</v>
      </c>
      <c r="I35" s="76" t="s">
        <v>1159</v>
      </c>
    </row>
    <row r="36" spans="1:18" ht="17" x14ac:dyDescent="0.2">
      <c r="A36" s="325" t="s">
        <v>954</v>
      </c>
      <c r="B36" s="77" t="s">
        <v>1071</v>
      </c>
      <c r="C36" s="77" t="s">
        <v>1139</v>
      </c>
      <c r="D36" s="77">
        <v>73072310</v>
      </c>
      <c r="E36" s="79">
        <v>2</v>
      </c>
      <c r="F36" s="326">
        <v>10.830687999999997</v>
      </c>
      <c r="G36" s="79" t="s">
        <v>1175</v>
      </c>
      <c r="H36" s="76">
        <v>36418796</v>
      </c>
      <c r="I36" s="76" t="s">
        <v>1159</v>
      </c>
    </row>
    <row r="37" spans="1:18" ht="17" x14ac:dyDescent="0.2">
      <c r="A37" s="77" t="s">
        <v>881</v>
      </c>
      <c r="B37" s="77" t="s">
        <v>882</v>
      </c>
      <c r="C37" s="77" t="s">
        <v>1136</v>
      </c>
      <c r="D37" s="77" t="s">
        <v>1149</v>
      </c>
      <c r="E37" s="79">
        <v>13</v>
      </c>
      <c r="F37" s="326">
        <v>21.330000000000002</v>
      </c>
      <c r="G37" s="79" t="s">
        <v>1176</v>
      </c>
      <c r="H37" s="76">
        <v>36415223</v>
      </c>
      <c r="I37" s="76" t="s">
        <v>1148</v>
      </c>
      <c r="K37" s="76">
        <v>36409448</v>
      </c>
      <c r="L37" s="76" t="s">
        <v>1152</v>
      </c>
      <c r="N37" s="76">
        <v>36404827</v>
      </c>
      <c r="O37" s="76" t="s">
        <v>1155</v>
      </c>
      <c r="Q37" s="82">
        <v>36411715</v>
      </c>
      <c r="R37" s="82" t="s">
        <v>1167</v>
      </c>
    </row>
    <row r="38" spans="1:18" ht="17" x14ac:dyDescent="0.2">
      <c r="A38" s="77" t="s">
        <v>998</v>
      </c>
      <c r="B38" s="77" t="s">
        <v>1072</v>
      </c>
      <c r="C38" s="77" t="s">
        <v>37</v>
      </c>
      <c r="D38" s="77" t="s">
        <v>1168</v>
      </c>
      <c r="E38" s="79">
        <v>1</v>
      </c>
      <c r="F38" s="326">
        <v>233.10194999999996</v>
      </c>
      <c r="G38" s="79" t="s">
        <v>1175</v>
      </c>
      <c r="H38" s="82">
        <v>36411715</v>
      </c>
      <c r="I38" s="82" t="s">
        <v>1167</v>
      </c>
    </row>
    <row r="39" spans="1:18" ht="17" x14ac:dyDescent="0.2">
      <c r="A39" s="77" t="s">
        <v>1002</v>
      </c>
      <c r="B39" s="77" t="s">
        <v>1073</v>
      </c>
      <c r="C39" s="77" t="s">
        <v>37</v>
      </c>
      <c r="D39" s="77" t="s">
        <v>1168</v>
      </c>
      <c r="E39" s="79">
        <v>1</v>
      </c>
      <c r="F39" s="326">
        <v>197.54342499999996</v>
      </c>
      <c r="G39" s="79" t="s">
        <v>1175</v>
      </c>
      <c r="H39" s="82">
        <v>36411715</v>
      </c>
      <c r="I39" s="82" t="s">
        <v>1167</v>
      </c>
    </row>
    <row r="40" spans="1:18" ht="17" x14ac:dyDescent="0.2">
      <c r="A40" s="77" t="s">
        <v>995</v>
      </c>
      <c r="B40" s="77" t="s">
        <v>1074</v>
      </c>
      <c r="C40" s="77" t="s">
        <v>37</v>
      </c>
      <c r="D40" s="77" t="s">
        <v>1138</v>
      </c>
      <c r="E40" s="79">
        <v>6</v>
      </c>
      <c r="F40" s="326">
        <v>11.292050000000001</v>
      </c>
      <c r="G40" s="79" t="s">
        <v>159</v>
      </c>
      <c r="H40" s="76">
        <v>36415223</v>
      </c>
      <c r="I40" s="76" t="s">
        <v>1148</v>
      </c>
    </row>
    <row r="41" spans="1:18" ht="17" x14ac:dyDescent="0.2">
      <c r="A41" s="77" t="s">
        <v>877</v>
      </c>
      <c r="B41" s="77" t="s">
        <v>878</v>
      </c>
      <c r="C41" s="77" t="s">
        <v>37</v>
      </c>
      <c r="D41" s="77" t="s">
        <v>1147</v>
      </c>
      <c r="E41" s="79">
        <v>31</v>
      </c>
      <c r="F41" s="326">
        <v>268.92</v>
      </c>
      <c r="G41" s="79" t="s">
        <v>1176</v>
      </c>
      <c r="H41" s="76">
        <v>36409448</v>
      </c>
      <c r="I41" s="76" t="s">
        <v>1152</v>
      </c>
      <c r="K41" s="76">
        <v>36404827</v>
      </c>
      <c r="L41" s="76" t="s">
        <v>1155</v>
      </c>
      <c r="N41" s="82">
        <v>36411715</v>
      </c>
      <c r="O41" s="82" t="s">
        <v>1167</v>
      </c>
    </row>
    <row r="42" spans="1:18" ht="17" x14ac:dyDescent="0.2">
      <c r="A42" s="77" t="s">
        <v>879</v>
      </c>
      <c r="B42" s="77" t="s">
        <v>880</v>
      </c>
      <c r="C42" s="77" t="s">
        <v>1139</v>
      </c>
      <c r="D42" s="77" t="s">
        <v>1147</v>
      </c>
      <c r="E42" s="79">
        <v>1</v>
      </c>
      <c r="F42" s="326">
        <v>268.92</v>
      </c>
      <c r="G42" s="79" t="s">
        <v>159</v>
      </c>
      <c r="H42" s="76">
        <v>36404827</v>
      </c>
      <c r="I42" s="76" t="s">
        <v>1155</v>
      </c>
    </row>
    <row r="43" spans="1:18" ht="17" x14ac:dyDescent="0.2">
      <c r="A43" s="77" t="s">
        <v>1010</v>
      </c>
      <c r="B43" s="77" t="s">
        <v>1075</v>
      </c>
      <c r="C43" s="77" t="s">
        <v>37</v>
      </c>
      <c r="D43" s="77" t="s">
        <v>1147</v>
      </c>
      <c r="E43" s="79">
        <v>1</v>
      </c>
      <c r="F43" s="326">
        <v>268.92</v>
      </c>
      <c r="G43" s="79" t="s">
        <v>1175</v>
      </c>
      <c r="H43" s="82">
        <v>36411715</v>
      </c>
      <c r="I43" s="82" t="s">
        <v>1167</v>
      </c>
    </row>
    <row r="44" spans="1:18" ht="17" x14ac:dyDescent="0.2">
      <c r="A44" s="77" t="s">
        <v>1004</v>
      </c>
      <c r="B44" s="77" t="s">
        <v>1076</v>
      </c>
      <c r="C44" s="77" t="s">
        <v>37</v>
      </c>
      <c r="D44" s="77" t="s">
        <v>1156</v>
      </c>
      <c r="E44" s="79">
        <v>3</v>
      </c>
      <c r="F44" s="326">
        <v>139.6934</v>
      </c>
      <c r="G44" s="79" t="s">
        <v>1175</v>
      </c>
      <c r="H44" s="82">
        <v>36411715</v>
      </c>
      <c r="I44" s="82" t="s">
        <v>1167</v>
      </c>
      <c r="L44" s="328"/>
    </row>
    <row r="45" spans="1:18" ht="17" x14ac:dyDescent="0.2">
      <c r="A45" s="77" t="s">
        <v>988</v>
      </c>
      <c r="B45" s="77" t="s">
        <v>1077</v>
      </c>
      <c r="C45" s="77" t="s">
        <v>1139</v>
      </c>
      <c r="D45" s="77" t="s">
        <v>1162</v>
      </c>
      <c r="E45" s="79">
        <v>20</v>
      </c>
      <c r="F45" s="326">
        <v>3.3568739999999999</v>
      </c>
      <c r="G45" s="79" t="s">
        <v>1175</v>
      </c>
      <c r="H45" s="76">
        <v>36418796</v>
      </c>
      <c r="I45" s="76" t="s">
        <v>1159</v>
      </c>
    </row>
    <row r="46" spans="1:18" ht="17" x14ac:dyDescent="0.2">
      <c r="A46" s="77" t="s">
        <v>989</v>
      </c>
      <c r="B46" s="77" t="s">
        <v>1078</v>
      </c>
      <c r="C46" s="77" t="s">
        <v>1139</v>
      </c>
      <c r="D46" s="77" t="s">
        <v>1162</v>
      </c>
      <c r="E46" s="79">
        <v>10</v>
      </c>
      <c r="F46" s="326">
        <v>4.7054969999999994</v>
      </c>
      <c r="G46" s="79" t="s">
        <v>1175</v>
      </c>
      <c r="H46" s="76">
        <v>36418796</v>
      </c>
      <c r="I46" s="76" t="s">
        <v>1159</v>
      </c>
    </row>
    <row r="47" spans="1:18" ht="17" x14ac:dyDescent="0.2">
      <c r="A47" s="77" t="s">
        <v>990</v>
      </c>
      <c r="B47" s="77" t="s">
        <v>1079</v>
      </c>
      <c r="C47" s="77" t="s">
        <v>1139</v>
      </c>
      <c r="D47" s="77" t="s">
        <v>1162</v>
      </c>
      <c r="E47" s="79">
        <v>150</v>
      </c>
      <c r="F47" s="326">
        <v>4.8771809999999993</v>
      </c>
      <c r="G47" s="79" t="s">
        <v>1175</v>
      </c>
      <c r="H47" s="76">
        <v>36418796</v>
      </c>
      <c r="I47" s="76" t="s">
        <v>1159</v>
      </c>
    </row>
    <row r="48" spans="1:18" ht="17" x14ac:dyDescent="0.2">
      <c r="A48" s="77" t="s">
        <v>993</v>
      </c>
      <c r="B48" s="77" t="s">
        <v>1080</v>
      </c>
      <c r="C48" s="77" t="s">
        <v>1139</v>
      </c>
      <c r="D48" s="77" t="s">
        <v>1162</v>
      </c>
      <c r="E48" s="79">
        <v>120</v>
      </c>
      <c r="F48" s="326">
        <v>5.2250669999999992</v>
      </c>
      <c r="G48" s="79" t="s">
        <v>1175</v>
      </c>
      <c r="H48" s="76">
        <v>36418796</v>
      </c>
      <c r="I48" s="76" t="s">
        <v>1159</v>
      </c>
    </row>
    <row r="49" spans="1:12" ht="17" x14ac:dyDescent="0.2">
      <c r="A49" s="77" t="s">
        <v>979</v>
      </c>
      <c r="B49" s="77" t="s">
        <v>1081</v>
      </c>
      <c r="C49" s="77" t="s">
        <v>37</v>
      </c>
      <c r="D49" s="77" t="s">
        <v>1162</v>
      </c>
      <c r="E49" s="79">
        <v>120</v>
      </c>
      <c r="F49" s="326">
        <v>6.207732</v>
      </c>
      <c r="G49" s="79" t="s">
        <v>1175</v>
      </c>
      <c r="H49" s="76">
        <v>36418794</v>
      </c>
      <c r="I49" s="76" t="s">
        <v>1159</v>
      </c>
    </row>
    <row r="50" spans="1:12" ht="17" x14ac:dyDescent="0.2">
      <c r="A50" s="77" t="s">
        <v>867</v>
      </c>
      <c r="B50" s="77" t="s">
        <v>868</v>
      </c>
      <c r="C50" s="77" t="s">
        <v>37</v>
      </c>
      <c r="D50" s="77" t="s">
        <v>1147</v>
      </c>
      <c r="E50" s="79">
        <v>2</v>
      </c>
      <c r="F50" s="327">
        <v>78.03</v>
      </c>
      <c r="G50" s="79" t="s">
        <v>159</v>
      </c>
      <c r="H50" s="76">
        <v>36409448</v>
      </c>
      <c r="I50" s="76" t="s">
        <v>1152</v>
      </c>
      <c r="K50" s="76">
        <v>36404827</v>
      </c>
      <c r="L50" s="76" t="s">
        <v>1155</v>
      </c>
    </row>
    <row r="51" spans="1:12" ht="17" x14ac:dyDescent="0.2">
      <c r="A51" s="77" t="s">
        <v>869</v>
      </c>
      <c r="B51" s="77" t="s">
        <v>870</v>
      </c>
      <c r="C51" s="77" t="s">
        <v>37</v>
      </c>
      <c r="D51" s="77" t="s">
        <v>1147</v>
      </c>
      <c r="E51" s="79">
        <v>1</v>
      </c>
      <c r="F51" s="327">
        <v>85.59</v>
      </c>
      <c r="G51" s="79" t="s">
        <v>159</v>
      </c>
      <c r="H51" s="76">
        <v>36404827</v>
      </c>
      <c r="I51" s="76" t="s">
        <v>1155</v>
      </c>
    </row>
    <row r="52" spans="1:12" ht="17" x14ac:dyDescent="0.2">
      <c r="A52" s="77" t="s">
        <v>871</v>
      </c>
      <c r="B52" s="77" t="s">
        <v>872</v>
      </c>
      <c r="C52" s="77" t="s">
        <v>37</v>
      </c>
      <c r="D52" s="77" t="s">
        <v>1147</v>
      </c>
      <c r="E52" s="79">
        <v>2</v>
      </c>
      <c r="F52" s="327">
        <v>106.92</v>
      </c>
      <c r="G52" s="79" t="s">
        <v>159</v>
      </c>
      <c r="H52" s="76">
        <v>36404827</v>
      </c>
      <c r="I52" s="76" t="s">
        <v>1155</v>
      </c>
    </row>
    <row r="53" spans="1:12" ht="17" x14ac:dyDescent="0.2">
      <c r="A53" s="77" t="s">
        <v>873</v>
      </c>
      <c r="B53" s="77" t="s">
        <v>874</v>
      </c>
      <c r="C53" s="77" t="s">
        <v>37</v>
      </c>
      <c r="D53" s="77" t="s">
        <v>1147</v>
      </c>
      <c r="E53" s="79">
        <v>1</v>
      </c>
      <c r="F53" s="327">
        <v>137.70000000000002</v>
      </c>
      <c r="G53" s="79" t="s">
        <v>159</v>
      </c>
      <c r="H53" s="76">
        <v>36404827</v>
      </c>
      <c r="I53" s="76" t="s">
        <v>1155</v>
      </c>
    </row>
    <row r="54" spans="1:12" ht="17" x14ac:dyDescent="0.2">
      <c r="A54" s="77" t="s">
        <v>1014</v>
      </c>
      <c r="B54" s="77" t="s">
        <v>1082</v>
      </c>
      <c r="C54" s="77" t="s">
        <v>37</v>
      </c>
      <c r="D54" s="77" t="s">
        <v>1171</v>
      </c>
      <c r="E54" s="79">
        <v>1</v>
      </c>
      <c r="F54" s="327">
        <v>1910.6499999999999</v>
      </c>
      <c r="G54" s="79" t="s">
        <v>1175</v>
      </c>
      <c r="H54" s="82">
        <v>36411715</v>
      </c>
      <c r="I54" s="82" t="s">
        <v>1167</v>
      </c>
    </row>
    <row r="55" spans="1:12" ht="17" x14ac:dyDescent="0.2">
      <c r="A55" s="77" t="s">
        <v>1042</v>
      </c>
      <c r="B55" s="77" t="s">
        <v>1043</v>
      </c>
      <c r="C55" s="77" t="s">
        <v>37</v>
      </c>
      <c r="D55" s="77" t="s">
        <v>1146</v>
      </c>
      <c r="E55" s="79">
        <v>4</v>
      </c>
      <c r="F55" s="79">
        <v>16.047999999999998</v>
      </c>
      <c r="G55" s="79" t="s">
        <v>1175</v>
      </c>
      <c r="H55" s="76">
        <v>36421238</v>
      </c>
      <c r="I55" s="76" t="s">
        <v>1137</v>
      </c>
    </row>
    <row r="56" spans="1:12" ht="17" x14ac:dyDescent="0.2">
      <c r="A56" s="77" t="s">
        <v>960</v>
      </c>
      <c r="B56" s="77" t="s">
        <v>1083</v>
      </c>
      <c r="C56" s="77" t="s">
        <v>1124</v>
      </c>
      <c r="D56" s="77" t="s">
        <v>1125</v>
      </c>
      <c r="E56" s="79">
        <v>4</v>
      </c>
      <c r="F56" s="79">
        <v>5.9328499999999975</v>
      </c>
      <c r="G56" s="79" t="s">
        <v>1175</v>
      </c>
      <c r="H56" s="76">
        <v>36418796</v>
      </c>
      <c r="I56" s="76" t="s">
        <v>1159</v>
      </c>
    </row>
    <row r="57" spans="1:12" ht="17" x14ac:dyDescent="0.2">
      <c r="A57" s="77" t="s">
        <v>1044</v>
      </c>
      <c r="B57" s="77" t="s">
        <v>1045</v>
      </c>
      <c r="C57" s="77" t="s">
        <v>1124</v>
      </c>
      <c r="D57" s="77" t="s">
        <v>1125</v>
      </c>
      <c r="E57" s="79">
        <v>6</v>
      </c>
      <c r="F57" s="79">
        <v>8.5877399999999966</v>
      </c>
      <c r="G57" s="79" t="s">
        <v>1175</v>
      </c>
      <c r="H57" s="76">
        <v>36421238</v>
      </c>
      <c r="I57" s="76" t="s">
        <v>1137</v>
      </c>
    </row>
    <row r="58" spans="1:12" ht="17" x14ac:dyDescent="0.2">
      <c r="A58" s="77" t="s">
        <v>961</v>
      </c>
      <c r="B58" s="77" t="s">
        <v>1084</v>
      </c>
      <c r="C58" s="77" t="s">
        <v>1124</v>
      </c>
      <c r="D58" s="77" t="s">
        <v>1125</v>
      </c>
      <c r="E58" s="79">
        <v>20</v>
      </c>
      <c r="F58" s="79">
        <v>5.5528899999999979</v>
      </c>
      <c r="G58" s="79" t="s">
        <v>1175</v>
      </c>
      <c r="H58" s="76">
        <v>36418796</v>
      </c>
      <c r="I58" s="76" t="s">
        <v>1159</v>
      </c>
    </row>
    <row r="59" spans="1:12" ht="17" x14ac:dyDescent="0.2">
      <c r="A59" s="77" t="s">
        <v>962</v>
      </c>
      <c r="B59" s="77" t="s">
        <v>1085</v>
      </c>
      <c r="C59" s="77" t="s">
        <v>1124</v>
      </c>
      <c r="D59" s="77" t="s">
        <v>1125</v>
      </c>
      <c r="E59" s="79">
        <v>6</v>
      </c>
      <c r="F59" s="79">
        <v>8.7020499999999945</v>
      </c>
      <c r="G59" s="79" t="s">
        <v>1175</v>
      </c>
      <c r="H59" s="76">
        <v>36418796</v>
      </c>
      <c r="I59" s="76" t="s">
        <v>1159</v>
      </c>
    </row>
    <row r="60" spans="1:12" ht="17" x14ac:dyDescent="0.2">
      <c r="A60" s="77" t="s">
        <v>1046</v>
      </c>
      <c r="B60" s="77" t="s">
        <v>1047</v>
      </c>
      <c r="C60" s="77" t="s">
        <v>1124</v>
      </c>
      <c r="D60" s="77">
        <v>73072390</v>
      </c>
      <c r="E60" s="79">
        <v>4</v>
      </c>
      <c r="F60" s="79">
        <v>6.0342799999999963</v>
      </c>
      <c r="G60" s="79" t="s">
        <v>1175</v>
      </c>
      <c r="H60" s="76">
        <v>36421238</v>
      </c>
      <c r="I60" s="76" t="s">
        <v>1137</v>
      </c>
    </row>
    <row r="61" spans="1:12" ht="17" x14ac:dyDescent="0.2">
      <c r="A61" s="77" t="s">
        <v>963</v>
      </c>
      <c r="B61" s="77" t="s">
        <v>1086</v>
      </c>
      <c r="C61" s="77" t="s">
        <v>1124</v>
      </c>
      <c r="D61" s="77" t="s">
        <v>1125</v>
      </c>
      <c r="E61" s="79">
        <v>2</v>
      </c>
      <c r="F61" s="79">
        <v>10.877159999999995</v>
      </c>
      <c r="G61" s="79" t="s">
        <v>1175</v>
      </c>
      <c r="H61" s="76">
        <v>36418796</v>
      </c>
      <c r="I61" s="76" t="s">
        <v>1159</v>
      </c>
    </row>
    <row r="62" spans="1:12" ht="17" x14ac:dyDescent="0.2">
      <c r="A62" s="77" t="s">
        <v>1048</v>
      </c>
      <c r="B62" s="77" t="s">
        <v>1049</v>
      </c>
      <c r="C62" s="77" t="s">
        <v>1124</v>
      </c>
      <c r="D62" s="77">
        <v>73072390</v>
      </c>
      <c r="E62" s="79">
        <v>2</v>
      </c>
      <c r="F62" s="79">
        <v>8.7744999999999962</v>
      </c>
      <c r="G62" s="79" t="s">
        <v>1175</v>
      </c>
      <c r="H62" s="76">
        <v>36421238</v>
      </c>
      <c r="I62" s="76" t="s">
        <v>1137</v>
      </c>
    </row>
    <row r="63" spans="1:12" ht="17" x14ac:dyDescent="0.2">
      <c r="A63" s="325" t="s">
        <v>964</v>
      </c>
      <c r="B63" s="77" t="s">
        <v>1050</v>
      </c>
      <c r="C63" s="77" t="s">
        <v>1124</v>
      </c>
      <c r="D63" s="77">
        <v>73072390</v>
      </c>
      <c r="E63" s="79">
        <v>9</v>
      </c>
      <c r="F63" s="327">
        <v>9.9932699999999954</v>
      </c>
      <c r="G63" s="79" t="s">
        <v>1175</v>
      </c>
      <c r="H63" s="76">
        <v>36421238</v>
      </c>
      <c r="I63" s="76" t="s">
        <v>1137</v>
      </c>
      <c r="K63" s="76">
        <v>36418796</v>
      </c>
      <c r="L63" s="76" t="s">
        <v>1159</v>
      </c>
    </row>
    <row r="64" spans="1:12" ht="17" x14ac:dyDescent="0.2">
      <c r="A64" s="77" t="s">
        <v>965</v>
      </c>
      <c r="B64" s="77" t="s">
        <v>1087</v>
      </c>
      <c r="C64" s="77" t="s">
        <v>1124</v>
      </c>
      <c r="D64" s="77">
        <v>73072390</v>
      </c>
      <c r="E64" s="79">
        <v>2</v>
      </c>
      <c r="F64" s="327">
        <v>11.572679999999993</v>
      </c>
      <c r="G64" s="79" t="s">
        <v>1175</v>
      </c>
      <c r="H64" s="76">
        <v>36418796</v>
      </c>
      <c r="I64" s="76" t="s">
        <v>1159</v>
      </c>
    </row>
    <row r="65" spans="1:12" ht="17" x14ac:dyDescent="0.2">
      <c r="A65" s="77" t="s">
        <v>966</v>
      </c>
      <c r="B65" s="77" t="s">
        <v>1088</v>
      </c>
      <c r="C65" s="77" t="s">
        <v>1124</v>
      </c>
      <c r="D65" s="77">
        <v>73072390</v>
      </c>
      <c r="E65" s="79">
        <v>2</v>
      </c>
      <c r="F65" s="79">
        <v>12.292349999999994</v>
      </c>
      <c r="G65" s="79" t="s">
        <v>1175</v>
      </c>
      <c r="H65" s="76">
        <v>36418796</v>
      </c>
      <c r="I65" s="76" t="s">
        <v>1159</v>
      </c>
    </row>
    <row r="66" spans="1:12" ht="17" x14ac:dyDescent="0.2">
      <c r="A66" s="325" t="s">
        <v>736</v>
      </c>
      <c r="B66" s="77" t="s">
        <v>735</v>
      </c>
      <c r="C66" s="77" t="s">
        <v>1124</v>
      </c>
      <c r="D66" s="77" t="s">
        <v>1150</v>
      </c>
      <c r="E66" s="79">
        <v>5</v>
      </c>
      <c r="F66" s="327">
        <v>111.64559999999999</v>
      </c>
      <c r="G66" s="79" t="s">
        <v>159</v>
      </c>
      <c r="H66" s="76">
        <v>36409448</v>
      </c>
      <c r="I66" s="76" t="s">
        <v>1152</v>
      </c>
      <c r="K66" s="82">
        <v>36404827</v>
      </c>
      <c r="L66" s="82" t="s">
        <v>1155</v>
      </c>
    </row>
    <row r="67" spans="1:12" ht="17" x14ac:dyDescent="0.2">
      <c r="A67" s="77" t="s">
        <v>1015</v>
      </c>
      <c r="B67" s="77" t="s">
        <v>1089</v>
      </c>
      <c r="C67" s="77" t="s">
        <v>37</v>
      </c>
      <c r="D67" s="77" t="s">
        <v>1153</v>
      </c>
      <c r="E67" s="79">
        <v>3</v>
      </c>
      <c r="F67" s="327">
        <v>2080.8000000000002</v>
      </c>
      <c r="G67" s="79" t="s">
        <v>1175</v>
      </c>
      <c r="H67" s="82">
        <v>36411715</v>
      </c>
      <c r="I67" s="82" t="s">
        <v>1167</v>
      </c>
    </row>
    <row r="68" spans="1:12" ht="17" x14ac:dyDescent="0.2">
      <c r="A68" s="77" t="s">
        <v>1006</v>
      </c>
      <c r="B68" s="77" t="s">
        <v>1090</v>
      </c>
      <c r="C68" s="77" t="s">
        <v>37</v>
      </c>
      <c r="D68" s="77" t="s">
        <v>1153</v>
      </c>
      <c r="E68" s="79">
        <v>1</v>
      </c>
      <c r="F68" s="327">
        <v>705.9799999999999</v>
      </c>
      <c r="G68" s="79" t="s">
        <v>1175</v>
      </c>
      <c r="H68" s="82">
        <v>36411715</v>
      </c>
      <c r="I68" s="82" t="s">
        <v>1167</v>
      </c>
    </row>
    <row r="69" spans="1:12" ht="17" x14ac:dyDescent="0.2">
      <c r="A69" s="77" t="s">
        <v>1007</v>
      </c>
      <c r="B69" s="77" t="s">
        <v>1091</v>
      </c>
      <c r="C69" s="77" t="s">
        <v>37</v>
      </c>
      <c r="D69" s="77" t="s">
        <v>1153</v>
      </c>
      <c r="E69" s="79">
        <v>1</v>
      </c>
      <c r="F69" s="327">
        <v>687.93999999999994</v>
      </c>
      <c r="G69" s="79" t="s">
        <v>1175</v>
      </c>
      <c r="H69" s="82">
        <v>36411715</v>
      </c>
      <c r="I69" s="82" t="s">
        <v>1167</v>
      </c>
    </row>
    <row r="70" spans="1:12" ht="17" x14ac:dyDescent="0.2">
      <c r="A70" s="77" t="s">
        <v>1003</v>
      </c>
      <c r="B70" s="77" t="s">
        <v>1092</v>
      </c>
      <c r="C70" s="77" t="s">
        <v>37</v>
      </c>
      <c r="D70" s="77" t="s">
        <v>1153</v>
      </c>
      <c r="E70" s="79">
        <v>3</v>
      </c>
      <c r="F70" s="327">
        <v>705.9799999999999</v>
      </c>
      <c r="G70" s="79" t="s">
        <v>1175</v>
      </c>
      <c r="H70" s="82">
        <v>36411715</v>
      </c>
      <c r="I70" s="82" t="s">
        <v>1167</v>
      </c>
    </row>
    <row r="71" spans="1:12" ht="17" x14ac:dyDescent="0.2">
      <c r="A71" s="77" t="s">
        <v>1000</v>
      </c>
      <c r="B71" s="77" t="s">
        <v>1093</v>
      </c>
      <c r="C71" s="77" t="s">
        <v>37</v>
      </c>
      <c r="D71" s="77" t="s">
        <v>1153</v>
      </c>
      <c r="E71" s="79">
        <v>1</v>
      </c>
      <c r="F71" s="327">
        <v>835.33999999999992</v>
      </c>
      <c r="G71" s="79" t="s">
        <v>1175</v>
      </c>
      <c r="H71" s="82">
        <v>36411715</v>
      </c>
      <c r="I71" s="82" t="s">
        <v>1167</v>
      </c>
    </row>
    <row r="72" spans="1:12" ht="17" x14ac:dyDescent="0.2">
      <c r="A72" s="77" t="s">
        <v>1009</v>
      </c>
      <c r="B72" s="77" t="s">
        <v>1094</v>
      </c>
      <c r="C72" s="77" t="s">
        <v>37</v>
      </c>
      <c r="D72" s="77" t="s">
        <v>1153</v>
      </c>
      <c r="E72" s="79">
        <v>1</v>
      </c>
      <c r="F72" s="327">
        <v>551.09999999999991</v>
      </c>
      <c r="G72" s="79" t="s">
        <v>1175</v>
      </c>
      <c r="H72" s="82">
        <v>36411715</v>
      </c>
      <c r="I72" s="82" t="s">
        <v>1167</v>
      </c>
    </row>
    <row r="73" spans="1:12" ht="17" x14ac:dyDescent="0.2">
      <c r="A73" s="77" t="s">
        <v>887</v>
      </c>
      <c r="B73" s="77" t="s">
        <v>888</v>
      </c>
      <c r="C73" s="77" t="s">
        <v>37</v>
      </c>
      <c r="D73" s="77" t="s">
        <v>1153</v>
      </c>
      <c r="E73" s="79">
        <v>1</v>
      </c>
      <c r="F73" s="327">
        <v>760.31999999999994</v>
      </c>
      <c r="G73" s="79" t="s">
        <v>159</v>
      </c>
      <c r="H73" s="82">
        <v>36404827</v>
      </c>
      <c r="I73" s="82" t="s">
        <v>1155</v>
      </c>
    </row>
    <row r="74" spans="1:12" ht="17" x14ac:dyDescent="0.2">
      <c r="A74" s="77" t="s">
        <v>1005</v>
      </c>
      <c r="B74" s="77" t="s">
        <v>1095</v>
      </c>
      <c r="C74" s="77" t="s">
        <v>37</v>
      </c>
      <c r="D74" s="77" t="s">
        <v>1153</v>
      </c>
      <c r="E74" s="79">
        <v>4</v>
      </c>
      <c r="F74" s="327">
        <v>604.11999999999989</v>
      </c>
      <c r="G74" s="79" t="s">
        <v>1175</v>
      </c>
      <c r="H74" s="76">
        <v>36411715</v>
      </c>
      <c r="I74" s="76" t="s">
        <v>1167</v>
      </c>
    </row>
    <row r="75" spans="1:12" ht="17" x14ac:dyDescent="0.2">
      <c r="A75" s="77" t="s">
        <v>1008</v>
      </c>
      <c r="B75" s="77" t="s">
        <v>1096</v>
      </c>
      <c r="C75" s="77" t="s">
        <v>37</v>
      </c>
      <c r="D75" s="77" t="s">
        <v>1153</v>
      </c>
      <c r="E75" s="79">
        <v>1</v>
      </c>
      <c r="F75" s="327">
        <v>541.8599999999999</v>
      </c>
      <c r="G75" s="79" t="s">
        <v>1175</v>
      </c>
      <c r="H75" s="76">
        <v>36411715</v>
      </c>
      <c r="I75" s="76" t="s">
        <v>1167</v>
      </c>
    </row>
    <row r="76" spans="1:12" ht="17" x14ac:dyDescent="0.2">
      <c r="A76" s="77" t="s">
        <v>1025</v>
      </c>
      <c r="B76" s="77" t="s">
        <v>1097</v>
      </c>
      <c r="C76" s="77" t="s">
        <v>37</v>
      </c>
      <c r="D76" s="77" t="s">
        <v>1153</v>
      </c>
      <c r="E76" s="79">
        <v>4</v>
      </c>
      <c r="F76" s="327">
        <v>685.7399999999999</v>
      </c>
      <c r="G76" s="79" t="s">
        <v>159</v>
      </c>
      <c r="H76" s="76">
        <v>36409448</v>
      </c>
      <c r="I76" s="76" t="s">
        <v>1152</v>
      </c>
      <c r="K76" s="82">
        <v>36404827</v>
      </c>
      <c r="L76" s="82" t="s">
        <v>1155</v>
      </c>
    </row>
    <row r="77" spans="1:12" ht="17" x14ac:dyDescent="0.2">
      <c r="A77" s="77" t="s">
        <v>955</v>
      </c>
      <c r="B77" s="77" t="s">
        <v>1098</v>
      </c>
      <c r="C77" s="77" t="s">
        <v>1139</v>
      </c>
      <c r="D77" s="77" t="s">
        <v>1161</v>
      </c>
      <c r="E77" s="79">
        <v>5</v>
      </c>
      <c r="F77" s="79">
        <v>3.7580619999999993</v>
      </c>
      <c r="G77" s="79" t="s">
        <v>1175</v>
      </c>
      <c r="H77" s="76">
        <v>36418796</v>
      </c>
      <c r="I77" s="76" t="s">
        <v>1159</v>
      </c>
    </row>
    <row r="78" spans="1:12" ht="17" x14ac:dyDescent="0.2">
      <c r="A78" s="77" t="s">
        <v>956</v>
      </c>
      <c r="B78" s="77" t="s">
        <v>1099</v>
      </c>
      <c r="C78" s="77" t="s">
        <v>1139</v>
      </c>
      <c r="D78" s="77" t="s">
        <v>1161</v>
      </c>
      <c r="E78" s="79">
        <v>2</v>
      </c>
      <c r="F78" s="79">
        <v>4.7278159999999989</v>
      </c>
      <c r="G78" s="79" t="s">
        <v>1175</v>
      </c>
      <c r="H78" s="76">
        <v>36418796</v>
      </c>
      <c r="I78" s="76" t="s">
        <v>1159</v>
      </c>
    </row>
    <row r="79" spans="1:12" ht="17" x14ac:dyDescent="0.2">
      <c r="A79" s="77" t="s">
        <v>957</v>
      </c>
      <c r="B79" s="77" t="s">
        <v>1100</v>
      </c>
      <c r="C79" s="77" t="s">
        <v>1139</v>
      </c>
      <c r="D79" s="77" t="s">
        <v>1161</v>
      </c>
      <c r="E79" s="79">
        <v>10</v>
      </c>
      <c r="F79" s="79">
        <v>4.4561999999999991</v>
      </c>
      <c r="G79" s="79" t="s">
        <v>1175</v>
      </c>
      <c r="H79" s="76">
        <v>36418796</v>
      </c>
      <c r="I79" s="76" t="s">
        <v>1159</v>
      </c>
      <c r="L79" s="328"/>
    </row>
    <row r="80" spans="1:12" ht="17" x14ac:dyDescent="0.2">
      <c r="A80" s="77" t="s">
        <v>958</v>
      </c>
      <c r="B80" s="77" t="s">
        <v>1101</v>
      </c>
      <c r="C80" s="77" t="s">
        <v>1139</v>
      </c>
      <c r="D80" s="77" t="s">
        <v>1161</v>
      </c>
      <c r="E80" s="79">
        <v>2</v>
      </c>
      <c r="F80" s="79">
        <v>5.1076539999999984</v>
      </c>
      <c r="G80" s="79" t="s">
        <v>1175</v>
      </c>
      <c r="H80" s="76">
        <v>36418796</v>
      </c>
      <c r="I80" s="76" t="s">
        <v>1159</v>
      </c>
    </row>
    <row r="81" spans="1:12" ht="17" x14ac:dyDescent="0.2">
      <c r="A81" s="77" t="s">
        <v>959</v>
      </c>
      <c r="B81" s="77" t="s">
        <v>1102</v>
      </c>
      <c r="C81" s="77" t="s">
        <v>1139</v>
      </c>
      <c r="D81" s="77" t="s">
        <v>1161</v>
      </c>
      <c r="E81" s="79">
        <v>2</v>
      </c>
      <c r="F81" s="79">
        <v>12.048715999999997</v>
      </c>
      <c r="G81" s="79" t="s">
        <v>1175</v>
      </c>
      <c r="H81" s="76">
        <v>36418796</v>
      </c>
      <c r="I81" s="76" t="s">
        <v>1159</v>
      </c>
    </row>
    <row r="82" spans="1:12" ht="17" x14ac:dyDescent="0.2">
      <c r="A82" s="325" t="s">
        <v>980</v>
      </c>
      <c r="B82" s="77" t="s">
        <v>1103</v>
      </c>
      <c r="C82" s="77" t="s">
        <v>1163</v>
      </c>
      <c r="D82" s="77" t="s">
        <v>1158</v>
      </c>
      <c r="E82" s="79">
        <v>24</v>
      </c>
      <c r="F82" s="327">
        <v>15.158000000000001</v>
      </c>
      <c r="G82" s="79" t="s">
        <v>1175</v>
      </c>
      <c r="H82" s="76">
        <v>36418796</v>
      </c>
      <c r="I82" s="76" t="s">
        <v>1159</v>
      </c>
    </row>
    <row r="83" spans="1:12" ht="17" x14ac:dyDescent="0.2">
      <c r="A83" s="77" t="s">
        <v>1018</v>
      </c>
      <c r="B83" s="77" t="s">
        <v>1104</v>
      </c>
      <c r="C83" s="77" t="s">
        <v>1124</v>
      </c>
      <c r="D83" s="77" t="s">
        <v>1150</v>
      </c>
      <c r="E83" s="79">
        <v>1</v>
      </c>
      <c r="F83" s="327">
        <v>417.22800000000007</v>
      </c>
      <c r="G83" s="79" t="s">
        <v>159</v>
      </c>
      <c r="H83" s="76">
        <v>36411490</v>
      </c>
      <c r="I83" s="76" t="s">
        <v>1151</v>
      </c>
    </row>
    <row r="84" spans="1:12" ht="17" x14ac:dyDescent="0.2">
      <c r="A84" s="77" t="s">
        <v>863</v>
      </c>
      <c r="B84" s="77" t="s">
        <v>883</v>
      </c>
      <c r="C84" s="77" t="s">
        <v>1124</v>
      </c>
      <c r="D84" s="77" t="s">
        <v>1150</v>
      </c>
      <c r="E84" s="79">
        <v>5</v>
      </c>
      <c r="F84" s="327">
        <v>467.45100000000008</v>
      </c>
      <c r="G84" s="79" t="s">
        <v>159</v>
      </c>
      <c r="H84" s="76">
        <v>36409448</v>
      </c>
      <c r="I84" s="76" t="s">
        <v>1152</v>
      </c>
      <c r="K84" s="76">
        <v>36404827</v>
      </c>
      <c r="L84" s="76" t="s">
        <v>1155</v>
      </c>
    </row>
    <row r="85" spans="1:12" ht="17" x14ac:dyDescent="0.2">
      <c r="A85" s="77" t="s">
        <v>889</v>
      </c>
      <c r="B85" s="77" t="s">
        <v>890</v>
      </c>
      <c r="C85" s="77" t="s">
        <v>37</v>
      </c>
      <c r="D85" s="77" t="s">
        <v>1156</v>
      </c>
      <c r="E85" s="79">
        <v>1</v>
      </c>
      <c r="F85" s="327">
        <v>180.92799999999997</v>
      </c>
      <c r="G85" s="79" t="s">
        <v>159</v>
      </c>
      <c r="H85" s="76">
        <v>36404827</v>
      </c>
      <c r="I85" s="76" t="s">
        <v>1155</v>
      </c>
    </row>
    <row r="86" spans="1:12" ht="17" x14ac:dyDescent="0.2">
      <c r="A86" s="77" t="s">
        <v>999</v>
      </c>
      <c r="B86" s="77" t="s">
        <v>1105</v>
      </c>
      <c r="C86" s="77" t="s">
        <v>37</v>
      </c>
      <c r="D86" s="77" t="s">
        <v>1169</v>
      </c>
      <c r="E86" s="79">
        <v>1</v>
      </c>
      <c r="F86" s="327">
        <v>899.56299999999987</v>
      </c>
      <c r="G86" s="79" t="s">
        <v>1175</v>
      </c>
      <c r="H86" s="82">
        <v>36411715</v>
      </c>
      <c r="I86" s="82" t="s">
        <v>1167</v>
      </c>
    </row>
    <row r="87" spans="1:12" ht="17" x14ac:dyDescent="0.2">
      <c r="A87" s="77" t="s">
        <v>1019</v>
      </c>
      <c r="B87" s="77" t="s">
        <v>1106</v>
      </c>
      <c r="C87" s="77" t="s">
        <v>37</v>
      </c>
      <c r="D87" s="77" t="s">
        <v>1172</v>
      </c>
      <c r="E87" s="79">
        <v>1</v>
      </c>
      <c r="F87" s="327">
        <v>836.04</v>
      </c>
      <c r="G87" s="79" t="s">
        <v>159</v>
      </c>
      <c r="H87" s="76">
        <v>36409908</v>
      </c>
      <c r="I87" s="76" t="s">
        <v>1173</v>
      </c>
    </row>
    <row r="88" spans="1:12" ht="17" x14ac:dyDescent="0.2">
      <c r="A88" s="77" t="s">
        <v>1020</v>
      </c>
      <c r="B88" s="77" t="s">
        <v>1107</v>
      </c>
      <c r="C88" s="77" t="s">
        <v>37</v>
      </c>
      <c r="D88" s="77" t="s">
        <v>1172</v>
      </c>
      <c r="E88" s="79">
        <v>1</v>
      </c>
      <c r="F88" s="327">
        <v>297.57749999999999</v>
      </c>
      <c r="G88" s="79" t="s">
        <v>159</v>
      </c>
      <c r="H88" s="76">
        <v>36409908</v>
      </c>
      <c r="I88" s="76" t="s">
        <v>1173</v>
      </c>
    </row>
    <row r="89" spans="1:12" ht="17" x14ac:dyDescent="0.2">
      <c r="A89" s="77" t="s">
        <v>1023</v>
      </c>
      <c r="B89" s="77" t="s">
        <v>1108</v>
      </c>
      <c r="C89" s="77" t="s">
        <v>37</v>
      </c>
      <c r="D89" s="77" t="s">
        <v>1172</v>
      </c>
      <c r="E89" s="79">
        <v>1</v>
      </c>
      <c r="F89" s="327">
        <v>107.88749999999999</v>
      </c>
      <c r="G89" s="79" t="s">
        <v>159</v>
      </c>
      <c r="H89" s="76">
        <v>36409908</v>
      </c>
      <c r="I89" s="76" t="s">
        <v>1173</v>
      </c>
      <c r="K89" s="328"/>
    </row>
    <row r="90" spans="1:12" ht="17" x14ac:dyDescent="0.2">
      <c r="A90" s="77" t="s">
        <v>1022</v>
      </c>
      <c r="B90" s="77" t="s">
        <v>1109</v>
      </c>
      <c r="C90" s="77" t="s">
        <v>37</v>
      </c>
      <c r="D90" s="77" t="s">
        <v>1172</v>
      </c>
      <c r="E90" s="79">
        <v>1</v>
      </c>
      <c r="F90" s="327">
        <v>6.3450000000000006</v>
      </c>
      <c r="G90" s="79" t="s">
        <v>159</v>
      </c>
      <c r="H90" s="76">
        <v>36409908</v>
      </c>
      <c r="I90" s="76" t="s">
        <v>1173</v>
      </c>
    </row>
    <row r="91" spans="1:12" ht="17" x14ac:dyDescent="0.2">
      <c r="A91" s="77" t="s">
        <v>1021</v>
      </c>
      <c r="B91" s="77" t="s">
        <v>1109</v>
      </c>
      <c r="C91" s="77" t="s">
        <v>37</v>
      </c>
      <c r="D91" s="77" t="s">
        <v>1172</v>
      </c>
      <c r="E91" s="79">
        <v>1</v>
      </c>
      <c r="F91" s="327">
        <v>8.0024999999999995</v>
      </c>
      <c r="G91" s="79" t="s">
        <v>159</v>
      </c>
      <c r="H91" s="76">
        <v>36409908</v>
      </c>
      <c r="I91" s="76" t="s">
        <v>1173</v>
      </c>
    </row>
    <row r="92" spans="1:12" ht="17" x14ac:dyDescent="0.2">
      <c r="A92" s="77" t="s">
        <v>1013</v>
      </c>
      <c r="B92" s="77" t="s">
        <v>1110</v>
      </c>
      <c r="C92" s="77" t="s">
        <v>37</v>
      </c>
      <c r="D92" s="77" t="s">
        <v>1166</v>
      </c>
      <c r="E92" s="79">
        <v>3</v>
      </c>
      <c r="F92" s="327">
        <v>674.44999999999993</v>
      </c>
      <c r="G92" s="79" t="s">
        <v>1175</v>
      </c>
      <c r="H92" s="76">
        <v>36411715</v>
      </c>
      <c r="I92" s="76" t="s">
        <v>1167</v>
      </c>
    </row>
    <row r="93" spans="1:12" ht="17" x14ac:dyDescent="0.2">
      <c r="A93" s="77" t="s">
        <v>861</v>
      </c>
      <c r="B93" s="77" t="s">
        <v>895</v>
      </c>
      <c r="C93" s="77" t="s">
        <v>37</v>
      </c>
      <c r="D93" s="77" t="s">
        <v>1166</v>
      </c>
      <c r="E93" s="79">
        <v>8</v>
      </c>
      <c r="F93" s="327">
        <v>515.19999999999993</v>
      </c>
      <c r="G93" s="79" t="s">
        <v>1175</v>
      </c>
      <c r="H93" s="76">
        <v>36411715</v>
      </c>
      <c r="I93" s="76" t="s">
        <v>1167</v>
      </c>
    </row>
    <row r="94" spans="1:12" ht="17" x14ac:dyDescent="0.2">
      <c r="A94" s="77" t="s">
        <v>893</v>
      </c>
      <c r="B94" s="77" t="s">
        <v>894</v>
      </c>
      <c r="C94" s="77" t="s">
        <v>37</v>
      </c>
      <c r="D94" s="77" t="s">
        <v>1166</v>
      </c>
      <c r="E94" s="79">
        <v>46</v>
      </c>
      <c r="F94" s="327">
        <v>393.04999999999995</v>
      </c>
      <c r="G94" s="79" t="s">
        <v>1175</v>
      </c>
      <c r="H94" s="76">
        <v>36411715</v>
      </c>
      <c r="I94" s="76" t="s">
        <v>1167</v>
      </c>
    </row>
    <row r="95" spans="1:12" ht="17" x14ac:dyDescent="0.2">
      <c r="A95" s="77" t="s">
        <v>1016</v>
      </c>
      <c r="B95" s="77" t="s">
        <v>1111</v>
      </c>
      <c r="C95" s="77" t="s">
        <v>37</v>
      </c>
      <c r="D95" s="77" t="s">
        <v>1170</v>
      </c>
      <c r="E95" s="79">
        <v>1</v>
      </c>
      <c r="F95" s="327">
        <v>4807.2000000000007</v>
      </c>
      <c r="G95" s="79" t="s">
        <v>1175</v>
      </c>
      <c r="H95" s="76">
        <v>36411715</v>
      </c>
      <c r="I95" s="76" t="s">
        <v>1167</v>
      </c>
    </row>
    <row r="96" spans="1:12" ht="17" x14ac:dyDescent="0.2">
      <c r="A96" s="77" t="s">
        <v>1017</v>
      </c>
      <c r="B96" s="77" t="s">
        <v>1112</v>
      </c>
      <c r="C96" s="77" t="s">
        <v>37</v>
      </c>
      <c r="D96" s="77" t="s">
        <v>1170</v>
      </c>
      <c r="E96" s="79">
        <v>1</v>
      </c>
      <c r="F96" s="327">
        <v>3515.7000000000007</v>
      </c>
      <c r="G96" s="79" t="s">
        <v>1175</v>
      </c>
      <c r="H96" s="76">
        <v>36411715</v>
      </c>
      <c r="I96" s="76" t="s">
        <v>1167</v>
      </c>
    </row>
    <row r="97" spans="1:12" ht="17" x14ac:dyDescent="0.2">
      <c r="A97" s="77" t="s">
        <v>1001</v>
      </c>
      <c r="B97" s="77" t="s">
        <v>1113</v>
      </c>
      <c r="C97" s="77" t="s">
        <v>37</v>
      </c>
      <c r="D97" s="77" t="s">
        <v>1170</v>
      </c>
      <c r="E97" s="79">
        <v>2</v>
      </c>
      <c r="F97" s="327">
        <v>3768.3000000000006</v>
      </c>
      <c r="G97" s="79" t="s">
        <v>1175</v>
      </c>
      <c r="H97" s="76">
        <v>36411715</v>
      </c>
      <c r="I97" s="76" t="s">
        <v>1167</v>
      </c>
    </row>
    <row r="98" spans="1:12" ht="17" x14ac:dyDescent="0.2">
      <c r="A98" s="77" t="s">
        <v>885</v>
      </c>
      <c r="B98" s="77" t="s">
        <v>886</v>
      </c>
      <c r="C98" s="77" t="s">
        <v>37</v>
      </c>
      <c r="D98" s="77" t="s">
        <v>1153</v>
      </c>
      <c r="E98" s="79">
        <v>1</v>
      </c>
      <c r="F98" s="327">
        <v>915.19999999999993</v>
      </c>
      <c r="G98" s="79" t="s">
        <v>159</v>
      </c>
      <c r="H98" s="76">
        <v>36404827</v>
      </c>
      <c r="I98" s="76" t="s">
        <v>1155</v>
      </c>
    </row>
    <row r="99" spans="1:12" ht="17" x14ac:dyDescent="0.2">
      <c r="A99" s="77" t="s">
        <v>1011</v>
      </c>
      <c r="B99" s="77" t="s">
        <v>1114</v>
      </c>
      <c r="C99" s="77" t="s">
        <v>37</v>
      </c>
      <c r="D99" s="77" t="s">
        <v>1153</v>
      </c>
      <c r="E99" s="79">
        <v>2</v>
      </c>
      <c r="F99" s="327">
        <v>551.09999999999991</v>
      </c>
      <c r="G99" s="79" t="s">
        <v>1175</v>
      </c>
      <c r="H99" s="76">
        <v>36411715</v>
      </c>
      <c r="I99" s="76" t="s">
        <v>1167</v>
      </c>
    </row>
    <row r="100" spans="1:12" ht="17" x14ac:dyDescent="0.2">
      <c r="A100" s="77" t="s">
        <v>1012</v>
      </c>
      <c r="B100" s="77" t="s">
        <v>1115</v>
      </c>
      <c r="C100" s="77" t="s">
        <v>37</v>
      </c>
      <c r="D100" s="77" t="s">
        <v>1147</v>
      </c>
      <c r="E100" s="79">
        <v>1</v>
      </c>
      <c r="F100" s="79">
        <v>593.73</v>
      </c>
      <c r="G100" s="79" t="s">
        <v>1175</v>
      </c>
      <c r="H100" s="76">
        <v>36411715</v>
      </c>
      <c r="I100" s="76" t="s">
        <v>1167</v>
      </c>
    </row>
    <row r="101" spans="1:12" ht="17" x14ac:dyDescent="0.2">
      <c r="A101" s="325" t="s">
        <v>981</v>
      </c>
      <c r="B101" s="77" t="s">
        <v>1116</v>
      </c>
      <c r="C101" s="77" t="s">
        <v>1139</v>
      </c>
      <c r="D101" s="77" t="s">
        <v>1164</v>
      </c>
      <c r="E101" s="79">
        <v>8</v>
      </c>
      <c r="F101" s="327">
        <v>25.294074000000002</v>
      </c>
      <c r="G101" s="79" t="s">
        <v>1175</v>
      </c>
      <c r="H101" s="76">
        <v>36418796</v>
      </c>
      <c r="I101" s="76" t="s">
        <v>1159</v>
      </c>
    </row>
    <row r="102" spans="1:12" ht="17" x14ac:dyDescent="0.2">
      <c r="A102" s="77" t="s">
        <v>983</v>
      </c>
      <c r="B102" s="77" t="s">
        <v>1117</v>
      </c>
      <c r="C102" s="77" t="s">
        <v>1165</v>
      </c>
      <c r="D102" s="77" t="s">
        <v>1164</v>
      </c>
      <c r="E102" s="79">
        <v>2</v>
      </c>
      <c r="F102" s="327">
        <v>19.608640000000001</v>
      </c>
      <c r="G102" s="79" t="s">
        <v>1175</v>
      </c>
      <c r="H102" s="76">
        <v>36418796</v>
      </c>
      <c r="I102" s="76" t="s">
        <v>1159</v>
      </c>
    </row>
    <row r="103" spans="1:12" ht="17" x14ac:dyDescent="0.2">
      <c r="A103" s="77" t="s">
        <v>984</v>
      </c>
      <c r="B103" s="77" t="s">
        <v>1118</v>
      </c>
      <c r="C103" s="77" t="s">
        <v>1139</v>
      </c>
      <c r="D103" s="77" t="s">
        <v>1164</v>
      </c>
      <c r="E103" s="79">
        <v>2</v>
      </c>
      <c r="F103" s="327">
        <v>63.935487999999999</v>
      </c>
      <c r="G103" s="79" t="s">
        <v>1175</v>
      </c>
      <c r="H103" s="76">
        <v>36418796</v>
      </c>
      <c r="I103" s="76" t="s">
        <v>1159</v>
      </c>
    </row>
    <row r="104" spans="1:12" ht="17" x14ac:dyDescent="0.2">
      <c r="A104" s="77" t="s">
        <v>982</v>
      </c>
      <c r="B104" s="77" t="s">
        <v>1119</v>
      </c>
      <c r="C104" s="77" t="s">
        <v>1139</v>
      </c>
      <c r="D104" s="77" t="s">
        <v>1164</v>
      </c>
      <c r="E104" s="79">
        <v>2</v>
      </c>
      <c r="F104" s="327">
        <v>21.753359999999986</v>
      </c>
      <c r="G104" s="79" t="s">
        <v>1175</v>
      </c>
      <c r="H104" s="76">
        <v>36418796</v>
      </c>
      <c r="I104" s="76" t="s">
        <v>1159</v>
      </c>
    </row>
    <row r="105" spans="1:12" ht="17" x14ac:dyDescent="0.2">
      <c r="A105" s="77" t="s">
        <v>690</v>
      </c>
      <c r="B105" s="77" t="s">
        <v>884</v>
      </c>
      <c r="C105" s="77" t="s">
        <v>37</v>
      </c>
      <c r="D105" s="77" t="s">
        <v>1154</v>
      </c>
      <c r="E105" s="79">
        <v>4</v>
      </c>
      <c r="F105" s="327">
        <v>327.02999999999997</v>
      </c>
      <c r="G105" s="79" t="s">
        <v>159</v>
      </c>
      <c r="H105" s="76">
        <v>36409448</v>
      </c>
      <c r="I105" s="76" t="s">
        <v>1152</v>
      </c>
      <c r="K105" s="76">
        <v>36404827</v>
      </c>
      <c r="L105" s="76" t="s">
        <v>1155</v>
      </c>
    </row>
    <row r="106" spans="1:12" ht="17" x14ac:dyDescent="0.2">
      <c r="A106" s="77" t="s">
        <v>1571</v>
      </c>
      <c r="B106" s="75" t="s">
        <v>1569</v>
      </c>
      <c r="C106" s="77" t="s">
        <v>37</v>
      </c>
      <c r="D106" s="75" t="s">
        <v>1570</v>
      </c>
      <c r="F106" s="327">
        <v>587.26400000000001</v>
      </c>
    </row>
    <row r="107" spans="1:12" x14ac:dyDescent="0.2">
      <c r="A107" s="75" t="s">
        <v>1129</v>
      </c>
    </row>
    <row r="108" spans="1:12" ht="17" x14ac:dyDescent="0.2">
      <c r="A108" s="81" t="s">
        <v>1130</v>
      </c>
      <c r="B108" s="81" t="s">
        <v>1131</v>
      </c>
      <c r="C108" s="75" t="s">
        <v>1132</v>
      </c>
      <c r="E108" s="78">
        <v>1</v>
      </c>
      <c r="F108" s="78">
        <f>11042.15/7.45</f>
        <v>1482.1677852348992</v>
      </c>
      <c r="G108" s="78" t="s">
        <v>1175</v>
      </c>
      <c r="H108" s="76">
        <v>36405030</v>
      </c>
      <c r="I108" s="76" t="s">
        <v>1133</v>
      </c>
    </row>
    <row r="109" spans="1:12" x14ac:dyDescent="0.2">
      <c r="A109" s="75" t="s">
        <v>1134</v>
      </c>
      <c r="B109" s="75" t="s">
        <v>1135</v>
      </c>
      <c r="C109" s="75" t="s">
        <v>1132</v>
      </c>
      <c r="E109" s="78">
        <v>1</v>
      </c>
      <c r="F109" s="78">
        <f>3247.7/7.45</f>
        <v>435.93288590604021</v>
      </c>
      <c r="G109" s="78" t="s">
        <v>1175</v>
      </c>
      <c r="H109" s="76">
        <v>36405030</v>
      </c>
      <c r="I109" s="76" t="s">
        <v>1133</v>
      </c>
    </row>
    <row r="110" spans="1:12" x14ac:dyDescent="0.2">
      <c r="A110" s="77">
        <v>9611444501</v>
      </c>
      <c r="B110" s="75" t="s">
        <v>1578</v>
      </c>
      <c r="F110" s="327">
        <v>72.63000000000001</v>
      </c>
    </row>
    <row r="111" spans="1:12" x14ac:dyDescent="0.2">
      <c r="A111" s="75" t="s">
        <v>1579</v>
      </c>
      <c r="B111" s="75" t="s">
        <v>1580</v>
      </c>
      <c r="F111" s="327">
        <v>61.02</v>
      </c>
    </row>
    <row r="112" spans="1:12" x14ac:dyDescent="0.2">
      <c r="A112" s="75" t="s">
        <v>1581</v>
      </c>
      <c r="B112" s="75" t="s">
        <v>1582</v>
      </c>
      <c r="F112" s="327">
        <v>102.06</v>
      </c>
    </row>
    <row r="113" spans="1:6" x14ac:dyDescent="0.2">
      <c r="A113" s="75" t="s">
        <v>1583</v>
      </c>
      <c r="B113" s="75" t="s">
        <v>1584</v>
      </c>
      <c r="F113" s="327">
        <v>66.960000000000008</v>
      </c>
    </row>
    <row r="114" spans="1:6" x14ac:dyDescent="0.2">
      <c r="A114" s="75" t="s">
        <v>1585</v>
      </c>
      <c r="B114" s="75" t="s">
        <v>1586</v>
      </c>
      <c r="F114" s="327">
        <v>130.95000000000002</v>
      </c>
    </row>
  </sheetData>
  <sortState xmlns:xlrd2="http://schemas.microsoft.com/office/spreadsheetml/2017/richdata2" ref="A2:I105">
    <sortCondition ref="A2:A105"/>
  </sortState>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31C4C-7FF0-434D-AB4A-240CE50AABFE}">
  <sheetPr>
    <tabColor rgb="FFFF0000"/>
  </sheetPr>
  <dimension ref="A1:P43"/>
  <sheetViews>
    <sheetView workbookViewId="0">
      <selection activeCell="M36" sqref="M36"/>
    </sheetView>
  </sheetViews>
  <sheetFormatPr baseColWidth="10" defaultRowHeight="15" x14ac:dyDescent="0.2"/>
  <cols>
    <col min="1" max="1" width="27.83203125" customWidth="1"/>
    <col min="2" max="2" width="13.6640625" style="3" bestFit="1" customWidth="1"/>
    <col min="3" max="3" width="9" style="3" bestFit="1" customWidth="1"/>
    <col min="4" max="4" width="13.5" bestFit="1" customWidth="1"/>
    <col min="5" max="5" width="6.5" bestFit="1" customWidth="1"/>
    <col min="6" max="6" width="4" customWidth="1"/>
    <col min="7" max="7" width="18.83203125" style="3" bestFit="1" customWidth="1"/>
    <col min="8" max="8" width="4.5" bestFit="1" customWidth="1"/>
    <col min="9" max="9" width="9.1640625" style="3" bestFit="1" customWidth="1"/>
    <col min="10" max="10" width="4.5" bestFit="1" customWidth="1"/>
    <col min="11" max="11" width="10.1640625" style="3" bestFit="1" customWidth="1"/>
    <col min="12" max="12" width="19" style="3" bestFit="1" customWidth="1"/>
    <col min="13" max="13" width="4.5" style="3" bestFit="1" customWidth="1"/>
    <col min="14" max="14" width="9.6640625" style="3" bestFit="1" customWidth="1"/>
    <col min="15" max="15" width="4.5" bestFit="1" customWidth="1"/>
    <col min="16" max="16" width="8.6640625" bestFit="1" customWidth="1"/>
  </cols>
  <sheetData>
    <row r="1" spans="1:16" x14ac:dyDescent="0.2">
      <c r="B1" t="s">
        <v>1212</v>
      </c>
      <c r="C1"/>
      <c r="G1" s="3" t="s">
        <v>1229</v>
      </c>
      <c r="L1" s="3" t="s">
        <v>1217</v>
      </c>
      <c r="M1"/>
    </row>
    <row r="2" spans="1:16" x14ac:dyDescent="0.2">
      <c r="B2" s="3" t="s">
        <v>1233</v>
      </c>
      <c r="C2" s="3" t="s">
        <v>1216</v>
      </c>
      <c r="D2" s="3" t="s">
        <v>1232</v>
      </c>
      <c r="E2" t="s">
        <v>1216</v>
      </c>
      <c r="G2" s="3" t="s">
        <v>1233</v>
      </c>
      <c r="H2" s="3" t="s">
        <v>1216</v>
      </c>
      <c r="I2" s="3" t="s">
        <v>1232</v>
      </c>
      <c r="J2" t="s">
        <v>1216</v>
      </c>
      <c r="K2" s="3" t="s">
        <v>1228</v>
      </c>
      <c r="L2" s="3" t="s">
        <v>1233</v>
      </c>
      <c r="M2" s="3" t="s">
        <v>1216</v>
      </c>
      <c r="N2" s="3" t="s">
        <v>1232</v>
      </c>
      <c r="O2" t="s">
        <v>1216</v>
      </c>
      <c r="P2" s="3" t="s">
        <v>1228</v>
      </c>
    </row>
    <row r="3" spans="1:16" x14ac:dyDescent="0.2">
      <c r="A3" t="s">
        <v>1213</v>
      </c>
      <c r="B3" s="3">
        <v>43108</v>
      </c>
      <c r="D3" s="23">
        <f>B3-B10+D10</f>
        <v>30272.167668832215</v>
      </c>
      <c r="G3" s="3">
        <v>67285</v>
      </c>
      <c r="I3" s="3">
        <f>G3-G10+I10</f>
        <v>47293.48568509172</v>
      </c>
      <c r="K3" s="3">
        <f>I27</f>
        <v>54533.882023519276</v>
      </c>
      <c r="L3" s="3">
        <v>109661</v>
      </c>
      <c r="N3" s="3">
        <f>L3-L10+N10</f>
        <v>80783.188311100675</v>
      </c>
      <c r="P3" s="23">
        <f>N27</f>
        <v>92309.151061147291</v>
      </c>
    </row>
    <row r="4" spans="1:16" x14ac:dyDescent="0.2">
      <c r="A4" t="s">
        <v>1214</v>
      </c>
      <c r="B4" s="3">
        <v>12746.450064047243</v>
      </c>
      <c r="C4" s="33">
        <f>B4/$B$3</f>
        <v>0.29568641700026083</v>
      </c>
      <c r="D4" s="59">
        <f>B4/2</f>
        <v>6373.2250320236217</v>
      </c>
      <c r="E4" s="33">
        <f t="shared" ref="E4:E10" si="0">D4/$D$3</f>
        <v>0.2105308447596041</v>
      </c>
      <c r="G4" s="3">
        <v>21807.176101409932</v>
      </c>
      <c r="H4" s="33">
        <f t="shared" ref="H4:H9" si="1">G4/$G$3</f>
        <v>0.32410159918867404</v>
      </c>
      <c r="I4" s="3">
        <f>G4/2</f>
        <v>10903.588050704966</v>
      </c>
      <c r="L4" s="3">
        <v>37707.455819507566</v>
      </c>
      <c r="M4" s="33">
        <f t="shared" ref="M4:M10" si="2">L4/$L$3</f>
        <v>0.3438547507273102</v>
      </c>
      <c r="N4" s="3">
        <f>L4/2</f>
        <v>18853.727909753783</v>
      </c>
      <c r="O4" s="33">
        <f t="shared" ref="O4:O10" si="3">N4/$N$3</f>
        <v>0.23338677643109354</v>
      </c>
    </row>
    <row r="5" spans="1:16" x14ac:dyDescent="0.2">
      <c r="A5" t="str">
        <f>'Internal Sales price'!A200</f>
        <v>Total Engineering</v>
      </c>
      <c r="B5" s="3">
        <v>7283.3093154362423</v>
      </c>
      <c r="C5" s="33">
        <f t="shared" ref="C5:C10" si="4">B5/$B$3</f>
        <v>0.16895493447704005</v>
      </c>
      <c r="D5" s="59">
        <f>(SUM('Internal Sales price'!AE187:AE190)/2+'Internal Sales price'!AE192+'Internal Sales price'!AE195)/7.45</f>
        <v>1945.2038657718119</v>
      </c>
      <c r="E5" s="33">
        <f t="shared" si="0"/>
        <v>6.4257171374435984E-2</v>
      </c>
      <c r="G5" s="3">
        <v>10564.220456375839</v>
      </c>
      <c r="H5" s="33">
        <f t="shared" si="1"/>
        <v>0.15700706630565264</v>
      </c>
      <c r="I5" s="3">
        <f>(SUM('Internal Sales price'!AI187:AI190)/2+'Internal Sales price'!AI192+'Internal Sales price'!AI195)/7.45</f>
        <v>3160.6580402684563</v>
      </c>
      <c r="L5" s="3">
        <v>12570.797637583892</v>
      </c>
      <c r="M5" s="33">
        <f t="shared" si="2"/>
        <v>0.11463325738032565</v>
      </c>
      <c r="N5" s="3">
        <f>(SUM('Internal Sales price'!AL187:AL190)/1.2+'Internal Sales price'!AL192+'Internal Sales price'!AL195)/7.45</f>
        <v>6685.6345413870249</v>
      </c>
      <c r="O5" s="33">
        <f t="shared" si="3"/>
        <v>8.2760221293077266E-2</v>
      </c>
    </row>
    <row r="6" spans="1:16" x14ac:dyDescent="0.2">
      <c r="A6" t="str">
        <f>'Internal Sales price'!B204</f>
        <v>Contingency</v>
      </c>
      <c r="B6" s="3">
        <v>1405.6273118496647</v>
      </c>
      <c r="C6" s="33">
        <f t="shared" si="4"/>
        <v>3.2607110324062001E-2</v>
      </c>
      <c r="D6" s="59">
        <f>B6/2</f>
        <v>702.81365592483235</v>
      </c>
      <c r="E6" s="33">
        <f t="shared" si="0"/>
        <v>2.3216495878768506E-2</v>
      </c>
      <c r="G6" s="3">
        <v>2105.4548101199107</v>
      </c>
      <c r="H6" s="33">
        <f t="shared" si="1"/>
        <v>3.1291592630153985E-2</v>
      </c>
      <c r="I6" s="59">
        <f>G6/2</f>
        <v>1052.7274050599553</v>
      </c>
      <c r="L6" s="3">
        <v>3183.7851407297539</v>
      </c>
      <c r="M6" s="33">
        <f t="shared" si="2"/>
        <v>2.9032975631534948E-2</v>
      </c>
      <c r="N6" s="3">
        <f>L6/2</f>
        <v>1591.892570364877</v>
      </c>
      <c r="O6" s="33">
        <f t="shared" si="3"/>
        <v>1.9705740806297563E-2</v>
      </c>
    </row>
    <row r="7" spans="1:16" x14ac:dyDescent="0.2">
      <c r="A7" t="str">
        <f>'Internal Sales price'!B205</f>
        <v>Cost savings markup</v>
      </c>
      <c r="B7" s="3">
        <v>0</v>
      </c>
      <c r="C7" s="33">
        <f t="shared" si="4"/>
        <v>0</v>
      </c>
      <c r="D7" s="59">
        <f>B7/2</f>
        <v>0</v>
      </c>
      <c r="E7" s="33">
        <f t="shared" si="0"/>
        <v>0</v>
      </c>
      <c r="G7" s="3">
        <v>0</v>
      </c>
      <c r="H7" s="33">
        <f t="shared" si="1"/>
        <v>0</v>
      </c>
      <c r="I7" s="59">
        <f>G7/2</f>
        <v>0</v>
      </c>
      <c r="L7" s="3">
        <v>3183.7851407297539</v>
      </c>
      <c r="M7" s="33">
        <f t="shared" si="2"/>
        <v>2.9032975631534948E-2</v>
      </c>
      <c r="N7" s="3">
        <f>L7/2</f>
        <v>1591.892570364877</v>
      </c>
      <c r="O7" s="33">
        <f t="shared" si="3"/>
        <v>1.9705740806297563E-2</v>
      </c>
    </row>
    <row r="8" spans="1:16" x14ac:dyDescent="0.2">
      <c r="A8" t="str">
        <f>'Internal Sales price'!B206</f>
        <v>Financial cost markup</v>
      </c>
      <c r="B8" s="3">
        <v>281.1254623699329</v>
      </c>
      <c r="C8" s="33">
        <f t="shared" si="4"/>
        <v>6.5214220648123992E-3</v>
      </c>
      <c r="D8" s="59">
        <f>B8/2</f>
        <v>140.56273118496645</v>
      </c>
      <c r="E8" s="33">
        <f t="shared" si="0"/>
        <v>4.6432991757537007E-3</v>
      </c>
      <c r="G8" s="3">
        <v>421.09096202398212</v>
      </c>
      <c r="H8" s="33">
        <f t="shared" si="1"/>
        <v>6.2583185260307959E-3</v>
      </c>
      <c r="I8" s="59">
        <f>G8/2</f>
        <v>210.54548101199106</v>
      </c>
      <c r="L8" s="3">
        <v>636.7570281459507</v>
      </c>
      <c r="M8" s="33">
        <f t="shared" si="2"/>
        <v>5.8065951263069886E-3</v>
      </c>
      <c r="N8" s="3">
        <f>L8/2</f>
        <v>318.37851407297535</v>
      </c>
      <c r="O8" s="33">
        <f t="shared" si="3"/>
        <v>3.941148161259512E-3</v>
      </c>
    </row>
    <row r="9" spans="1:16" x14ac:dyDescent="0.2">
      <c r="A9" t="str">
        <f>'Internal Sales price'!B207</f>
        <v>Warranty cost</v>
      </c>
      <c r="B9" s="3">
        <v>562.25092473986581</v>
      </c>
      <c r="C9" s="33">
        <f t="shared" si="4"/>
        <v>1.3042844129624798E-2</v>
      </c>
      <c r="D9" s="59">
        <f>B9/2</f>
        <v>281.1254623699329</v>
      </c>
      <c r="E9" s="33">
        <f t="shared" si="0"/>
        <v>9.2865983515074014E-3</v>
      </c>
      <c r="G9" s="3">
        <v>842.18192404796423</v>
      </c>
      <c r="H9" s="33">
        <f t="shared" si="1"/>
        <v>1.2516637052061592E-2</v>
      </c>
      <c r="I9" s="59">
        <f>G9/2</f>
        <v>421.09096202398212</v>
      </c>
      <c r="L9" s="3">
        <v>1273.5140562919014</v>
      </c>
      <c r="M9" s="33">
        <f t="shared" si="2"/>
        <v>1.1613190252613977E-2</v>
      </c>
      <c r="N9" s="3">
        <f>L9/2</f>
        <v>636.7570281459507</v>
      </c>
      <c r="O9" s="33">
        <f t="shared" si="3"/>
        <v>7.8822963225190241E-3</v>
      </c>
    </row>
    <row r="10" spans="1:16" x14ac:dyDescent="0.2">
      <c r="A10" t="s">
        <v>1215</v>
      </c>
      <c r="B10" s="3">
        <v>22278.763078442949</v>
      </c>
      <c r="C10" s="33">
        <f t="shared" si="4"/>
        <v>0.51681272799580003</v>
      </c>
      <c r="D10" s="83">
        <f>SUM(D4:D9)</f>
        <v>9442.9307472751643</v>
      </c>
      <c r="E10" s="33">
        <f t="shared" si="0"/>
        <v>0.31193440954006968</v>
      </c>
      <c r="G10" s="3">
        <v>35740.124253977629</v>
      </c>
      <c r="H10" s="33">
        <f>G10/$G$3</f>
        <v>0.53117521370257303</v>
      </c>
      <c r="I10" s="83">
        <f>SUM(I4:I9)</f>
        <v>15748.609939069351</v>
      </c>
      <c r="J10" s="33">
        <f>I10/$I$3</f>
        <v>0.33299744586248103</v>
      </c>
      <c r="L10" s="3">
        <v>58556.094822988824</v>
      </c>
      <c r="M10" s="33">
        <f t="shared" si="2"/>
        <v>0.53397374474962678</v>
      </c>
      <c r="N10" s="3">
        <f>SUM(N4:N9)</f>
        <v>29678.283134089492</v>
      </c>
      <c r="O10" s="33">
        <f t="shared" si="3"/>
        <v>0.36738192382054452</v>
      </c>
    </row>
    <row r="12" spans="1:16" x14ac:dyDescent="0.2">
      <c r="A12" t="s">
        <v>1230</v>
      </c>
      <c r="B12" s="3" t="s">
        <v>1231</v>
      </c>
      <c r="D12" t="s">
        <v>1231</v>
      </c>
      <c r="G12" s="3" t="s">
        <v>87</v>
      </c>
      <c r="I12" s="3" t="s">
        <v>87</v>
      </c>
      <c r="L12" s="3" t="s">
        <v>87</v>
      </c>
      <c r="N12" s="3" t="s">
        <v>87</v>
      </c>
    </row>
    <row r="13" spans="1:16" x14ac:dyDescent="0.2">
      <c r="A13" t="s">
        <v>1218</v>
      </c>
      <c r="B13" s="3" t="s">
        <v>1225</v>
      </c>
      <c r="D13" t="s">
        <v>1225</v>
      </c>
      <c r="G13" s="3" t="s">
        <v>1225</v>
      </c>
      <c r="I13" s="3" t="s">
        <v>1225</v>
      </c>
      <c r="L13" s="3" t="s">
        <v>87</v>
      </c>
      <c r="N13" s="3" t="s">
        <v>87</v>
      </c>
    </row>
    <row r="14" spans="1:16" x14ac:dyDescent="0.2">
      <c r="A14" t="s">
        <v>1219</v>
      </c>
      <c r="B14" s="3" t="s">
        <v>1225</v>
      </c>
      <c r="D14" t="s">
        <v>1225</v>
      </c>
      <c r="G14" s="3" t="s">
        <v>87</v>
      </c>
      <c r="I14" s="3" t="s">
        <v>87</v>
      </c>
      <c r="L14" s="3" t="s">
        <v>87</v>
      </c>
      <c r="N14" s="3" t="s">
        <v>87</v>
      </c>
    </row>
    <row r="15" spans="1:16" x14ac:dyDescent="0.2">
      <c r="A15" s="26" t="s">
        <v>186</v>
      </c>
      <c r="B15" s="3" t="str">
        <f>'External Prices'!S60</f>
        <v>Included</v>
      </c>
      <c r="D15" s="3" t="str">
        <f>'External Prices'!S60</f>
        <v>Included</v>
      </c>
      <c r="G15" s="3" t="s">
        <v>87</v>
      </c>
      <c r="I15" s="3" t="str">
        <f>'External Prices'!V60</f>
        <v>Included</v>
      </c>
      <c r="L15" s="3" t="s">
        <v>87</v>
      </c>
      <c r="N15" s="3" t="s">
        <v>87</v>
      </c>
    </row>
    <row r="16" spans="1:16" x14ac:dyDescent="0.2">
      <c r="A16" s="26" t="s">
        <v>532</v>
      </c>
      <c r="B16" s="3">
        <v>695.72977358212256</v>
      </c>
      <c r="D16" s="3">
        <f>'External Prices'!S61</f>
        <v>642.71174338288438</v>
      </c>
      <c r="G16" s="3">
        <v>719.44783404514953</v>
      </c>
      <c r="I16" s="3">
        <f>'External Prices'!V61</f>
        <v>642.71174338288438</v>
      </c>
      <c r="L16" s="3" t="s">
        <v>87</v>
      </c>
      <c r="N16" s="3" t="s">
        <v>87</v>
      </c>
    </row>
    <row r="17" spans="1:16" x14ac:dyDescent="0.2">
      <c r="A17" s="26" t="s">
        <v>117</v>
      </c>
      <c r="B17" s="3">
        <v>840.89569983904744</v>
      </c>
      <c r="D17" s="3" t="str">
        <f>'External Prices'!S62</f>
        <v xml:space="preserve"> Included </v>
      </c>
      <c r="G17" s="3" t="s">
        <v>87</v>
      </c>
      <c r="I17" s="3" t="str">
        <f>'External Prices'!V62</f>
        <v>Included</v>
      </c>
      <c r="L17" s="3" t="s">
        <v>87</v>
      </c>
      <c r="N17" s="3" t="s">
        <v>87</v>
      </c>
    </row>
    <row r="18" spans="1:16" x14ac:dyDescent="0.2">
      <c r="A18" s="26" t="s">
        <v>183</v>
      </c>
      <c r="B18" s="3">
        <v>254.89924686446591</v>
      </c>
      <c r="D18" s="3">
        <f>'External Prices'!S63</f>
        <v>225.33293031242883</v>
      </c>
      <c r="G18" s="3">
        <v>263.5889939166637</v>
      </c>
      <c r="I18" s="3">
        <f>'External Prices'!V63</f>
        <v>225.33293031242883</v>
      </c>
      <c r="L18" s="3" t="s">
        <v>87</v>
      </c>
      <c r="N18" s="3" t="s">
        <v>87</v>
      </c>
    </row>
    <row r="19" spans="1:16" x14ac:dyDescent="0.2">
      <c r="A19" s="26" t="s">
        <v>43</v>
      </c>
      <c r="B19" s="3">
        <v>737.51751604100582</v>
      </c>
      <c r="D19" s="3">
        <f>'External Prices'!S78</f>
        <v>671.81275234966517</v>
      </c>
      <c r="G19" s="3" t="s">
        <v>87</v>
      </c>
      <c r="I19" s="3" t="s">
        <v>87</v>
      </c>
      <c r="L19" s="3" t="s">
        <v>87</v>
      </c>
      <c r="N19" s="3" t="s">
        <v>87</v>
      </c>
    </row>
    <row r="20" spans="1:16" x14ac:dyDescent="0.2">
      <c r="A20" t="s">
        <v>1220</v>
      </c>
      <c r="B20" s="3" t="s">
        <v>43</v>
      </c>
      <c r="D20" s="3" t="s">
        <v>43</v>
      </c>
      <c r="G20" s="3">
        <v>851.40652478196921</v>
      </c>
      <c r="I20" s="3">
        <f>'External Prices'!V84</f>
        <v>796.08451720571759</v>
      </c>
      <c r="L20" s="3">
        <v>851.40652478196921</v>
      </c>
      <c r="N20" s="3">
        <f>'External Prices'!X84</f>
        <v>796.08451720571759</v>
      </c>
    </row>
    <row r="21" spans="1:16" x14ac:dyDescent="0.2">
      <c r="A21" t="s">
        <v>1221</v>
      </c>
      <c r="B21" s="3" t="s">
        <v>1225</v>
      </c>
      <c r="D21" t="s">
        <v>1225</v>
      </c>
      <c r="G21" s="3" t="s">
        <v>1225</v>
      </c>
      <c r="I21" s="3" t="s">
        <v>1225</v>
      </c>
      <c r="L21" s="3">
        <v>964.39462728349417</v>
      </c>
      <c r="N21" s="3">
        <f>'External Prices'!X86</f>
        <v>946.54847504432985</v>
      </c>
    </row>
    <row r="22" spans="1:16" x14ac:dyDescent="0.2">
      <c r="A22" t="s">
        <v>1222</v>
      </c>
      <c r="B22" s="3" t="s">
        <v>1225</v>
      </c>
      <c r="D22" t="s">
        <v>1225</v>
      </c>
      <c r="G22" s="3" t="s">
        <v>1225</v>
      </c>
      <c r="I22" s="3" t="s">
        <v>1225</v>
      </c>
      <c r="L22" s="3">
        <v>4879.7014931523436</v>
      </c>
      <c r="N22" s="3">
        <f>'External Prices'!X87</f>
        <v>4207.0626102700498</v>
      </c>
    </row>
    <row r="23" spans="1:16" x14ac:dyDescent="0.2">
      <c r="A23" t="s">
        <v>1223</v>
      </c>
      <c r="B23" s="3" t="s">
        <v>87</v>
      </c>
      <c r="D23" t="s">
        <v>87</v>
      </c>
      <c r="G23" s="3" t="s">
        <v>87</v>
      </c>
      <c r="I23" s="3" t="s">
        <v>87</v>
      </c>
      <c r="L23" s="3" t="s">
        <v>87</v>
      </c>
      <c r="N23" s="3" t="s">
        <v>87</v>
      </c>
    </row>
    <row r="24" spans="1:16" x14ac:dyDescent="0.2">
      <c r="A24" t="s">
        <v>1224</v>
      </c>
      <c r="B24" s="3" t="s">
        <v>1234</v>
      </c>
      <c r="D24" s="3" t="s">
        <v>1234</v>
      </c>
      <c r="G24" s="3">
        <v>6500</v>
      </c>
      <c r="I24" s="3">
        <f>AVERAGE('External Prices'!X102:X106)</f>
        <v>5576.2671475265242</v>
      </c>
      <c r="L24" s="3">
        <v>6500</v>
      </c>
      <c r="N24" s="3">
        <f>AVERAGE('External Prices'!V102:V106)</f>
        <v>5576.2671475265242</v>
      </c>
      <c r="P24" s="3"/>
    </row>
    <row r="25" spans="1:16" x14ac:dyDescent="0.2">
      <c r="A25" t="s">
        <v>1227</v>
      </c>
      <c r="K25" s="3">
        <f>'External Prices'!V50</f>
        <v>23285.440744324205</v>
      </c>
      <c r="P25" s="3">
        <f>'External Prices'!X51</f>
        <v>23598.645205685105</v>
      </c>
    </row>
    <row r="27" spans="1:16" x14ac:dyDescent="0.2">
      <c r="A27" t="s">
        <v>1226</v>
      </c>
      <c r="B27" s="23">
        <f>B3+SUM(B12:B24)</f>
        <v>45637.042236326641</v>
      </c>
      <c r="C27" s="33">
        <f>D27/B27</f>
        <v>0.69706588192420438</v>
      </c>
      <c r="D27" s="23">
        <f>D3+SUM(D12:D24)</f>
        <v>31812.025094877194</v>
      </c>
      <c r="G27" s="23">
        <f>G3+SUM(G12:G24)</f>
        <v>75619.44335274378</v>
      </c>
      <c r="H27" s="33">
        <f>I27/G27</f>
        <v>0.72116217212990852</v>
      </c>
      <c r="I27" s="23">
        <f>I3+SUM(I12:I24)</f>
        <v>54533.882023519276</v>
      </c>
      <c r="L27" s="23">
        <f>L3+SUM(L12:L25)</f>
        <v>122856.50264521781</v>
      </c>
      <c r="M27" s="33">
        <f>N27/L27</f>
        <v>0.75135747049316171</v>
      </c>
      <c r="N27" s="23">
        <f>N3+SUM(N13:N25)</f>
        <v>92309.151061147291</v>
      </c>
      <c r="O27" s="23"/>
      <c r="P27" s="23">
        <f>P3+SUM(P13:P25)</f>
        <v>115907.79626683239</v>
      </c>
    </row>
    <row r="28" spans="1:16" x14ac:dyDescent="0.2">
      <c r="G28" s="33">
        <f>G27/B27</f>
        <v>1.6569751159848707</v>
      </c>
      <c r="L28" s="33">
        <f>L27/B27</f>
        <v>2.6920347293546829</v>
      </c>
    </row>
    <row r="29" spans="1:16" x14ac:dyDescent="0.2">
      <c r="L29" s="33">
        <f>L27/G27</f>
        <v>1.6246681699589645</v>
      </c>
    </row>
    <row r="34" spans="1:5" x14ac:dyDescent="0.2">
      <c r="B34" s="85" t="s">
        <v>1243</v>
      </c>
      <c r="C34" s="84" t="s">
        <v>1242</v>
      </c>
      <c r="D34" s="86" t="s">
        <v>623</v>
      </c>
    </row>
    <row r="35" spans="1:5" x14ac:dyDescent="0.2">
      <c r="A35" t="s">
        <v>1241</v>
      </c>
      <c r="B35" s="84" t="s">
        <v>21</v>
      </c>
      <c r="C35" s="84" t="s">
        <v>21</v>
      </c>
      <c r="D35" s="84" t="s">
        <v>21</v>
      </c>
      <c r="E35" t="s">
        <v>1216</v>
      </c>
    </row>
    <row r="36" spans="1:5" x14ac:dyDescent="0.2">
      <c r="A36" t="s">
        <v>1235</v>
      </c>
      <c r="B36" s="3">
        <v>23465.564771126395</v>
      </c>
      <c r="C36" s="3">
        <v>0</v>
      </c>
      <c r="D36" s="23">
        <f>B36-C36</f>
        <v>23465.564771126395</v>
      </c>
      <c r="E36" s="33">
        <f>1-D36/B36</f>
        <v>0</v>
      </c>
    </row>
    <row r="37" spans="1:5" x14ac:dyDescent="0.2">
      <c r="A37" t="s">
        <v>1236</v>
      </c>
      <c r="B37" s="3">
        <v>25171.564771126395</v>
      </c>
      <c r="C37" s="3">
        <v>0</v>
      </c>
      <c r="D37" s="23">
        <f t="shared" ref="D37:D43" si="5">B37-C37</f>
        <v>25171.564771126395</v>
      </c>
      <c r="E37" s="33">
        <f t="shared" ref="E37:E43" si="6">1-D37/B37</f>
        <v>0</v>
      </c>
    </row>
    <row r="38" spans="1:5" x14ac:dyDescent="0.2">
      <c r="A38" t="s">
        <v>1239</v>
      </c>
      <c r="B38" s="3">
        <v>30503.631598894593</v>
      </c>
      <c r="C38" s="3">
        <v>0</v>
      </c>
      <c r="D38" s="23">
        <f t="shared" si="5"/>
        <v>30503.631598894593</v>
      </c>
      <c r="E38" s="33">
        <f t="shared" si="6"/>
        <v>0</v>
      </c>
    </row>
    <row r="39" spans="1:5" x14ac:dyDescent="0.2">
      <c r="A39" t="s">
        <v>1240</v>
      </c>
      <c r="B39" s="3">
        <v>38304.564771126395</v>
      </c>
      <c r="C39" s="3">
        <v>1000</v>
      </c>
      <c r="D39" s="23">
        <f t="shared" si="5"/>
        <v>37304.564771126395</v>
      </c>
      <c r="E39" s="33">
        <f t="shared" si="6"/>
        <v>2.6106549075158525E-2</v>
      </c>
    </row>
    <row r="40" spans="1:5" x14ac:dyDescent="0.2">
      <c r="A40" t="s">
        <v>1212</v>
      </c>
      <c r="B40" s="3">
        <v>43009.092100484137</v>
      </c>
      <c r="C40" s="3">
        <v>8009</v>
      </c>
      <c r="D40" s="23">
        <f t="shared" si="5"/>
        <v>35000.092100484137</v>
      </c>
      <c r="E40" s="33">
        <f t="shared" si="6"/>
        <v>0.18621643956789879</v>
      </c>
    </row>
    <row r="41" spans="1:5" x14ac:dyDescent="0.2">
      <c r="A41" t="s">
        <v>1229</v>
      </c>
      <c r="B41" s="3">
        <v>66751.191565118206</v>
      </c>
      <c r="C41" s="3">
        <v>12000</v>
      </c>
      <c r="D41" s="23">
        <f t="shared" si="5"/>
        <v>54751.191565118206</v>
      </c>
      <c r="E41" s="33">
        <f t="shared" si="6"/>
        <v>0.17977207175835308</v>
      </c>
    </row>
    <row r="42" spans="1:5" x14ac:dyDescent="0.2">
      <c r="A42" t="s">
        <v>1237</v>
      </c>
      <c r="B42" s="3">
        <v>97090.191565118206</v>
      </c>
      <c r="C42" s="3">
        <v>15000</v>
      </c>
      <c r="D42" s="23">
        <f t="shared" si="5"/>
        <v>82090.191565118206</v>
      </c>
      <c r="E42" s="33">
        <f t="shared" si="6"/>
        <v>0.15449552378253917</v>
      </c>
    </row>
    <row r="43" spans="1:5" x14ac:dyDescent="0.2">
      <c r="A43" t="s">
        <v>1238</v>
      </c>
      <c r="B43" s="3">
        <v>136882.19156511824</v>
      </c>
      <c r="C43" s="3">
        <v>20000</v>
      </c>
      <c r="D43" s="23">
        <f t="shared" si="5"/>
        <v>116882.19156511824</v>
      </c>
      <c r="E43" s="33">
        <f t="shared" si="6"/>
        <v>0.14611104462398605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653A-C730-D547-888A-A58D1A7CF906}">
  <dimension ref="A1:T12"/>
  <sheetViews>
    <sheetView workbookViewId="0">
      <selection activeCell="B4" sqref="B4"/>
    </sheetView>
  </sheetViews>
  <sheetFormatPr baseColWidth="10" defaultRowHeight="15" x14ac:dyDescent="0.2"/>
  <cols>
    <col min="1" max="1" width="9.33203125" style="3" bestFit="1" customWidth="1"/>
    <col min="2" max="2" width="9.33203125" style="3" customWidth="1"/>
    <col min="3" max="4" width="7.6640625" style="3" bestFit="1" customWidth="1"/>
    <col min="5" max="5" width="8.1640625" style="3" bestFit="1" customWidth="1"/>
    <col min="6" max="6" width="7.6640625" style="3" bestFit="1" customWidth="1"/>
    <col min="7" max="7" width="13" style="3" bestFit="1" customWidth="1"/>
    <col min="8" max="8" width="18.1640625" style="3" bestFit="1" customWidth="1"/>
    <col min="9" max="9" width="7.6640625" style="3" bestFit="1" customWidth="1"/>
    <col min="10" max="10" width="8.33203125" style="3" bestFit="1" customWidth="1"/>
    <col min="11" max="11" width="8" style="3" bestFit="1" customWidth="1"/>
    <col min="12" max="12" width="12.33203125" style="3" bestFit="1" customWidth="1"/>
    <col min="13" max="13" width="13.33203125" style="3" bestFit="1" customWidth="1"/>
    <col min="14" max="14" width="11.6640625" style="3" bestFit="1" customWidth="1"/>
    <col min="15" max="16" width="12.6640625" style="3" bestFit="1" customWidth="1"/>
    <col min="17" max="17" width="11.1640625" style="3" bestFit="1" customWidth="1"/>
    <col min="18" max="19" width="12.1640625" style="3" bestFit="1" customWidth="1"/>
    <col min="20" max="20" width="7.33203125" style="3" bestFit="1" customWidth="1"/>
    <col min="21" max="16384" width="10.83203125" style="3"/>
  </cols>
  <sheetData>
    <row r="1" spans="1:20" x14ac:dyDescent="0.2">
      <c r="A1" s="3" t="s">
        <v>1282</v>
      </c>
      <c r="B1" s="3" t="s">
        <v>1285</v>
      </c>
      <c r="C1" s="3" t="s">
        <v>0</v>
      </c>
      <c r="D1" s="3" t="s">
        <v>67</v>
      </c>
      <c r="E1" s="3" t="s">
        <v>1</v>
      </c>
      <c r="F1" s="3" t="s">
        <v>2</v>
      </c>
      <c r="G1" s="3" t="s">
        <v>634</v>
      </c>
      <c r="H1" s="3" t="s">
        <v>656</v>
      </c>
      <c r="I1" s="3" t="s">
        <v>1279</v>
      </c>
      <c r="J1" s="3" t="s">
        <v>1280</v>
      </c>
      <c r="K1" s="3" t="s">
        <v>196</v>
      </c>
      <c r="L1" s="3" t="s">
        <v>121</v>
      </c>
      <c r="M1" s="3" t="s">
        <v>122</v>
      </c>
      <c r="N1" s="3" t="s">
        <v>75</v>
      </c>
      <c r="O1" s="3" t="s">
        <v>41</v>
      </c>
      <c r="P1" s="3" t="s">
        <v>263</v>
      </c>
      <c r="Q1" s="3" t="s">
        <v>66</v>
      </c>
      <c r="R1" s="3" t="s">
        <v>62</v>
      </c>
      <c r="S1" s="3" t="s">
        <v>104</v>
      </c>
    </row>
    <row r="2" spans="1:20" x14ac:dyDescent="0.2">
      <c r="A2" s="3" t="s">
        <v>1283</v>
      </c>
      <c r="B2" s="3" t="s">
        <v>21</v>
      </c>
      <c r="C2" s="3">
        <f>'External Prices'!E40</f>
        <v>15593</v>
      </c>
      <c r="D2" s="3">
        <f>'External Prices'!F40</f>
        <v>17480</v>
      </c>
      <c r="E2" s="3">
        <f>'External Prices'!G40</f>
        <v>21743</v>
      </c>
      <c r="F2" s="3">
        <f>'External Prices'!H40</f>
        <v>30134</v>
      </c>
      <c r="G2" s="3">
        <f>'External Prices'!O40</f>
        <v>52357</v>
      </c>
      <c r="H2" s="3">
        <f>'External Prices'!P40</f>
        <v>104435</v>
      </c>
      <c r="I2" s="3">
        <f>'External Prices'!R40</f>
        <v>36809</v>
      </c>
      <c r="J2" s="3">
        <f>'External Prices'!S40</f>
        <v>37818</v>
      </c>
      <c r="K2" s="3">
        <f>'External Prices'!T40</f>
        <v>49680</v>
      </c>
      <c r="L2" s="3">
        <f>'External Prices'!U40</f>
        <v>56083</v>
      </c>
      <c r="M2" s="3">
        <f>'External Prices'!V40</f>
        <v>57191</v>
      </c>
      <c r="N2" s="3">
        <f>'External Prices'!W40</f>
        <v>95206</v>
      </c>
      <c r="O2" s="58">
        <f>'External Prices'!X40</f>
        <v>117464</v>
      </c>
      <c r="P2" s="3">
        <f>'External Prices'!Y40</f>
        <v>130198</v>
      </c>
      <c r="Q2" s="3">
        <f>'External Prices'!Z40</f>
        <v>120644</v>
      </c>
      <c r="R2" s="3">
        <f>'External Prices'!AA40</f>
        <v>148861</v>
      </c>
      <c r="S2" s="3">
        <f>'External Prices'!AB40</f>
        <v>170773</v>
      </c>
    </row>
    <row r="3" spans="1:20" x14ac:dyDescent="0.2">
      <c r="A3" s="3" t="s">
        <v>1284</v>
      </c>
      <c r="B3" s="3" t="s">
        <v>937</v>
      </c>
      <c r="C3" s="3">
        <f>'Internal Sales price'!E218*1.11</f>
        <v>17290.295963168272</v>
      </c>
      <c r="D3" s="3">
        <f>'Internal Sales price'!F218*1.11</f>
        <v>19382.902413255008</v>
      </c>
      <c r="E3" s="3">
        <f>'Internal Sales price'!H218*1.11</f>
        <v>24109.740550565042</v>
      </c>
      <c r="F3" s="3">
        <f>'Internal Sales price'!J218*1.11</f>
        <v>33414.704533731092</v>
      </c>
      <c r="G3" s="3">
        <f>'Internal Sales price'!X218*1.11</f>
        <v>58057.710513031678</v>
      </c>
      <c r="H3" s="3">
        <f>'Internal Sales price'!Z218*1.11</f>
        <v>115806.32713452645</v>
      </c>
      <c r="I3" s="3">
        <f>'Internal Sales price'!AD218*1.11</f>
        <v>40816.802769234637</v>
      </c>
      <c r="J3" s="3">
        <f>'Internal Sales price'!AE218*1.11</f>
        <v>41935.644685615676</v>
      </c>
      <c r="K3" s="3">
        <f>'Internal Sales price'!AF218*1.11</f>
        <v>55088.858038563434</v>
      </c>
      <c r="L3" s="3">
        <f>'Internal Sales price'!AH218*1.163</f>
        <v>65159.065673883561</v>
      </c>
      <c r="M3" s="3">
        <f>'Internal Sales price'!AI218*1.163</f>
        <v>66445.50140011638</v>
      </c>
      <c r="N3" s="3">
        <f>'Internal Sales price'!AK218*1.163</f>
        <v>110613.04474725264</v>
      </c>
      <c r="O3" s="3">
        <f>'Internal Sales price'!AL218*1.163</f>
        <v>136473.32100732051</v>
      </c>
      <c r="P3" s="3">
        <f>'Internal Sales price'!AM218*1.163</f>
        <v>151268.63307149609</v>
      </c>
      <c r="Q3" s="3">
        <f>'Internal Sales price'!AO218*1.163</f>
        <v>140168.37794501553</v>
      </c>
      <c r="R3" s="3">
        <f>'Internal Sales price'!AP218*1.163</f>
        <v>172952.12276804369</v>
      </c>
      <c r="S3" s="3">
        <f>'Internal Sales price'!AQ218*1.163</f>
        <v>198409.85744094953</v>
      </c>
    </row>
    <row r="12" spans="1:20" x14ac:dyDescent="0.2">
      <c r="C12" s="87"/>
      <c r="D12" s="87"/>
      <c r="E12" s="87"/>
      <c r="F12" s="87"/>
      <c r="G12" s="87"/>
      <c r="H12" s="87"/>
      <c r="I12" s="87"/>
      <c r="J12" s="87"/>
      <c r="K12" s="87"/>
      <c r="L12" s="87"/>
      <c r="M12" s="87"/>
      <c r="N12" s="87"/>
      <c r="O12" s="87"/>
      <c r="P12" s="87"/>
      <c r="Q12" s="87"/>
      <c r="R12" s="87"/>
      <c r="S12" s="87"/>
      <c r="T12" s="87"/>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0A15F588552E49878E2F51D1E2897D" ma:contentTypeVersion="16" ma:contentTypeDescription="Create a new document." ma:contentTypeScope="" ma:versionID="347e5e0394b12a92ed40843b97a66e5d">
  <xsd:schema xmlns:xsd="http://www.w3.org/2001/XMLSchema" xmlns:xs="http://www.w3.org/2001/XMLSchema" xmlns:p="http://schemas.microsoft.com/office/2006/metadata/properties" xmlns:ns2="eb6bce59-815f-4302-9828-5bd2d37d1a99" xmlns:ns3="a3068c2e-f5ef-4571-b18b-7fd57ba677ca" targetNamespace="http://schemas.microsoft.com/office/2006/metadata/properties" ma:root="true" ma:fieldsID="0f70c44aebe0bd96daa657094d47dbc8" ns2:_="" ns3:_="">
    <xsd:import namespace="eb6bce59-815f-4302-9828-5bd2d37d1a99"/>
    <xsd:import namespace="a3068c2e-f5ef-4571-b18b-7fd57ba677c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6bce59-815f-4302-9828-5bd2d37d1a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384a529-f3a7-4346-94be-19d83042834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3068c2e-f5ef-4571-b18b-7fd57ba677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0081d17-c9db-4d2a-8334-c91a49aa5b9c}" ma:internalName="TaxCatchAll" ma:showField="CatchAllData" ma:web="a3068c2e-f5ef-4571-b18b-7fd57ba677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3068c2e-f5ef-4571-b18b-7fd57ba677ca">
      <UserInfo>
        <DisplayName>Erik Dath Harbo</DisplayName>
        <AccountId>32</AccountId>
        <AccountType/>
      </UserInfo>
    </SharedWithUsers>
    <lcf76f155ced4ddcb4097134ff3c332f xmlns="eb6bce59-815f-4302-9828-5bd2d37d1a99">
      <Terms xmlns="http://schemas.microsoft.com/office/infopath/2007/PartnerControls"/>
    </lcf76f155ced4ddcb4097134ff3c332f>
    <TaxCatchAll xmlns="a3068c2e-f5ef-4571-b18b-7fd57ba677ca" xsi:nil="true"/>
  </documentManagement>
</p:properties>
</file>

<file path=customXml/itemProps1.xml><?xml version="1.0" encoding="utf-8"?>
<ds:datastoreItem xmlns:ds="http://schemas.openxmlformats.org/officeDocument/2006/customXml" ds:itemID="{E416FD97-0309-4622-ADDC-B5284FF7B45A}">
  <ds:schemaRefs>
    <ds:schemaRef ds:uri="http://schemas.microsoft.com/sharepoint/v3/contenttype/forms"/>
  </ds:schemaRefs>
</ds:datastoreItem>
</file>

<file path=customXml/itemProps2.xml><?xml version="1.0" encoding="utf-8"?>
<ds:datastoreItem xmlns:ds="http://schemas.openxmlformats.org/officeDocument/2006/customXml" ds:itemID="{FC2E4027-94E2-40BB-A792-6F82192999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6bce59-815f-4302-9828-5bd2d37d1a99"/>
    <ds:schemaRef ds:uri="a3068c2e-f5ef-4571-b18b-7fd57ba677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ADFC3B-3E9A-4D12-B25F-E1B8C416A0FB}">
  <ds:schemaRefs>
    <ds:schemaRef ds:uri="http://schemas.microsoft.com/office/2006/metadata/properties"/>
    <ds:schemaRef ds:uri="http://schemas.microsoft.com/office/infopath/2007/PartnerControls"/>
    <ds:schemaRef ds:uri="a3068c2e-f5ef-4571-b18b-7fd57ba677ca"/>
    <ds:schemaRef ds:uri="eb6bce59-815f-4302-9828-5bd2d37d1a9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External Prices</vt:lpstr>
      <vt:lpstr>Internal Sales price</vt:lpstr>
      <vt:lpstr>Rules</vt:lpstr>
      <vt:lpstr>Cost prices</vt:lpstr>
      <vt:lpstr>Cost tables</vt:lpstr>
      <vt:lpstr>Margins</vt:lpstr>
      <vt:lpstr>Unit parts</vt:lpstr>
      <vt:lpstr>Logistics</vt:lpstr>
      <vt:lpstr>Price Split Quote</vt:lpstr>
      <vt:lpstr>Finance model</vt:lpstr>
      <vt:lpstr>AL details</vt:lpstr>
      <vt:lpstr>Promo24</vt:lpstr>
      <vt:lpstr>GPT prices</vt:lpstr>
      <vt:lpstr>FOOT_BRAND</vt:lpstr>
      <vt:lpstr>NO_NAME_CN</vt:lpstr>
      <vt:lpstr>SITE_GLASS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 Dath Harbo</dc:creator>
  <cp:keywords/>
  <dc:description/>
  <cp:lastModifiedBy>Claus Siegaard</cp:lastModifiedBy>
  <cp:revision/>
  <dcterms:created xsi:type="dcterms:W3CDTF">2021-01-08T05:28:33Z</dcterms:created>
  <dcterms:modified xsi:type="dcterms:W3CDTF">2026-04-11T07:55:54Z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0x010100840A15F588552E49878E2F51D1E2897D</vt:lpwstr>
  </property>
  <property fmtid="{D5CDD505-2E9C-101B-9397-08002B2CF9AE}" pid="3" name="MediaServiceImageTags">
    <vt:lpwstr/>
  </property>
</Properties>
</file>