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Change-log" sheetId="1" state="visible" r:id="rId2"/>
    <sheet name="Orbit Parameters" sheetId="2" state="visible" r:id="rId3"/>
    <sheet name="EPS Parameters" sheetId="3" state="visible" r:id="rId4"/>
    <sheet name="Power Consumption - Components" sheetId="4" state="visible" r:id="rId5"/>
    <sheet name="Power Modes" sheetId="5" state="visible" r:id="rId6"/>
    <sheet name="BoH" sheetId="6" state="visible" r:id="rId7"/>
    <sheet name="Magnetometer" sheetId="7" state="visible" r:id="rId8"/>
    <sheet name="Gyro" sheetId="8" state="visible" r:id="rId9"/>
    <sheet name="Startrakers" sheetId="9" state="visible" r:id="rId10"/>
    <sheet name="Rods" sheetId="10" state="visible" r:id="rId11"/>
    <sheet name="RW" sheetId="11" state="visible" r:id="rId12"/>
    <sheet name="Propulsio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<sst xmlns="http://schemas.openxmlformats.org/spreadsheetml/2006/main" count="688" uniqueCount="449">
  <si>
    <t xml:space="preserve">Project:</t>
  </si>
  <si>
    <t xml:space="preserve">Ref:</t>
  </si>
  <si>
    <t xml:space="preserve">TB-Power</t>
  </si>
  <si>
    <t xml:space="preserve">Doc:</t>
  </si>
  <si>
    <t xml:space="preserve">Power Budget</t>
  </si>
  <si>
    <t xml:space="preserve">Issue:</t>
  </si>
  <si>
    <t xml:space="preserve">Date:</t>
  </si>
  <si>
    <t xml:space="preserve">Issue</t>
  </si>
  <si>
    <t xml:space="preserve">Date</t>
  </si>
  <si>
    <t xml:space="preserve">Change</t>
  </si>
  <si>
    <t xml:space="preserve">Affected Area</t>
  </si>
  <si>
    <t xml:space="preserve">Author</t>
  </si>
  <si>
    <t xml:space="preserve">Date </t>
  </si>
  <si>
    <t xml:space="preserve">Checked by:</t>
  </si>
  <si>
    <t xml:space="preserve">Issue </t>
  </si>
  <si>
    <t xml:space="preserve">Approved by:</t>
  </si>
  <si>
    <t xml:space="preserve">Circular Orbit</t>
  </si>
  <si>
    <t xml:space="preserve">Elliptical Orbit</t>
  </si>
  <si>
    <t xml:space="preserve">Altitude</t>
  </si>
  <si>
    <t xml:space="preserve">km</t>
  </si>
  <si>
    <t xml:space="preserve">Re</t>
  </si>
  <si>
    <t xml:space="preserve">Inclination</t>
  </si>
  <si>
    <t xml:space="preserve">deg</t>
  </si>
  <si>
    <t xml:space="preserve">h_p</t>
  </si>
  <si>
    <t xml:space="preserve">Period</t>
  </si>
  <si>
    <t xml:space="preserve">s</t>
  </si>
  <si>
    <t xml:space="preserve">h_a</t>
  </si>
  <si>
    <t xml:space="preserve">hr</t>
  </si>
  <si>
    <t xml:space="preserve">r_p</t>
  </si>
  <si>
    <t xml:space="preserve">Eclipse Fraction</t>
  </si>
  <si>
    <t xml:space="preserve">-</t>
  </si>
  <si>
    <t xml:space="preserve">r_a</t>
  </si>
  <si>
    <t xml:space="preserve">Eclipse Period</t>
  </si>
  <si>
    <t xml:space="preserve">ecc</t>
  </si>
  <si>
    <t xml:space="preserve">Sunlight Period</t>
  </si>
  <si>
    <t xml:space="preserve">a</t>
  </si>
  <si>
    <t xml:space="preserve">inc</t>
  </si>
  <si>
    <t xml:space="preserve">EPS Efficiencies</t>
  </si>
  <si>
    <t xml:space="preserve">Efficiency</t>
  </si>
  <si>
    <t xml:space="preserve">Source</t>
  </si>
  <si>
    <t xml:space="preserve">Buck Converters</t>
  </si>
  <si>
    <t xml:space="preserve">Vbatt to Vbatt</t>
  </si>
  <si>
    <t xml:space="preserve">Vbatt to TBD</t>
  </si>
  <si>
    <t xml:space="preserve">Vbatt to 5V</t>
  </si>
  <si>
    <t xml:space="preserve">Vbatt to 3.3V</t>
  </si>
  <si>
    <t xml:space="preserve">Boost Conv</t>
  </si>
  <si>
    <t xml:space="preserve">ACU</t>
  </si>
  <si>
    <t xml:space="preserve">Battery</t>
  </si>
  <si>
    <t xml:space="preserve">Charge-Discharge</t>
  </si>
  <si>
    <t xml:space="preserve">Solar  Cells</t>
  </si>
  <si>
    <t xml:space="preserve">Degradation</t>
  </si>
  <si>
    <t xml:space="preserve">Battery Pack</t>
  </si>
  <si>
    <t xml:space="preserve">Voltage [V]</t>
  </si>
  <si>
    <t xml:space="preserve">V</t>
  </si>
  <si>
    <t xml:space="preserve">Capacity [Ah]</t>
  </si>
  <si>
    <t xml:space="preserve">Ah</t>
  </si>
  <si>
    <t xml:space="preserve">Series Cells [#]</t>
  </si>
  <si>
    <t xml:space="preserve">Parallel Cells [#]</t>
  </si>
  <si>
    <t xml:space="preserve">Battery Voltage Vbatt [V]</t>
  </si>
  <si>
    <t xml:space="preserve">Battery Capacity [Ah]</t>
  </si>
  <si>
    <t xml:space="preserve">Energy [Whr]</t>
  </si>
  <si>
    <t xml:space="preserve">Wh</t>
  </si>
  <si>
    <t xml:space="preserve">BOL/EOL</t>
  </si>
  <si>
    <t xml:space="preserve">BOL - Efficiency</t>
  </si>
  <si>
    <t xml:space="preserve">BOL - Storage Capability</t>
  </si>
  <si>
    <t xml:space="preserve">J</t>
  </si>
  <si>
    <t xml:space="preserve">EOL - Efficiency</t>
  </si>
  <si>
    <t xml:space="preserve">EOL - Storage Capability</t>
  </si>
  <si>
    <t xml:space="preserve">DoD</t>
  </si>
  <si>
    <t xml:space="preserve">Max DoD</t>
  </si>
  <si>
    <t xml:space="preserve">Min SoC</t>
  </si>
  <si>
    <t xml:space="preserve">LIMITS!!!</t>
  </si>
  <si>
    <t xml:space="preserve">Battery Voltage [V]</t>
  </si>
  <si>
    <t xml:space="preserve">(Custom) Buck Conv #3</t>
  </si>
  <si>
    <t xml:space="preserve">Buck Conv #2</t>
  </si>
  <si>
    <t xml:space="preserve">Buck Conv #1</t>
  </si>
  <si>
    <t xml:space="preserve">Consumer</t>
  </si>
  <si>
    <t xml:space="preserve">System</t>
  </si>
  <si>
    <t xml:space="preserve">Subsystem</t>
  </si>
  <si>
    <t xml:space="preserve">Effective Power [W]</t>
  </si>
  <si>
    <t xml:space="preserve">Margin [%]</t>
  </si>
  <si>
    <t xml:space="preserve">Margined Power [W]</t>
  </si>
  <si>
    <t xml:space="preserve">GOS EPS</t>
  </si>
  <si>
    <t xml:space="preserve">Spacecraft Bus</t>
  </si>
  <si>
    <t xml:space="preserve">Avionics</t>
  </si>
  <si>
    <t xml:space="preserve">GOS OBC</t>
  </si>
  <si>
    <t xml:space="preserve">GOS UHF - Tx</t>
  </si>
  <si>
    <t xml:space="preserve">GOS UHF - Rx</t>
  </si>
  <si>
    <t xml:space="preserve">GOS UHF - Standby</t>
  </si>
  <si>
    <t xml:space="preserve">GOS Sun Sensors</t>
  </si>
  <si>
    <t xml:space="preserve">AOCS</t>
  </si>
  <si>
    <t xml:space="preserve">GOS star tracker</t>
  </si>
  <si>
    <t xml:space="preserve">GOS ADCS x 3</t>
  </si>
  <si>
    <t xml:space="preserve">GOS Payload Adapter</t>
  </si>
  <si>
    <t xml:space="preserve">Transponder X band stby</t>
  </si>
  <si>
    <t xml:space="preserve">Transponder X band Tx</t>
  </si>
  <si>
    <t xml:space="preserve">Payload Bus</t>
  </si>
  <si>
    <t xml:space="preserve">Slot #1</t>
  </si>
  <si>
    <t xml:space="preserve">IPU</t>
  </si>
  <si>
    <t xml:space="preserve">Slot #2</t>
  </si>
  <si>
    <t xml:space="preserve">OBC</t>
  </si>
  <si>
    <t xml:space="preserve">Slot #3</t>
  </si>
  <si>
    <t xml:space="preserve">Laser DRV</t>
  </si>
  <si>
    <t xml:space="preserve">Slot #4</t>
  </si>
  <si>
    <t xml:space="preserve">CO-CO</t>
  </si>
  <si>
    <t xml:space="preserve">Slot #5</t>
  </si>
  <si>
    <t xml:space="preserve">Converter Output</t>
  </si>
  <si>
    <t xml:space="preserve">TOTAL</t>
  </si>
  <si>
    <t xml:space="preserve">Standby 1 orbit</t>
  </si>
  <si>
    <t xml:space="preserve">Camera ON 1 orbit</t>
  </si>
  <si>
    <t xml:space="preserve">Transponder 1 orbit rx</t>
  </si>
  <si>
    <t xml:space="preserve">Optical communication 1 orbit</t>
  </si>
  <si>
    <t xml:space="preserve">Transponder 1 orbit TX</t>
  </si>
  <si>
    <t xml:space="preserve">Duty Cycle [%]</t>
  </si>
  <si>
    <t xml:space="preserve">Time [s]</t>
  </si>
  <si>
    <t xml:space="preserve">Avg Power [W]</t>
  </si>
  <si>
    <t xml:space="preserve"> </t>
  </si>
  <si>
    <t xml:space="preserve">System Margin</t>
  </si>
  <si>
    <t xml:space="preserve">TOTAL CONSUMPTION </t>
  </si>
  <si>
    <t xml:space="preserve">W</t>
  </si>
  <si>
    <t xml:space="preserve">BOL</t>
  </si>
  <si>
    <t xml:space="preserve">Avg PG</t>
  </si>
  <si>
    <t xml:space="preserve">Avg Sunlight</t>
  </si>
  <si>
    <t xml:space="preserve">NET POWER (SUN)</t>
  </si>
  <si>
    <t xml:space="preserve">Energy in sunlight</t>
  </si>
  <si>
    <t xml:space="preserve">Whr</t>
  </si>
  <si>
    <t xml:space="preserve">Energy in eclipse</t>
  </si>
  <si>
    <t xml:space="preserve">DoD after 1 orbit</t>
  </si>
  <si>
    <t xml:space="preserve">EOL</t>
  </si>
  <si>
    <t xml:space="preserve">Constants</t>
  </si>
  <si>
    <t xml:space="preserve">Earth Radius</t>
  </si>
  <si>
    <t xml:space="preserve">Earth µ</t>
  </si>
  <si>
    <t xml:space="preserve">Bazookas</t>
  </si>
  <si>
    <t xml:space="preserve">Product</t>
  </si>
  <si>
    <t xml:space="preserve">Manufacturer</t>
  </si>
  <si>
    <t xml:space="preserve">Mass (kg)</t>
  </si>
  <si>
    <t xml:space="preserve">Resolution (nT)</t>
  </si>
  <si>
    <t xml:space="preserve">Power</t>
  </si>
  <si>
    <t xml:space="preserve">Sensitivity</t>
  </si>
  <si>
    <t xml:space="preserve">Magnetometer</t>
  </si>
  <si>
    <t xml:space="preserve">New Space Systems</t>
  </si>
  <si>
    <t xml:space="preserve">Unkn.</t>
  </si>
  <si>
    <t xml:space="preserve">https://www.cubesatshop.com/product/nss-magnetometer/</t>
  </si>
  <si>
    <t xml:space="preserve">MicroMag3</t>
  </si>
  <si>
    <t xml:space="preserve">PNI Corp</t>
  </si>
  <si>
    <t xml:space="preserve">0.2</t>
  </si>
  <si>
    <t xml:space="preserve">https://www.sparkfun.com/datasheets/Sensors/MicroMag3%20Data%20Sheet.pdf</t>
  </si>
  <si>
    <t xml:space="preserve">MAG-3 Three-Axis Magnetometer</t>
  </si>
  <si>
    <t xml:space="preserve">SpaceQuest</t>
  </si>
  <si>
    <t xml:space="preserve">0.1</t>
  </si>
  <si>
    <t xml:space="preserve">100 μV/nT</t>
  </si>
  <si>
    <t xml:space="preserve">http://www.spacequest.com/attitude-determination-control/mag-3</t>
  </si>
  <si>
    <t xml:space="preserve">HMC2003 </t>
  </si>
  <si>
    <t xml:space="preserve">Honeywell</t>
  </si>
  <si>
    <t xml:space="preserve">1,02V/gauss</t>
  </si>
  <si>
    <t xml:space="preserve">https://www.digikey.de/product-detail/de/honeywell-aerospace/HMC2003/342-1011-ND/334166</t>
  </si>
  <si>
    <t xml:space="preserve">MAG-3</t>
  </si>
  <si>
    <t xml:space="preserve">Semiconductor</t>
  </si>
  <si>
    <t xml:space="preserve">0,1 μT/bit</t>
  </si>
  <si>
    <t xml:space="preserve">https://cdn.sparkfun.com/datasheets/Sensors/Magneto/MAG3110.pdf</t>
  </si>
  <si>
    <t xml:space="preserve">LIS3MDL</t>
  </si>
  <si>
    <t xml:space="preserve">ST</t>
  </si>
  <si>
    <t xml:space="preserve">1711 LSB/gauss</t>
  </si>
  <si>
    <t xml:space="preserve">https://eu.mouser.com/datasheet/2/389/lis3mdl-954956.pdf</t>
  </si>
  <si>
    <t xml:space="preserve">BMM150</t>
  </si>
  <si>
    <t xml:space="preserve">bosch</t>
  </si>
  <si>
    <t xml:space="preserve">https://www.bosch-sensortec.com/bst/products/all_products/bmm150</t>
  </si>
  <si>
    <t xml:space="preserve">FGM-A-75</t>
  </si>
  <si>
    <t xml:space="preserve">Zarm</t>
  </si>
  <si>
    <t xml:space="preserve">https://www.zarm-technik.de/products/magnetometer/</t>
  </si>
  <si>
    <t xml:space="preserve">HMC5883L</t>
  </si>
  <si>
    <t xml:space="preserve">1370LSb/gauss</t>
  </si>
  <si>
    <t xml:space="preserve">https://cdn-shop.adafruit.com/datasheets/HMC5883L_3-Axis_Digital_Compass_IC.pdf</t>
  </si>
  <si>
    <t xml:space="preserve">HMC1043L</t>
  </si>
  <si>
    <t xml:space="preserve">1.2mV/V/gauss</t>
  </si>
  <si>
    <t xml:space="preserve">http://www.farnell.com/datasheets/1802212.pdf?_ga=2.55696107.135361852.1571604725-1845556990.1571604725</t>
  </si>
  <si>
    <t xml:space="preserve">Gyroscop</t>
  </si>
  <si>
    <t xml:space="preserve">Type</t>
  </si>
  <si>
    <t xml:space="preserve">Bias Stability (°h-1)</t>
  </si>
  <si>
    <t xml:space="preserve">Random Walk (°h-1/2)</t>
  </si>
  <si>
    <t xml:space="preserve">Power consumption (W)</t>
  </si>
  <si>
    <t xml:space="preserve">Preis €</t>
  </si>
  <si>
    <t xml:space="preserve">+accelerometer</t>
  </si>
  <si>
    <t xml:space="preserve">ADIS16334</t>
  </si>
  <si>
    <t xml:space="preserve">Analog Devices</t>
  </si>
  <si>
    <t xml:space="preserve">-4-axis MEMS</t>
  </si>
  <si>
    <t xml:space="preserve">https://www.analog.com/media/en/technical-documentation/data-sheets/ADIS16334.pdf</t>
  </si>
  <si>
    <t xml:space="preserve">https://pdfs.semanticscholar.org/0141/cd1376df386792a915a610c72436e596ea4b.pdf</t>
  </si>
  <si>
    <t xml:space="preserve">ADIS 16350</t>
  </si>
  <si>
    <t xml:space="preserve">-3-axis MEMS</t>
  </si>
  <si>
    <t xml:space="preserve">https://www.analog.com/media/en/technical-documentation/data-sheets/ADIS16350_16355.pdf</t>
  </si>
  <si>
    <t xml:space="preserve">ADIS16365</t>
  </si>
  <si>
    <t xml:space="preserve">-2-axis MEMS</t>
  </si>
  <si>
    <t xml:space="preserve">https://www.analog.com/media/en/technical-documentation/data-sheets/ADIS16360_16365.pdf</t>
  </si>
  <si>
    <t xml:space="preserve">ADIS16485</t>
  </si>
  <si>
    <t xml:space="preserve">-1-axis MEMS</t>
  </si>
  <si>
    <t xml:space="preserve">https://www.analog.com/media/en/technical-documentation/data-sheets/ADIS16485.pdf</t>
  </si>
  <si>
    <t xml:space="preserve">ADIS16405</t>
  </si>
  <si>
    <t xml:space="preserve">3-axis MEMS</t>
  </si>
  <si>
    <t xml:space="preserve">https://www.analog.com/media/en/technical-documentation/data-sheets/ADIS16400_16405.pdf</t>
  </si>
  <si>
    <t xml:space="preserve">MASIMU01</t>
  </si>
  <si>
    <t xml:space="preserve">Micro Aerospace Solutions</t>
  </si>
  <si>
    <t xml:space="preserve">0.06</t>
  </si>
  <si>
    <t xml:space="preserve">0.6</t>
  </si>
  <si>
    <t xml:space="preserve">https://www.micro-a.net/imu-tmpl.html</t>
  </si>
  <si>
    <t xml:space="preserve">MASIMU02</t>
  </si>
  <si>
    <t xml:space="preserve">0.02</t>
  </si>
  <si>
    <t xml:space="preserve">0.7</t>
  </si>
  <si>
    <t xml:space="preserve">MASIMU03</t>
  </si>
  <si>
    <t xml:space="preserve">0.8</t>
  </si>
  <si>
    <t xml:space="preserve">STIM202</t>
  </si>
  <si>
    <t xml:space="preserve">Sensonor</t>
  </si>
  <si>
    <t xml:space="preserve">https://www.sensonor.com/products/gyro-modules/</t>
  </si>
  <si>
    <t xml:space="preserve">STIM210</t>
  </si>
  <si>
    <t xml:space="preserve">STIM300</t>
  </si>
  <si>
    <t xml:space="preserve">M-G370</t>
  </si>
  <si>
    <t xml:space="preserve">Epson</t>
  </si>
  <si>
    <t xml:space="preserve">https://global.epson.com/products_and_drivers/sensing_system/imu/g370/</t>
  </si>
  <si>
    <t xml:space="preserve">M-G362</t>
  </si>
  <si>
    <t xml:space="preserve">https://www.texim-europe.com/product/M-G362PDC1-EPS</t>
  </si>
  <si>
    <t xml:space="preserve">M-V340</t>
  </si>
  <si>
    <t xml:space="preserve">https://global.epson.com/products_and_drivers/sensing_system/imu/v340/</t>
  </si>
  <si>
    <t xml:space="preserve">+accelerometer,Magnetometer</t>
  </si>
  <si>
    <t xml:space="preserve">VN100</t>
  </si>
  <si>
    <t xml:space="preserve">VectorNav</t>
  </si>
  <si>
    <t xml:space="preserve">https://www.vectornav.com/docs/default-source/documentation/vn-100-documentation/PB-12-0002.pdf?sfvrsn=9f9fe6b9_18</t>
  </si>
  <si>
    <t xml:space="preserve">LORD 3DM-GX5-10</t>
  </si>
  <si>
    <t xml:space="preserve">MicroStrain</t>
  </si>
  <si>
    <t xml:space="preserve">https://s3.amazonaws.com/download.microstrain.com/Datasheets/3DM-GX5-10+Datasheet+(8400-0095)+Rev+H.pdf</t>
  </si>
  <si>
    <t xml:space="preserve">Mass  incl. baffle (kg)</t>
  </si>
  <si>
    <t xml:space="preserve">Accuracy (arcsec)</t>
  </si>
  <si>
    <t xml:space="preserve">Power (W)</t>
  </si>
  <si>
    <t xml:space="preserve">Dimensions (mm^3)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</si>
  <si>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</si>
  <si>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</si>
  <si>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</si>
  <si>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</si>
  <si>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</si>
  <si>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</si>
  <si>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</si>
  <si>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</si>
  <si>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</si>
  <si>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</si>
  <si>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</si>
  <si>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</si>
  <si>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</si>
  <si>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</si>
  <si>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</si>
  <si>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</si>
  <si>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</si>
  <si>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</si>
  <si>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</si>
  <si>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</si>
  <si>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</si>
  <si>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</si>
  <si>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</si>
  <si>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</si>
  <si>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</si>
  <si>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</si>
  <si>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</si>
  <si>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</si>
  <si>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</si>
  <si>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</si>
  <si>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</si>
  <si>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</si>
  <si>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</si>
  <si>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</si>
  <si>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</si>
  <si>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</si>
  <si>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</si>
  <si>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</si>
  <si>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</si>
  <si>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</si>
  <si>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</si>
  <si>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</si>
  <si>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</si>
  <si>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</si>
  <si>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</si>
  <si>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</si>
  <si>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</si>
  <si>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</si>
  <si>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</si>
  <si>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</si>
  <si>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</si>
  <si>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</si>
  <si>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</si>
  <si>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</si>
  <si>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</si>
  <si>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</si>
  <si>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</si>
  <si>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</si>
  <si>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</si>
  <si>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</si>
  <si>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</si>
  <si>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</si>
  <si>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</si>
  <si>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</si>
  <si>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</si>
  <si>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</si>
  <si>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</si>
  <si>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</si>
  <si>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</si>
  <si>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</si>
  <si>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</si>
  <si>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</si>
  <si>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</si>
  <si>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</si>
  <si>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</si>
  <si>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</si>
  <si>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</si>
  <si>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</si>
  <si>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</si>
  <si>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</si>
  <si>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</si>
  <si>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</si>
  <si>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</si>
  <si>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</si>
  <si>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</si>
  <si>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</si>
  <si>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</si>
  <si>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</si>
  <si>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</si>
  <si>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</si>
  <si>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</si>
  <si>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</si>
  <si>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</si>
  <si>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</si>
  <si>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</si>
  <si>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</si>
  <si>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</si>
  <si>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</si>
  <si>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</si>
  <si>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</si>
  <si>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</si>
  <si>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</si>
  <si>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</si>
  <si>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</si>
  <si>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</si>
  <si>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</si>
  <si>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</si>
  <si>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Sinclair Interplanetary</t>
  </si>
  <si>
    <t xml:space="preserve">0.5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</si>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</sst>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DD/MM/YYYY;@"/>
    <numFmt numFmtId="167" formatCode="0.0%"/>
    <numFmt numFmtId="168" formatCode="0.00"/>
    <numFmt numFmtId="169" formatCode="0.0"/>
    <numFmt numFmtId="170" formatCode="0.00%"/>
    <numFmt numFmtId="171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2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>
        <color rgb="FF7F7F7F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sensonor.com/products/gyro-modu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3" min="1" style="0" width="11.5708502024291"/>
    <col collapsed="false" hidden="false" max="4" min="4" style="0" width="46.919028340081"/>
    <col collapsed="false" hidden="false" max="5" min="5" style="0" width="13.3886639676113"/>
    <col collapsed="false" hidden="false" max="6" min="6" style="0" width="23.3522267206478"/>
    <col collapsed="false" hidden="false" max="1025" min="7" style="0" width="11.5708502024291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2"/>
      <c r="E2" s="3" t="s">
        <v>1</v>
      </c>
      <c r="F2" s="4" t="s">
        <v>2</v>
      </c>
    </row>
    <row r="3" customFormat="false" ht="15" hidden="false" customHeight="false" outlineLevel="0" collapsed="false">
      <c r="C3" s="5" t="s">
        <v>3</v>
      </c>
      <c r="D3" s="0" t="s">
        <v>4</v>
      </c>
      <c r="E3" s="6" t="s">
        <v>5</v>
      </c>
      <c r="F3" s="7" t="e">
        <f aca="false">LOOKUP(2,1/(NOT(ISBLANK(B8:B17))),B8:B17)</f>
        <v>#DIV/0!</v>
      </c>
    </row>
    <row r="4" customFormat="false" ht="15.75" hidden="false" customHeight="false" outlineLevel="0" collapsed="false">
      <c r="C4" s="8"/>
      <c r="D4" s="9"/>
      <c r="E4" s="10" t="s">
        <v>6</v>
      </c>
      <c r="F4" s="11" t="e">
        <f aca="false">LOOKUP(2,1/(NOT(ISBLANK(C8:C17))),C8:C17)</f>
        <v>#DIV/0!</v>
      </c>
    </row>
    <row r="6" customFormat="false" ht="15.75" hidden="false" customHeight="false" outlineLevel="0" collapsed="false"/>
    <row r="7" customFormat="false" ht="15" hidden="false" customHeight="false" outlineLevel="0" collapsed="false">
      <c r="B7" s="12" t="s">
        <v>7</v>
      </c>
      <c r="C7" s="13" t="s">
        <v>8</v>
      </c>
      <c r="D7" s="13" t="s">
        <v>9</v>
      </c>
      <c r="E7" s="13" t="s">
        <v>10</v>
      </c>
      <c r="F7" s="14" t="s">
        <v>11</v>
      </c>
    </row>
    <row r="8" customFormat="false" ht="15" hidden="false" customHeight="false" outlineLevel="0" collapsed="false">
      <c r="B8" s="15"/>
      <c r="C8" s="16"/>
      <c r="D8" s="17"/>
      <c r="E8" s="17"/>
      <c r="F8" s="18"/>
    </row>
    <row r="9" customFormat="false" ht="15" hidden="false" customHeight="false" outlineLevel="0" collapsed="false">
      <c r="B9" s="19"/>
      <c r="C9" s="20"/>
      <c r="D9" s="17"/>
      <c r="E9" s="17"/>
      <c r="F9" s="18"/>
    </row>
    <row r="10" customFormat="false" ht="15" hidden="false" customHeight="false" outlineLevel="0" collapsed="false">
      <c r="B10" s="19"/>
      <c r="C10" s="20"/>
      <c r="D10" s="17"/>
      <c r="E10" s="17"/>
      <c r="F10" s="18"/>
    </row>
    <row r="11" customFormat="false" ht="15" hidden="false" customHeight="false" outlineLevel="0" collapsed="false">
      <c r="B11" s="19"/>
      <c r="C11" s="20"/>
      <c r="D11" s="17"/>
      <c r="E11" s="17"/>
      <c r="F11" s="18"/>
    </row>
    <row r="12" customFormat="false" ht="15" hidden="false" customHeight="false" outlineLevel="0" collapsed="false">
      <c r="B12" s="19"/>
      <c r="C12" s="20"/>
      <c r="D12" s="17"/>
      <c r="E12" s="17"/>
      <c r="F12" s="18"/>
    </row>
    <row r="13" customFormat="false" ht="15" hidden="false" customHeight="false" outlineLevel="0" collapsed="false">
      <c r="B13" s="19"/>
      <c r="C13" s="20"/>
      <c r="D13" s="17"/>
      <c r="E13" s="17"/>
      <c r="F13" s="18"/>
    </row>
    <row r="14" customFormat="false" ht="15" hidden="false" customHeight="false" outlineLevel="0" collapsed="false">
      <c r="B14" s="19"/>
      <c r="C14" s="20"/>
      <c r="D14" s="17"/>
      <c r="E14" s="17"/>
      <c r="F14" s="18"/>
    </row>
    <row r="15" customFormat="false" ht="15" hidden="false" customHeight="false" outlineLevel="0" collapsed="false">
      <c r="B15" s="19"/>
      <c r="C15" s="20"/>
      <c r="D15" s="17"/>
      <c r="E15" s="17"/>
      <c r="F15" s="18"/>
    </row>
    <row r="16" customFormat="false" ht="15" hidden="false" customHeight="false" outlineLevel="0" collapsed="false">
      <c r="B16" s="19"/>
      <c r="C16" s="20"/>
      <c r="D16" s="17"/>
      <c r="E16" s="17"/>
      <c r="F16" s="18"/>
    </row>
    <row r="17" customFormat="false" ht="15.75" hidden="false" customHeight="false" outlineLevel="0" collapsed="false">
      <c r="B17" s="21"/>
      <c r="C17" s="22"/>
      <c r="D17" s="23"/>
      <c r="E17" s="23"/>
      <c r="F17" s="24"/>
    </row>
    <row r="20" customFormat="false" ht="15.75" hidden="false" customHeight="false" outlineLevel="0" collapsed="false"/>
    <row r="21" customFormat="false" ht="15" hidden="false" customHeight="false" outlineLevel="0" collapsed="false">
      <c r="B21" s="12" t="s">
        <v>7</v>
      </c>
      <c r="C21" s="13" t="s">
        <v>12</v>
      </c>
      <c r="D21" s="14" t="s">
        <v>13</v>
      </c>
    </row>
    <row r="22" customFormat="false" ht="15" hidden="false" customHeight="false" outlineLevel="0" collapsed="false">
      <c r="B22" s="25"/>
      <c r="C22" s="26"/>
      <c r="D22" s="18"/>
    </row>
    <row r="23" customFormat="false" ht="15.75" hidden="false" customHeight="false" outlineLevel="0" collapsed="false">
      <c r="B23" s="27"/>
      <c r="C23" s="28"/>
      <c r="D23" s="24"/>
    </row>
    <row r="25" customFormat="false" ht="15" hidden="false" customHeight="false" outlineLevel="0" collapsed="false">
      <c r="B25" s="12" t="s">
        <v>14</v>
      </c>
      <c r="C25" s="13" t="s">
        <v>8</v>
      </c>
      <c r="D25" s="14" t="s">
        <v>15</v>
      </c>
    </row>
    <row r="26" customFormat="false" ht="15" hidden="false" customHeight="false" outlineLevel="0" collapsed="false">
      <c r="B26" s="25"/>
      <c r="C26" s="26"/>
      <c r="D26" s="18"/>
    </row>
    <row r="27" customFormat="false" ht="15.75" hidden="false" customHeight="false" outlineLevel="0" collapsed="false">
      <c r="B27" s="27"/>
      <c r="C27" s="28"/>
      <c r="D27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708502024291"/>
    <col collapsed="false" hidden="false" max="2" min="2" style="0" width="13.6032388663968"/>
    <col collapsed="false" hidden="false" max="3" min="3" style="0" width="12.5344129554656"/>
    <col collapsed="false" hidden="false" max="4" min="4" style="0" width="20.995951417004"/>
    <col collapsed="false" hidden="false" max="5" min="5" style="0" width="10.9271255060729"/>
    <col collapsed="false" hidden="false" max="6" min="6" style="0" width="9.10526315789474"/>
    <col collapsed="false" hidden="false" max="7" min="7" style="0" width="10.8178137651822"/>
    <col collapsed="false" hidden="false" max="8" min="8" style="0" width="14.5668016194332"/>
    <col collapsed="false" hidden="false" max="1025" min="9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17" t="s">
        <v>278</v>
      </c>
      <c r="C8" s="117"/>
      <c r="D8" s="117"/>
      <c r="E8" s="117"/>
      <c r="F8" s="117"/>
      <c r="G8" s="117"/>
      <c r="H8" s="117"/>
      <c r="I8" s="117"/>
    </row>
    <row r="9" customFormat="false" ht="46.45" hidden="false" customHeight="true" outlineLevel="0" collapsed="false">
      <c r="B9" s="6" t="s">
        <v>134</v>
      </c>
      <c r="C9" s="6" t="s">
        <v>133</v>
      </c>
      <c r="D9" s="6" t="s">
        <v>279</v>
      </c>
      <c r="E9" s="6" t="s">
        <v>280</v>
      </c>
      <c r="F9" s="6" t="s">
        <v>281</v>
      </c>
      <c r="G9" s="6" t="s">
        <v>282</v>
      </c>
      <c r="H9" s="6" t="s">
        <v>283</v>
      </c>
      <c r="I9" s="6" t="s">
        <v>284</v>
      </c>
    </row>
    <row r="10" customFormat="false" ht="13.8" hidden="false" customHeight="false" outlineLevel="0" collapsed="false">
      <c r="B10" s="0" t="s">
        <v>168</v>
      </c>
      <c r="C10" s="0" t="s">
        <v>285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286</v>
      </c>
    </row>
    <row r="11" customFormat="false" ht="13.8" hidden="false" customHeight="false" outlineLevel="0" collapsed="false">
      <c r="B11" s="0" t="s">
        <v>168</v>
      </c>
      <c r="C11" s="0" t="s">
        <v>287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286</v>
      </c>
    </row>
    <row r="12" customFormat="false" ht="14.9" hidden="false" customHeight="false" outlineLevel="0" collapsed="false">
      <c r="B12" s="0" t="s">
        <v>168</v>
      </c>
      <c r="C12" s="116" t="s">
        <v>288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286</v>
      </c>
    </row>
    <row r="13" customFormat="false" ht="13.8" hidden="false" customHeight="false" outlineLevel="0" collapsed="false">
      <c r="B13" s="0" t="s">
        <v>289</v>
      </c>
      <c r="C13" s="0" t="s">
        <v>290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291</v>
      </c>
    </row>
    <row r="14" customFormat="false" ht="13.8" hidden="false" customHeight="false" outlineLevel="0" collapsed="false">
      <c r="A14" s="0" t="s">
        <v>292</v>
      </c>
      <c r="B14" s="0" t="s">
        <v>293</v>
      </c>
      <c r="C14" s="0" t="s">
        <v>294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295</v>
      </c>
      <c r="J14" s="0" t="s">
        <v>296</v>
      </c>
    </row>
    <row r="15" customFormat="false" ht="13.8" hidden="false" customHeight="false" outlineLevel="0" collapsed="false">
      <c r="A15" s="0" t="s">
        <v>292</v>
      </c>
      <c r="B15" s="0" t="s">
        <v>297</v>
      </c>
      <c r="C15" s="0" t="s">
        <v>298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299</v>
      </c>
      <c r="J15" s="0" t="s">
        <v>300</v>
      </c>
    </row>
    <row r="16" customFormat="false" ht="13.8" hidden="false" customHeight="false" outlineLevel="0" collapsed="false">
      <c r="A16" s="0" t="s">
        <v>292</v>
      </c>
      <c r="B16" s="0" t="s">
        <v>301</v>
      </c>
      <c r="C16" s="0" t="s">
        <v>302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303</v>
      </c>
      <c r="J16" s="0" t="s">
        <v>304</v>
      </c>
    </row>
    <row r="17" customFormat="false" ht="13.8" hidden="false" customHeight="false" outlineLevel="0" collapsed="false">
      <c r="B17" s="0" t="s">
        <v>305</v>
      </c>
      <c r="C17" s="0" t="s">
        <v>306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307</v>
      </c>
    </row>
    <row r="18" customFormat="false" ht="13.8" hidden="false" customHeight="false" outlineLevel="0" collapsed="false">
      <c r="B18" s="0" t="s">
        <v>308</v>
      </c>
      <c r="C18" s="0" t="s">
        <v>309</v>
      </c>
      <c r="D18" s="0" t="n">
        <v>0.19</v>
      </c>
      <c r="E18" s="0" t="s">
        <v>310</v>
      </c>
      <c r="F18" s="0" t="s">
        <v>311</v>
      </c>
      <c r="G18" s="0" t="n">
        <v>0.007</v>
      </c>
      <c r="H18" s="0" t="s">
        <v>312</v>
      </c>
      <c r="I18" s="0" t="n">
        <v>3</v>
      </c>
      <c r="J18" s="0" t="s">
        <v>313</v>
      </c>
    </row>
    <row r="19" customFormat="false" ht="13.8" hidden="false" customHeight="false" outlineLevel="0" collapsed="false">
      <c r="B19" s="0" t="s">
        <v>253</v>
      </c>
      <c r="C19" s="0" t="s">
        <v>314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315</v>
      </c>
    </row>
    <row r="20" customFormat="false" ht="13.8" hidden="false" customHeight="false" outlineLevel="0" collapsed="false">
      <c r="B20" s="0" t="s">
        <v>253</v>
      </c>
      <c r="C20" s="0" t="s">
        <v>314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316</v>
      </c>
    </row>
    <row r="21" customFormat="false" ht="13.8" hidden="false" customHeight="false" outlineLevel="0" collapsed="false">
      <c r="B21" s="0" t="s">
        <v>305</v>
      </c>
      <c r="C21" s="0" t="s">
        <v>317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318</v>
      </c>
      <c r="J21" s="0" t="s">
        <v>319</v>
      </c>
    </row>
    <row r="22" customFormat="false" ht="13.8" hidden="false" customHeight="false" outlineLevel="0" collapsed="false">
      <c r="B22" s="0" t="s">
        <v>289</v>
      </c>
      <c r="C22" s="0" t="s">
        <v>320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321</v>
      </c>
      <c r="J22" s="0" t="s">
        <v>322</v>
      </c>
    </row>
    <row r="23" customFormat="false" ht="13.8" hidden="false" customHeight="false" outlineLevel="0" collapsed="false">
      <c r="B23" s="0" t="s">
        <v>323</v>
      </c>
      <c r="C23" s="0" t="s">
        <v>324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325</v>
      </c>
      <c r="J23" s="0" t="s">
        <v>326</v>
      </c>
    </row>
    <row r="24" customFormat="false" ht="14.9" hidden="false" customHeight="false" outlineLevel="0" collapsed="false">
      <c r="B24" s="116" t="s">
        <v>323</v>
      </c>
      <c r="C24" s="116" t="s">
        <v>327</v>
      </c>
      <c r="D24" s="119" t="n">
        <v>2</v>
      </c>
      <c r="E24" s="0" t="n">
        <v>5</v>
      </c>
      <c r="F24" s="116" t="n">
        <v>0.45</v>
      </c>
      <c r="G24" s="119" t="n">
        <v>0.23</v>
      </c>
      <c r="H24" s="0" t="s">
        <v>328</v>
      </c>
      <c r="J24" s="0" t="s">
        <v>329</v>
      </c>
    </row>
    <row r="25" customFormat="false" ht="13.8" hidden="false" customHeight="false" outlineLevel="0" collapsed="false">
      <c r="B25" s="0" t="s">
        <v>323</v>
      </c>
      <c r="C25" s="0" t="s">
        <v>330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329</v>
      </c>
    </row>
    <row r="26" customFormat="false" ht="13.8" hidden="false" customHeight="false" outlineLevel="0" collapsed="false">
      <c r="B26" s="0" t="s">
        <v>323</v>
      </c>
      <c r="C26" s="0" t="s">
        <v>331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332</v>
      </c>
      <c r="I26" s="0" t="n">
        <v>3.2</v>
      </c>
      <c r="J26" s="0" t="s">
        <v>326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2" min="1" style="0" width="9.10526315789474"/>
    <col collapsed="false" hidden="false" max="3" min="3" style="0" width="10.3886639676113"/>
    <col collapsed="false" hidden="false" max="4" min="4" style="0" width="19.7085020242915"/>
    <col collapsed="false" hidden="false" max="8" min="5" style="0" width="9.10526315789474"/>
    <col collapsed="false" hidden="false" max="9" min="9" style="0" width="13.3886639676113"/>
    <col collapsed="false" hidden="false" max="10" min="10" style="0" width="86.6599190283401"/>
    <col collapsed="false" hidden="false" max="11" min="11" style="0" width="27.6356275303644"/>
    <col collapsed="false" hidden="false" max="12" min="12" style="0" width="28.4939271255061"/>
    <col collapsed="false" hidden="false" max="1025" min="13" style="0" width="9.10526315789474"/>
  </cols>
  <sheetData>
    <row r="1" customFormat="false" ht="13.8" hidden="false" customHeight="false" outlineLevel="0" collapsed="false">
      <c r="H1" s="30"/>
    </row>
    <row r="2" customFormat="false" ht="13.8" hidden="false" customHeight="false" outlineLevel="0" collapsed="false">
      <c r="H2" s="30"/>
    </row>
    <row r="3" customFormat="false" ht="13.8" hidden="false" customHeight="false" outlineLevel="0" collapsed="false">
      <c r="H3" s="30"/>
    </row>
    <row r="4" customFormat="false" ht="20.2" hidden="false" customHeight="true" outlineLevel="0" collapsed="false">
      <c r="C4" s="120" t="s">
        <v>333</v>
      </c>
      <c r="D4" s="120"/>
      <c r="E4" s="120"/>
      <c r="F4" s="120"/>
      <c r="G4" s="120"/>
      <c r="H4" s="120" t="s">
        <v>334</v>
      </c>
      <c r="I4" s="120"/>
    </row>
    <row r="5" customFormat="false" ht="55.45" hidden="false" customHeight="false" outlineLevel="0" collapsed="false">
      <c r="C5" s="115" t="s">
        <v>133</v>
      </c>
      <c r="D5" s="115" t="s">
        <v>134</v>
      </c>
      <c r="E5" s="115" t="s">
        <v>135</v>
      </c>
      <c r="F5" s="115" t="s">
        <v>335</v>
      </c>
      <c r="G5" s="115" t="s">
        <v>336</v>
      </c>
      <c r="H5" s="115" t="s">
        <v>337</v>
      </c>
      <c r="I5" s="115" t="s">
        <v>338</v>
      </c>
      <c r="K5" s="30"/>
    </row>
    <row r="6" customFormat="false" ht="25.45" hidden="false" customHeight="true" outlineLevel="0" collapsed="false">
      <c r="A6" s="0" t="n">
        <v>1</v>
      </c>
      <c r="C6" s="121" t="s">
        <v>339</v>
      </c>
      <c r="D6" s="121" t="s">
        <v>340</v>
      </c>
      <c r="E6" s="121" t="n">
        <v>185</v>
      </c>
      <c r="F6" s="121" t="s">
        <v>341</v>
      </c>
      <c r="G6" s="121" t="n">
        <v>0.04</v>
      </c>
      <c r="H6" s="122" t="s">
        <v>342</v>
      </c>
      <c r="I6" s="122" t="s">
        <v>343</v>
      </c>
      <c r="J6" s="0" t="s">
        <v>344</v>
      </c>
      <c r="K6" s="30"/>
    </row>
    <row r="7" customFormat="false" ht="23.2" hidden="false" customHeight="true" outlineLevel="0" collapsed="false">
      <c r="A7" s="0" t="n">
        <v>2</v>
      </c>
      <c r="C7" s="121" t="s">
        <v>345</v>
      </c>
      <c r="D7" s="121" t="s">
        <v>340</v>
      </c>
      <c r="E7" s="121" t="s">
        <v>346</v>
      </c>
      <c r="F7" s="121" t="n">
        <v>1</v>
      </c>
      <c r="G7" s="121" t="n">
        <v>0.005</v>
      </c>
      <c r="H7" s="122" t="s">
        <v>347</v>
      </c>
      <c r="I7" s="122" t="s">
        <v>348</v>
      </c>
      <c r="J7" s="0" t="s">
        <v>344</v>
      </c>
      <c r="K7" s="30"/>
    </row>
    <row r="8" customFormat="false" ht="23.95" hidden="false" customHeight="true" outlineLevel="0" collapsed="false">
      <c r="A8" s="0" t="n">
        <v>3</v>
      </c>
      <c r="C8" s="121" t="s">
        <v>349</v>
      </c>
      <c r="D8" s="121" t="s">
        <v>340</v>
      </c>
      <c r="E8" s="121" t="s">
        <v>350</v>
      </c>
      <c r="F8" s="121" t="n">
        <v>1</v>
      </c>
      <c r="G8" s="121" t="n">
        <v>0.018</v>
      </c>
      <c r="H8" s="122" t="n">
        <v>1</v>
      </c>
      <c r="I8" s="122" t="s">
        <v>351</v>
      </c>
      <c r="J8" s="0" t="s">
        <v>344</v>
      </c>
      <c r="K8" s="30"/>
    </row>
    <row r="9" customFormat="false" ht="20.95" hidden="false" customHeight="true" outlineLevel="0" collapsed="false">
      <c r="A9" s="0" t="n">
        <v>4</v>
      </c>
      <c r="C9" s="121" t="s">
        <v>352</v>
      </c>
      <c r="D9" s="121" t="s">
        <v>340</v>
      </c>
      <c r="E9" s="121" t="n">
        <v>226</v>
      </c>
      <c r="F9" s="121" t="n">
        <v>20</v>
      </c>
      <c r="G9" s="121" t="n">
        <v>0.18</v>
      </c>
      <c r="H9" s="122" t="s">
        <v>353</v>
      </c>
      <c r="I9" s="122" t="s">
        <v>354</v>
      </c>
      <c r="J9" s="0" t="s">
        <v>344</v>
      </c>
    </row>
    <row r="10" customFormat="false" ht="34.45" hidden="false" customHeight="true" outlineLevel="0" collapsed="false">
      <c r="A10" s="0" t="n">
        <v>5</v>
      </c>
      <c r="C10" s="121" t="s">
        <v>355</v>
      </c>
      <c r="D10" s="121" t="s">
        <v>356</v>
      </c>
      <c r="E10" s="121" t="s">
        <v>357</v>
      </c>
      <c r="F10" s="121" t="n">
        <v>4</v>
      </c>
      <c r="G10" s="121" t="n">
        <v>0.015</v>
      </c>
      <c r="H10" s="122" t="n">
        <v>1</v>
      </c>
      <c r="I10" s="122" t="s">
        <v>358</v>
      </c>
      <c r="J10" s="0" t="s">
        <v>359</v>
      </c>
    </row>
    <row r="11" customFormat="false" ht="31.45" hidden="false" customHeight="true" outlineLevel="0" collapsed="false">
      <c r="A11" s="0" t="n">
        <v>6</v>
      </c>
      <c r="C11" s="121" t="s">
        <v>360</v>
      </c>
      <c r="D11" s="121" t="s">
        <v>356</v>
      </c>
      <c r="E11" s="121" t="s">
        <v>361</v>
      </c>
      <c r="F11" s="121" t="n">
        <v>7</v>
      </c>
      <c r="G11" s="121" t="n">
        <v>0.05</v>
      </c>
      <c r="H11" s="122" t="n">
        <v>1</v>
      </c>
      <c r="I11" s="122" t="s">
        <v>362</v>
      </c>
      <c r="J11" s="0" t="s">
        <v>359</v>
      </c>
    </row>
    <row r="12" customFormat="false" ht="13.8" hidden="false" customHeight="false" outlineLevel="0" collapsed="false">
      <c r="A12" s="0" t="n">
        <v>7</v>
      </c>
      <c r="C12" s="122" t="s">
        <v>363</v>
      </c>
      <c r="D12" s="122" t="s">
        <v>253</v>
      </c>
      <c r="E12" s="122" t="s">
        <v>364</v>
      </c>
      <c r="F12" s="122" t="n">
        <v>12</v>
      </c>
      <c r="G12" s="122" t="n">
        <v>0.05</v>
      </c>
      <c r="H12" s="122" t="s">
        <v>365</v>
      </c>
      <c r="I12" s="122" t="s">
        <v>366</v>
      </c>
      <c r="J12" s="0" t="s">
        <v>367</v>
      </c>
    </row>
    <row r="13" customFormat="false" ht="13.8" hidden="false" customHeight="false" outlineLevel="0" collapsed="false">
      <c r="A13" s="0" t="n">
        <v>8</v>
      </c>
      <c r="C13" s="122" t="s">
        <v>368</v>
      </c>
      <c r="D13" s="122" t="s">
        <v>253</v>
      </c>
      <c r="E13" s="122" t="s">
        <v>369</v>
      </c>
      <c r="F13" s="122" t="s">
        <v>149</v>
      </c>
      <c r="G13" s="122" t="n">
        <v>0.006</v>
      </c>
      <c r="H13" s="122" t="n">
        <v>0.8</v>
      </c>
      <c r="I13" s="122" t="s">
        <v>370</v>
      </c>
      <c r="J13" s="0" t="s">
        <v>371</v>
      </c>
    </row>
    <row r="14" customFormat="false" ht="14.9" hidden="false" customHeight="false" outlineLevel="0" collapsed="false">
      <c r="A14" s="0" t="n">
        <v>9</v>
      </c>
      <c r="C14" s="122" t="s">
        <v>372</v>
      </c>
      <c r="D14" s="122" t="s">
        <v>373</v>
      </c>
      <c r="E14" s="122" t="n">
        <v>0.024</v>
      </c>
      <c r="F14" s="122" t="s">
        <v>374</v>
      </c>
      <c r="G14" s="122" t="n">
        <v>0.00058</v>
      </c>
      <c r="H14" s="122" t="n">
        <v>0.625</v>
      </c>
      <c r="I14" s="122" t="s">
        <v>375</v>
      </c>
      <c r="J14" s="0" t="s">
        <v>376</v>
      </c>
    </row>
    <row r="15" customFormat="false" ht="14.9" hidden="false" customHeight="false" outlineLevel="0" collapsed="false">
      <c r="A15" s="0" t="n">
        <v>10</v>
      </c>
      <c r="C15" s="121" t="s">
        <v>377</v>
      </c>
      <c r="D15" s="122" t="s">
        <v>373</v>
      </c>
      <c r="E15" s="121" t="n">
        <v>0.5</v>
      </c>
      <c r="F15" s="121" t="n">
        <v>5</v>
      </c>
      <c r="G15" s="121" t="n">
        <v>0.1</v>
      </c>
      <c r="H15" s="121" t="n">
        <v>4</v>
      </c>
      <c r="I15" s="121" t="s">
        <v>378</v>
      </c>
      <c r="J15" s="0" t="s">
        <v>379</v>
      </c>
    </row>
    <row r="16" customFormat="false" ht="13.8" hidden="false" customHeight="false" outlineLevel="0" collapsed="false">
      <c r="A16" s="0" t="n">
        <v>11</v>
      </c>
      <c r="C16" s="122" t="s">
        <v>380</v>
      </c>
      <c r="D16" s="122" t="s">
        <v>381</v>
      </c>
      <c r="E16" s="122" t="n">
        <v>0.137</v>
      </c>
      <c r="F16" s="122" t="s">
        <v>382</v>
      </c>
      <c r="G16" s="122" t="n">
        <v>0.02</v>
      </c>
      <c r="H16" s="122" t="n">
        <v>0</v>
      </c>
      <c r="I16" s="122" t="s">
        <v>383</v>
      </c>
      <c r="J16" s="123" t="s">
        <v>384</v>
      </c>
    </row>
    <row r="17" customFormat="false" ht="13.8" hidden="false" customHeight="false" outlineLevel="0" collapsed="false">
      <c r="A17" s="0" t="n">
        <v>12</v>
      </c>
      <c r="C17" s="122" t="s">
        <v>385</v>
      </c>
      <c r="D17" s="122" t="s">
        <v>386</v>
      </c>
      <c r="E17" s="122" t="n">
        <v>0.06</v>
      </c>
      <c r="F17" s="122" t="n">
        <v>0.23</v>
      </c>
      <c r="G17" s="122" t="n">
        <v>0.0017</v>
      </c>
      <c r="H17" s="122" t="n">
        <v>0.15</v>
      </c>
      <c r="I17" s="122" t="s">
        <v>387</v>
      </c>
      <c r="J17" s="123" t="s">
        <v>388</v>
      </c>
    </row>
    <row r="18" customFormat="false" ht="13.8" hidden="false" customHeight="false" outlineLevel="0" collapsed="false">
      <c r="A18" s="0" t="n">
        <v>13</v>
      </c>
      <c r="C18" s="122" t="s">
        <v>389</v>
      </c>
      <c r="D18" s="122" t="s">
        <v>386</v>
      </c>
      <c r="E18" s="122" t="n">
        <v>0.09</v>
      </c>
      <c r="F18" s="122" t="n">
        <v>2.3</v>
      </c>
      <c r="G18" s="122" t="n">
        <v>0.0036</v>
      </c>
      <c r="H18" s="122" t="n">
        <v>0.19</v>
      </c>
      <c r="I18" s="122" t="s">
        <v>390</v>
      </c>
      <c r="J18" s="123" t="s">
        <v>388</v>
      </c>
    </row>
    <row r="19" customFormat="false" ht="13.8" hidden="false" customHeight="false" outlineLevel="0" collapsed="false">
      <c r="A19" s="0" t="n">
        <v>14</v>
      </c>
      <c r="C19" s="122" t="s">
        <v>391</v>
      </c>
      <c r="D19" s="122" t="s">
        <v>386</v>
      </c>
      <c r="E19" s="122" t="n">
        <v>0.15</v>
      </c>
      <c r="F19" s="122" t="n">
        <v>1</v>
      </c>
      <c r="G19" s="122" t="n">
        <v>0.01</v>
      </c>
      <c r="H19" s="122" t="n">
        <v>0.19</v>
      </c>
      <c r="I19" s="122" t="s">
        <v>392</v>
      </c>
      <c r="J19" s="123" t="s">
        <v>388</v>
      </c>
    </row>
    <row r="20" customFormat="false" ht="13.8" hidden="false" customHeight="false" outlineLevel="0" collapsed="false">
      <c r="A20" s="0" t="n">
        <v>15</v>
      </c>
      <c r="B20" s="124" t="s">
        <v>393</v>
      </c>
      <c r="C20" s="125" t="s">
        <v>394</v>
      </c>
      <c r="D20" s="122" t="s">
        <v>395</v>
      </c>
      <c r="E20" s="122" t="n">
        <v>0.694</v>
      </c>
      <c r="F20" s="122" t="n">
        <v>0.635</v>
      </c>
      <c r="G20" s="122" t="n">
        <v>0.0093</v>
      </c>
      <c r="H20" s="122" t="n">
        <v>3.17</v>
      </c>
      <c r="I20" s="122" t="s">
        <v>396</v>
      </c>
      <c r="J20" s="123" t="s">
        <v>397</v>
      </c>
    </row>
    <row r="21" customFormat="false" ht="14.9" hidden="false" customHeight="false" outlineLevel="0" collapsed="false">
      <c r="A21" s="0" t="n">
        <v>16</v>
      </c>
      <c r="C21" s="122" t="s">
        <v>398</v>
      </c>
      <c r="D21" s="122" t="s">
        <v>399</v>
      </c>
      <c r="E21" s="122" t="n">
        <v>0.02</v>
      </c>
      <c r="F21" s="122" t="n">
        <v>0.1</v>
      </c>
      <c r="G21" s="122" t="n">
        <v>0.002</v>
      </c>
      <c r="H21" s="122" t="n">
        <v>0.15</v>
      </c>
      <c r="I21" s="122" t="s">
        <v>400</v>
      </c>
      <c r="J21" s="116" t="s">
        <v>401</v>
      </c>
      <c r="K21" s="30" t="s">
        <v>402</v>
      </c>
      <c r="L21" s="0" t="s">
        <v>403</v>
      </c>
      <c r="M21" s="126" t="s">
        <v>404</v>
      </c>
    </row>
    <row r="22" customFormat="false" ht="13.8" hidden="false" customHeight="false" outlineLevel="0" collapsed="false">
      <c r="A22" s="0" t="n">
        <v>17</v>
      </c>
      <c r="C22" s="122" t="s">
        <v>405</v>
      </c>
      <c r="D22" s="122" t="s">
        <v>406</v>
      </c>
      <c r="E22" s="122" t="n">
        <v>0.18</v>
      </c>
      <c r="F22" s="122" t="n">
        <v>1.5</v>
      </c>
      <c r="G22" s="122" t="n">
        <v>0.019</v>
      </c>
      <c r="H22" s="122" t="n">
        <v>0.5</v>
      </c>
      <c r="I22" s="122" t="s">
        <v>407</v>
      </c>
      <c r="J22" s="123" t="s">
        <v>408</v>
      </c>
      <c r="K22" s="30" t="s">
        <v>409</v>
      </c>
      <c r="M22" s="126" t="s">
        <v>404</v>
      </c>
    </row>
    <row r="23" customFormat="false" ht="13.8" hidden="false" customHeight="false" outlineLevel="0" collapsed="false">
      <c r="A23" s="0" t="n">
        <v>18</v>
      </c>
      <c r="C23" s="122" t="s">
        <v>410</v>
      </c>
      <c r="D23" s="122" t="s">
        <v>411</v>
      </c>
      <c r="E23" s="122"/>
      <c r="F23" s="122" t="n">
        <v>0.5</v>
      </c>
      <c r="G23" s="122" t="n">
        <v>0.004</v>
      </c>
      <c r="H23" s="122" t="n">
        <v>0.6</v>
      </c>
      <c r="I23" s="122" t="s">
        <v>412</v>
      </c>
      <c r="J23" s="123" t="s">
        <v>413</v>
      </c>
      <c r="K23" s="30" t="s">
        <v>414</v>
      </c>
      <c r="M23" s="126" t="s">
        <v>404</v>
      </c>
    </row>
    <row r="24" customFormat="false" ht="13.8" hidden="false" customHeight="false" outlineLevel="0" collapsed="false">
      <c r="A24" s="0" t="n">
        <v>19</v>
      </c>
      <c r="C24" s="122" t="s">
        <v>415</v>
      </c>
      <c r="D24" s="122" t="s">
        <v>416</v>
      </c>
      <c r="E24" s="122" t="n">
        <v>0.055</v>
      </c>
      <c r="F24" s="122" t="n">
        <v>3</v>
      </c>
      <c r="G24" s="122" t="n">
        <v>0.015</v>
      </c>
      <c r="H24" s="122"/>
      <c r="I24" s="122" t="s">
        <v>417</v>
      </c>
      <c r="J24" s="123" t="s">
        <v>418</v>
      </c>
      <c r="K24" s="30" t="s">
        <v>334</v>
      </c>
      <c r="M24" s="127" t="s">
        <v>419</v>
      </c>
    </row>
    <row r="25" customFormat="false" ht="13.8" hidden="false" customHeight="false" outlineLevel="0" collapsed="false">
      <c r="A25" s="0" t="n">
        <v>20</v>
      </c>
      <c r="C25" s="122" t="s">
        <v>420</v>
      </c>
      <c r="D25" s="122" t="s">
        <v>421</v>
      </c>
      <c r="E25" s="122" t="n">
        <v>0.26</v>
      </c>
      <c r="F25" s="122" t="n">
        <v>4</v>
      </c>
      <c r="G25" s="122" t="n">
        <v>0.04</v>
      </c>
      <c r="H25" s="122" t="n">
        <v>0.5</v>
      </c>
      <c r="I25" s="122" t="s">
        <v>422</v>
      </c>
      <c r="J25" s="123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9.10526315789474"/>
    <col collapsed="false" hidden="false" max="2" min="2" style="0" width="12.9595141700405"/>
    <col collapsed="false" hidden="false" max="3" min="3" style="0" width="10.3886639676113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128"/>
      <c r="C1" s="128"/>
      <c r="D1" s="128"/>
      <c r="E1" s="128"/>
      <c r="F1" s="128"/>
      <c r="G1" s="128"/>
    </row>
    <row r="2" customFormat="false" ht="13.8" hidden="false" customHeight="false" outlineLevel="0" collapsed="false">
      <c r="B2" s="129"/>
      <c r="C2" s="129"/>
      <c r="D2" s="129"/>
      <c r="E2" s="129"/>
      <c r="F2" s="129"/>
      <c r="G2" s="129"/>
    </row>
    <row r="3" customFormat="false" ht="13.8" hidden="false" customHeight="false" outlineLevel="0" collapsed="false">
      <c r="B3" s="116"/>
      <c r="C3" s="116"/>
      <c r="D3" s="116"/>
      <c r="E3" s="116"/>
      <c r="F3" s="116"/>
      <c r="G3" s="116"/>
    </row>
    <row r="4" customFormat="false" ht="13.8" hidden="false" customHeight="false" outlineLevel="0" collapsed="false">
      <c r="B4" s="116"/>
      <c r="C4" s="116"/>
      <c r="D4" s="116"/>
      <c r="E4" s="116"/>
      <c r="F4" s="116"/>
      <c r="G4" s="116"/>
    </row>
    <row r="5" customFormat="false" ht="13.8" hidden="false" customHeight="false" outlineLevel="0" collapsed="false">
      <c r="B5" s="116"/>
      <c r="C5" s="116"/>
      <c r="D5" s="116"/>
      <c r="E5" s="116"/>
      <c r="F5" s="116"/>
      <c r="G5" s="116"/>
    </row>
    <row r="6" customFormat="false" ht="13.8" hidden="false" customHeight="false" outlineLevel="0" collapsed="false">
      <c r="B6" s="116"/>
      <c r="C6" s="116"/>
      <c r="D6" s="116"/>
      <c r="E6" s="116"/>
      <c r="F6" s="116"/>
      <c r="G6" s="116"/>
    </row>
    <row r="10" customFormat="false" ht="14.95" hidden="false" customHeight="true" outlineLevel="0" collapsed="false">
      <c r="B10" s="120" t="s">
        <v>423</v>
      </c>
      <c r="C10" s="120"/>
      <c r="D10" s="120"/>
      <c r="E10" s="120"/>
      <c r="F10" s="120"/>
      <c r="G10" s="120"/>
      <c r="H10" s="122"/>
    </row>
    <row r="11" customFormat="false" ht="41.95" hidden="false" customHeight="false" outlineLevel="0" collapsed="false">
      <c r="B11" s="115" t="s">
        <v>133</v>
      </c>
      <c r="C11" s="115" t="s">
        <v>134</v>
      </c>
      <c r="D11" s="115" t="s">
        <v>424</v>
      </c>
      <c r="E11" s="115" t="s">
        <v>231</v>
      </c>
      <c r="F11" s="115" t="s">
        <v>425</v>
      </c>
      <c r="G11" s="115" t="s">
        <v>426</v>
      </c>
      <c r="H11" s="115" t="s">
        <v>338</v>
      </c>
    </row>
    <row r="12" customFormat="false" ht="14.9" hidden="false" customHeight="false" outlineLevel="0" collapsed="false">
      <c r="B12" s="121" t="s">
        <v>427</v>
      </c>
      <c r="C12" s="121" t="s">
        <v>428</v>
      </c>
      <c r="D12" s="121" t="s">
        <v>429</v>
      </c>
      <c r="E12" s="121" t="s">
        <v>430</v>
      </c>
      <c r="F12" s="121" t="n">
        <v>1160</v>
      </c>
      <c r="G12" s="121" t="s">
        <v>431</v>
      </c>
      <c r="H12" s="122" t="s">
        <v>432</v>
      </c>
    </row>
    <row r="13" customFormat="false" ht="55.2" hidden="false" customHeight="false" outlineLevel="0" collapsed="false">
      <c r="B13" s="121" t="s">
        <v>433</v>
      </c>
      <c r="C13" s="121" t="s">
        <v>434</v>
      </c>
      <c r="D13" s="121" t="s">
        <v>435</v>
      </c>
      <c r="E13" s="121" t="n">
        <v>2</v>
      </c>
      <c r="F13" s="121" t="n">
        <v>655</v>
      </c>
      <c r="G13" s="121" t="n">
        <v>280</v>
      </c>
      <c r="H13" s="130"/>
    </row>
    <row r="14" customFormat="false" ht="41.75" hidden="false" customHeight="false" outlineLevel="0" collapsed="false">
      <c r="B14" s="121" t="s">
        <v>436</v>
      </c>
      <c r="C14" s="121" t="s">
        <v>437</v>
      </c>
      <c r="D14" s="121" t="s">
        <v>438</v>
      </c>
      <c r="E14" s="121" t="s">
        <v>430</v>
      </c>
      <c r="F14" s="121" t="n">
        <v>536</v>
      </c>
      <c r="G14" s="121"/>
      <c r="H14" s="122"/>
    </row>
    <row r="15" customFormat="false" ht="55.2" hidden="false" customHeight="false" outlineLevel="0" collapsed="false">
      <c r="B15" s="121" t="s">
        <v>439</v>
      </c>
      <c r="C15" s="121" t="s">
        <v>440</v>
      </c>
      <c r="D15" s="121" t="s">
        <v>441</v>
      </c>
      <c r="E15" s="121" t="n">
        <v>100</v>
      </c>
      <c r="F15" s="121" t="s">
        <v>442</v>
      </c>
      <c r="G15" s="121"/>
      <c r="H15" s="122"/>
    </row>
    <row r="16" customFormat="false" ht="13.8" hidden="false" customHeight="false" outlineLevel="0" collapsed="false">
      <c r="B16" s="122" t="s">
        <v>443</v>
      </c>
      <c r="C16" s="122" t="s">
        <v>444</v>
      </c>
      <c r="D16" s="122" t="s">
        <v>445</v>
      </c>
      <c r="E16" s="122" t="n">
        <v>2</v>
      </c>
      <c r="F16" s="122" t="n">
        <v>110</v>
      </c>
      <c r="G16" s="122" t="n">
        <v>350</v>
      </c>
      <c r="H16" s="122" t="s">
        <v>396</v>
      </c>
    </row>
    <row r="17" customFormat="false" ht="13.8" hidden="false" customHeight="false" outlineLevel="0" collapsed="false">
      <c r="B17" s="122" t="s">
        <v>446</v>
      </c>
      <c r="C17" s="122" t="s">
        <v>444</v>
      </c>
      <c r="D17" s="122" t="s">
        <v>447</v>
      </c>
      <c r="E17" s="122" t="n">
        <v>2</v>
      </c>
      <c r="F17" s="122" t="n">
        <v>110</v>
      </c>
      <c r="G17" s="122" t="n">
        <v>900</v>
      </c>
      <c r="H17" s="122" t="s">
        <v>448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15.6396761133603"/>
    <col collapsed="false" hidden="false" max="5" min="3" style="0" width="8.57085020242915"/>
    <col collapsed="false" hidden="false" max="6" min="6" style="0" width="4.92712550607287"/>
    <col collapsed="false" hidden="false" max="1025" min="7" style="0" width="8.57085020242915"/>
  </cols>
  <sheetData>
    <row r="3" customFormat="false" ht="15" hidden="false" customHeight="false" outlineLevel="0" collapsed="false">
      <c r="B3" s="29" t="s">
        <v>16</v>
      </c>
      <c r="C3" s="29"/>
      <c r="D3" s="29"/>
      <c r="F3" s="29" t="s">
        <v>17</v>
      </c>
      <c r="G3" s="29"/>
      <c r="H3" s="29"/>
    </row>
    <row r="4" customFormat="false" ht="15" hidden="false" customHeight="false" outlineLevel="0" collapsed="false">
      <c r="B4" s="30" t="s">
        <v>18</v>
      </c>
      <c r="C4" s="31" t="n">
        <v>550</v>
      </c>
      <c r="D4" s="32" t="s">
        <v>19</v>
      </c>
      <c r="F4" s="30" t="s">
        <v>20</v>
      </c>
      <c r="G4" s="0" t="n">
        <f aca="false">BoH!$C$3</f>
        <v>6378</v>
      </c>
      <c r="H4" s="32" t="s">
        <v>19</v>
      </c>
    </row>
    <row r="5" customFormat="false" ht="15" hidden="false" customHeight="false" outlineLevel="0" collapsed="false">
      <c r="B5" s="30" t="s">
        <v>21</v>
      </c>
      <c r="C5" s="31" t="n">
        <v>98</v>
      </c>
      <c r="D5" s="32" t="s">
        <v>22</v>
      </c>
      <c r="F5" s="30" t="s">
        <v>23</v>
      </c>
      <c r="G5" s="31"/>
      <c r="H5" s="32" t="s">
        <v>19</v>
      </c>
    </row>
    <row r="6" customFormat="false" ht="15" hidden="false" customHeight="false" outlineLevel="0" collapsed="false">
      <c r="B6" s="30" t="s">
        <v>24</v>
      </c>
      <c r="C6" s="0" t="n">
        <f aca="false">2*PI()*SQRT(((C4+BoH!C3)*1000)^3/BoH!C4)</f>
        <v>5738.82263247131</v>
      </c>
      <c r="D6" s="32" t="s">
        <v>25</v>
      </c>
      <c r="F6" s="30" t="s">
        <v>26</v>
      </c>
      <c r="G6" s="31"/>
      <c r="H6" s="32" t="s">
        <v>19</v>
      </c>
    </row>
    <row r="7" customFormat="false" ht="15" hidden="false" customHeight="false" outlineLevel="0" collapsed="false">
      <c r="B7" s="30" t="s">
        <v>24</v>
      </c>
      <c r="C7" s="0" t="n">
        <f aca="false">C6/3600</f>
        <v>1.5941173979087</v>
      </c>
      <c r="D7" s="32" t="s">
        <v>27</v>
      </c>
      <c r="F7" s="30" t="s">
        <v>28</v>
      </c>
      <c r="G7" s="0" t="n">
        <f aca="false">$G$4+G5</f>
        <v>6378</v>
      </c>
      <c r="H7" s="32" t="s">
        <v>19</v>
      </c>
    </row>
    <row r="8" customFormat="false" ht="15" hidden="false" customHeight="false" outlineLevel="0" collapsed="false">
      <c r="B8" s="30" t="s">
        <v>29</v>
      </c>
      <c r="C8" s="31" t="n">
        <v>0.35</v>
      </c>
      <c r="D8" s="32" t="s">
        <v>30</v>
      </c>
      <c r="F8" s="30" t="s">
        <v>31</v>
      </c>
      <c r="G8" s="0" t="n">
        <f aca="false">$G$4+G6</f>
        <v>6378</v>
      </c>
      <c r="H8" s="32" t="s">
        <v>19</v>
      </c>
    </row>
    <row r="9" customFormat="false" ht="15" hidden="false" customHeight="false" outlineLevel="0" collapsed="false">
      <c r="B9" s="30" t="s">
        <v>32</v>
      </c>
      <c r="C9" s="0" t="n">
        <f aca="false">C8*C6</f>
        <v>2008.58792136496</v>
      </c>
      <c r="D9" s="32" t="s">
        <v>25</v>
      </c>
      <c r="F9" s="30" t="s">
        <v>33</v>
      </c>
      <c r="G9" s="0" t="n">
        <f aca="false">(G8-G7)/(G8+G7)</f>
        <v>0</v>
      </c>
      <c r="H9" s="32"/>
    </row>
    <row r="10" customFormat="false" ht="15" hidden="false" customHeight="false" outlineLevel="0" collapsed="false">
      <c r="B10" s="30" t="s">
        <v>34</v>
      </c>
      <c r="C10" s="0" t="n">
        <f aca="false">C6-C9</f>
        <v>3730.23471110635</v>
      </c>
      <c r="D10" s="32" t="s">
        <v>25</v>
      </c>
      <c r="F10" s="30" t="s">
        <v>35</v>
      </c>
      <c r="G10" s="0" t="n">
        <f aca="false">AVERAGE(G7:G8)</f>
        <v>6378</v>
      </c>
      <c r="H10" s="32" t="s">
        <v>19</v>
      </c>
    </row>
    <row r="11" customFormat="false" ht="15" hidden="false" customHeight="false" outlineLevel="0" collapsed="false">
      <c r="F11" s="30" t="s">
        <v>36</v>
      </c>
      <c r="G11" s="31"/>
      <c r="H11" s="32" t="s">
        <v>22</v>
      </c>
    </row>
  </sheetData>
  <mergeCells count="2">
    <mergeCell ref="B3:D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5"/>
  <cols>
    <col collapsed="false" hidden="false" max="1" min="1" style="0" width="16.0688259109312"/>
    <col collapsed="false" hidden="false" max="2" min="2" style="0" width="23.8866396761134"/>
    <col collapsed="false" hidden="false" max="3" min="3" style="0" width="10.1781376518219"/>
    <col collapsed="false" hidden="false" max="4" min="4" style="0" width="8.57085020242915"/>
    <col collapsed="false" hidden="false" max="5" min="5" style="0" width="35.4574898785425"/>
    <col collapsed="false" hidden="false" max="1025" min="6" style="0" width="8.57085020242915"/>
  </cols>
  <sheetData>
    <row r="2" customFormat="false" ht="15.75" hidden="false" customHeight="false" outlineLevel="0" collapsed="false">
      <c r="B2" s="33" t="s">
        <v>37</v>
      </c>
      <c r="C2" s="34" t="s">
        <v>38</v>
      </c>
      <c r="D2" s="34"/>
      <c r="E2" s="34" t="s">
        <v>39</v>
      </c>
    </row>
    <row r="3" customFormat="false" ht="15" hidden="false" customHeight="true" outlineLevel="0" collapsed="false">
      <c r="A3" s="35" t="s">
        <v>40</v>
      </c>
      <c r="B3" s="36" t="s">
        <v>41</v>
      </c>
      <c r="C3" s="37" t="n">
        <v>1</v>
      </c>
      <c r="D3" s="36"/>
      <c r="E3" s="38"/>
    </row>
    <row r="4" customFormat="false" ht="15" hidden="false" customHeight="false" outlineLevel="0" collapsed="false">
      <c r="A4" s="35"/>
      <c r="B4" s="17" t="s">
        <v>42</v>
      </c>
      <c r="C4" s="39" t="n">
        <v>1</v>
      </c>
      <c r="D4" s="17"/>
      <c r="E4" s="18"/>
    </row>
    <row r="5" customFormat="false" ht="15" hidden="false" customHeight="false" outlineLevel="0" collapsed="false">
      <c r="A5" s="35"/>
      <c r="B5" s="17" t="s">
        <v>43</v>
      </c>
      <c r="C5" s="39" t="n">
        <v>0.85</v>
      </c>
      <c r="D5" s="17"/>
      <c r="E5" s="18"/>
    </row>
    <row r="6" customFormat="false" ht="15.75" hidden="false" customHeight="false" outlineLevel="0" collapsed="false">
      <c r="A6" s="35"/>
      <c r="B6" s="23" t="s">
        <v>44</v>
      </c>
      <c r="C6" s="40" t="n">
        <v>0.85</v>
      </c>
      <c r="D6" s="23"/>
      <c r="E6" s="24"/>
    </row>
    <row r="7" customFormat="false" ht="15.75" hidden="false" customHeight="false" outlineLevel="0" collapsed="false">
      <c r="A7" s="35" t="s">
        <v>45</v>
      </c>
      <c r="B7" s="41" t="s">
        <v>46</v>
      </c>
      <c r="C7" s="42" t="n">
        <v>0.8</v>
      </c>
      <c r="D7" s="41"/>
      <c r="E7" s="43"/>
    </row>
    <row r="8" customFormat="false" ht="15.75" hidden="false" customHeight="false" outlineLevel="0" collapsed="false">
      <c r="A8" s="44" t="s">
        <v>47</v>
      </c>
      <c r="B8" s="41" t="s">
        <v>48</v>
      </c>
      <c r="C8" s="42" t="n">
        <v>0.85</v>
      </c>
      <c r="D8" s="41"/>
      <c r="E8" s="43"/>
    </row>
    <row r="9" customFormat="false" ht="15.75" hidden="false" customHeight="false" outlineLevel="0" collapsed="false">
      <c r="A9" s="44" t="s">
        <v>49</v>
      </c>
      <c r="B9" s="41" t="s">
        <v>50</v>
      </c>
      <c r="C9" s="42" t="n">
        <v>0.015</v>
      </c>
      <c r="D9" s="41"/>
      <c r="E9" s="43"/>
    </row>
    <row r="12" customFormat="false" ht="15" hidden="false" customHeight="false" outlineLevel="0" collapsed="false">
      <c r="B12" s="45" t="s">
        <v>51</v>
      </c>
      <c r="C12" s="46"/>
      <c r="D12" s="46"/>
      <c r="E12" s="46"/>
    </row>
    <row r="13" customFormat="false" ht="15" hidden="false" customHeight="false" outlineLevel="0" collapsed="false">
      <c r="B13" s="17" t="s">
        <v>52</v>
      </c>
      <c r="C13" s="47" t="n">
        <v>3.7</v>
      </c>
      <c r="D13" s="48" t="s">
        <v>53</v>
      </c>
      <c r="E13" s="17"/>
    </row>
    <row r="14" customFormat="false" ht="15" hidden="false" customHeight="false" outlineLevel="0" collapsed="false">
      <c r="B14" s="17" t="s">
        <v>54</v>
      </c>
      <c r="C14" s="47" t="n">
        <v>5</v>
      </c>
      <c r="D14" s="48" t="s">
        <v>55</v>
      </c>
      <c r="E14" s="17"/>
    </row>
    <row r="15" customFormat="false" ht="15" hidden="false" customHeight="false" outlineLevel="0" collapsed="false">
      <c r="B15" s="17" t="s">
        <v>56</v>
      </c>
      <c r="C15" s="47" t="n">
        <v>2</v>
      </c>
      <c r="D15" s="48"/>
      <c r="E15" s="17"/>
    </row>
    <row r="16" customFormat="false" ht="15" hidden="false" customHeight="false" outlineLevel="0" collapsed="false">
      <c r="B16" s="17" t="s">
        <v>57</v>
      </c>
      <c r="C16" s="47" t="n">
        <v>2</v>
      </c>
      <c r="D16" s="48"/>
      <c r="E16" s="17"/>
    </row>
    <row r="17" customFormat="false" ht="15" hidden="false" customHeight="false" outlineLevel="0" collapsed="false">
      <c r="B17" s="17" t="s">
        <v>58</v>
      </c>
      <c r="C17" s="17" t="n">
        <f aca="false">$C$15*$C$13</f>
        <v>7.4</v>
      </c>
      <c r="D17" s="48" t="s">
        <v>53</v>
      </c>
      <c r="E17" s="17"/>
    </row>
    <row r="18" customFormat="false" ht="15" hidden="false" customHeight="false" outlineLevel="0" collapsed="false">
      <c r="B18" s="17" t="s">
        <v>59</v>
      </c>
      <c r="C18" s="17" t="n">
        <f aca="false">$C$16*$C$14</f>
        <v>10</v>
      </c>
      <c r="D18" s="48" t="s">
        <v>55</v>
      </c>
      <c r="E18" s="17"/>
    </row>
    <row r="19" customFormat="false" ht="15" hidden="false" customHeight="false" outlineLevel="0" collapsed="false">
      <c r="B19" s="17" t="s">
        <v>60</v>
      </c>
      <c r="C19" s="17" t="n">
        <f aca="false">$C$13*$C$14*$C$15*$C$16</f>
        <v>74</v>
      </c>
      <c r="D19" s="48" t="s">
        <v>61</v>
      </c>
      <c r="E19" s="17"/>
    </row>
    <row r="20" customFormat="false" ht="15" hidden="false" customHeight="false" outlineLevel="0" collapsed="false">
      <c r="B20" s="45" t="s">
        <v>62</v>
      </c>
      <c r="C20" s="45"/>
      <c r="D20" s="49"/>
      <c r="E20" s="45"/>
    </row>
    <row r="21" customFormat="false" ht="15" hidden="false" customHeight="false" outlineLevel="0" collapsed="false">
      <c r="B21" s="17" t="s">
        <v>63</v>
      </c>
      <c r="C21" s="39" t="n">
        <v>0.98</v>
      </c>
      <c r="D21" s="48"/>
      <c r="E21" s="17"/>
    </row>
    <row r="22" customFormat="false" ht="15" hidden="false" customHeight="false" outlineLevel="0" collapsed="false">
      <c r="B22" s="17" t="s">
        <v>64</v>
      </c>
      <c r="C22" s="17" t="n">
        <f aca="false">C21*C19*3600</f>
        <v>261072</v>
      </c>
      <c r="D22" s="48" t="s">
        <v>65</v>
      </c>
      <c r="E22" s="17"/>
    </row>
    <row r="23" customFormat="false" ht="15" hidden="false" customHeight="false" outlineLevel="0" collapsed="false">
      <c r="B23" s="17" t="s">
        <v>66</v>
      </c>
      <c r="C23" s="39" t="n">
        <v>0.96</v>
      </c>
      <c r="D23" s="48"/>
      <c r="E23" s="17"/>
    </row>
    <row r="24" customFormat="false" ht="15" hidden="false" customHeight="false" outlineLevel="0" collapsed="false">
      <c r="B24" s="17" t="s">
        <v>67</v>
      </c>
      <c r="C24" s="17" t="n">
        <f aca="false">C23*C19*3600</f>
        <v>255744</v>
      </c>
      <c r="D24" s="48" t="s">
        <v>65</v>
      </c>
      <c r="E24" s="17"/>
    </row>
    <row r="25" customFormat="false" ht="15" hidden="false" customHeight="false" outlineLevel="0" collapsed="false">
      <c r="B25" s="45" t="s">
        <v>68</v>
      </c>
      <c r="C25" s="45"/>
      <c r="D25" s="49"/>
      <c r="E25" s="45"/>
    </row>
    <row r="26" customFormat="false" ht="15" hidden="false" customHeight="false" outlineLevel="0" collapsed="false">
      <c r="B26" s="17" t="s">
        <v>69</v>
      </c>
      <c r="C26" s="39" t="n">
        <v>0.2</v>
      </c>
      <c r="D26" s="48"/>
      <c r="E26" s="17"/>
    </row>
    <row r="27" customFormat="false" ht="15" hidden="false" customHeight="false" outlineLevel="0" collapsed="false">
      <c r="B27" s="17" t="s">
        <v>70</v>
      </c>
      <c r="C27" s="50" t="n">
        <f aca="false">1-C26</f>
        <v>0.8</v>
      </c>
      <c r="D27" s="48"/>
      <c r="E27" s="17"/>
    </row>
    <row r="30" customFormat="false" ht="15" hidden="false" customHeight="false" outlineLevel="0" collapsed="false">
      <c r="B30" s="0" t="s">
        <v>71</v>
      </c>
    </row>
  </sheetData>
  <mergeCells count="1">
    <mergeCell ref="A3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3.8866396761134"/>
    <col collapsed="false" hidden="false" max="2" min="2" style="0" width="13.9271255060729"/>
    <col collapsed="false" hidden="false" max="3" min="3" style="0" width="10.6032388663968"/>
    <col collapsed="false" hidden="false" max="4" min="4" style="0" width="20.0323886639676"/>
    <col collapsed="false" hidden="false" max="5" min="5" style="0" width="18.7449392712551"/>
    <col collapsed="false" hidden="false" max="6" min="6" style="0" width="18.3157894736842"/>
    <col collapsed="false" hidden="false" max="7" min="7" style="0" width="16.0688259109312"/>
    <col collapsed="false" hidden="false" max="8" min="8" style="0" width="17.246963562753"/>
    <col collapsed="false" hidden="false" max="9" min="9" style="0" width="15.1052631578947"/>
    <col collapsed="false" hidden="false" max="10" min="10" style="0" width="18.9595141700405"/>
    <col collapsed="false" hidden="false" max="11" min="11" style="0" width="16.3886639676113"/>
    <col collapsed="false" hidden="false" max="12" min="12" style="0" width="19.8178137651822"/>
    <col collapsed="false" hidden="false" max="13" min="13" style="0" width="10.6032388663968"/>
    <col collapsed="false" hidden="false" max="14" min="14" style="0" width="12.5344129554656"/>
    <col collapsed="false" hidden="false" max="1025" min="15" style="0" width="8.57085020242915"/>
  </cols>
  <sheetData>
    <row r="1" customFormat="false" ht="15.75" hidden="false" customHeight="false" outlineLevel="0" collapsed="false"/>
    <row r="2" customFormat="false" ht="15" hidden="false" customHeight="false" outlineLevel="0" collapsed="false">
      <c r="D2" s="51" t="s">
        <v>72</v>
      </c>
      <c r="E2" s="51"/>
      <c r="F2" s="52" t="s">
        <v>73</v>
      </c>
      <c r="G2" s="52"/>
      <c r="H2" s="52" t="s">
        <v>74</v>
      </c>
      <c r="I2" s="52"/>
      <c r="J2" s="52" t="s">
        <v>75</v>
      </c>
      <c r="K2" s="52"/>
      <c r="M2" s="0" t="n">
        <v>4</v>
      </c>
    </row>
    <row r="3" customFormat="false" ht="15.75" hidden="false" customHeight="false" outlineLevel="0" collapsed="false">
      <c r="D3" s="53" t="n">
        <f aca="false">'EPS Parameters'!C17</f>
        <v>7.4</v>
      </c>
      <c r="E3" s="53"/>
      <c r="F3" s="54"/>
      <c r="G3" s="54"/>
      <c r="H3" s="54" t="n">
        <v>5</v>
      </c>
      <c r="I3" s="54"/>
      <c r="J3" s="54" t="n">
        <v>3.3</v>
      </c>
      <c r="K3" s="54"/>
    </row>
    <row r="4" customFormat="false" ht="30.75" hidden="false" customHeight="false" outlineLevel="0" collapsed="false">
      <c r="A4" s="55" t="s">
        <v>76</v>
      </c>
      <c r="B4" s="56" t="s">
        <v>77</v>
      </c>
      <c r="C4" s="56" t="s">
        <v>78</v>
      </c>
      <c r="D4" s="55" t="str">
        <f aca="false">CONCATENATE("Current [mA] - ", D3, "V")</f>
        <v>Current [mA] - 7,4V</v>
      </c>
      <c r="E4" s="57" t="str">
        <f aca="false">CONCATENATE("Power [W] - ", D3, "V")</f>
        <v>Power [W] - 7,4V</v>
      </c>
      <c r="F4" s="55" t="str">
        <f aca="false">CONCATENATE("Current [mA] - ", F3, "V")</f>
        <v>Current [mA] - V</v>
      </c>
      <c r="G4" s="57" t="str">
        <f aca="false">CONCATENATE("Power [W] - ", F3, "V")</f>
        <v>Power [W] - V</v>
      </c>
      <c r="H4" s="58" t="str">
        <f aca="false">CONCATENATE("Current [mA] - ", H3, "V")</f>
        <v>Current [mA] - 5V</v>
      </c>
      <c r="I4" s="59" t="str">
        <f aca="false">CONCATENATE("Power [W] - ", H3, "V")</f>
        <v>Power [W] - 5V</v>
      </c>
      <c r="J4" s="58" t="str">
        <f aca="false">CONCATENATE("Current [mA] - ", J3, "V")</f>
        <v>Current [mA] - 3,3V</v>
      </c>
      <c r="K4" s="59" t="str">
        <f aca="false">CONCATENATE("Power [W] - ", J3, "V")</f>
        <v>Power [W] - 3,3V</v>
      </c>
      <c r="L4" s="60" t="s">
        <v>79</v>
      </c>
      <c r="M4" s="60" t="s">
        <v>80</v>
      </c>
      <c r="N4" s="61" t="s">
        <v>81</v>
      </c>
    </row>
    <row r="5" customFormat="false" ht="13.8" hidden="false" customHeight="false" outlineLevel="0" collapsed="false">
      <c r="A5" s="62" t="s">
        <v>82</v>
      </c>
      <c r="B5" s="63" t="s">
        <v>83</v>
      </c>
      <c r="C5" s="63" t="s">
        <v>84</v>
      </c>
      <c r="D5" s="64"/>
      <c r="E5" s="65" t="n">
        <f aca="false">D5*$D$3/1000</f>
        <v>0</v>
      </c>
      <c r="F5" s="64"/>
      <c r="G5" s="65" t="n">
        <f aca="false">F5*$F$3/1000</f>
        <v>0</v>
      </c>
      <c r="H5" s="64"/>
      <c r="I5" s="65" t="n">
        <f aca="false">H5*$H$3/1000</f>
        <v>0</v>
      </c>
      <c r="J5" s="64" t="n">
        <v>40</v>
      </c>
      <c r="K5" s="65" t="n">
        <f aca="false">J5*$J$3/1000</f>
        <v>0.132</v>
      </c>
      <c r="L5" s="66" t="n">
        <f aca="false">((G5/'EPS Parameters'!$C$3)+(I5/'EPS Parameters'!$C$4)+(K5/'EPS Parameters'!$C$5)+(E5/'EPS Parameters'!$C$3))/'EPS Parameters'!$C$8</f>
        <v>0.182698961937716</v>
      </c>
      <c r="M5" s="67"/>
      <c r="N5" s="65" t="n">
        <f aca="false">L5*(1+M5)</f>
        <v>0.182698961937716</v>
      </c>
    </row>
    <row r="6" customFormat="false" ht="13.8" hidden="false" customHeight="false" outlineLevel="0" collapsed="false">
      <c r="A6" s="62" t="s">
        <v>85</v>
      </c>
      <c r="B6" s="63" t="s">
        <v>83</v>
      </c>
      <c r="C6" s="63" t="s">
        <v>84</v>
      </c>
      <c r="D6" s="68"/>
      <c r="E6" s="65" t="n">
        <f aca="false">D6*$D$3/1000</f>
        <v>0</v>
      </c>
      <c r="F6" s="68"/>
      <c r="G6" s="65" t="n">
        <f aca="false">F6*$F$3/1000</f>
        <v>0</v>
      </c>
      <c r="H6" s="68"/>
      <c r="I6" s="65" t="n">
        <f aca="false">H6*$H$3/1000</f>
        <v>0</v>
      </c>
      <c r="J6" s="68" t="n">
        <v>60</v>
      </c>
      <c r="K6" s="65" t="n">
        <f aca="false">J6*$J$3/1000</f>
        <v>0.198</v>
      </c>
      <c r="L6" s="66" t="n">
        <f aca="false">((G6/'EPS Parameters'!$C$3)+(I6/'EPS Parameters'!$C$4)+(K6/'EPS Parameters'!$C$5)+(E6/'EPS Parameters'!$C$3))/'EPS Parameters'!$C$8</f>
        <v>0.274048442906574</v>
      </c>
      <c r="M6" s="69"/>
      <c r="N6" s="65" t="n">
        <f aca="false">L6*(1+M6)</f>
        <v>0.274048442906574</v>
      </c>
    </row>
    <row r="7" customFormat="false" ht="15" hidden="false" customHeight="false" outlineLevel="0" collapsed="false">
      <c r="A7" s="62" t="s">
        <v>86</v>
      </c>
      <c r="B7" s="63" t="s">
        <v>83</v>
      </c>
      <c r="C7" s="63" t="s">
        <v>84</v>
      </c>
      <c r="D7" s="68" t="n">
        <v>700</v>
      </c>
      <c r="E7" s="65" t="n">
        <f aca="false">D7*$D$3/1000</f>
        <v>5.18</v>
      </c>
      <c r="F7" s="68"/>
      <c r="G7" s="65" t="n">
        <f aca="false">F7*$F$3/1000</f>
        <v>0</v>
      </c>
      <c r="H7" s="68"/>
      <c r="I7" s="65" t="n">
        <f aca="false">H7*$H$3/1000</f>
        <v>0</v>
      </c>
      <c r="J7" s="68"/>
      <c r="K7" s="65" t="n">
        <f aca="false">J7*$J$3/1000</f>
        <v>0</v>
      </c>
      <c r="L7" s="66" t="n">
        <f aca="false">((G7/'EPS Parameters'!$C$3)+(I7/'EPS Parameters'!$C$4)+(K7/'EPS Parameters'!$C$5)+(E7/'EPS Parameters'!$C$3))/'EPS Parameters'!$C$8</f>
        <v>6.09411764705882</v>
      </c>
      <c r="M7" s="69"/>
      <c r="N7" s="65" t="n">
        <f aca="false">L7*(1+M7)</f>
        <v>6.09411764705882</v>
      </c>
    </row>
    <row r="8" customFormat="false" ht="15" hidden="false" customHeight="false" outlineLevel="0" collapsed="false">
      <c r="A8" s="62" t="s">
        <v>87</v>
      </c>
      <c r="B8" s="63" t="s">
        <v>83</v>
      </c>
      <c r="C8" s="63" t="s">
        <v>84</v>
      </c>
      <c r="D8" s="68" t="n">
        <v>90</v>
      </c>
      <c r="E8" s="65" t="n">
        <f aca="false">D8*$D$3/1000</f>
        <v>0.666</v>
      </c>
      <c r="F8" s="68"/>
      <c r="G8" s="65" t="n">
        <f aca="false">F8*$F$3/1000</f>
        <v>0</v>
      </c>
      <c r="H8" s="68"/>
      <c r="I8" s="65" t="n">
        <f aca="false">H8*$H$3/1000</f>
        <v>0</v>
      </c>
      <c r="J8" s="68"/>
      <c r="K8" s="65" t="n">
        <f aca="false">J8*$J$3/1000</f>
        <v>0</v>
      </c>
      <c r="L8" s="66" t="n">
        <f aca="false">((G8/'EPS Parameters'!$C$3)+(I8/'EPS Parameters'!$C$4)+(K8/'EPS Parameters'!$C$5)+(E8/'EPS Parameters'!$C$3))/'EPS Parameters'!$C$8</f>
        <v>0.783529411764706</v>
      </c>
      <c r="M8" s="69"/>
      <c r="N8" s="65" t="n">
        <f aca="false">L8*(1+M8)</f>
        <v>0.783529411764706</v>
      </c>
    </row>
    <row r="9" customFormat="false" ht="15" hidden="false" customHeight="false" outlineLevel="0" collapsed="false">
      <c r="A9" s="62" t="s">
        <v>88</v>
      </c>
      <c r="B9" s="63" t="s">
        <v>83</v>
      </c>
      <c r="C9" s="63" t="s">
        <v>84</v>
      </c>
      <c r="D9" s="68" t="n">
        <v>20</v>
      </c>
      <c r="E9" s="65" t="n">
        <f aca="false">D9*$D$3/1000</f>
        <v>0.148</v>
      </c>
      <c r="F9" s="68"/>
      <c r="G9" s="65" t="n">
        <f aca="false">F9*$F$3/1000</f>
        <v>0</v>
      </c>
      <c r="H9" s="68"/>
      <c r="I9" s="65" t="n">
        <f aca="false">H9*$H$3/1000</f>
        <v>0</v>
      </c>
      <c r="J9" s="68"/>
      <c r="K9" s="65" t="n">
        <f aca="false">J9*$J$3/1000</f>
        <v>0</v>
      </c>
      <c r="L9" s="66" t="n">
        <f aca="false">((G9/'EPS Parameters'!$C$3)+(I9/'EPS Parameters'!$C$4)+(K9/'EPS Parameters'!$C$5)+(E9/'EPS Parameters'!$C$3))/'EPS Parameters'!$C$8</f>
        <v>0.174117647058824</v>
      </c>
      <c r="M9" s="69"/>
      <c r="N9" s="65" t="n">
        <f aca="false">L9*(1+M9)</f>
        <v>0.174117647058824</v>
      </c>
    </row>
    <row r="10" customFormat="false" ht="13.8" hidden="false" customHeight="false" outlineLevel="0" collapsed="false">
      <c r="A10" s="62" t="s">
        <v>89</v>
      </c>
      <c r="B10" s="63" t="s">
        <v>83</v>
      </c>
      <c r="C10" s="63" t="s">
        <v>90</v>
      </c>
      <c r="D10" s="68"/>
      <c r="E10" s="65" t="n">
        <f aca="false">D10*$D$3/1000</f>
        <v>0</v>
      </c>
      <c r="F10" s="68"/>
      <c r="G10" s="65" t="n">
        <f aca="false">F10*$F$3/1000</f>
        <v>0</v>
      </c>
      <c r="H10" s="68"/>
      <c r="I10" s="65" t="n">
        <f aca="false">H10*$H$3/1000</f>
        <v>0</v>
      </c>
      <c r="J10" s="68" t="n">
        <v>6</v>
      </c>
      <c r="K10" s="65" t="n">
        <f aca="false">J10*$J$3/1000</f>
        <v>0.0198</v>
      </c>
      <c r="L10" s="66" t="n">
        <f aca="false">((G10/'EPS Parameters'!$C$3)+(I10/'EPS Parameters'!$C$4)+(K10/'EPS Parameters'!$C$5)+(E10/'EPS Parameters'!$C$3))/'EPS Parameters'!$C$8</f>
        <v>0.0274048442906574</v>
      </c>
      <c r="M10" s="69"/>
      <c r="N10" s="65" t="n">
        <f aca="false">L10*(1+M10)</f>
        <v>0.0274048442906574</v>
      </c>
    </row>
    <row r="11" customFormat="false" ht="13.8" hidden="false" customHeight="false" outlineLevel="0" collapsed="false">
      <c r="A11" s="62" t="s">
        <v>91</v>
      </c>
      <c r="B11" s="63" t="s">
        <v>83</v>
      </c>
      <c r="C11" s="63" t="s">
        <v>90</v>
      </c>
      <c r="D11" s="70" t="n">
        <v>870</v>
      </c>
      <c r="E11" s="65" t="n">
        <f aca="false">D11*$D$3/1000</f>
        <v>6.438</v>
      </c>
      <c r="F11" s="68"/>
      <c r="G11" s="65" t="n">
        <f aca="false">F11*$F$3/1000</f>
        <v>0</v>
      </c>
      <c r="H11" s="68"/>
      <c r="I11" s="65" t="n">
        <f aca="false">H11*$H$3/1000</f>
        <v>0</v>
      </c>
      <c r="J11" s="68"/>
      <c r="K11" s="65" t="n">
        <f aca="false">J11*$J$3/1000</f>
        <v>0</v>
      </c>
      <c r="L11" s="66" t="n">
        <f aca="false">((G11/'EPS Parameters'!$C$3)+(I11/'EPS Parameters'!$C$4)+(K11/'EPS Parameters'!$C$5)+(E11/'EPS Parameters'!$C$3))/'EPS Parameters'!$C$8</f>
        <v>7.57411764705882</v>
      </c>
      <c r="M11" s="69"/>
      <c r="N11" s="65" t="n">
        <f aca="false">L11*(1+M11)</f>
        <v>7.57411764705882</v>
      </c>
    </row>
    <row r="12" customFormat="false" ht="13.8" hidden="false" customHeight="false" outlineLevel="0" collapsed="false">
      <c r="A12" s="62" t="s">
        <v>92</v>
      </c>
      <c r="B12" s="63" t="s">
        <v>83</v>
      </c>
      <c r="C12" s="63" t="s">
        <v>90</v>
      </c>
      <c r="D12" s="71"/>
      <c r="E12" s="65" t="n">
        <f aca="false">D12*$D$3/1000</f>
        <v>0</v>
      </c>
      <c r="F12" s="68"/>
      <c r="G12" s="65" t="n">
        <f aca="false">F12*$F$3/1000</f>
        <v>0</v>
      </c>
      <c r="H12" s="71" t="n">
        <f aca="false">0.62/H3*1000*3</f>
        <v>372</v>
      </c>
      <c r="I12" s="65" t="n">
        <f aca="false">H12*$H$3/1000</f>
        <v>1.86</v>
      </c>
      <c r="J12" s="68"/>
      <c r="K12" s="65" t="n">
        <f aca="false">J12*$J$3/1000</f>
        <v>0</v>
      </c>
      <c r="L12" s="66" t="n">
        <f aca="false">((G12/'EPS Parameters'!$C$3)+(I12/'EPS Parameters'!$C$4)+(K12/'EPS Parameters'!$C$5)+(E12/'EPS Parameters'!$C$3))/'EPS Parameters'!$C$8</f>
        <v>2.18823529411765</v>
      </c>
      <c r="M12" s="69"/>
      <c r="N12" s="65" t="n">
        <f aca="false">L12*(1+M12)</f>
        <v>2.18823529411765</v>
      </c>
    </row>
    <row r="13" customFormat="false" ht="15" hidden="false" customHeight="false" outlineLevel="0" collapsed="false">
      <c r="A13" s="62" t="s">
        <v>93</v>
      </c>
      <c r="B13" s="63" t="s">
        <v>83</v>
      </c>
      <c r="C13" s="63" t="s">
        <v>84</v>
      </c>
      <c r="D13" s="71" t="n">
        <v>10</v>
      </c>
      <c r="E13" s="65" t="n">
        <f aca="false">D13*$D$3/1000</f>
        <v>0.074</v>
      </c>
      <c r="F13" s="68"/>
      <c r="G13" s="65" t="n">
        <f aca="false">F13*$F$3/1000</f>
        <v>0</v>
      </c>
      <c r="H13" s="68"/>
      <c r="I13" s="65" t="n">
        <f aca="false">H13*$H$3/1000</f>
        <v>0</v>
      </c>
      <c r="J13" s="68"/>
      <c r="K13" s="65" t="n">
        <f aca="false">J13*$J$3/1000</f>
        <v>0</v>
      </c>
      <c r="L13" s="66" t="n">
        <f aca="false">((G13/'EPS Parameters'!$C$3)+(I13/'EPS Parameters'!$C$4)+(K13/'EPS Parameters'!$C$5)+(E13/'EPS Parameters'!$C$3))/'EPS Parameters'!$C$8</f>
        <v>0.0870588235294118</v>
      </c>
      <c r="M13" s="69"/>
      <c r="N13" s="65" t="n">
        <f aca="false">L13*(1+M13)</f>
        <v>0.0870588235294118</v>
      </c>
    </row>
    <row r="14" customFormat="false" ht="15" hidden="false" customHeight="false" outlineLevel="0" collapsed="false">
      <c r="A14" s="62" t="s">
        <v>94</v>
      </c>
      <c r="B14" s="63" t="s">
        <v>83</v>
      </c>
      <c r="C14" s="63" t="s">
        <v>84</v>
      </c>
      <c r="D14" s="71" t="n">
        <f aca="false">100</f>
        <v>100</v>
      </c>
      <c r="E14" s="65" t="n">
        <f aca="false">D14*$D$3/1000</f>
        <v>0.74</v>
      </c>
      <c r="F14" s="68"/>
      <c r="G14" s="65" t="n">
        <f aca="false">F14*$F$3/1000</f>
        <v>0</v>
      </c>
      <c r="H14" s="68"/>
      <c r="I14" s="65" t="n">
        <f aca="false">H14*$H$3/1000</f>
        <v>0</v>
      </c>
      <c r="J14" s="68"/>
      <c r="K14" s="65" t="n">
        <f aca="false">J14*$J$3/1000</f>
        <v>0</v>
      </c>
      <c r="L14" s="66" t="n">
        <f aca="false">((G14/'EPS Parameters'!$C$3)+(I14/'EPS Parameters'!$C$4)+(K14/'EPS Parameters'!$C$5)+(E14/'EPS Parameters'!$C$3))/'EPS Parameters'!$C$8</f>
        <v>0.870588235294118</v>
      </c>
      <c r="M14" s="69"/>
      <c r="N14" s="65" t="n">
        <f aca="false">L14*(1+M14)</f>
        <v>0.870588235294118</v>
      </c>
    </row>
    <row r="15" customFormat="false" ht="15" hidden="false" customHeight="false" outlineLevel="0" collapsed="false">
      <c r="A15" s="62" t="s">
        <v>95</v>
      </c>
      <c r="B15" s="63" t="s">
        <v>83</v>
      </c>
      <c r="C15" s="63" t="s">
        <v>84</v>
      </c>
      <c r="D15" s="71" t="n">
        <f aca="false">15/8*1000</f>
        <v>1875</v>
      </c>
      <c r="E15" s="65" t="n">
        <f aca="false">D15*$D$3/1000</f>
        <v>13.875</v>
      </c>
      <c r="F15" s="68"/>
      <c r="G15" s="65" t="n">
        <f aca="false">F15*$F$3/1000</f>
        <v>0</v>
      </c>
      <c r="H15" s="68"/>
      <c r="I15" s="65" t="n">
        <f aca="false">H15*$H$3/1000</f>
        <v>0</v>
      </c>
      <c r="J15" s="68"/>
      <c r="K15" s="65" t="n">
        <f aca="false">J15*$J$3/1000</f>
        <v>0</v>
      </c>
      <c r="L15" s="66" t="n">
        <f aca="false">((G15/'EPS Parameters'!$C$3)+(I15/'EPS Parameters'!$C$4)+(K15/'EPS Parameters'!$C$5)+(E15/'EPS Parameters'!$C$3))/'EPS Parameters'!$C$8</f>
        <v>16.3235294117647</v>
      </c>
      <c r="M15" s="69"/>
      <c r="N15" s="65" t="n">
        <f aca="false">L15*(1+M15)</f>
        <v>16.3235294117647</v>
      </c>
    </row>
    <row r="16" customFormat="false" ht="13.8" hidden="false" customHeight="false" outlineLevel="0" collapsed="false">
      <c r="A16" s="62" t="e">
        <f aca="false">'Power Consumption - Components'!A16</f>
        <v>#VALUE!</v>
      </c>
      <c r="B16" s="63" t="s">
        <v>96</v>
      </c>
      <c r="C16" s="63" t="s">
        <v>97</v>
      </c>
      <c r="D16" s="72" t="n">
        <f aca="false">5*1/D3*1000</f>
        <v>675.675675675676</v>
      </c>
      <c r="E16" s="65" t="n">
        <f aca="false">D16*$D$3/1000</f>
        <v>5</v>
      </c>
      <c r="F16" s="68"/>
      <c r="G16" s="65" t="n">
        <f aca="false">F16*$F$3/1000</f>
        <v>0</v>
      </c>
      <c r="H16" s="71" t="n">
        <f aca="false">5*1/H3*1000</f>
        <v>1000</v>
      </c>
      <c r="I16" s="65" t="n">
        <f aca="false">H16*$H$3/1000</f>
        <v>5</v>
      </c>
      <c r="J16" s="68"/>
      <c r="K16" s="65" t="n">
        <f aca="false">J16*$J$3/1000</f>
        <v>0</v>
      </c>
      <c r="L16" s="66" t="n">
        <f aca="false">((G16/'EPS Parameters'!$C$3)+(I16/'EPS Parameters'!$C$4)+(K16/'EPS Parameters'!$C$5)+(E16/'EPS Parameters'!$C$3))/'EPS Parameters'!$C$8</f>
        <v>11.7647058823529</v>
      </c>
      <c r="M16" s="69"/>
      <c r="N16" s="65" t="n">
        <f aca="false">L16*(1+M16)</f>
        <v>11.7647058823529</v>
      </c>
    </row>
    <row r="17" customFormat="false" ht="13.8" hidden="false" customHeight="false" outlineLevel="0" collapsed="false">
      <c r="A17" s="62" t="s">
        <v>98</v>
      </c>
      <c r="B17" s="63" t="s">
        <v>96</v>
      </c>
      <c r="C17" s="63" t="s">
        <v>99</v>
      </c>
      <c r="D17" s="72" t="n">
        <f aca="false">5*1.1/D3*1000</f>
        <v>743.243243243243</v>
      </c>
      <c r="E17" s="65" t="n">
        <f aca="false">D17*$D$3/1000</f>
        <v>5.5</v>
      </c>
      <c r="F17" s="68"/>
      <c r="G17" s="65" t="n">
        <f aca="false">F17*$F$3/1000</f>
        <v>0</v>
      </c>
      <c r="H17" s="71" t="n">
        <f aca="false">5*1.1/H3*1000</f>
        <v>1100</v>
      </c>
      <c r="I17" s="65" t="n">
        <f aca="false">H17*$H$3/1000</f>
        <v>5.5</v>
      </c>
      <c r="J17" s="68"/>
      <c r="K17" s="65" t="n">
        <f aca="false">J17*$J$3/1000</f>
        <v>0</v>
      </c>
      <c r="L17" s="66" t="n">
        <f aca="false">((G17/'EPS Parameters'!$C$3)+(I17/'EPS Parameters'!$C$4)+(K17/'EPS Parameters'!$C$5)+(E17/'EPS Parameters'!$C$3))/'EPS Parameters'!$C$8</f>
        <v>12.9411764705882</v>
      </c>
      <c r="M17" s="69"/>
      <c r="N17" s="65" t="n">
        <f aca="false">L17*(1+M17)</f>
        <v>12.9411764705882</v>
      </c>
    </row>
    <row r="18" customFormat="false" ht="13.8" hidden="false" customHeight="false" outlineLevel="0" collapsed="false">
      <c r="A18" s="62" t="s">
        <v>100</v>
      </c>
      <c r="B18" s="63" t="s">
        <v>96</v>
      </c>
      <c r="C18" s="63" t="s">
        <v>101</v>
      </c>
      <c r="D18" s="72" t="n">
        <f aca="false">5*0.12/D3*1000</f>
        <v>81.0810810810811</v>
      </c>
      <c r="E18" s="65" t="n">
        <f aca="false">D18*$D$3/1000</f>
        <v>0.6</v>
      </c>
      <c r="F18" s="68"/>
      <c r="G18" s="65" t="n">
        <f aca="false">F18*$F$3/1000</f>
        <v>0</v>
      </c>
      <c r="H18" s="71" t="n">
        <f aca="false">5*0.12/H3*1000</f>
        <v>120</v>
      </c>
      <c r="I18" s="65" t="n">
        <f aca="false">H18*$H$3/1000</f>
        <v>0.6</v>
      </c>
      <c r="J18" s="68"/>
      <c r="K18" s="65" t="n">
        <f aca="false">J18*$J$3/1000</f>
        <v>0</v>
      </c>
      <c r="L18" s="66" t="n">
        <f aca="false">((G18/'EPS Parameters'!$C$3)+(I18/'EPS Parameters'!$C$4)+(K18/'EPS Parameters'!$C$5)+(E18/'EPS Parameters'!$C$3))/'EPS Parameters'!$C$8</f>
        <v>1.41176470588235</v>
      </c>
      <c r="M18" s="69"/>
      <c r="N18" s="65" t="n">
        <f aca="false">L18*(1+M18)</f>
        <v>1.41176470588235</v>
      </c>
    </row>
    <row r="19" customFormat="false" ht="13.8" hidden="false" customHeight="false" outlineLevel="0" collapsed="false">
      <c r="A19" s="62" t="s">
        <v>102</v>
      </c>
      <c r="B19" s="63" t="s">
        <v>96</v>
      </c>
      <c r="C19" s="63" t="s">
        <v>103</v>
      </c>
      <c r="D19" s="72" t="n">
        <f aca="false">10000/D3</f>
        <v>1351.35135135135</v>
      </c>
      <c r="E19" s="65" t="n">
        <f aca="false">D19*$D$3/1000</f>
        <v>10</v>
      </c>
      <c r="F19" s="68"/>
      <c r="G19" s="65" t="n">
        <f aca="false">F19*$F$3/1000</f>
        <v>0</v>
      </c>
      <c r="H19" s="71" t="n">
        <f aca="false">10000/H3</f>
        <v>2000</v>
      </c>
      <c r="I19" s="65" t="n">
        <f aca="false">H19*$H$3/1000</f>
        <v>10</v>
      </c>
      <c r="J19" s="68"/>
      <c r="K19" s="65" t="n">
        <f aca="false">J19*$J$3/1000</f>
        <v>0</v>
      </c>
      <c r="L19" s="66" t="n">
        <f aca="false">((G19/'EPS Parameters'!$C$3)+(I19/'EPS Parameters'!$C$4)+(K19/'EPS Parameters'!$C$5)+(E19/'EPS Parameters'!$C$3))/'EPS Parameters'!$C$8</f>
        <v>23.5294117647059</v>
      </c>
      <c r="M19" s="69"/>
      <c r="N19" s="65" t="n">
        <f aca="false">L19*(1+M19)</f>
        <v>23.5294117647059</v>
      </c>
    </row>
    <row r="20" customFormat="false" ht="13.8" hidden="false" customHeight="false" outlineLevel="0" collapsed="false">
      <c r="A20" s="9" t="s">
        <v>104</v>
      </c>
      <c r="B20" s="9" t="s">
        <v>96</v>
      </c>
      <c r="C20" s="9" t="s">
        <v>105</v>
      </c>
      <c r="D20" s="73" t="n">
        <v>0</v>
      </c>
      <c r="E20" s="74" t="n">
        <f aca="false">D20*$D$3/1000</f>
        <v>0</v>
      </c>
      <c r="F20" s="73"/>
      <c r="G20" s="74" t="n">
        <f aca="false">F20*$F$3/1000</f>
        <v>0</v>
      </c>
      <c r="H20" s="73" t="n">
        <v>0</v>
      </c>
      <c r="I20" s="74" t="n">
        <f aca="false">H20*$H$3/1000</f>
        <v>0</v>
      </c>
      <c r="J20" s="73"/>
      <c r="K20" s="74" t="n">
        <f aca="false">J20*$J$3/1000</f>
        <v>0</v>
      </c>
      <c r="L20" s="75" t="n">
        <f aca="false">((G20/'EPS Parameters'!$C$3)+(I20/'EPS Parameters'!$C$4)+(K20/'EPS Parameters'!$C$5)+(E20/'EPS Parameters'!$C$3))/'EPS Parameters'!$C$8</f>
        <v>0</v>
      </c>
      <c r="M20" s="76"/>
      <c r="N20" s="74" t="n">
        <f aca="false">L20*(1+M20)</f>
        <v>0</v>
      </c>
    </row>
    <row r="23" customFormat="false" ht="15" hidden="false" customHeight="false" outlineLevel="0" collapsed="false">
      <c r="A23" s="6" t="s">
        <v>106</v>
      </c>
      <c r="B23" s="6"/>
      <c r="C23" s="6"/>
      <c r="D23" s="77" t="n">
        <f aca="false">SUM(D5:D20)</f>
        <v>6516.35135135135</v>
      </c>
      <c r="E23" s="6" t="n">
        <f aca="false">SUM(E5:E20)</f>
        <v>48.221</v>
      </c>
      <c r="F23" s="6" t="n">
        <f aca="false">SUM(F5:F20)</f>
        <v>0</v>
      </c>
      <c r="G23" s="6" t="n">
        <f aca="false">SUM(G5:G20)</f>
        <v>0</v>
      </c>
      <c r="H23" s="6" t="n">
        <f aca="false">SUM(H5:H20)</f>
        <v>4592</v>
      </c>
      <c r="I23" s="6" t="n">
        <f aca="false">SUM(I5:I20)</f>
        <v>22.96</v>
      </c>
      <c r="J23" s="6" t="n">
        <f aca="false">SUM(J5:J20)</f>
        <v>106</v>
      </c>
      <c r="K23" s="6" t="n">
        <f aca="false">SUM(K5:K20)</f>
        <v>0.3498</v>
      </c>
      <c r="L23" s="6" t="n">
        <f aca="false">SUM(L5:L20)</f>
        <v>84.2265051903114</v>
      </c>
      <c r="M23" s="78" t="s">
        <v>107</v>
      </c>
      <c r="N23" s="79" t="n">
        <f aca="false">SUM(N5:N20)</f>
        <v>84.2265051903114</v>
      </c>
    </row>
  </sheetData>
  <mergeCells count="8">
    <mergeCell ref="D2:E2"/>
    <mergeCell ref="F2:G2"/>
    <mergeCell ref="H2:I2"/>
    <mergeCell ref="J2:K2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23" activeCellId="0" sqref="Z23"/>
    </sheetView>
  </sheetViews>
  <sheetFormatPr defaultRowHeight="15"/>
  <cols>
    <col collapsed="false" hidden="false" max="1" min="1" style="0" width="25.3886639676113"/>
    <col collapsed="false" hidden="false" max="2" min="2" style="0" width="10.497975708502"/>
    <col collapsed="false" hidden="false" max="3" min="3" style="0" width="18.5303643724696"/>
    <col collapsed="false" hidden="false" max="4" min="4" style="0" width="8.57085020242915"/>
    <col collapsed="false" hidden="false" max="5" min="5" style="0" width="14.9959514170041"/>
    <col collapsed="false" hidden="false" max="6" min="6" style="0" width="4.92712550607287"/>
    <col collapsed="false" hidden="false" max="7" min="7" style="0" width="15.2105263157895"/>
    <col collapsed="false" hidden="false" max="8" min="8" style="0" width="8.57085020242915"/>
    <col collapsed="false" hidden="false" max="9" min="9" style="0" width="14.9959514170041"/>
    <col collapsed="false" hidden="false" max="10" min="10" style="0" width="4.92712550607287"/>
    <col collapsed="false" hidden="false" max="11" min="11" style="0" width="15.2105263157895"/>
    <col collapsed="false" hidden="false" max="12" min="12" style="0" width="8.57085020242915"/>
    <col collapsed="false" hidden="false" max="13" min="13" style="0" width="14.9959514170041"/>
    <col collapsed="false" hidden="false" max="14" min="14" style="0" width="4.92712550607287"/>
    <col collapsed="false" hidden="false" max="15" min="15" style="0" width="15.2105263157895"/>
    <col collapsed="false" hidden="false" max="16" min="16" style="0" width="8.57085020242915"/>
    <col collapsed="false" hidden="false" max="17" min="17" style="0" width="14.9959514170041"/>
    <col collapsed="false" hidden="false" max="18" min="18" style="0" width="4.92712550607287"/>
    <col collapsed="false" hidden="false" max="19" min="19" style="0" width="15.2105263157895"/>
    <col collapsed="false" hidden="false" max="20" min="20" style="0" width="8.57085020242915"/>
    <col collapsed="false" hidden="false" max="21" min="21" style="0" width="14.9959514170041"/>
    <col collapsed="false" hidden="false" max="22" min="22" style="0" width="4.92712550607287"/>
    <col collapsed="false" hidden="false" max="1025" min="23" style="0" width="8.57085020242915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80" t="s">
        <v>108</v>
      </c>
      <c r="D3" s="80"/>
      <c r="E3" s="80"/>
      <c r="F3" s="80"/>
      <c r="G3" s="80" t="s">
        <v>109</v>
      </c>
      <c r="H3" s="80"/>
      <c r="I3" s="80"/>
      <c r="J3" s="80"/>
      <c r="K3" s="80" t="s">
        <v>110</v>
      </c>
      <c r="L3" s="80"/>
      <c r="M3" s="80"/>
      <c r="N3" s="80"/>
      <c r="O3" s="80" t="s">
        <v>111</v>
      </c>
      <c r="P3" s="80"/>
      <c r="Q3" s="80"/>
      <c r="R3" s="80"/>
      <c r="S3" s="80" t="s">
        <v>112</v>
      </c>
      <c r="T3" s="80"/>
      <c r="U3" s="80"/>
      <c r="V3" s="80"/>
    </row>
    <row r="4" customFormat="false" ht="30.75" hidden="false" customHeight="false" outlineLevel="0" collapsed="false">
      <c r="A4" s="81" t="str">
        <f aca="false">'Power Consumption - Components'!A4</f>
        <v>Consumer</v>
      </c>
      <c r="B4" s="82" t="s">
        <v>81</v>
      </c>
      <c r="C4" s="58" t="s">
        <v>113</v>
      </c>
      <c r="D4" s="60" t="s">
        <v>114</v>
      </c>
      <c r="E4" s="60" t="s">
        <v>115</v>
      </c>
      <c r="F4" s="59"/>
      <c r="G4" s="58" t="s">
        <v>113</v>
      </c>
      <c r="H4" s="60" t="s">
        <v>114</v>
      </c>
      <c r="I4" s="60" t="s">
        <v>115</v>
      </c>
      <c r="J4" s="57"/>
      <c r="K4" s="58" t="s">
        <v>113</v>
      </c>
      <c r="L4" s="60" t="s">
        <v>114</v>
      </c>
      <c r="M4" s="60" t="s">
        <v>115</v>
      </c>
      <c r="N4" s="57"/>
      <c r="O4" s="58" t="s">
        <v>113</v>
      </c>
      <c r="P4" s="60" t="s">
        <v>114</v>
      </c>
      <c r="Q4" s="60" t="s">
        <v>115</v>
      </c>
      <c r="R4" s="57"/>
      <c r="S4" s="58" t="s">
        <v>113</v>
      </c>
      <c r="T4" s="60" t="s">
        <v>114</v>
      </c>
      <c r="U4" s="60" t="s">
        <v>115</v>
      </c>
      <c r="V4" s="57"/>
    </row>
    <row r="5" customFormat="false" ht="15" hidden="false" customHeight="false" outlineLevel="0" collapsed="false">
      <c r="A5" s="62" t="str">
        <f aca="false">'Power Consumption - Components'!A5</f>
        <v>GOS EPS</v>
      </c>
      <c r="B5" s="83" t="n">
        <f aca="false">'Power Consumption - Components'!N5</f>
        <v>0.182698961937716</v>
      </c>
      <c r="C5" s="84" t="n">
        <v>1</v>
      </c>
      <c r="D5" s="66" t="n">
        <f aca="false">C5*'Orbit Parameters'!$C$6</f>
        <v>5738.82263247131</v>
      </c>
      <c r="E5" s="66" t="n">
        <f aca="false">B5*C5</f>
        <v>0.182698961937716</v>
      </c>
      <c r="F5" s="65"/>
      <c r="G5" s="84" t="n">
        <v>1</v>
      </c>
      <c r="H5" s="66" t="n">
        <f aca="false">G5*'Orbit Parameters'!$C$6</f>
        <v>5738.82263247131</v>
      </c>
      <c r="I5" s="66" t="n">
        <f aca="false">B5*G5</f>
        <v>0.182698961937716</v>
      </c>
      <c r="J5" s="85"/>
      <c r="K5" s="84" t="n">
        <v>1</v>
      </c>
      <c r="L5" s="66" t="n">
        <f aca="false">K5*'Orbit Parameters'!$C$6</f>
        <v>5738.82263247131</v>
      </c>
      <c r="M5" s="66" t="n">
        <f aca="false">B5*K5</f>
        <v>0.182698961937716</v>
      </c>
      <c r="N5" s="85"/>
      <c r="O5" s="84" t="n">
        <v>1</v>
      </c>
      <c r="P5" s="66" t="n">
        <f aca="false">O5*'Orbit Parameters'!$C$6</f>
        <v>5738.82263247131</v>
      </c>
      <c r="Q5" s="66" t="n">
        <f aca="false">B5*O5</f>
        <v>0.182698961937716</v>
      </c>
      <c r="R5" s="85"/>
      <c r="S5" s="84" t="n">
        <v>1</v>
      </c>
      <c r="T5" s="66" t="n">
        <f aca="false">S5*'Orbit Parameters'!$C$6</f>
        <v>5738.82263247131</v>
      </c>
      <c r="U5" s="66" t="n">
        <f aca="false">B5*S5</f>
        <v>0.182698961937716</v>
      </c>
      <c r="V5" s="85"/>
    </row>
    <row r="6" customFormat="false" ht="15" hidden="false" customHeight="false" outlineLevel="0" collapsed="false">
      <c r="A6" s="62" t="str">
        <f aca="false">'Power Consumption - Components'!A6</f>
        <v>GOS OBC</v>
      </c>
      <c r="B6" s="83" t="n">
        <f aca="false">'Power Consumption - Components'!N6</f>
        <v>0.274048442906574</v>
      </c>
      <c r="C6" s="84" t="n">
        <v>1</v>
      </c>
      <c r="D6" s="66" t="n">
        <f aca="false">C6*'Orbit Parameters'!$C$6</f>
        <v>5738.82263247131</v>
      </c>
      <c r="E6" s="66" t="n">
        <f aca="false">B6*C6</f>
        <v>0.274048442906574</v>
      </c>
      <c r="F6" s="65"/>
      <c r="G6" s="84" t="n">
        <v>1</v>
      </c>
      <c r="H6" s="66" t="n">
        <f aca="false">G6*'Orbit Parameters'!$C$6</f>
        <v>5738.82263247131</v>
      </c>
      <c r="I6" s="66" t="n">
        <f aca="false">B6*G6</f>
        <v>0.274048442906574</v>
      </c>
      <c r="J6" s="85"/>
      <c r="K6" s="84" t="n">
        <v>1</v>
      </c>
      <c r="L6" s="66" t="n">
        <f aca="false">K6*'Orbit Parameters'!$C$6</f>
        <v>5738.82263247131</v>
      </c>
      <c r="M6" s="66" t="n">
        <f aca="false">B6*K6</f>
        <v>0.274048442906574</v>
      </c>
      <c r="N6" s="85"/>
      <c r="O6" s="84" t="n">
        <v>1</v>
      </c>
      <c r="P6" s="66" t="n">
        <f aca="false">O6*'Orbit Parameters'!$C$6</f>
        <v>5738.82263247131</v>
      </c>
      <c r="Q6" s="66" t="n">
        <f aca="false">B6*O6</f>
        <v>0.274048442906574</v>
      </c>
      <c r="R6" s="85"/>
      <c r="S6" s="84" t="n">
        <v>1</v>
      </c>
      <c r="T6" s="66" t="n">
        <f aca="false">S6*'Orbit Parameters'!$C$6</f>
        <v>5738.82263247131</v>
      </c>
      <c r="U6" s="66" t="n">
        <f aca="false">B6*S6</f>
        <v>0.274048442906574</v>
      </c>
      <c r="V6" s="85"/>
    </row>
    <row r="7" customFormat="false" ht="15" hidden="false" customHeight="false" outlineLevel="0" collapsed="false">
      <c r="A7" s="62" t="str">
        <f aca="false">'Power Consumption - Components'!A7</f>
        <v>GOS UHF - Tx</v>
      </c>
      <c r="B7" s="83" t="n">
        <f aca="false">'Power Consumption - Components'!N7</f>
        <v>6.09411764705882</v>
      </c>
      <c r="C7" s="86" t="n">
        <v>0.01</v>
      </c>
      <c r="D7" s="66" t="n">
        <f aca="false">C7*'Orbit Parameters'!$C$6</f>
        <v>57.3882263247131</v>
      </c>
      <c r="E7" s="66" t="n">
        <f aca="false">B7*C7</f>
        <v>0.0609411764705882</v>
      </c>
      <c r="F7" s="65"/>
      <c r="G7" s="86" t="n">
        <v>0.01</v>
      </c>
      <c r="H7" s="66" t="n">
        <f aca="false">G7*'Orbit Parameters'!$C$6</f>
        <v>57.3882263247131</v>
      </c>
      <c r="I7" s="66" t="n">
        <f aca="false">B7*G7</f>
        <v>0.0609411764705882</v>
      </c>
      <c r="J7" s="85"/>
      <c r="K7" s="86" t="n">
        <v>0.01</v>
      </c>
      <c r="L7" s="66" t="n">
        <f aca="false">K7*'Orbit Parameters'!$C$6</f>
        <v>57.3882263247131</v>
      </c>
      <c r="M7" s="66" t="n">
        <f aca="false">B7*K7</f>
        <v>0.0609411764705882</v>
      </c>
      <c r="N7" s="85"/>
      <c r="O7" s="86" t="n">
        <v>0.01</v>
      </c>
      <c r="P7" s="66" t="n">
        <f aca="false">O7*'Orbit Parameters'!$C$6</f>
        <v>57.3882263247131</v>
      </c>
      <c r="Q7" s="66" t="n">
        <f aca="false">B7*O7</f>
        <v>0.0609411764705882</v>
      </c>
      <c r="R7" s="85"/>
      <c r="S7" s="86" t="n">
        <v>0.01</v>
      </c>
      <c r="T7" s="66" t="n">
        <f aca="false">S7*'Orbit Parameters'!$C$6</f>
        <v>57.3882263247131</v>
      </c>
      <c r="U7" s="66" t="n">
        <f aca="false">B7*S7</f>
        <v>0.0609411764705882</v>
      </c>
      <c r="V7" s="85"/>
    </row>
    <row r="8" customFormat="false" ht="15" hidden="false" customHeight="false" outlineLevel="0" collapsed="false">
      <c r="A8" s="62" t="str">
        <f aca="false">'Power Consumption - Components'!A8</f>
        <v>GOS UHF - Rx</v>
      </c>
      <c r="B8" s="83" t="n">
        <f aca="false">'Power Consumption - Components'!N8</f>
        <v>0.783529411764706</v>
      </c>
      <c r="C8" s="86" t="n">
        <v>0.19</v>
      </c>
      <c r="D8" s="66" t="n">
        <f aca="false">C8*'Orbit Parameters'!$C$6</f>
        <v>1090.37630016955</v>
      </c>
      <c r="E8" s="66" t="n">
        <f aca="false">B8*C8</f>
        <v>0.148870588235294</v>
      </c>
      <c r="F8" s="65"/>
      <c r="G8" s="86" t="n">
        <v>0.19</v>
      </c>
      <c r="H8" s="66" t="n">
        <f aca="false">G8*'Orbit Parameters'!$C$6</f>
        <v>1090.37630016955</v>
      </c>
      <c r="I8" s="66" t="n">
        <f aca="false">B8*G8</f>
        <v>0.148870588235294</v>
      </c>
      <c r="J8" s="85"/>
      <c r="K8" s="86" t="n">
        <v>0.19</v>
      </c>
      <c r="L8" s="66" t="n">
        <f aca="false">K8*'Orbit Parameters'!$C$6</f>
        <v>1090.37630016955</v>
      </c>
      <c r="M8" s="66" t="n">
        <f aca="false">B8*K8</f>
        <v>0.148870588235294</v>
      </c>
      <c r="N8" s="85"/>
      <c r="O8" s="86" t="n">
        <v>0.19</v>
      </c>
      <c r="P8" s="66" t="n">
        <f aca="false">O8*'Orbit Parameters'!$C$6</f>
        <v>1090.37630016955</v>
      </c>
      <c r="Q8" s="66" t="n">
        <f aca="false">B8*O8</f>
        <v>0.148870588235294</v>
      </c>
      <c r="R8" s="85"/>
      <c r="S8" s="86" t="n">
        <v>0.19</v>
      </c>
      <c r="T8" s="66" t="n">
        <f aca="false">S8*'Orbit Parameters'!$C$6</f>
        <v>1090.37630016955</v>
      </c>
      <c r="U8" s="66" t="n">
        <f aca="false">B8*S8</f>
        <v>0.148870588235294</v>
      </c>
      <c r="V8" s="85"/>
    </row>
    <row r="9" customFormat="false" ht="15" hidden="false" customHeight="false" outlineLevel="0" collapsed="false">
      <c r="A9" s="62" t="s">
        <v>88</v>
      </c>
      <c r="B9" s="83" t="n">
        <f aca="false">'Power Consumption - Components'!N9</f>
        <v>0.174117647058824</v>
      </c>
      <c r="C9" s="86" t="n">
        <v>0.4</v>
      </c>
      <c r="D9" s="66" t="n">
        <f aca="false">C9*'Orbit Parameters'!$C$6</f>
        <v>2295.52905298852</v>
      </c>
      <c r="E9" s="66" t="n">
        <f aca="false">B9*C9</f>
        <v>0.0696470588235294</v>
      </c>
      <c r="F9" s="65"/>
      <c r="G9" s="86" t="n">
        <v>0.4</v>
      </c>
      <c r="H9" s="66" t="n">
        <f aca="false">G9*'Orbit Parameters'!$C$6</f>
        <v>2295.52905298852</v>
      </c>
      <c r="I9" s="66" t="n">
        <f aca="false">B9*G9</f>
        <v>0.0696470588235294</v>
      </c>
      <c r="J9" s="85"/>
      <c r="K9" s="86" t="n">
        <v>0.4</v>
      </c>
      <c r="L9" s="66" t="n">
        <f aca="false">K9*'Orbit Parameters'!$C$6</f>
        <v>2295.52905298852</v>
      </c>
      <c r="M9" s="66" t="n">
        <f aca="false">B9*K9</f>
        <v>0.0696470588235294</v>
      </c>
      <c r="N9" s="85"/>
      <c r="O9" s="86" t="n">
        <v>0.4</v>
      </c>
      <c r="P9" s="66" t="n">
        <f aca="false">O9*'Orbit Parameters'!$C$6</f>
        <v>2295.52905298852</v>
      </c>
      <c r="Q9" s="66" t="n">
        <f aca="false">B9*O9</f>
        <v>0.0696470588235294</v>
      </c>
      <c r="R9" s="85"/>
      <c r="S9" s="86" t="n">
        <v>0.4</v>
      </c>
      <c r="T9" s="66" t="n">
        <f aca="false">S9*'Orbit Parameters'!$C$6</f>
        <v>2295.52905298852</v>
      </c>
      <c r="U9" s="66" t="n">
        <f aca="false">B9*S9</f>
        <v>0.0696470588235294</v>
      </c>
      <c r="V9" s="85"/>
    </row>
    <row r="10" customFormat="false" ht="15" hidden="false" customHeight="false" outlineLevel="0" collapsed="false">
      <c r="A10" s="62" t="str">
        <f aca="false">'Power Consumption - Components'!A10</f>
        <v>GOS Sun Sensors</v>
      </c>
      <c r="B10" s="83" t="n">
        <f aca="false">'Power Consumption - Components'!N10</f>
        <v>0.0274048442906574</v>
      </c>
      <c r="C10" s="86" t="n">
        <v>1</v>
      </c>
      <c r="D10" s="66" t="n">
        <f aca="false">C10*'Orbit Parameters'!$C$6</f>
        <v>5738.82263247131</v>
      </c>
      <c r="E10" s="66" t="n">
        <f aca="false">B10*C10</f>
        <v>0.0274048442906574</v>
      </c>
      <c r="F10" s="65"/>
      <c r="G10" s="86" t="n">
        <v>1</v>
      </c>
      <c r="H10" s="66" t="n">
        <f aca="false">G10*'Orbit Parameters'!$C$6</f>
        <v>5738.82263247131</v>
      </c>
      <c r="I10" s="66" t="n">
        <f aca="false">B10*G10</f>
        <v>0.0274048442906574</v>
      </c>
      <c r="J10" s="85"/>
      <c r="K10" s="86" t="n">
        <v>1</v>
      </c>
      <c r="L10" s="66" t="n">
        <f aca="false">K10*'Orbit Parameters'!$C$6</f>
        <v>5738.82263247131</v>
      </c>
      <c r="M10" s="66" t="n">
        <f aca="false">B10*K10</f>
        <v>0.0274048442906574</v>
      </c>
      <c r="N10" s="85"/>
      <c r="O10" s="86" t="n">
        <v>1</v>
      </c>
      <c r="P10" s="66" t="n">
        <f aca="false">O10*'Orbit Parameters'!$C$6</f>
        <v>5738.82263247131</v>
      </c>
      <c r="Q10" s="66" t="n">
        <f aca="false">B10*O10</f>
        <v>0.0274048442906574</v>
      </c>
      <c r="R10" s="85"/>
      <c r="S10" s="86" t="n">
        <v>1</v>
      </c>
      <c r="T10" s="66" t="n">
        <f aca="false">S10*'Orbit Parameters'!$C$6</f>
        <v>5738.82263247131</v>
      </c>
      <c r="U10" s="66" t="n">
        <f aca="false">B10*S10</f>
        <v>0.0274048442906574</v>
      </c>
      <c r="V10" s="85"/>
    </row>
    <row r="11" customFormat="false" ht="15" hidden="false" customHeight="false" outlineLevel="0" collapsed="false">
      <c r="A11" s="62" t="s">
        <v>91</v>
      </c>
      <c r="B11" s="83" t="n">
        <f aca="false">'Power Consumption - Components'!N11</f>
        <v>7.57411764705882</v>
      </c>
      <c r="C11" s="86" t="n">
        <v>0.05</v>
      </c>
      <c r="D11" s="66" t="n">
        <f aca="false">C11*'Orbit Parameters'!$C$6</f>
        <v>286.941131623566</v>
      </c>
      <c r="E11" s="66" t="n">
        <f aca="false">B11*C11</f>
        <v>0.378705882352941</v>
      </c>
      <c r="F11" s="65"/>
      <c r="G11" s="86" t="n">
        <f aca="false">$G$16</f>
        <v>0.23001233607242</v>
      </c>
      <c r="H11" s="66" t="n">
        <f aca="false">G11*'Orbit Parameters'!$C$6</f>
        <v>1320</v>
      </c>
      <c r="I11" s="66" t="n">
        <f aca="false">B11*G11</f>
        <v>1.74214049368734</v>
      </c>
      <c r="J11" s="85"/>
      <c r="K11" s="86" t="n">
        <f aca="false">K$17*1.5</f>
        <v>0.15682659277665</v>
      </c>
      <c r="L11" s="66" t="n">
        <f aca="false">K11*'Orbit Parameters'!$C$6</f>
        <v>900</v>
      </c>
      <c r="M11" s="66" t="n">
        <f aca="false">B11*K11</f>
        <v>1.18782306387773</v>
      </c>
      <c r="N11" s="85"/>
      <c r="O11" s="86" t="n">
        <f aca="false">O$17*1.5</f>
        <v>0.12546127422132</v>
      </c>
      <c r="P11" s="66" t="n">
        <f aca="false">O11*'Orbit Parameters'!$C$6</f>
        <v>720</v>
      </c>
      <c r="Q11" s="66" t="n">
        <f aca="false">B11*O11</f>
        <v>0.950258451102185</v>
      </c>
      <c r="R11" s="85"/>
      <c r="S11" s="86" t="n">
        <f aca="false">S$17*1.5</f>
        <v>0.15682659277665</v>
      </c>
      <c r="T11" s="66" t="n">
        <f aca="false">S11*'Orbit Parameters'!$C$6</f>
        <v>900</v>
      </c>
      <c r="U11" s="66" t="n">
        <f aca="false">B11*S11</f>
        <v>1.18782306387773</v>
      </c>
      <c r="V11" s="85"/>
    </row>
    <row r="12" customFormat="false" ht="15" hidden="false" customHeight="false" outlineLevel="0" collapsed="false">
      <c r="A12" s="62" t="str">
        <f aca="false">'Power Consumption - Components'!A12</f>
        <v>GOS ADCS x 3</v>
      </c>
      <c r="B12" s="83" t="n">
        <f aca="false">'Power Consumption - Components'!N12</f>
        <v>2.18823529411765</v>
      </c>
      <c r="C12" s="86" t="n">
        <v>0.05</v>
      </c>
      <c r="D12" s="66" t="n">
        <f aca="false">C12*'Orbit Parameters'!$C$6</f>
        <v>286.941131623566</v>
      </c>
      <c r="E12" s="66" t="n">
        <f aca="false">B12*C12</f>
        <v>0.109411764705882</v>
      </c>
      <c r="F12" s="65"/>
      <c r="G12" s="86" t="n">
        <f aca="false">$G$16*1.5</f>
        <v>0.34501850410863</v>
      </c>
      <c r="H12" s="66" t="n">
        <f aca="false">G12*'Orbit Parameters'!$C$6</f>
        <v>1980</v>
      </c>
      <c r="I12" s="66" t="n">
        <f aca="false">B12*G12</f>
        <v>0.754981667814178</v>
      </c>
      <c r="J12" s="85"/>
      <c r="K12" s="86" t="n">
        <f aca="false">K$17*1.5</f>
        <v>0.15682659277665</v>
      </c>
      <c r="L12" s="66" t="n">
        <f aca="false">K12*'Orbit Parameters'!$C$6</f>
        <v>900</v>
      </c>
      <c r="M12" s="66" t="n">
        <f aca="false">B12*K12</f>
        <v>0.343173485370081</v>
      </c>
      <c r="N12" s="85"/>
      <c r="O12" s="86" t="n">
        <f aca="false">O$17*1.5</f>
        <v>0.12546127422132</v>
      </c>
      <c r="P12" s="66" t="n">
        <f aca="false">O12*'Orbit Parameters'!$C$6</f>
        <v>720</v>
      </c>
      <c r="Q12" s="66" t="n">
        <f aca="false">B12*O12</f>
        <v>0.274538788296065</v>
      </c>
      <c r="R12" s="85"/>
      <c r="S12" s="86" t="n">
        <f aca="false">S$17*1.5</f>
        <v>0.15682659277665</v>
      </c>
      <c r="T12" s="66" t="n">
        <f aca="false">S12*'Orbit Parameters'!$C$6</f>
        <v>900</v>
      </c>
      <c r="U12" s="66" t="n">
        <f aca="false">B12*S12</f>
        <v>0.343173485370081</v>
      </c>
      <c r="V12" s="85"/>
      <c r="Z12" s="0" t="s">
        <v>116</v>
      </c>
    </row>
    <row r="13" customFormat="false" ht="15" hidden="false" customHeight="false" outlineLevel="0" collapsed="false">
      <c r="A13" s="62" t="str">
        <f aca="false">'Power Consumption - Components'!A13</f>
        <v>GOS Payload Adapter</v>
      </c>
      <c r="B13" s="83" t="n">
        <f aca="false">'Power Consumption - Components'!N13</f>
        <v>0.0870588235294118</v>
      </c>
      <c r="C13" s="86" t="n">
        <v>1</v>
      </c>
      <c r="D13" s="66" t="n">
        <f aca="false">C13*'Orbit Parameters'!$C$6</f>
        <v>5738.82263247131</v>
      </c>
      <c r="E13" s="66" t="n">
        <f aca="false">B13*C13</f>
        <v>0.0870588235294118</v>
      </c>
      <c r="F13" s="65"/>
      <c r="G13" s="86" t="n">
        <v>1</v>
      </c>
      <c r="H13" s="66" t="n">
        <f aca="false">G13*'Orbit Parameters'!$C$6</f>
        <v>5738.82263247131</v>
      </c>
      <c r="I13" s="66" t="n">
        <f aca="false">B13*G13</f>
        <v>0.0870588235294118</v>
      </c>
      <c r="J13" s="85"/>
      <c r="K13" s="86" t="n">
        <v>1</v>
      </c>
      <c r="L13" s="66" t="n">
        <f aca="false">K13*'Orbit Parameters'!$C$6</f>
        <v>5738.82263247131</v>
      </c>
      <c r="M13" s="66" t="n">
        <f aca="false">B13*K13</f>
        <v>0.0870588235294118</v>
      </c>
      <c r="N13" s="85"/>
      <c r="O13" s="86" t="n">
        <v>1</v>
      </c>
      <c r="P13" s="66" t="n">
        <f aca="false">O13*'Orbit Parameters'!$C$6</f>
        <v>5738.82263247131</v>
      </c>
      <c r="Q13" s="66" t="n">
        <f aca="false">B13*O13</f>
        <v>0.0870588235294118</v>
      </c>
      <c r="R13" s="85"/>
      <c r="S13" s="86" t="n">
        <v>1</v>
      </c>
      <c r="T13" s="66" t="n">
        <f aca="false">S13*'Orbit Parameters'!$C$6</f>
        <v>5738.82263247131</v>
      </c>
      <c r="U13" s="66" t="n">
        <f aca="false">B13*S13</f>
        <v>0.0870588235294118</v>
      </c>
      <c r="V13" s="85"/>
    </row>
    <row r="14" customFormat="false" ht="15" hidden="false" customHeight="false" outlineLevel="0" collapsed="false">
      <c r="A14" s="62" t="s">
        <v>94</v>
      </c>
      <c r="B14" s="83" t="n">
        <f aca="false">'Power Consumption - Components'!N14</f>
        <v>0.870588235294118</v>
      </c>
      <c r="C14" s="86" t="n">
        <v>0</v>
      </c>
      <c r="D14" s="66" t="n">
        <f aca="false">C14*'Orbit Parameters'!$C$6</f>
        <v>0</v>
      </c>
      <c r="E14" s="66" t="n">
        <f aca="false">B14*C14</f>
        <v>0</v>
      </c>
      <c r="F14" s="65"/>
      <c r="G14" s="86" t="n">
        <v>0</v>
      </c>
      <c r="H14" s="66" t="n">
        <f aca="false">G14*'Orbit Parameters'!$C$6</f>
        <v>0</v>
      </c>
      <c r="I14" s="66" t="n">
        <f aca="false">B14*G14</f>
        <v>0</v>
      </c>
      <c r="J14" s="85"/>
      <c r="K14" s="86" t="n">
        <f aca="false">(5*60*2)/'Orbit Parameters'!$C$6</f>
        <v>0.1045510618511</v>
      </c>
      <c r="L14" s="66" t="n">
        <f aca="false">K14*'Orbit Parameters'!$C$6</f>
        <v>600</v>
      </c>
      <c r="M14" s="66" t="n">
        <f aca="false">B14*K14</f>
        <v>0.0910209244350752</v>
      </c>
      <c r="N14" s="85"/>
      <c r="O14" s="86" t="n">
        <v>0</v>
      </c>
      <c r="P14" s="66" t="n">
        <f aca="false">O14*'Orbit Parameters'!$C$6</f>
        <v>0</v>
      </c>
      <c r="Q14" s="66" t="n">
        <f aca="false">B14*O14</f>
        <v>0</v>
      </c>
      <c r="R14" s="85"/>
      <c r="S14" s="86" t="n">
        <v>0</v>
      </c>
      <c r="T14" s="66" t="n">
        <f aca="false">S14*'Orbit Parameters'!$C$6</f>
        <v>0</v>
      </c>
      <c r="U14" s="66" t="n">
        <f aca="false">B14*S14</f>
        <v>0</v>
      </c>
      <c r="V14" s="85"/>
    </row>
    <row r="15" customFormat="false" ht="15" hidden="false" customHeight="false" outlineLevel="0" collapsed="false">
      <c r="A15" s="62" t="s">
        <v>95</v>
      </c>
      <c r="B15" s="83" t="n">
        <f aca="false">'Power Consumption - Components'!N15</f>
        <v>16.3235294117647</v>
      </c>
      <c r="C15" s="86" t="n">
        <v>0</v>
      </c>
      <c r="D15" s="66" t="n">
        <f aca="false">C15*'Orbit Parameters'!$C$6</f>
        <v>0</v>
      </c>
      <c r="E15" s="66" t="n">
        <f aca="false">B15*C15</f>
        <v>0</v>
      </c>
      <c r="F15" s="65"/>
      <c r="G15" s="86" t="n">
        <v>0</v>
      </c>
      <c r="H15" s="66" t="n">
        <f aca="false">G15*'Orbit Parameters'!$C$6</f>
        <v>0</v>
      </c>
      <c r="I15" s="66" t="n">
        <f aca="false">B15*G15</f>
        <v>0</v>
      </c>
      <c r="J15" s="85"/>
      <c r="K15" s="86" t="n">
        <v>0</v>
      </c>
      <c r="L15" s="66" t="n">
        <f aca="false">K15*'Orbit Parameters'!$C$6</f>
        <v>0</v>
      </c>
      <c r="M15" s="66" t="n">
        <f aca="false">B15*K15</f>
        <v>0</v>
      </c>
      <c r="N15" s="85"/>
      <c r="O15" s="86" t="n">
        <v>0</v>
      </c>
      <c r="P15" s="66" t="n">
        <f aca="false">O15*'Orbit Parameters'!$C$6</f>
        <v>0</v>
      </c>
      <c r="Q15" s="66" t="n">
        <f aca="false">B15*O15</f>
        <v>0</v>
      </c>
      <c r="R15" s="85"/>
      <c r="S15" s="86" t="n">
        <f aca="false">(5*60*2)/'Orbit Parameters'!$C$6</f>
        <v>0.1045510618511</v>
      </c>
      <c r="T15" s="66" t="n">
        <f aca="false">S15*'Orbit Parameters'!$C$6</f>
        <v>600</v>
      </c>
      <c r="U15" s="66" t="n">
        <f aca="false">B15*S15</f>
        <v>1.70664233315766</v>
      </c>
      <c r="V15" s="85"/>
    </row>
    <row r="16" customFormat="false" ht="15" hidden="false" customHeight="false" outlineLevel="0" collapsed="false">
      <c r="A16" s="62" t="e">
        <f aca="false">'Power Consumption - Components'!A16</f>
        <v>#VALUE!</v>
      </c>
      <c r="B16" s="83" t="n">
        <f aca="false">'Power Consumption - Components'!N16</f>
        <v>11.7647058823529</v>
      </c>
      <c r="C16" s="86" t="n">
        <v>0</v>
      </c>
      <c r="D16" s="66" t="n">
        <f aca="false">C16*'Orbit Parameters'!$C$6</f>
        <v>0</v>
      </c>
      <c r="E16" s="66" t="n">
        <f aca="false">B16*C16</f>
        <v>0</v>
      </c>
      <c r="F16" s="65"/>
      <c r="G16" s="86" t="n">
        <f aca="false">(24*5+20*60)/'Orbit Parameters'!C6</f>
        <v>0.23001233607242</v>
      </c>
      <c r="H16" s="66" t="n">
        <f aca="false">G16*'Orbit Parameters'!$C$6</f>
        <v>1320</v>
      </c>
      <c r="I16" s="66" t="n">
        <f aca="false">B16*G16</f>
        <v>2.70602748320494</v>
      </c>
      <c r="J16" s="85"/>
      <c r="K16" s="86" t="n">
        <v>0</v>
      </c>
      <c r="L16" s="66" t="n">
        <f aca="false">K16*'Orbit Parameters'!$C$6</f>
        <v>0</v>
      </c>
      <c r="M16" s="66" t="n">
        <f aca="false">B16*K16</f>
        <v>0</v>
      </c>
      <c r="N16" s="85"/>
      <c r="O16" s="86" t="n">
        <v>0</v>
      </c>
      <c r="P16" s="66" t="n">
        <f aca="false">O16*'Orbit Parameters'!$C$6</f>
        <v>0</v>
      </c>
      <c r="Q16" s="66" t="n">
        <f aca="false">B16*O16</f>
        <v>0</v>
      </c>
      <c r="R16" s="85"/>
      <c r="S16" s="86" t="n">
        <v>0</v>
      </c>
      <c r="T16" s="66" t="n">
        <f aca="false">S16*'Orbit Parameters'!$C$6</f>
        <v>0</v>
      </c>
      <c r="U16" s="66" t="n">
        <f aca="false">B16*S16</f>
        <v>0</v>
      </c>
      <c r="V16" s="85"/>
    </row>
    <row r="17" customFormat="false" ht="11.25" hidden="false" customHeight="true" outlineLevel="0" collapsed="false">
      <c r="A17" s="62" t="s">
        <v>98</v>
      </c>
      <c r="B17" s="83" t="n">
        <f aca="false">'Power Consumption - Components'!N17</f>
        <v>12.9411764705882</v>
      </c>
      <c r="C17" s="86" t="n">
        <v>0</v>
      </c>
      <c r="D17" s="66" t="n">
        <f aca="false">C17*'Orbit Parameters'!$C$6</f>
        <v>0</v>
      </c>
      <c r="E17" s="66" t="n">
        <f aca="false">B17*C17</f>
        <v>0</v>
      </c>
      <c r="F17" s="65"/>
      <c r="G17" s="86" t="n">
        <f aca="false">(24*5+20*60)/'Orbit Parameters'!C6</f>
        <v>0.23001233607242</v>
      </c>
      <c r="H17" s="66" t="n">
        <f aca="false">G17*'Orbit Parameters'!$C$6</f>
        <v>1320</v>
      </c>
      <c r="I17" s="66" t="n">
        <f aca="false">B17*G17</f>
        <v>2.97663023152543</v>
      </c>
      <c r="J17" s="85"/>
      <c r="K17" s="86" t="n">
        <f aca="false">(5*60*2)/'Orbit Parameters'!$C$6</f>
        <v>0.1045510618511</v>
      </c>
      <c r="L17" s="66" t="n">
        <f aca="false">K17*'Orbit Parameters'!$C$6</f>
        <v>600</v>
      </c>
      <c r="M17" s="66" t="n">
        <f aca="false">B17*K17</f>
        <v>1.35301374160247</v>
      </c>
      <c r="N17" s="85"/>
      <c r="O17" s="86" t="n">
        <f aca="false">(96*5)/'Orbit Parameters'!$C$6</f>
        <v>0.0836408494808799</v>
      </c>
      <c r="P17" s="66" t="n">
        <f aca="false">O17*'Orbit Parameters'!$C$6</f>
        <v>480</v>
      </c>
      <c r="Q17" s="66" t="n">
        <f aca="false">B17*O17</f>
        <v>1.08241099328198</v>
      </c>
      <c r="R17" s="85"/>
      <c r="S17" s="86" t="n">
        <f aca="false">(5*60*2)/'Orbit Parameters'!$C$6</f>
        <v>0.1045510618511</v>
      </c>
      <c r="T17" s="66" t="n">
        <f aca="false">S17*'Orbit Parameters'!$C$6</f>
        <v>600</v>
      </c>
      <c r="U17" s="66" t="n">
        <f aca="false">B17*S17</f>
        <v>1.35301374160247</v>
      </c>
      <c r="V17" s="85"/>
    </row>
    <row r="18" customFormat="false" ht="15" hidden="false" customHeight="false" outlineLevel="0" collapsed="false">
      <c r="A18" s="62" t="s">
        <v>100</v>
      </c>
      <c r="B18" s="83" t="n">
        <f aca="false">'Power Consumption - Components'!N18</f>
        <v>1.41176470588235</v>
      </c>
      <c r="C18" s="86" t="n">
        <v>0</v>
      </c>
      <c r="D18" s="66" t="n">
        <f aca="false">C18*'Orbit Parameters'!$C$6</f>
        <v>0</v>
      </c>
      <c r="E18" s="66" t="n">
        <f aca="false">B18*C18</f>
        <v>0</v>
      </c>
      <c r="F18" s="65"/>
      <c r="G18" s="86" t="n">
        <f aca="false">(24*5+20*60)/'Orbit Parameters'!C6</f>
        <v>0.23001233607242</v>
      </c>
      <c r="H18" s="66" t="n">
        <f aca="false">G18*'Orbit Parameters'!$C$6</f>
        <v>1320</v>
      </c>
      <c r="I18" s="66" t="n">
        <f aca="false">B18*G18</f>
        <v>0.324723297984593</v>
      </c>
      <c r="J18" s="85"/>
      <c r="K18" s="86" t="n">
        <f aca="false">(5*60*2)/'Orbit Parameters'!C6</f>
        <v>0.1045510618511</v>
      </c>
      <c r="L18" s="66" t="n">
        <f aca="false">K18*'Orbit Parameters'!$C$6</f>
        <v>600</v>
      </c>
      <c r="M18" s="66" t="n">
        <f aca="false">B18*K18</f>
        <v>0.147601499083906</v>
      </c>
      <c r="N18" s="85"/>
      <c r="O18" s="86" t="n">
        <f aca="false">(96*5)/'Orbit Parameters'!$C$6</f>
        <v>0.0836408494808799</v>
      </c>
      <c r="P18" s="66" t="n">
        <f aca="false">O18*'Orbit Parameters'!$C$6</f>
        <v>480</v>
      </c>
      <c r="Q18" s="66" t="n">
        <f aca="false">B18*O18</f>
        <v>0.118081199267125</v>
      </c>
      <c r="R18" s="85"/>
      <c r="S18" s="86" t="n">
        <f aca="false">(5*60*2)/'Orbit Parameters'!$C$6</f>
        <v>0.1045510618511</v>
      </c>
      <c r="T18" s="66" t="n">
        <f aca="false">S18*'Orbit Parameters'!$C$6</f>
        <v>600</v>
      </c>
      <c r="U18" s="66" t="n">
        <f aca="false">B18*S18</f>
        <v>0.147601499083906</v>
      </c>
      <c r="V18" s="85"/>
    </row>
    <row r="19" customFormat="false" ht="15" hidden="false" customHeight="false" outlineLevel="0" collapsed="false">
      <c r="A19" s="62" t="s">
        <v>102</v>
      </c>
      <c r="B19" s="83" t="n">
        <f aca="false">'Power Consumption - Components'!N19</f>
        <v>23.5294117647059</v>
      </c>
      <c r="C19" s="86" t="n">
        <v>0</v>
      </c>
      <c r="D19" s="66" t="n">
        <f aca="false">C19*'Orbit Parameters'!$C$6</f>
        <v>0</v>
      </c>
      <c r="E19" s="66" t="n">
        <f aca="false">B19*C19</f>
        <v>0</v>
      </c>
      <c r="F19" s="65"/>
      <c r="G19" s="86" t="n">
        <v>0</v>
      </c>
      <c r="H19" s="66" t="n">
        <f aca="false">G19*'Orbit Parameters'!$C$6</f>
        <v>0</v>
      </c>
      <c r="I19" s="66" t="n">
        <f aca="false">B19*G19</f>
        <v>0</v>
      </c>
      <c r="J19" s="85"/>
      <c r="K19" s="87" t="n">
        <v>0</v>
      </c>
      <c r="L19" s="66" t="n">
        <f aca="false">K19*'Orbit Parameters'!$C$6</f>
        <v>0</v>
      </c>
      <c r="M19" s="66" t="n">
        <f aca="false">B19*K19</f>
        <v>0</v>
      </c>
      <c r="N19" s="85"/>
      <c r="O19" s="86" t="n">
        <v>1</v>
      </c>
      <c r="P19" s="66" t="n">
        <f aca="false">O19*'Orbit Parameters'!$C$6</f>
        <v>5738.82263247131</v>
      </c>
      <c r="Q19" s="66" t="n">
        <f aca="false">B19*O19</f>
        <v>23.5294117647059</v>
      </c>
      <c r="R19" s="85"/>
      <c r="S19" s="87" t="n">
        <v>0</v>
      </c>
      <c r="T19" s="66" t="n">
        <f aca="false">S19*'Orbit Parameters'!$C$6</f>
        <v>0</v>
      </c>
      <c r="U19" s="66" t="n">
        <f aca="false">B19*S19</f>
        <v>0</v>
      </c>
      <c r="V19" s="85"/>
    </row>
    <row r="20" customFormat="false" ht="15.75" hidden="false" customHeight="false" outlineLevel="0" collapsed="false">
      <c r="A20" s="62" t="s">
        <v>104</v>
      </c>
      <c r="B20" s="83" t="n">
        <f aca="false">'Power Consumption - Components'!N20</f>
        <v>0</v>
      </c>
      <c r="C20" s="88" t="n">
        <v>0</v>
      </c>
      <c r="D20" s="75" t="n">
        <f aca="false">C20*'Orbit Parameters'!$C$6</f>
        <v>0</v>
      </c>
      <c r="E20" s="75" t="n">
        <f aca="false">B20*C20</f>
        <v>0</v>
      </c>
      <c r="F20" s="74"/>
      <c r="G20" s="86" t="n">
        <v>0</v>
      </c>
      <c r="H20" s="75" t="n">
        <f aca="false">G20*'Orbit Parameters'!$C$6</f>
        <v>0</v>
      </c>
      <c r="I20" s="75" t="n">
        <f aca="false">B20*G20</f>
        <v>0</v>
      </c>
      <c r="J20" s="89"/>
      <c r="K20" s="88"/>
      <c r="L20" s="75" t="n">
        <f aca="false">K20*'Orbit Parameters'!$C$6</f>
        <v>0</v>
      </c>
      <c r="M20" s="75" t="n">
        <f aca="false">B20*K20</f>
        <v>0</v>
      </c>
      <c r="N20" s="89"/>
      <c r="O20" s="88"/>
      <c r="P20" s="75" t="n">
        <f aca="false">O20*'Orbit Parameters'!$C$6</f>
        <v>0</v>
      </c>
      <c r="Q20" s="75" t="n">
        <f aca="false">B20*O20</f>
        <v>0</v>
      </c>
      <c r="R20" s="89"/>
      <c r="S20" s="88"/>
      <c r="T20" s="75" t="n">
        <f aca="false">S20*'Orbit Parameters'!$C$6</f>
        <v>0</v>
      </c>
      <c r="U20" s="75" t="n">
        <f aca="false">B20*S20</f>
        <v>0</v>
      </c>
      <c r="V20" s="89"/>
    </row>
    <row r="22" customFormat="false" ht="15.75" hidden="false" customHeight="false" outlineLevel="0" collapsed="false">
      <c r="C22" s="90" t="s">
        <v>117</v>
      </c>
      <c r="D22" s="91" t="n">
        <v>0.05</v>
      </c>
      <c r="E22" s="56"/>
      <c r="F22" s="56"/>
      <c r="G22" s="90" t="s">
        <v>117</v>
      </c>
      <c r="H22" s="91" t="n">
        <v>0.05</v>
      </c>
      <c r="I22" s="56"/>
      <c r="J22" s="56"/>
      <c r="K22" s="90" t="s">
        <v>117</v>
      </c>
      <c r="L22" s="91" t="n">
        <v>0.05</v>
      </c>
      <c r="M22" s="56"/>
      <c r="N22" s="57"/>
      <c r="O22" s="90" t="s">
        <v>117</v>
      </c>
      <c r="P22" s="91" t="n">
        <v>0.05</v>
      </c>
      <c r="Q22" s="56"/>
      <c r="R22" s="57"/>
      <c r="S22" s="90" t="s">
        <v>117</v>
      </c>
      <c r="T22" s="91" t="n">
        <v>0.05</v>
      </c>
      <c r="U22" s="56"/>
      <c r="V22" s="57"/>
    </row>
    <row r="23" customFormat="false" ht="30.75" hidden="false" customHeight="false" outlineLevel="0" collapsed="false">
      <c r="C23" s="92" t="s">
        <v>118</v>
      </c>
      <c r="D23" s="93"/>
      <c r="E23" s="93" t="n">
        <f aca="false">(1+D22)*SUM(E5:E20)</f>
        <v>1.40572692041523</v>
      </c>
      <c r="F23" s="93" t="s">
        <v>119</v>
      </c>
      <c r="G23" s="94"/>
      <c r="H23" s="93"/>
      <c r="I23" s="93" t="n">
        <f aca="false">(1+H22)*SUM(I5:I20)</f>
        <v>9.82293172393076</v>
      </c>
      <c r="J23" s="93" t="s">
        <v>119</v>
      </c>
      <c r="K23" s="94"/>
      <c r="L23" s="93"/>
      <c r="M23" s="93" t="n">
        <f aca="false">(1+L22)*SUM(M5:M20)</f>
        <v>4.17196774109119</v>
      </c>
      <c r="N23" s="95" t="s">
        <v>119</v>
      </c>
      <c r="O23" s="94"/>
      <c r="P23" s="93"/>
      <c r="Q23" s="93" t="n">
        <f aca="false">(1+P22)*SUM(Q5:Q20)</f>
        <v>28.1456396474894</v>
      </c>
      <c r="R23" s="95" t="s">
        <v>119</v>
      </c>
      <c r="S23" s="94"/>
      <c r="T23" s="93"/>
      <c r="U23" s="93" t="n">
        <f aca="false">(1+T22)*SUM(U5:U20)</f>
        <v>5.8683702202499</v>
      </c>
      <c r="V23" s="95" t="s">
        <v>119</v>
      </c>
    </row>
    <row r="24" customFormat="false" ht="15.75" hidden="false" customHeight="false" outlineLevel="0" collapsed="false"/>
    <row r="25" customFormat="false" ht="15" hidden="false" customHeight="false" outlineLevel="0" collapsed="false">
      <c r="B25" s="96" t="s">
        <v>120</v>
      </c>
      <c r="C25" s="97" t="s">
        <v>121</v>
      </c>
      <c r="D25" s="98" t="n">
        <f aca="false">7.6*1.5*(1-'Orbit Parameters'!$C$8)</f>
        <v>7.41</v>
      </c>
      <c r="E25" s="2" t="s">
        <v>119</v>
      </c>
      <c r="F25" s="2"/>
      <c r="G25" s="99"/>
      <c r="H25" s="98" t="n">
        <f aca="false">7.6*1.5*(1-'Orbit Parameters'!$C$8)</f>
        <v>7.41</v>
      </c>
      <c r="I25" s="2" t="s">
        <v>119</v>
      </c>
      <c r="J25" s="2"/>
      <c r="K25" s="99"/>
      <c r="L25" s="98" t="n">
        <f aca="false">7.6*1.5*(1-'Orbit Parameters'!$C$8)</f>
        <v>7.41</v>
      </c>
      <c r="M25" s="2"/>
      <c r="N25" s="97" t="s">
        <v>119</v>
      </c>
      <c r="O25" s="99"/>
      <c r="P25" s="98" t="n">
        <f aca="false">7.6*1.5*(1-'Orbit Parameters'!$C$8)</f>
        <v>7.41</v>
      </c>
      <c r="Q25" s="2"/>
      <c r="R25" s="97" t="s">
        <v>119</v>
      </c>
      <c r="S25" s="99"/>
      <c r="T25" s="98" t="n">
        <f aca="false">7.6*1.5*(1-'Orbit Parameters'!$C$8)</f>
        <v>7.41</v>
      </c>
      <c r="U25" s="2"/>
      <c r="V25" s="97" t="s">
        <v>119</v>
      </c>
    </row>
    <row r="26" customFormat="false" ht="15.75" hidden="false" customHeight="false" outlineLevel="0" collapsed="false">
      <c r="B26" s="96"/>
      <c r="C26" s="85" t="s">
        <v>122</v>
      </c>
      <c r="D26" s="63" t="n">
        <f aca="false">D25/'Orbit Parameters'!$C$10*'Orbit Parameters'!$C$6*'EPS Parameters'!$C$7</f>
        <v>9.12</v>
      </c>
      <c r="E26" s="63" t="s">
        <v>119</v>
      </c>
      <c r="F26" s="63"/>
      <c r="G26" s="100"/>
      <c r="H26" s="63" t="n">
        <f aca="false">H25/'Orbit Parameters'!$C$10*'Orbit Parameters'!$C$6*'EPS Parameters'!$C$7</f>
        <v>9.12</v>
      </c>
      <c r="I26" s="63" t="s">
        <v>119</v>
      </c>
      <c r="J26" s="63"/>
      <c r="K26" s="100"/>
      <c r="L26" s="63" t="n">
        <f aca="false">L25/'Orbit Parameters'!$C$10*'Orbit Parameters'!$C$6*'EPS Parameters'!$C$7</f>
        <v>9.12</v>
      </c>
      <c r="M26" s="63"/>
      <c r="N26" s="85" t="s">
        <v>119</v>
      </c>
      <c r="O26" s="100"/>
      <c r="P26" s="63" t="n">
        <f aca="false">P25/'Orbit Parameters'!$C$10*'Orbit Parameters'!$C$6*'EPS Parameters'!$C$7</f>
        <v>9.12</v>
      </c>
      <c r="Q26" s="63"/>
      <c r="R26" s="85" t="s">
        <v>119</v>
      </c>
      <c r="S26" s="100"/>
      <c r="T26" s="63" t="n">
        <f aca="false">T25/'Orbit Parameters'!$C$10*'Orbit Parameters'!$C$6*'EPS Parameters'!$C$7</f>
        <v>9.12</v>
      </c>
      <c r="U26" s="63"/>
      <c r="V26" s="85" t="s">
        <v>119</v>
      </c>
    </row>
    <row r="27" customFormat="false" ht="15.75" hidden="false" customHeight="false" outlineLevel="0" collapsed="false">
      <c r="B27" s="96"/>
      <c r="C27" s="90" t="s">
        <v>123</v>
      </c>
      <c r="D27" s="101" t="n">
        <f aca="false">$D$26-E23</f>
        <v>7.71427307958477</v>
      </c>
      <c r="E27" s="101"/>
      <c r="F27" s="93" t="s">
        <v>119</v>
      </c>
      <c r="G27" s="102"/>
      <c r="H27" s="103" t="n">
        <f aca="false">$H$26-I23</f>
        <v>-0.702931723930766</v>
      </c>
      <c r="I27" s="103"/>
      <c r="J27" s="93" t="s">
        <v>119</v>
      </c>
      <c r="K27" s="102"/>
      <c r="L27" s="103" t="n">
        <f aca="false">$L$26-M23</f>
        <v>4.94803225890881</v>
      </c>
      <c r="M27" s="103"/>
      <c r="N27" s="95" t="s">
        <v>119</v>
      </c>
      <c r="O27" s="102"/>
      <c r="P27" s="103" t="n">
        <f aca="false">$L$26-Q23</f>
        <v>-19.0256396474894</v>
      </c>
      <c r="Q27" s="103"/>
      <c r="R27" s="95" t="s">
        <v>119</v>
      </c>
      <c r="S27" s="102"/>
      <c r="T27" s="103" t="n">
        <f aca="false">$L$26-U23</f>
        <v>3.2516297797501</v>
      </c>
      <c r="U27" s="103"/>
      <c r="V27" s="95" t="s">
        <v>119</v>
      </c>
    </row>
    <row r="28" customFormat="false" ht="15.75" hidden="true" customHeight="true" outlineLevel="0" collapsed="false">
      <c r="B28" s="96"/>
    </row>
    <row r="29" customFormat="false" ht="15" hidden="false" customHeight="false" outlineLevel="0" collapsed="false">
      <c r="B29" s="96"/>
      <c r="C29" s="97" t="s">
        <v>124</v>
      </c>
      <c r="D29" s="104" t="n">
        <f aca="false">'Power Modes'!D27*'Orbit Parameters'!$C$10/3600</f>
        <v>7.99334700345012</v>
      </c>
      <c r="E29" s="104"/>
      <c r="F29" s="2" t="s">
        <v>125</v>
      </c>
      <c r="G29" s="99"/>
      <c r="H29" s="105" t="n">
        <f aca="false">'Power Modes'!H27*'Orbit Parameters'!$C$10/3600</f>
        <v>-0.728361198928991</v>
      </c>
      <c r="I29" s="105"/>
      <c r="J29" s="2" t="s">
        <v>125</v>
      </c>
      <c r="K29" s="99"/>
      <c r="L29" s="105" t="n">
        <f aca="false">'Power Modes'!L27*'Orbit Parameters'!$C$10/3600</f>
        <v>5.12703380107101</v>
      </c>
      <c r="M29" s="105"/>
      <c r="N29" s="97" t="s">
        <v>125</v>
      </c>
      <c r="O29" s="99"/>
      <c r="P29" s="105" t="n">
        <f aca="false">'Power Modes'!P27*'Orbit Parameters'!$C$10/3600</f>
        <v>-19.7139170594628</v>
      </c>
      <c r="Q29" s="105"/>
      <c r="R29" s="97" t="s">
        <v>125</v>
      </c>
      <c r="S29" s="99"/>
      <c r="T29" s="105" t="n">
        <f aca="false">'Power Modes'!T27*'Orbit Parameters'!$C$10/3600</f>
        <v>3.36926174224748</v>
      </c>
      <c r="U29" s="105"/>
      <c r="V29" s="97" t="s">
        <v>125</v>
      </c>
    </row>
    <row r="30" customFormat="false" ht="15" hidden="false" customHeight="false" outlineLevel="0" collapsed="false">
      <c r="B30" s="96"/>
      <c r="C30" s="85" t="s">
        <v>68</v>
      </c>
      <c r="D30" s="106" t="n">
        <f aca="false">D29/'EPS Parameters'!$C$19</f>
        <v>0.108018202749326</v>
      </c>
      <c r="E30" s="106"/>
      <c r="F30" s="63"/>
      <c r="G30" s="100"/>
      <c r="H30" s="107" t="n">
        <f aca="false">H29/'EPS Parameters'!$C$19</f>
        <v>-0.00984271890444583</v>
      </c>
      <c r="I30" s="107"/>
      <c r="J30" s="63"/>
      <c r="K30" s="100"/>
      <c r="L30" s="107" t="n">
        <f aca="false">L29/'EPS Parameters'!$C$19</f>
        <v>0.0692842405550136</v>
      </c>
      <c r="M30" s="107"/>
      <c r="N30" s="85"/>
      <c r="O30" s="100"/>
      <c r="P30" s="107" t="n">
        <f aca="false">P29/'EPS Parameters'!$C$19</f>
        <v>-0.266404284587335</v>
      </c>
      <c r="Q30" s="107"/>
      <c r="R30" s="85"/>
      <c r="S30" s="100"/>
      <c r="T30" s="107" t="n">
        <f aca="false">T29/'EPS Parameters'!$C$19</f>
        <v>0.0455305640844254</v>
      </c>
      <c r="U30" s="107"/>
      <c r="V30" s="85"/>
    </row>
    <row r="31" customFormat="false" ht="15" hidden="false" customHeight="false" outlineLevel="0" collapsed="false">
      <c r="B31" s="96"/>
      <c r="C31" s="85" t="s">
        <v>126</v>
      </c>
      <c r="D31" s="108" t="n">
        <f aca="false">-'Power Modes'!E23*'Orbit Parameters'!$C$9/3600</f>
        <v>-0.784312809189884</v>
      </c>
      <c r="E31" s="108"/>
      <c r="F31" s="63" t="s">
        <v>125</v>
      </c>
      <c r="G31" s="100"/>
      <c r="H31" s="109" t="n">
        <f aca="false">-'Power Modes'!I23*'Orbit Parameters'!$C$9/3600</f>
        <v>-5.48061722585556</v>
      </c>
      <c r="I31" s="109"/>
      <c r="J31" s="63" t="s">
        <v>125</v>
      </c>
      <c r="K31" s="100"/>
      <c r="L31" s="109" t="n">
        <f aca="false">-'Power Modes'!M23*'Orbit Parameters'!$C$9/3600</f>
        <v>-2.32771222585556</v>
      </c>
      <c r="M31" s="109"/>
      <c r="N31" s="85" t="s">
        <v>125</v>
      </c>
      <c r="O31" s="100"/>
      <c r="P31" s="109" t="n">
        <f aca="false">-'Power Modes'!Q23*'Orbit Parameters'!$C$9/3600</f>
        <v>-15.7036088430661</v>
      </c>
      <c r="Q31" s="109"/>
      <c r="R31" s="85" t="s">
        <v>125</v>
      </c>
      <c r="S31" s="100"/>
      <c r="T31" s="109" t="n">
        <f aca="false">-'Power Modes'!U23*'Orbit Parameters'!$C$9/3600</f>
        <v>-3.27420487291438</v>
      </c>
      <c r="U31" s="109"/>
      <c r="V31" s="85" t="s">
        <v>125</v>
      </c>
    </row>
    <row r="32" customFormat="false" ht="15.75" hidden="false" customHeight="false" outlineLevel="0" collapsed="false">
      <c r="B32" s="96"/>
      <c r="C32" s="89" t="s">
        <v>68</v>
      </c>
      <c r="D32" s="110" t="n">
        <f aca="false">D31/'EPS Parameters'!$C$19</f>
        <v>-0.0105988217458092</v>
      </c>
      <c r="E32" s="110"/>
      <c r="F32" s="9"/>
      <c r="G32" s="111"/>
      <c r="H32" s="112" t="n">
        <f aca="false">H31/'EPS Parameters'!$C$19</f>
        <v>-0.074062394943994</v>
      </c>
      <c r="I32" s="112"/>
      <c r="J32" s="9"/>
      <c r="K32" s="111"/>
      <c r="L32" s="112" t="n">
        <f aca="false">L31/'EPS Parameters'!$C$19</f>
        <v>-0.0314555706196697</v>
      </c>
      <c r="M32" s="112"/>
      <c r="N32" s="89"/>
      <c r="O32" s="111"/>
      <c r="P32" s="112" t="n">
        <f aca="false">P31/'EPS Parameters'!$C$19</f>
        <v>-0.212210930311704</v>
      </c>
      <c r="Q32" s="112"/>
      <c r="R32" s="89"/>
      <c r="S32" s="111"/>
      <c r="T32" s="112" t="n">
        <f aca="false">T31/'EPS Parameters'!$C$19</f>
        <v>-0.0442460117961403</v>
      </c>
      <c r="U32" s="112"/>
      <c r="V32" s="89"/>
    </row>
    <row r="33" customFormat="false" ht="15.75" hidden="true" customHeight="true" outlineLevel="0" collapsed="false">
      <c r="B33" s="96"/>
    </row>
    <row r="34" customFormat="false" ht="15" hidden="false" customHeight="false" outlineLevel="0" collapsed="false">
      <c r="B34" s="96"/>
      <c r="C34" s="97" t="s">
        <v>127</v>
      </c>
      <c r="D34" s="104" t="n">
        <f aca="false">IF(D$27&gt;0, D31,D29+D31)</f>
        <v>-0.784312809189884</v>
      </c>
      <c r="E34" s="104"/>
      <c r="F34" s="2" t="s">
        <v>125</v>
      </c>
      <c r="G34" s="99"/>
      <c r="H34" s="105" t="n">
        <f aca="false">IF(H$27&gt;0, H31,H29+H31)</f>
        <v>-6.20897842478455</v>
      </c>
      <c r="I34" s="105"/>
      <c r="J34" s="2" t="s">
        <v>125</v>
      </c>
      <c r="K34" s="99"/>
      <c r="L34" s="105" t="n">
        <f aca="false">IF(L$27&gt;0, L31,L29+L31)</f>
        <v>-2.32771222585556</v>
      </c>
      <c r="M34" s="105"/>
      <c r="N34" s="97" t="s">
        <v>125</v>
      </c>
      <c r="O34" s="99"/>
      <c r="P34" s="105" t="n">
        <f aca="false">IF(P$27&gt;0, P31,P29+P31)</f>
        <v>-35.4175259025288</v>
      </c>
      <c r="Q34" s="105"/>
      <c r="R34" s="97" t="s">
        <v>125</v>
      </c>
      <c r="S34" s="99"/>
      <c r="T34" s="105" t="n">
        <f aca="false">IF(T$27&gt;0, T31,T29+T31)</f>
        <v>-3.27420487291438</v>
      </c>
      <c r="U34" s="105"/>
      <c r="V34" s="97" t="s">
        <v>125</v>
      </c>
    </row>
    <row r="35" customFormat="false" ht="15.75" hidden="false" customHeight="false" outlineLevel="0" collapsed="false">
      <c r="B35" s="96"/>
      <c r="C35" s="89"/>
      <c r="D35" s="110" t="n">
        <f aca="false">D34/'EPS Parameters'!$C$19</f>
        <v>-0.0105988217458092</v>
      </c>
      <c r="E35" s="110"/>
      <c r="F35" s="9"/>
      <c r="G35" s="111"/>
      <c r="H35" s="112" t="n">
        <f aca="false">H34/'EPS Parameters'!$C$19</f>
        <v>-0.0839051138484398</v>
      </c>
      <c r="I35" s="112"/>
      <c r="J35" s="9"/>
      <c r="K35" s="111"/>
      <c r="L35" s="112" t="n">
        <f aca="false">L34/'EPS Parameters'!$C$19</f>
        <v>-0.0314555706196697</v>
      </c>
      <c r="M35" s="112"/>
      <c r="N35" s="89"/>
      <c r="O35" s="111"/>
      <c r="P35" s="112" t="n">
        <f aca="false">P34/'EPS Parameters'!$C$19</f>
        <v>-0.478615214899039</v>
      </c>
      <c r="Q35" s="112"/>
      <c r="R35" s="89"/>
      <c r="S35" s="111"/>
      <c r="T35" s="112" t="n">
        <f aca="false">T34/'EPS Parameters'!$C$19</f>
        <v>-0.0442460117961403</v>
      </c>
      <c r="U35" s="112"/>
      <c r="V35" s="89"/>
    </row>
    <row r="36" customFormat="false" ht="15" hidden="false" customHeight="true" outlineLevel="0" collapsed="false">
      <c r="D36" s="113"/>
      <c r="I36" s="114"/>
      <c r="M36" s="114"/>
      <c r="Q36" s="114"/>
      <c r="U36" s="114"/>
    </row>
    <row r="37" customFormat="false" ht="15" hidden="false" customHeight="false" outlineLevel="0" collapsed="false">
      <c r="B37" s="96" t="s">
        <v>128</v>
      </c>
      <c r="C37" s="97" t="s">
        <v>121</v>
      </c>
      <c r="D37" s="98" t="n">
        <f aca="false">7.6*1.5*(1-'Orbit Parameters'!$C$8)</f>
        <v>7.41</v>
      </c>
      <c r="E37" s="2" t="s">
        <v>119</v>
      </c>
      <c r="F37" s="2"/>
      <c r="G37" s="99"/>
      <c r="H37" s="98" t="n">
        <f aca="false">7.6*1.5*(1-'Orbit Parameters'!$C$8)</f>
        <v>7.41</v>
      </c>
      <c r="I37" s="2" t="s">
        <v>119</v>
      </c>
      <c r="J37" s="2"/>
      <c r="K37" s="99"/>
      <c r="L37" s="98" t="n">
        <f aca="false">7.6*1.5*(1-'Orbit Parameters'!$C$8)</f>
        <v>7.41</v>
      </c>
      <c r="M37" s="2"/>
      <c r="N37" s="97" t="s">
        <v>119</v>
      </c>
      <c r="O37" s="99"/>
      <c r="P37" s="98" t="n">
        <f aca="false">7.6*1.5*(1-'Orbit Parameters'!$C$8)</f>
        <v>7.41</v>
      </c>
      <c r="Q37" s="2"/>
      <c r="R37" s="97" t="s">
        <v>119</v>
      </c>
      <c r="S37" s="99"/>
      <c r="T37" s="98" t="n">
        <f aca="false">7.6*1.5*(1-'Orbit Parameters'!$C$8)</f>
        <v>7.41</v>
      </c>
      <c r="U37" s="2"/>
      <c r="V37" s="97" t="s">
        <v>119</v>
      </c>
    </row>
    <row r="38" customFormat="false" ht="15.75" hidden="false" customHeight="false" outlineLevel="0" collapsed="false">
      <c r="B38" s="96"/>
      <c r="C38" s="85" t="s">
        <v>122</v>
      </c>
      <c r="D38" s="63" t="n">
        <f aca="false">D37/'Orbit Parameters'!$C$10*'Orbit Parameters'!$C$6*'EPS Parameters'!$C$7</f>
        <v>9.12</v>
      </c>
      <c r="E38" s="63" t="s">
        <v>119</v>
      </c>
      <c r="F38" s="63"/>
      <c r="G38" s="100"/>
      <c r="H38" s="63" t="n">
        <f aca="false">H37/'Orbit Parameters'!$C$10*'Orbit Parameters'!$C$6*'EPS Parameters'!$C$7</f>
        <v>9.12</v>
      </c>
      <c r="I38" s="63" t="s">
        <v>119</v>
      </c>
      <c r="J38" s="63"/>
      <c r="K38" s="100"/>
      <c r="L38" s="63" t="n">
        <f aca="false">L37/'Orbit Parameters'!$C$10*'Orbit Parameters'!$C$6*'EPS Parameters'!$C$7</f>
        <v>9.12</v>
      </c>
      <c r="M38" s="63"/>
      <c r="N38" s="85" t="s">
        <v>119</v>
      </c>
      <c r="O38" s="100"/>
      <c r="P38" s="63" t="n">
        <f aca="false">P37/'Orbit Parameters'!$C$10*'Orbit Parameters'!$C$6*'EPS Parameters'!$C$7</f>
        <v>9.12</v>
      </c>
      <c r="Q38" s="63"/>
      <c r="R38" s="85" t="s">
        <v>119</v>
      </c>
      <c r="S38" s="100"/>
      <c r="T38" s="63" t="n">
        <f aca="false">T37/'Orbit Parameters'!$C$10*'Orbit Parameters'!$C$6*'EPS Parameters'!$C$7</f>
        <v>9.12</v>
      </c>
      <c r="U38" s="63"/>
      <c r="V38" s="85" t="s">
        <v>119</v>
      </c>
    </row>
    <row r="39" customFormat="false" ht="15.75" hidden="false" customHeight="false" outlineLevel="0" collapsed="false">
      <c r="B39" s="96"/>
      <c r="C39" s="90" t="s">
        <v>123</v>
      </c>
      <c r="D39" s="101" t="n">
        <f aca="false">($D$38-E23)*(1+D35)</f>
        <v>7.63251087431576</v>
      </c>
      <c r="E39" s="101"/>
      <c r="F39" s="93" t="s">
        <v>119</v>
      </c>
      <c r="G39" s="102"/>
      <c r="H39" s="101" t="n">
        <f aca="false">($D$38-I23)*(1+H35)</f>
        <v>-0.643952157606675</v>
      </c>
      <c r="I39" s="101"/>
      <c r="J39" s="93" t="s">
        <v>119</v>
      </c>
      <c r="K39" s="102"/>
      <c r="L39" s="101" t="n">
        <f aca="false">($D$38-M23)*(1+L35)</f>
        <v>4.7923890807603</v>
      </c>
      <c r="M39" s="101"/>
      <c r="N39" s="95" t="s">
        <v>119</v>
      </c>
      <c r="O39" s="102"/>
      <c r="P39" s="101" t="n">
        <f aca="false">($D$38-Q23)*(1+P35)</f>
        <v>-9.91967903901457</v>
      </c>
      <c r="Q39" s="101"/>
      <c r="R39" s="95" t="s">
        <v>119</v>
      </c>
      <c r="S39" s="102"/>
      <c r="T39" s="101" t="n">
        <f aca="false">($D$38-U23)*(1+T35)</f>
        <v>3.10775813015859</v>
      </c>
      <c r="U39" s="101"/>
      <c r="V39" s="95" t="s">
        <v>119</v>
      </c>
    </row>
    <row r="40" customFormat="false" ht="15.75" hidden="false" customHeight="false" outlineLevel="0" collapsed="false">
      <c r="B40" s="96"/>
    </row>
    <row r="41" customFormat="false" ht="15" hidden="false" customHeight="false" outlineLevel="0" collapsed="false">
      <c r="B41" s="96"/>
      <c r="C41" s="97" t="s">
        <v>124</v>
      </c>
      <c r="D41" s="104" t="n">
        <f aca="false">'Power Modes'!D39*'Orbit Parameters'!$C$10/3600</f>
        <v>7.90862694340815</v>
      </c>
      <c r="E41" s="104"/>
      <c r="F41" s="2" t="s">
        <v>125</v>
      </c>
      <c r="G41" s="99"/>
      <c r="H41" s="105" t="n">
        <f aca="false">'Power Modes'!H39*'Orbit Parameters'!$C$10/3600</f>
        <v>-0.667247969610068</v>
      </c>
      <c r="I41" s="105"/>
      <c r="J41" s="2" t="s">
        <v>125</v>
      </c>
      <c r="K41" s="99"/>
      <c r="L41" s="105" t="n">
        <f aca="false">'Power Modes'!L39*'Orbit Parameters'!$C$10/3600</f>
        <v>4.96576002727198</v>
      </c>
      <c r="M41" s="105"/>
      <c r="N41" s="97" t="s">
        <v>125</v>
      </c>
      <c r="O41" s="99"/>
      <c r="P41" s="105" t="n">
        <f aca="false">'Power Modes'!P39*'Orbit Parameters'!$C$10/3600</f>
        <v>-10.2785364095462</v>
      </c>
      <c r="Q41" s="105"/>
      <c r="R41" s="97" t="s">
        <v>125</v>
      </c>
      <c r="S41" s="99"/>
      <c r="T41" s="105" t="n">
        <f aca="false">'Power Modes'!T39*'Orbit Parameters'!$C$10/3600</f>
        <v>3.22018534745571</v>
      </c>
      <c r="U41" s="105"/>
      <c r="V41" s="97" t="s">
        <v>125</v>
      </c>
    </row>
    <row r="42" customFormat="false" ht="15" hidden="false" customHeight="false" outlineLevel="0" collapsed="false">
      <c r="B42" s="96"/>
      <c r="C42" s="85" t="s">
        <v>68</v>
      </c>
      <c r="D42" s="106" t="n">
        <f aca="false">D41/'EPS Parameters'!$C$19</f>
        <v>0.106873337073083</v>
      </c>
      <c r="E42" s="106"/>
      <c r="F42" s="63"/>
      <c r="G42" s="100"/>
      <c r="H42" s="107" t="n">
        <f aca="false">H41/'EPS Parameters'!$C$19</f>
        <v>-0.00901686445419011</v>
      </c>
      <c r="I42" s="107"/>
      <c r="J42" s="63"/>
      <c r="K42" s="100"/>
      <c r="L42" s="107" t="n">
        <f aca="false">L41/'EPS Parameters'!$C$19</f>
        <v>0.0671048652334052</v>
      </c>
      <c r="M42" s="107"/>
      <c r="N42" s="85"/>
      <c r="O42" s="100"/>
      <c r="P42" s="107" t="n">
        <f aca="false">P41/'EPS Parameters'!$C$19</f>
        <v>-0.138899140669543</v>
      </c>
      <c r="Q42" s="107"/>
      <c r="R42" s="85"/>
      <c r="S42" s="100"/>
      <c r="T42" s="107" t="n">
        <f aca="false">T41/'EPS Parameters'!$C$19</f>
        <v>0.043516018208861</v>
      </c>
      <c r="U42" s="107"/>
      <c r="V42" s="85"/>
    </row>
    <row r="43" customFormat="false" ht="15" hidden="false" customHeight="false" outlineLevel="0" collapsed="false">
      <c r="B43" s="96"/>
      <c r="C43" s="85" t="s">
        <v>126</v>
      </c>
      <c r="D43" s="108" t="n">
        <f aca="false">-'Power Modes'!E35*'Orbit Parameters'!$C$9/3600</f>
        <v>-0</v>
      </c>
      <c r="E43" s="108"/>
      <c r="F43" s="63" t="s">
        <v>125</v>
      </c>
      <c r="G43" s="100"/>
      <c r="H43" s="109" t="n">
        <f aca="false">-'Power Modes'!I35*'Orbit Parameters'!$C$9/3600</f>
        <v>-0</v>
      </c>
      <c r="I43" s="109"/>
      <c r="J43" s="63" t="s">
        <v>125</v>
      </c>
      <c r="K43" s="100"/>
      <c r="L43" s="109" t="n">
        <f aca="false">-'Power Modes'!M35*'Orbit Parameters'!$C$9/3600</f>
        <v>-0</v>
      </c>
      <c r="M43" s="109"/>
      <c r="N43" s="85" t="s">
        <v>125</v>
      </c>
      <c r="O43" s="100"/>
      <c r="P43" s="109" t="n">
        <f aca="false">-'Power Modes'!Q35*'Orbit Parameters'!$C$9/3600</f>
        <v>-0</v>
      </c>
      <c r="Q43" s="109"/>
      <c r="R43" s="85" t="s">
        <v>125</v>
      </c>
      <c r="S43" s="100"/>
      <c r="T43" s="109" t="n">
        <f aca="false">-'Power Modes'!U35*'Orbit Parameters'!$C$9/3600</f>
        <v>-0</v>
      </c>
      <c r="U43" s="109"/>
      <c r="V43" s="85" t="s">
        <v>125</v>
      </c>
    </row>
    <row r="44" customFormat="false" ht="15.75" hidden="false" customHeight="false" outlineLevel="0" collapsed="false">
      <c r="B44" s="96"/>
      <c r="C44" s="89" t="s">
        <v>68</v>
      </c>
      <c r="D44" s="110" t="n">
        <f aca="false">D43/'EPS Parameters'!$C$19</f>
        <v>-0</v>
      </c>
      <c r="E44" s="110"/>
      <c r="F44" s="9"/>
      <c r="G44" s="111"/>
      <c r="H44" s="112" t="n">
        <f aca="false">H43/'EPS Parameters'!$C$19</f>
        <v>-0</v>
      </c>
      <c r="I44" s="112"/>
      <c r="J44" s="9"/>
      <c r="K44" s="111"/>
      <c r="L44" s="112" t="n">
        <f aca="false">L43/'EPS Parameters'!$C$19</f>
        <v>-0</v>
      </c>
      <c r="M44" s="112"/>
      <c r="N44" s="89"/>
      <c r="O44" s="111"/>
      <c r="P44" s="112" t="n">
        <f aca="false">P43/'EPS Parameters'!$C$19</f>
        <v>-0</v>
      </c>
      <c r="Q44" s="112"/>
      <c r="R44" s="89"/>
      <c r="S44" s="111"/>
      <c r="T44" s="112" t="n">
        <f aca="false">T43/'EPS Parameters'!$C$19</f>
        <v>-0</v>
      </c>
      <c r="U44" s="112"/>
      <c r="V44" s="89"/>
    </row>
    <row r="45" customFormat="false" ht="15.75" hidden="false" customHeight="false" outlineLevel="0" collapsed="false">
      <c r="B45" s="96"/>
    </row>
    <row r="46" customFormat="false" ht="15" hidden="false" customHeight="false" outlineLevel="0" collapsed="false">
      <c r="B46" s="96"/>
      <c r="C46" s="97" t="s">
        <v>127</v>
      </c>
      <c r="D46" s="104" t="n">
        <f aca="false">IF(D$27&gt;0, D43,D41+D43)</f>
        <v>-0</v>
      </c>
      <c r="E46" s="104"/>
      <c r="F46" s="2" t="s">
        <v>125</v>
      </c>
      <c r="G46" s="99"/>
      <c r="H46" s="105" t="n">
        <f aca="false">IF(H$27&gt;0, H43,H41+H43)</f>
        <v>-0.667247969610068</v>
      </c>
      <c r="I46" s="105"/>
      <c r="J46" s="2" t="s">
        <v>125</v>
      </c>
      <c r="K46" s="99"/>
      <c r="L46" s="105" t="n">
        <f aca="false">IF(L$27&gt;0, L43,L41+L43)</f>
        <v>-0</v>
      </c>
      <c r="M46" s="105"/>
      <c r="N46" s="97" t="s">
        <v>125</v>
      </c>
      <c r="O46" s="99"/>
      <c r="P46" s="105" t="n">
        <f aca="false">IF(P$27&gt;0, P43,P41+P43)</f>
        <v>-10.2785364095462</v>
      </c>
      <c r="Q46" s="105"/>
      <c r="R46" s="97" t="s">
        <v>125</v>
      </c>
      <c r="S46" s="99"/>
      <c r="T46" s="105" t="n">
        <f aca="false">IF(T$27&gt;0, T43,T41+T43)</f>
        <v>-0</v>
      </c>
      <c r="U46" s="105"/>
      <c r="V46" s="97" t="s">
        <v>125</v>
      </c>
    </row>
    <row r="47" customFormat="false" ht="15.75" hidden="false" customHeight="false" outlineLevel="0" collapsed="false">
      <c r="B47" s="96"/>
      <c r="C47" s="89"/>
      <c r="D47" s="110" t="n">
        <f aca="false">D46/'EPS Parameters'!$C$19</f>
        <v>-0</v>
      </c>
      <c r="E47" s="110"/>
      <c r="F47" s="9"/>
      <c r="G47" s="111"/>
      <c r="H47" s="112" t="n">
        <f aca="false">H46/'EPS Parameters'!$C$19</f>
        <v>-0.00901686445419011</v>
      </c>
      <c r="I47" s="112"/>
      <c r="J47" s="9"/>
      <c r="K47" s="111"/>
      <c r="L47" s="112" t="n">
        <f aca="false">L46/'EPS Parameters'!$C$19</f>
        <v>-0</v>
      </c>
      <c r="M47" s="112"/>
      <c r="N47" s="89"/>
      <c r="O47" s="111"/>
      <c r="P47" s="112" t="n">
        <f aca="false">P46/'EPS Parameters'!$C$19</f>
        <v>-0.138899140669543</v>
      </c>
      <c r="Q47" s="112"/>
      <c r="R47" s="89"/>
      <c r="S47" s="111"/>
      <c r="T47" s="112" t="n">
        <f aca="false">T46/'EPS Parameters'!$C$19</f>
        <v>-0</v>
      </c>
      <c r="U47" s="112"/>
      <c r="V47" s="89"/>
    </row>
  </sheetData>
  <mergeCells count="77">
    <mergeCell ref="C3:F3"/>
    <mergeCell ref="G3:J3"/>
    <mergeCell ref="K3:N3"/>
    <mergeCell ref="O3:R3"/>
    <mergeCell ref="S3:V3"/>
    <mergeCell ref="B25:B35"/>
    <mergeCell ref="D27:E27"/>
    <mergeCell ref="H27:I27"/>
    <mergeCell ref="L27:M27"/>
    <mergeCell ref="P27:Q27"/>
    <mergeCell ref="T27:U27"/>
    <mergeCell ref="D29:E29"/>
    <mergeCell ref="H29:I29"/>
    <mergeCell ref="L29:M29"/>
    <mergeCell ref="P29:Q29"/>
    <mergeCell ref="T29:U29"/>
    <mergeCell ref="D30:E30"/>
    <mergeCell ref="H30:I30"/>
    <mergeCell ref="L30:M30"/>
    <mergeCell ref="P30:Q30"/>
    <mergeCell ref="T30:U30"/>
    <mergeCell ref="D31:E31"/>
    <mergeCell ref="H31:I31"/>
    <mergeCell ref="L31:M31"/>
    <mergeCell ref="P31:Q31"/>
    <mergeCell ref="T31:U31"/>
    <mergeCell ref="D32:E32"/>
    <mergeCell ref="H32:I32"/>
    <mergeCell ref="L32:M32"/>
    <mergeCell ref="P32:Q32"/>
    <mergeCell ref="T32:U32"/>
    <mergeCell ref="D34:E34"/>
    <mergeCell ref="H34:I34"/>
    <mergeCell ref="L34:M34"/>
    <mergeCell ref="P34:Q34"/>
    <mergeCell ref="T34:U34"/>
    <mergeCell ref="D35:E35"/>
    <mergeCell ref="H35:I35"/>
    <mergeCell ref="L35:M35"/>
    <mergeCell ref="P35:Q35"/>
    <mergeCell ref="T35:U35"/>
    <mergeCell ref="B37:B47"/>
    <mergeCell ref="D39:E39"/>
    <mergeCell ref="H39:I39"/>
    <mergeCell ref="L39:M39"/>
    <mergeCell ref="P39:Q39"/>
    <mergeCell ref="T39:U39"/>
    <mergeCell ref="D41:E41"/>
    <mergeCell ref="H41:I41"/>
    <mergeCell ref="L41:M41"/>
    <mergeCell ref="P41:Q41"/>
    <mergeCell ref="T41:U41"/>
    <mergeCell ref="D42:E42"/>
    <mergeCell ref="H42:I42"/>
    <mergeCell ref="L42:M42"/>
    <mergeCell ref="P42:Q42"/>
    <mergeCell ref="T42:U42"/>
    <mergeCell ref="D43:E43"/>
    <mergeCell ref="H43:I43"/>
    <mergeCell ref="L43:M43"/>
    <mergeCell ref="P43:Q43"/>
    <mergeCell ref="T43:U43"/>
    <mergeCell ref="D44:E44"/>
    <mergeCell ref="H44:I44"/>
    <mergeCell ref="L44:M44"/>
    <mergeCell ref="P44:Q44"/>
    <mergeCell ref="T44:U44"/>
    <mergeCell ref="D46:E46"/>
    <mergeCell ref="H46:I46"/>
    <mergeCell ref="L46:M46"/>
    <mergeCell ref="P46:Q46"/>
    <mergeCell ref="T46:U46"/>
    <mergeCell ref="D47:E47"/>
    <mergeCell ref="H47:I47"/>
    <mergeCell ref="L47:M47"/>
    <mergeCell ref="P47:Q47"/>
    <mergeCell ref="T47:U47"/>
  </mergeCells>
  <conditionalFormatting sqref="D39">
    <cfRule type="cellIs" priority="2" operator="between" aboveAverage="0" equalAverage="0" bottom="0" percent="0" rank="0" text="" dxfId="0">
      <formula>1</formula>
      <formula>0</formula>
    </cfRule>
    <cfRule type="cellIs" priority="3" operator="lessThan" aboveAverage="0" equalAverage="0" bottom="0" percent="0" rank="0" text="" dxfId="0">
      <formula>0</formula>
    </cfRule>
    <cfRule type="cellIs" priority="4" operator="greaterThanOrEqual" aboveAverage="0" equalAverage="0" bottom="0" percent="0" rank="0" text="" dxfId="0">
      <formula>1</formula>
    </cfRule>
  </conditionalFormatting>
  <conditionalFormatting sqref="P27">
    <cfRule type="cellIs" priority="5" operator="between" aboveAverage="0" equalAverage="0" bottom="0" percent="0" rank="0" text="" dxfId="0">
      <formula>1</formula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OrEqual" aboveAverage="0" equalAverage="0" bottom="0" percent="0" rank="0" text="" dxfId="0">
      <formula>1</formula>
    </cfRule>
  </conditionalFormatting>
  <conditionalFormatting sqref="H39">
    <cfRule type="cellIs" priority="8" operator="between" aboveAverage="0" equalAverage="0" bottom="0" percent="0" rank="0" text="" dxfId="0">
      <formula>1</formula>
      <formula>0</formula>
    </cfRule>
    <cfRule type="cellIs" priority="9" operator="lessThan" aboveAverage="0" equalAverage="0" bottom="0" percent="0" rank="0" text="" dxfId="0">
      <formula>0</formula>
    </cfRule>
    <cfRule type="cellIs" priority="10" operator="greaterThanOrEqual" aboveAverage="0" equalAverage="0" bottom="0" percent="0" rank="0" text="" dxfId="0">
      <formula>1</formula>
    </cfRule>
  </conditionalFormatting>
  <conditionalFormatting sqref="L39">
    <cfRule type="cellIs" priority="11" operator="between" aboveAverage="0" equalAverage="0" bottom="0" percent="0" rank="0" text="" dxfId="0">
      <formula>1</formula>
      <formula>0</formula>
    </cfRule>
    <cfRule type="cellIs" priority="12" operator="lessThan" aboveAverage="0" equalAverage="0" bottom="0" percent="0" rank="0" text="" dxfId="0">
      <formula>0</formula>
    </cfRule>
    <cfRule type="cellIs" priority="13" operator="greaterThanOrEqual" aboveAverage="0" equalAverage="0" bottom="0" percent="0" rank="0" text="" dxfId="0">
      <formula>1</formula>
    </cfRule>
  </conditionalFormatting>
  <conditionalFormatting sqref="P39">
    <cfRule type="cellIs" priority="14" operator="between" aboveAverage="0" equalAverage="0" bottom="0" percent="0" rank="0" text="" dxfId="0">
      <formula>1</formula>
      <formula>0</formula>
    </cfRule>
    <cfRule type="cellIs" priority="15" operator="lessThan" aboveAverage="0" equalAverage="0" bottom="0" percent="0" rank="0" text="" dxfId="0">
      <formula>0</formula>
    </cfRule>
    <cfRule type="cellIs" priority="16" operator="greaterThanOrEqual" aboveAverage="0" equalAverage="0" bottom="0" percent="0" rank="0" text="" dxfId="0">
      <formula>1</formula>
    </cfRule>
  </conditionalFormatting>
  <conditionalFormatting sqref="T27">
    <cfRule type="cellIs" priority="17" operator="between" aboveAverage="0" equalAverage="0" bottom="0" percent="0" rank="0" text="" dxfId="0">
      <formula>1</formula>
      <formula>0</formula>
    </cfRule>
    <cfRule type="cellIs" priority="18" operator="lessThan" aboveAverage="0" equalAverage="0" bottom="0" percent="0" rank="0" text="" dxfId="0">
      <formula>0</formula>
    </cfRule>
    <cfRule type="cellIs" priority="19" operator="greaterThanOrEqual" aboveAverage="0" equalAverage="0" bottom="0" percent="0" rank="0" text="" dxfId="0">
      <formula>1</formula>
    </cfRule>
  </conditionalFormatting>
  <conditionalFormatting sqref="T39">
    <cfRule type="cellIs" priority="20" operator="between" aboveAverage="0" equalAverage="0" bottom="0" percent="0" rank="0" text="" dxfId="0">
      <formula>1</formula>
      <formula>0</formula>
    </cfRule>
    <cfRule type="cellIs" priority="21" operator="lessThan" aboveAverage="0" equalAverage="0" bottom="0" percent="0" rank="0" text="" dxfId="1">
      <formula>0</formula>
    </cfRule>
    <cfRule type="cellIs" priority="22" operator="greaterThanOr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8.57085020242915"/>
    <col collapsed="false" hidden="false" max="2" min="2" style="0" width="12.5344129554656"/>
    <col collapsed="false" hidden="false" max="3" min="3" style="0" width="10.3886639676113"/>
    <col collapsed="false" hidden="false" max="1025" min="4" style="0" width="8.57085020242915"/>
  </cols>
  <sheetData>
    <row r="2" customFormat="false" ht="15" hidden="false" customHeight="false" outlineLevel="0" collapsed="false">
      <c r="B2" s="0" t="s">
        <v>129</v>
      </c>
    </row>
    <row r="3" customFormat="false" ht="15" hidden="false" customHeight="false" outlineLevel="0" collapsed="false">
      <c r="B3" s="0" t="s">
        <v>130</v>
      </c>
      <c r="C3" s="0" t="n">
        <v>6378</v>
      </c>
      <c r="D3" s="32" t="s">
        <v>19</v>
      </c>
    </row>
    <row r="4" customFormat="false" ht="15" hidden="false" customHeight="false" outlineLevel="0" collapsed="false">
      <c r="B4" s="0" t="s">
        <v>131</v>
      </c>
      <c r="C4" s="0" t="n">
        <v>398600435600000</v>
      </c>
      <c r="D4" s="3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J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6" min="1" style="0" width="9.10526315789474"/>
    <col collapsed="false" hidden="false" max="7" min="7" style="0" width="11.9028340080972"/>
    <col collapsed="false" hidden="false" max="1025" min="8" style="0" width="9.10526315789474"/>
  </cols>
  <sheetData>
    <row r="4" customFormat="false" ht="28.45" hidden="false" customHeight="false" outlineLevel="0" collapsed="false">
      <c r="B4" s="115" t="s">
        <v>133</v>
      </c>
      <c r="C4" s="115" t="s">
        <v>134</v>
      </c>
      <c r="D4" s="115" t="s">
        <v>135</v>
      </c>
      <c r="E4" s="115" t="s">
        <v>136</v>
      </c>
      <c r="F4" s="115" t="s">
        <v>137</v>
      </c>
      <c r="G4" s="115" t="s">
        <v>138</v>
      </c>
      <c r="H4" s="115"/>
    </row>
    <row r="5" customFormat="false" ht="41.95" hidden="false" customHeight="false" outlineLevel="0" collapsed="false">
      <c r="B5" s="116" t="s">
        <v>139</v>
      </c>
      <c r="C5" s="116" t="s">
        <v>140</v>
      </c>
      <c r="D5" s="116" t="n">
        <v>0.085</v>
      </c>
      <c r="E5" s="116" t="n">
        <v>10</v>
      </c>
      <c r="F5" s="116" t="n">
        <v>0.75</v>
      </c>
      <c r="G5" s="116" t="s">
        <v>141</v>
      </c>
      <c r="H5" s="0" t="s">
        <v>142</v>
      </c>
    </row>
    <row r="6" customFormat="false" ht="28.45" hidden="false" customHeight="false" outlineLevel="0" collapsed="false">
      <c r="B6" s="116" t="s">
        <v>143</v>
      </c>
      <c r="C6" s="116" t="s">
        <v>144</v>
      </c>
      <c r="D6" s="116" t="s">
        <v>145</v>
      </c>
      <c r="E6" s="116" t="n">
        <v>15</v>
      </c>
      <c r="F6" s="116" t="n">
        <v>0.0005</v>
      </c>
      <c r="G6" s="116" t="s">
        <v>141</v>
      </c>
      <c r="H6" s="0" t="s">
        <v>146</v>
      </c>
    </row>
    <row r="7" customFormat="false" ht="55.2" hidden="false" customHeight="false" outlineLevel="0" collapsed="false">
      <c r="B7" s="116" t="s">
        <v>147</v>
      </c>
      <c r="C7" s="116" t="s">
        <v>148</v>
      </c>
      <c r="D7" s="116" t="s">
        <v>149</v>
      </c>
      <c r="E7" s="116" t="s">
        <v>141</v>
      </c>
      <c r="F7" s="116" t="n">
        <v>0.03</v>
      </c>
      <c r="G7" s="116" t="s">
        <v>150</v>
      </c>
      <c r="H7" s="0" t="s">
        <v>151</v>
      </c>
    </row>
    <row r="8" customFormat="false" ht="14.9" hidden="false" customHeight="false" outlineLevel="0" collapsed="false">
      <c r="B8" s="116" t="s">
        <v>152</v>
      </c>
      <c r="C8" s="0" t="s">
        <v>153</v>
      </c>
      <c r="D8" s="0" t="n">
        <v>0.055</v>
      </c>
      <c r="E8" s="0" t="n">
        <v>4.5</v>
      </c>
      <c r="F8" s="0" t="n">
        <v>0.1</v>
      </c>
      <c r="G8" s="0" t="s">
        <v>154</v>
      </c>
      <c r="H8" s="0" t="s">
        <v>155</v>
      </c>
      <c r="I8" s="116"/>
      <c r="J8" s="116"/>
    </row>
    <row r="9" customFormat="false" ht="14.9" hidden="false" customHeight="false" outlineLevel="0" collapsed="false">
      <c r="B9" s="0" t="s">
        <v>156</v>
      </c>
      <c r="C9" s="0" t="s">
        <v>157</v>
      </c>
      <c r="D9" s="0" t="n">
        <v>0.01</v>
      </c>
      <c r="E9" s="116" t="s">
        <v>141</v>
      </c>
      <c r="F9" s="0" t="n">
        <v>0.0009</v>
      </c>
      <c r="G9" s="116" t="s">
        <v>158</v>
      </c>
      <c r="H9" s="0" t="s">
        <v>159</v>
      </c>
    </row>
    <row r="10" customFormat="false" ht="28.35" hidden="false" customHeight="false" outlineLevel="0" collapsed="false">
      <c r="B10" s="0" t="s">
        <v>160</v>
      </c>
      <c r="C10" s="0" t="s">
        <v>161</v>
      </c>
      <c r="D10" s="0" t="n">
        <v>0.078</v>
      </c>
      <c r="E10" s="116" t="s">
        <v>141</v>
      </c>
      <c r="F10" s="0" t="n">
        <v>0.0002</v>
      </c>
      <c r="G10" s="116" t="s">
        <v>162</v>
      </c>
      <c r="H10" s="0" t="s">
        <v>163</v>
      </c>
    </row>
    <row r="11" customFormat="false" ht="28.45" hidden="false" customHeight="false" outlineLevel="0" collapsed="false">
      <c r="B11" s="0" t="s">
        <v>164</v>
      </c>
      <c r="C11" s="0" t="s">
        <v>165</v>
      </c>
      <c r="D11" s="0" t="n">
        <v>0.01</v>
      </c>
      <c r="E11" s="0" t="n">
        <v>300</v>
      </c>
      <c r="F11" s="0" t="n">
        <v>0.0005</v>
      </c>
      <c r="G11" s="116" t="s">
        <v>141</v>
      </c>
      <c r="H11" s="0" t="s">
        <v>166</v>
      </c>
    </row>
    <row r="12" customFormat="false" ht="14.95" hidden="false" customHeight="false" outlineLevel="0" collapsed="false">
      <c r="B12" s="116" t="s">
        <v>167</v>
      </c>
      <c r="C12" s="0" t="s">
        <v>168</v>
      </c>
      <c r="D12" s="0" t="n">
        <v>0.3</v>
      </c>
      <c r="E12" s="0" t="n">
        <v>5</v>
      </c>
      <c r="F12" s="0" t="n">
        <v>1</v>
      </c>
      <c r="G12" s="116" t="s">
        <v>141</v>
      </c>
      <c r="H12" s="0" t="s">
        <v>169</v>
      </c>
    </row>
    <row r="13" customFormat="false" ht="28.35" hidden="false" customHeight="false" outlineLevel="0" collapsed="false">
      <c r="B13" s="116" t="s">
        <v>170</v>
      </c>
      <c r="C13" s="0" t="s">
        <v>153</v>
      </c>
      <c r="D13" s="0" t="n">
        <v>1.8E-005</v>
      </c>
      <c r="E13" s="0" t="n">
        <v>4.35</v>
      </c>
      <c r="F13" s="0" t="n">
        <v>0.0001</v>
      </c>
      <c r="G13" s="116" t="s">
        <v>171</v>
      </c>
      <c r="H13" s="0" t="s">
        <v>172</v>
      </c>
    </row>
    <row r="14" customFormat="false" ht="28.35" hidden="false" customHeight="false" outlineLevel="0" collapsed="false">
      <c r="B14" s="116" t="s">
        <v>173</v>
      </c>
      <c r="C14" s="0" t="s">
        <v>153</v>
      </c>
      <c r="D14" s="0" t="n">
        <v>2.5E-005</v>
      </c>
      <c r="E14" s="0" t="n">
        <v>120</v>
      </c>
      <c r="F14" s="0" t="n">
        <v>0.033</v>
      </c>
      <c r="G14" s="116" t="s">
        <v>174</v>
      </c>
      <c r="H14" s="0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9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7" t="s">
        <v>176</v>
      </c>
      <c r="C2" s="117"/>
      <c r="D2" s="117"/>
      <c r="E2" s="117"/>
      <c r="F2" s="117"/>
      <c r="G2" s="117"/>
      <c r="H2" s="117"/>
    </row>
    <row r="3" customFormat="false" ht="41.95" hidden="false" customHeight="false" outlineLevel="0" collapsed="false">
      <c r="B3" s="115" t="s">
        <v>133</v>
      </c>
      <c r="C3" s="115" t="s">
        <v>134</v>
      </c>
      <c r="D3" s="115" t="s">
        <v>177</v>
      </c>
      <c r="E3" s="115" t="s">
        <v>135</v>
      </c>
      <c r="F3" s="115" t="s">
        <v>178</v>
      </c>
      <c r="G3" s="115" t="s">
        <v>179</v>
      </c>
      <c r="H3" s="115" t="s">
        <v>180</v>
      </c>
      <c r="Q3" s="0" t="s">
        <v>181</v>
      </c>
    </row>
    <row r="4" customFormat="false" ht="28.45" hidden="false" customHeight="false" outlineLevel="0" collapsed="false">
      <c r="A4" s="0" t="s">
        <v>182</v>
      </c>
      <c r="B4" s="0" t="s">
        <v>183</v>
      </c>
      <c r="C4" s="116" t="s">
        <v>184</v>
      </c>
      <c r="D4" s="116" t="s">
        <v>185</v>
      </c>
      <c r="E4" s="0" t="n">
        <v>0.012</v>
      </c>
      <c r="F4" s="0" t="n">
        <v>25.92</v>
      </c>
      <c r="G4" s="0" t="n">
        <v>2</v>
      </c>
      <c r="H4" s="0" t="n">
        <v>0.235</v>
      </c>
      <c r="I4" s="0" t="s">
        <v>186</v>
      </c>
      <c r="Q4" s="0" t="n">
        <v>482.33</v>
      </c>
      <c r="S4" s="0" t="s">
        <v>187</v>
      </c>
    </row>
    <row r="5" customFormat="false" ht="28.35" hidden="false" customHeight="false" outlineLevel="0" collapsed="false">
      <c r="A5" s="0" t="s">
        <v>182</v>
      </c>
      <c r="B5" s="116" t="s">
        <v>188</v>
      </c>
      <c r="C5" s="116" t="s">
        <v>184</v>
      </c>
      <c r="D5" s="116" t="s">
        <v>189</v>
      </c>
      <c r="E5" s="0" t="n">
        <v>0.016</v>
      </c>
      <c r="F5" s="0" t="n">
        <v>54</v>
      </c>
      <c r="G5" s="0" t="n">
        <v>4.2</v>
      </c>
      <c r="H5" s="0" t="n">
        <v>0.165</v>
      </c>
      <c r="I5" s="0" t="s">
        <v>190</v>
      </c>
    </row>
    <row r="6" customFormat="false" ht="28.35" hidden="false" customHeight="false" outlineLevel="0" collapsed="false">
      <c r="A6" s="0" t="s">
        <v>182</v>
      </c>
      <c r="B6" s="116" t="s">
        <v>191</v>
      </c>
      <c r="C6" s="116" t="s">
        <v>184</v>
      </c>
      <c r="D6" s="116" t="s">
        <v>192</v>
      </c>
      <c r="E6" s="0" t="n">
        <v>0.016</v>
      </c>
      <c r="F6" s="0" t="n">
        <v>25.2</v>
      </c>
      <c r="G6" s="0" t="n">
        <v>2</v>
      </c>
      <c r="H6" s="0" t="n">
        <v>0.25</v>
      </c>
      <c r="I6" s="0" t="s">
        <v>193</v>
      </c>
      <c r="Q6" s="0" t="n">
        <v>633</v>
      </c>
    </row>
    <row r="7" customFormat="false" ht="28.35" hidden="false" customHeight="false" outlineLevel="0" collapsed="false">
      <c r="A7" s="0" t="s">
        <v>182</v>
      </c>
      <c r="B7" s="116" t="s">
        <v>194</v>
      </c>
      <c r="C7" s="116" t="s">
        <v>184</v>
      </c>
      <c r="D7" s="116" t="s">
        <v>195</v>
      </c>
      <c r="F7" s="0" t="n">
        <v>6.25</v>
      </c>
      <c r="G7" s="0" t="n">
        <v>0.3</v>
      </c>
      <c r="H7" s="0" t="n">
        <v>0.6</v>
      </c>
      <c r="I7" s="0" t="s">
        <v>196</v>
      </c>
      <c r="Q7" s="0" t="n">
        <v>1.697</v>
      </c>
    </row>
    <row r="8" customFormat="false" ht="28.35" hidden="false" customHeight="false" outlineLevel="0" collapsed="false">
      <c r="A8" s="0" t="s">
        <v>182</v>
      </c>
      <c r="B8" s="116" t="s">
        <v>197</v>
      </c>
      <c r="C8" s="116" t="s">
        <v>184</v>
      </c>
      <c r="D8" s="116" t="s">
        <v>198</v>
      </c>
      <c r="E8" s="116" t="n">
        <v>0.016</v>
      </c>
      <c r="F8" s="116" t="n">
        <v>25</v>
      </c>
      <c r="G8" s="116" t="n">
        <v>2</v>
      </c>
      <c r="H8" s="116" t="n">
        <v>0.35</v>
      </c>
      <c r="I8" s="0" t="s">
        <v>199</v>
      </c>
      <c r="Q8" s="0" t="n">
        <v>625</v>
      </c>
    </row>
    <row r="9" customFormat="false" ht="41.75" hidden="false" customHeight="false" outlineLevel="0" collapsed="false">
      <c r="B9" s="116" t="s">
        <v>200</v>
      </c>
      <c r="C9" s="116" t="s">
        <v>201</v>
      </c>
      <c r="D9" s="116" t="s">
        <v>198</v>
      </c>
      <c r="E9" s="116" t="s">
        <v>202</v>
      </c>
      <c r="F9" s="116" t="s">
        <v>203</v>
      </c>
      <c r="G9" s="116" t="s">
        <v>141</v>
      </c>
      <c r="H9" s="116" t="n">
        <v>0.6</v>
      </c>
      <c r="I9" s="0" t="s">
        <v>204</v>
      </c>
    </row>
    <row r="10" customFormat="false" ht="41.75" hidden="false" customHeight="false" outlineLevel="0" collapsed="false">
      <c r="B10" s="116" t="s">
        <v>205</v>
      </c>
      <c r="C10" s="116" t="s">
        <v>201</v>
      </c>
      <c r="D10" s="116" t="s">
        <v>198</v>
      </c>
      <c r="E10" s="116" t="s">
        <v>206</v>
      </c>
      <c r="F10" s="116" t="s">
        <v>207</v>
      </c>
      <c r="G10" s="116" t="s">
        <v>141</v>
      </c>
      <c r="H10" s="116" t="n">
        <v>0.6</v>
      </c>
      <c r="I10" s="0" t="s">
        <v>204</v>
      </c>
    </row>
    <row r="11" customFormat="false" ht="41.75" hidden="false" customHeight="false" outlineLevel="0" collapsed="false">
      <c r="B11" s="116" t="s">
        <v>208</v>
      </c>
      <c r="C11" s="116" t="s">
        <v>201</v>
      </c>
      <c r="D11" s="116" t="s">
        <v>198</v>
      </c>
      <c r="E11" s="116" t="s">
        <v>149</v>
      </c>
      <c r="F11" s="116" t="s">
        <v>209</v>
      </c>
      <c r="G11" s="116" t="s">
        <v>141</v>
      </c>
      <c r="H11" s="116" t="n">
        <v>1.3</v>
      </c>
      <c r="I11" s="0" t="s">
        <v>204</v>
      </c>
    </row>
    <row r="12" customFormat="false" ht="28.35" hidden="false" customHeight="false" outlineLevel="0" collapsed="false">
      <c r="B12" s="0" t="s">
        <v>210</v>
      </c>
      <c r="C12" s="0" t="s">
        <v>211</v>
      </c>
      <c r="D12" s="116" t="s">
        <v>198</v>
      </c>
      <c r="E12" s="0" t="n">
        <v>0.055</v>
      </c>
      <c r="F12" s="0" t="n">
        <v>0.4</v>
      </c>
      <c r="G12" s="0" t="n">
        <v>0.15</v>
      </c>
      <c r="H12" s="0" t="n">
        <v>1.5</v>
      </c>
      <c r="I12" s="0" t="s">
        <v>212</v>
      </c>
    </row>
    <row r="13" customFormat="false" ht="28.35" hidden="false" customHeight="false" outlineLevel="0" collapsed="false">
      <c r="B13" s="0" t="s">
        <v>213</v>
      </c>
      <c r="C13" s="0" t="s">
        <v>211</v>
      </c>
      <c r="D13" s="116" t="s">
        <v>198</v>
      </c>
      <c r="E13" s="0" t="n">
        <v>0.052</v>
      </c>
      <c r="F13" s="0" t="n">
        <v>0.3</v>
      </c>
      <c r="G13" s="0" t="n">
        <v>0.15</v>
      </c>
      <c r="H13" s="0" t="n">
        <v>1.5</v>
      </c>
      <c r="I13" s="0" t="s">
        <v>212</v>
      </c>
    </row>
    <row r="14" customFormat="false" ht="28.35" hidden="false" customHeight="false" outlineLevel="0" collapsed="false">
      <c r="B14" s="0" t="s">
        <v>214</v>
      </c>
      <c r="C14" s="0" t="s">
        <v>211</v>
      </c>
      <c r="D14" s="116" t="s">
        <v>198</v>
      </c>
      <c r="E14" s="0" t="n">
        <v>0.055</v>
      </c>
      <c r="F14" s="0" t="n">
        <v>0.3</v>
      </c>
      <c r="G14" s="0" t="n">
        <v>0.15</v>
      </c>
      <c r="H14" s="0" t="n">
        <v>1.5</v>
      </c>
      <c r="I14" s="0" t="s">
        <v>212</v>
      </c>
    </row>
    <row r="15" customFormat="false" ht="28.35" hidden="false" customHeight="false" outlineLevel="0" collapsed="false">
      <c r="B15" s="0" t="s">
        <v>215</v>
      </c>
      <c r="C15" s="0" t="s">
        <v>216</v>
      </c>
      <c r="D15" s="116" t="s">
        <v>198</v>
      </c>
      <c r="E15" s="0" t="n">
        <v>0.01</v>
      </c>
      <c r="F15" s="0" t="n">
        <v>0.8</v>
      </c>
      <c r="G15" s="0" t="n">
        <v>0.06</v>
      </c>
      <c r="H15" s="0" t="n">
        <v>0.05</v>
      </c>
      <c r="I15" s="0" t="s">
        <v>217</v>
      </c>
    </row>
    <row r="16" customFormat="false" ht="28.35" hidden="false" customHeight="false" outlineLevel="0" collapsed="false">
      <c r="B16" s="116" t="s">
        <v>218</v>
      </c>
      <c r="C16" s="0" t="s">
        <v>216</v>
      </c>
      <c r="D16" s="116" t="s">
        <v>198</v>
      </c>
      <c r="E16" s="0" t="n">
        <v>0.01</v>
      </c>
      <c r="F16" s="0" t="n">
        <v>3</v>
      </c>
      <c r="G16" s="0" t="n">
        <v>0.15</v>
      </c>
      <c r="H16" s="0" t="n">
        <v>0.05</v>
      </c>
      <c r="I16" s="0" t="s">
        <v>219</v>
      </c>
    </row>
    <row r="17" customFormat="false" ht="28.35" hidden="false" customHeight="false" outlineLevel="0" collapsed="false">
      <c r="B17" s="0" t="s">
        <v>220</v>
      </c>
      <c r="C17" s="0" t="s">
        <v>216</v>
      </c>
      <c r="D17" s="116" t="s">
        <v>198</v>
      </c>
      <c r="E17" s="0" t="n">
        <v>0.01</v>
      </c>
      <c r="F17" s="0" t="n">
        <v>3.5</v>
      </c>
      <c r="G17" s="0" t="n">
        <v>0.17</v>
      </c>
      <c r="H17" s="0" t="n">
        <v>0.05</v>
      </c>
      <c r="I17" s="0" t="s">
        <v>221</v>
      </c>
    </row>
    <row r="18" customFormat="false" ht="28.35" hidden="false" customHeight="false" outlineLevel="0" collapsed="false">
      <c r="A18" s="0" t="s">
        <v>222</v>
      </c>
      <c r="B18" s="0" t="s">
        <v>223</v>
      </c>
      <c r="C18" s="0" t="s">
        <v>224</v>
      </c>
      <c r="D18" s="116" t="s">
        <v>198</v>
      </c>
      <c r="E18" s="0" t="n">
        <v>0.015</v>
      </c>
      <c r="F18" s="0" t="n">
        <v>10</v>
      </c>
      <c r="H18" s="0" t="n">
        <v>0.2</v>
      </c>
      <c r="I18" s="0" t="s">
        <v>225</v>
      </c>
    </row>
    <row r="19" customFormat="false" ht="28.35" hidden="false" customHeight="false" outlineLevel="0" collapsed="false">
      <c r="A19" s="0" t="s">
        <v>182</v>
      </c>
      <c r="B19" s="0" t="s">
        <v>226</v>
      </c>
      <c r="C19" s="0" t="s">
        <v>227</v>
      </c>
      <c r="D19" s="116" t="s">
        <v>198</v>
      </c>
      <c r="E19" s="0" t="n">
        <v>0.016</v>
      </c>
      <c r="F19" s="0" t="n">
        <v>8</v>
      </c>
      <c r="H19" s="0" t="n">
        <v>0.3</v>
      </c>
      <c r="I19" s="0" t="s">
        <v>228</v>
      </c>
    </row>
  </sheetData>
  <mergeCells count="1">
    <mergeCell ref="B2:H2"/>
  </mergeCells>
  <hyperlinks>
    <hyperlink ref="I12" r:id="rId1" display="https://www.sensonor.com/products/gyro-modul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RowHeight="12.8"/>
  <cols>
    <col collapsed="false" hidden="false" max="2" min="1" style="0" width="9.10526315789474"/>
    <col collapsed="false" hidden="false" max="3" min="3" style="0" width="13.3886639676113"/>
    <col collapsed="false" hidden="false" max="7" min="4" style="0" width="9.10526315789474"/>
    <col collapsed="false" hidden="false" max="8" min="8" style="0" width="14.6761133603239"/>
    <col collapsed="false" hidden="false" max="9" min="9" style="0" width="13.0688259109312"/>
    <col collapsed="false" hidden="false" max="1025" min="10" style="0" width="9.10526315789474"/>
  </cols>
  <sheetData>
    <row r="3" customFormat="false" ht="55.2" hidden="false" customHeight="false" outlineLevel="0" collapsed="false">
      <c r="C3" s="115" t="s">
        <v>133</v>
      </c>
      <c r="D3" s="115" t="s">
        <v>134</v>
      </c>
      <c r="E3" s="115" t="s">
        <v>229</v>
      </c>
      <c r="F3" s="115" t="s">
        <v>230</v>
      </c>
      <c r="G3" s="115" t="s">
        <v>231</v>
      </c>
      <c r="H3" s="115" t="s">
        <v>232</v>
      </c>
    </row>
    <row r="4" customFormat="false" ht="14.9" hidden="false" customHeight="false" outlineLevel="0" collapsed="false">
      <c r="C4" s="116" t="s">
        <v>233</v>
      </c>
      <c r="D4" s="116" t="s">
        <v>234</v>
      </c>
      <c r="E4" s="116" t="n">
        <v>0.185</v>
      </c>
      <c r="F4" s="116" t="n">
        <v>55</v>
      </c>
      <c r="G4" s="0" t="n">
        <v>0.5</v>
      </c>
      <c r="H4" s="116" t="s">
        <v>235</v>
      </c>
      <c r="I4" s="0" t="s">
        <v>236</v>
      </c>
    </row>
    <row r="5" customFormat="false" ht="41.75" hidden="false" customHeight="false" outlineLevel="0" collapsed="false">
      <c r="C5" s="116" t="s">
        <v>237</v>
      </c>
      <c r="D5" s="116" t="s">
        <v>238</v>
      </c>
      <c r="E5" s="116" t="n">
        <v>0.282</v>
      </c>
      <c r="F5" s="116" t="n">
        <v>27</v>
      </c>
      <c r="G5" s="0" t="n">
        <v>1.5</v>
      </c>
      <c r="H5" s="118" t="s">
        <v>239</v>
      </c>
      <c r="I5" s="0" t="s">
        <v>240</v>
      </c>
    </row>
    <row r="6" customFormat="false" ht="17.95" hidden="false" customHeight="true" outlineLevel="0" collapsed="false">
      <c r="C6" s="116" t="s">
        <v>241</v>
      </c>
      <c r="D6" s="116" t="s">
        <v>242</v>
      </c>
      <c r="E6" s="116" t="n">
        <v>0.35</v>
      </c>
      <c r="F6" s="116" t="n">
        <v>40</v>
      </c>
      <c r="G6" s="0" t="n">
        <v>1.5</v>
      </c>
      <c r="H6" s="116" t="s">
        <v>243</v>
      </c>
      <c r="I6" s="0" t="s">
        <v>244</v>
      </c>
    </row>
    <row r="7" customFormat="false" ht="21.7" hidden="false" customHeight="true" outlineLevel="0" collapsed="false">
      <c r="C7" s="116" t="s">
        <v>245</v>
      </c>
      <c r="D7" s="116" t="s">
        <v>242</v>
      </c>
      <c r="E7" s="116" t="n">
        <v>1.3</v>
      </c>
      <c r="F7" s="116" t="n">
        <v>40</v>
      </c>
      <c r="G7" s="0" t="n">
        <v>1.5</v>
      </c>
      <c r="H7" s="116" t="s">
        <v>246</v>
      </c>
      <c r="I7" s="0" t="s">
        <v>244</v>
      </c>
    </row>
    <row r="8" customFormat="false" ht="21.7" hidden="false" customHeight="true" outlineLevel="0" collapsed="false">
      <c r="C8" s="116" t="s">
        <v>247</v>
      </c>
      <c r="D8" s="116" t="s">
        <v>248</v>
      </c>
      <c r="E8" s="116" t="n">
        <v>0.04</v>
      </c>
      <c r="F8" s="116" t="n">
        <v>10</v>
      </c>
      <c r="G8" s="0" t="n">
        <v>0.65</v>
      </c>
      <c r="H8" s="116" t="s">
        <v>249</v>
      </c>
      <c r="I8" s="0" t="s">
        <v>250</v>
      </c>
    </row>
    <row r="9" customFormat="false" ht="14.9" hidden="false" customHeight="false" outlineLevel="0" collapsed="false">
      <c r="C9" s="0" t="s">
        <v>251</v>
      </c>
      <c r="D9" s="116" t="s">
        <v>248</v>
      </c>
      <c r="E9" s="0" t="n">
        <v>0.28</v>
      </c>
      <c r="F9" s="0" t="n">
        <v>10</v>
      </c>
      <c r="G9" s="0" t="n">
        <v>0.65</v>
      </c>
      <c r="H9" s="0" t="s">
        <v>252</v>
      </c>
      <c r="I9" s="0" t="s">
        <v>250</v>
      </c>
    </row>
    <row r="10" customFormat="false" ht="13.8" hidden="false" customHeight="false" outlineLevel="0" collapsed="false">
      <c r="C10" s="0" t="s">
        <v>247</v>
      </c>
      <c r="D10" s="0" t="s">
        <v>253</v>
      </c>
      <c r="E10" s="0" t="n">
        <v>0.042</v>
      </c>
      <c r="F10" s="0" t="n">
        <v>30</v>
      </c>
      <c r="G10" s="0" t="n">
        <v>0.65</v>
      </c>
      <c r="H10" s="0" t="s">
        <v>254</v>
      </c>
      <c r="I10" s="0" t="s">
        <v>255</v>
      </c>
    </row>
    <row r="11" customFormat="false" ht="13.8" hidden="false" customHeight="false" outlineLevel="0" collapsed="false">
      <c r="C11" s="0" t="s">
        <v>251</v>
      </c>
      <c r="D11" s="0" t="s">
        <v>253</v>
      </c>
      <c r="E11" s="0" t="n">
        <v>0.28</v>
      </c>
      <c r="F11" s="0" t="n">
        <v>10</v>
      </c>
      <c r="G11" s="0" t="n">
        <v>0.7</v>
      </c>
      <c r="H11" s="0" t="s">
        <v>256</v>
      </c>
      <c r="I11" s="0" t="s">
        <v>257</v>
      </c>
    </row>
    <row r="12" customFormat="false" ht="13.8" hidden="false" customHeight="false" outlineLevel="0" collapsed="false">
      <c r="C12" s="0" t="s">
        <v>258</v>
      </c>
      <c r="D12" s="0" t="s">
        <v>259</v>
      </c>
      <c r="E12" s="0" t="n">
        <v>0.165</v>
      </c>
      <c r="F12" s="0" t="n">
        <v>70</v>
      </c>
      <c r="H12" s="0" t="s">
        <v>260</v>
      </c>
      <c r="I12" s="0" t="s">
        <v>261</v>
      </c>
    </row>
    <row r="13" customFormat="false" ht="13.8" hidden="false" customHeight="false" outlineLevel="0" collapsed="false">
      <c r="C13" s="0" t="s">
        <v>262</v>
      </c>
      <c r="D13" s="0" t="s">
        <v>263</v>
      </c>
      <c r="E13" s="0" t="n">
        <v>0.19</v>
      </c>
      <c r="F13" s="0" t="n">
        <v>30</v>
      </c>
      <c r="G13" s="0" t="n">
        <v>0.5</v>
      </c>
      <c r="H13" s="0" t="s">
        <v>264</v>
      </c>
      <c r="I13" s="0" t="s">
        <v>265</v>
      </c>
    </row>
    <row r="14" customFormat="false" ht="13.8" hidden="false" customHeight="false" outlineLevel="0" collapsed="false">
      <c r="C14" s="0" t="s">
        <v>266</v>
      </c>
      <c r="D14" s="0" t="s">
        <v>267</v>
      </c>
      <c r="E14" s="0" t="n">
        <v>0.025</v>
      </c>
      <c r="F14" s="0" t="n">
        <v>10</v>
      </c>
      <c r="G14" s="0" t="n">
        <v>1</v>
      </c>
      <c r="H14" s="0" t="s">
        <v>268</v>
      </c>
      <c r="I14" s="0" t="s">
        <v>269</v>
      </c>
    </row>
    <row r="15" customFormat="false" ht="13.8" hidden="false" customHeight="false" outlineLevel="0" collapsed="false">
      <c r="C15" s="0" t="s">
        <v>270</v>
      </c>
      <c r="D15" s="0" t="s">
        <v>271</v>
      </c>
      <c r="E15" s="0" t="n">
        <v>0.35</v>
      </c>
      <c r="F15" s="0" t="n">
        <v>30</v>
      </c>
      <c r="G15" s="0" t="n">
        <v>1</v>
      </c>
      <c r="H15" s="0" t="s">
        <v>272</v>
      </c>
      <c r="I15" s="0" t="s">
        <v>273</v>
      </c>
    </row>
    <row r="16" customFormat="false" ht="14.9" hidden="false" customHeight="false" outlineLevel="0" collapsed="false">
      <c r="C16" s="116" t="s">
        <v>274</v>
      </c>
      <c r="D16" s="116" t="s">
        <v>275</v>
      </c>
      <c r="E16" s="119" t="n">
        <v>0.175</v>
      </c>
      <c r="F16" s="119" t="n">
        <v>60</v>
      </c>
      <c r="G16" s="0" t="n">
        <v>0.3</v>
      </c>
      <c r="H16" s="0" t="s">
        <v>276</v>
      </c>
      <c r="I16" s="0" t="s">
        <v>277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2019-10-20T22:57:11Z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